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326BA218-B054-8778-C3B9-1B04C7A2A7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Volumes/GoogleDrive/내 드라이브/ComDrive/30 Coding/Coding/20.02.28_VBA/"/>
    </mc:Choice>
  </mc:AlternateContent>
  <xr:revisionPtr revIDLastSave="0" documentId="13_ncr:1_{F67A4522-AA26-5042-8DD4-A9C7972C9E03}" xr6:coauthVersionLast="45" xr6:coauthVersionMax="45" xr10:uidLastSave="{00000000-0000-0000-0000-000000000000}"/>
  <bookViews>
    <workbookView xWindow="0" yWindow="460" windowWidth="35840" windowHeight="20400" tabRatio="889" xr2:uid="{00000000-000D-0000-FFFF-FFFF00000000}"/>
  </bookViews>
  <sheets>
    <sheet name="Data" sheetId="42" r:id="rId1"/>
    <sheet name="보고서" sheetId="48" r:id="rId2"/>
    <sheet name="추정" sheetId="60" r:id="rId3"/>
    <sheet name="추정표" sheetId="66" r:id="rId4"/>
    <sheet name="NCP" sheetId="67" r:id="rId5"/>
    <sheet name="부표" sheetId="52" r:id="rId6"/>
    <sheet name="평정" sheetId="53" r:id="rId7"/>
    <sheet name="BS" sheetId="22" r:id="rId8"/>
    <sheet name="IS" sheetId="24" r:id="rId9"/>
    <sheet name="구NCP" sheetId="55" r:id="rId10"/>
    <sheet name="2.추정(긍정)" sheetId="65" state="hidden" r:id="rId11"/>
    <sheet name="2.추정(부정)" sheetId="64" state="hidden" r:id="rId12"/>
    <sheet name="추정_master" sheetId="59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___a1" localSheetId="10">#REF!</definedName>
    <definedName name="___a1" localSheetId="11">#REF!</definedName>
    <definedName name="___a1" localSheetId="9">#REF!</definedName>
    <definedName name="___a1" localSheetId="2">#REF!</definedName>
    <definedName name="___a1" localSheetId="12">#REF!</definedName>
    <definedName name="___a1" localSheetId="3">#REF!</definedName>
    <definedName name="___a1" localSheetId="6">#REF!</definedName>
    <definedName name="___a1" localSheetId="4">#REF!</definedName>
    <definedName name="___a1">#REF!</definedName>
    <definedName name="___A2" localSheetId="10" hidden="1">#REF!</definedName>
    <definedName name="___A2" localSheetId="11" hidden="1">#REF!</definedName>
    <definedName name="___A2" localSheetId="9" hidden="1">#REF!</definedName>
    <definedName name="___A2" localSheetId="1" hidden="1">#REF!</definedName>
    <definedName name="___A2" localSheetId="2" hidden="1">#REF!</definedName>
    <definedName name="___A2" localSheetId="12" hidden="1">#REF!</definedName>
    <definedName name="___A2" localSheetId="3" hidden="1">#REF!</definedName>
    <definedName name="___A2" localSheetId="6" hidden="1">#REF!</definedName>
    <definedName name="___A2" localSheetId="4" hidden="1">#REF!</definedName>
    <definedName name="___A2" hidden="1">#REF!</definedName>
    <definedName name="___a3" localSheetId="10">#REF!</definedName>
    <definedName name="___a3" localSheetId="11">#REF!</definedName>
    <definedName name="___a3" localSheetId="9">#REF!</definedName>
    <definedName name="___a3" localSheetId="2">#REF!</definedName>
    <definedName name="___a3" localSheetId="12">#REF!</definedName>
    <definedName name="___a3" localSheetId="3">#REF!</definedName>
    <definedName name="___a3" localSheetId="6">#REF!</definedName>
    <definedName name="___a3" localSheetId="4">#REF!</definedName>
    <definedName name="___a3">#REF!</definedName>
    <definedName name="__?" localSheetId="10">#REF!</definedName>
    <definedName name="__?" localSheetId="11">#REF!</definedName>
    <definedName name="__?" localSheetId="9">#REF!</definedName>
    <definedName name="__?" localSheetId="2">#REF!</definedName>
    <definedName name="__?" localSheetId="12">#REF!</definedName>
    <definedName name="__?" localSheetId="3">#REF!</definedName>
    <definedName name="__?" localSheetId="6">#REF!</definedName>
    <definedName name="__?" localSheetId="4">#REF!</definedName>
    <definedName name="__?">#REF!</definedName>
    <definedName name="__?_컛?___i" localSheetId="10">#REF!</definedName>
    <definedName name="__?_컛?___i" localSheetId="11">#REF!</definedName>
    <definedName name="__?_컛?___i" localSheetId="9">#REF!</definedName>
    <definedName name="__?_컛?___i" localSheetId="2">#REF!</definedName>
    <definedName name="__?_컛?___i" localSheetId="12">#REF!</definedName>
    <definedName name="__?_컛?___i" localSheetId="3">#REF!</definedName>
    <definedName name="__?_컛?___i" localSheetId="6">#REF!</definedName>
    <definedName name="__?_컛?___i" localSheetId="4">#REF!</definedName>
    <definedName name="__?_컛?___i">#REF!</definedName>
    <definedName name="__123Graph_D" localSheetId="10" hidden="1">#REF!</definedName>
    <definedName name="__123Graph_D" localSheetId="11" hidden="1">#REF!</definedName>
    <definedName name="__123Graph_D" localSheetId="9" hidden="1">#REF!</definedName>
    <definedName name="__123Graph_D" localSheetId="1" hidden="1">#REF!</definedName>
    <definedName name="__123Graph_D" localSheetId="2" hidden="1">#REF!</definedName>
    <definedName name="__123Graph_D" localSheetId="12" hidden="1">#REF!</definedName>
    <definedName name="__123Graph_D" localSheetId="3" hidden="1">#REF!</definedName>
    <definedName name="__123Graph_D" localSheetId="6" hidden="1">#REF!</definedName>
    <definedName name="__123Graph_D" localSheetId="4" hidden="1">#REF!</definedName>
    <definedName name="__123Graph_D" hidden="1">#REF!</definedName>
    <definedName name="__123Graph_F" localSheetId="10" hidden="1">'[1]00''미수'!#REF!</definedName>
    <definedName name="__123Graph_F" localSheetId="11" hidden="1">'[1]00''미수'!#REF!</definedName>
    <definedName name="__123Graph_F" localSheetId="3" hidden="1">'[1]00''미수'!#REF!</definedName>
    <definedName name="__123Graph_F" localSheetId="4" hidden="1">'[1]00''미수'!#REF!</definedName>
    <definedName name="__123Graph_F" hidden="1">'[1]00''미수'!#REF!</definedName>
    <definedName name="__cost9911_pjt" localSheetId="10">#REF!</definedName>
    <definedName name="__cost9911_pjt" localSheetId="11">#REF!</definedName>
    <definedName name="__cost9911_pjt" localSheetId="9">#REF!</definedName>
    <definedName name="__cost9911_pjt" localSheetId="2">#REF!</definedName>
    <definedName name="__cost9911_pjt" localSheetId="12">#REF!</definedName>
    <definedName name="__cost9911_pjt" localSheetId="3">#REF!</definedName>
    <definedName name="__cost9911_pjt" localSheetId="6">#REF!</definedName>
    <definedName name="__cost9911_pjt" localSheetId="4">#REF!</definedName>
    <definedName name="__cost9911_pjt">#REF!</definedName>
    <definedName name="__IntlFixup" hidden="1">TRUE</definedName>
    <definedName name="__k2" localSheetId="10">[0]!BULYANGPNTR</definedName>
    <definedName name="__k2" localSheetId="11">[0]!BULYANGPNTR</definedName>
    <definedName name="__k2" localSheetId="9">[0]!BULYANGPNTR</definedName>
    <definedName name="__k2" localSheetId="2">[0]!BULYANGPNTR</definedName>
    <definedName name="__k2" localSheetId="12">[2]!BULYANGPNTR</definedName>
    <definedName name="__k2" localSheetId="3">[2]!BULYANGPNTR</definedName>
    <definedName name="__k2" localSheetId="6">[3]!BULYANGPNTR</definedName>
    <definedName name="__k2" localSheetId="4">[0]!BULYANGPNTR</definedName>
    <definedName name="__k2">[0]!BULYANGPNTR</definedName>
    <definedName name="__KIM1" localSheetId="10">BlankMacro1</definedName>
    <definedName name="__KIM1" localSheetId="11">BlankMacro1</definedName>
    <definedName name="__KIM1" localSheetId="9">BlankMacro1</definedName>
    <definedName name="__KIM1" localSheetId="2">BlankMacro1</definedName>
    <definedName name="__KIM1" localSheetId="12">BlankMacro1</definedName>
    <definedName name="__KIM1" localSheetId="3">BlankMacro1</definedName>
    <definedName name="__KIM1" localSheetId="6">BlankMacro1</definedName>
    <definedName name="__KIM1" localSheetId="4">BlankMacro1</definedName>
    <definedName name="__KIM1">BlankMacro1</definedName>
    <definedName name="__O30000" localSheetId="10">#REF!</definedName>
    <definedName name="__O30000" localSheetId="11">#REF!</definedName>
    <definedName name="__O30000" localSheetId="9">#REF!</definedName>
    <definedName name="__O30000" localSheetId="2">#REF!</definedName>
    <definedName name="__O30000" localSheetId="12">#REF!</definedName>
    <definedName name="__O30000" localSheetId="3">#REF!</definedName>
    <definedName name="__O30000" localSheetId="6">#REF!</definedName>
    <definedName name="__O30000" localSheetId="4">#REF!</definedName>
    <definedName name="__O30000">#REF!</definedName>
    <definedName name="_?__C" localSheetId="10">#REF!</definedName>
    <definedName name="_?__C" localSheetId="11">#REF!</definedName>
    <definedName name="_?__C" localSheetId="9">#REF!</definedName>
    <definedName name="_?__C" localSheetId="2">#REF!</definedName>
    <definedName name="_?__C" localSheetId="12">#REF!</definedName>
    <definedName name="_?__C" localSheetId="3">#REF!</definedName>
    <definedName name="_?__C" localSheetId="6">#REF!</definedName>
    <definedName name="_?__C" localSheetId="4">#REF!</definedName>
    <definedName name="_?__C">#REF!</definedName>
    <definedName name="_08_하자보수비" localSheetId="10">#REF!</definedName>
    <definedName name="_08_하자보수비" localSheetId="11">#REF!</definedName>
    <definedName name="_08_하자보수비" localSheetId="9">#REF!</definedName>
    <definedName name="_08_하자보수비" localSheetId="2">#REF!</definedName>
    <definedName name="_08_하자보수비" localSheetId="12">#REF!</definedName>
    <definedName name="_08_하자보수비" localSheetId="3">#REF!</definedName>
    <definedName name="_08_하자보수비" localSheetId="6">#REF!</definedName>
    <definedName name="_08_하자보수비" localSheetId="4">#REF!</definedName>
    <definedName name="_08_하자보수비">#REF!</definedName>
    <definedName name="_1">#N/A</definedName>
    <definedName name="_1__0_S" localSheetId="10" hidden="1">#REF!</definedName>
    <definedName name="_1__0_S" localSheetId="11" hidden="1">#REF!</definedName>
    <definedName name="_1__0_S" localSheetId="9" hidden="1">#REF!</definedName>
    <definedName name="_1__0_S" localSheetId="1" hidden="1">#REF!</definedName>
    <definedName name="_1__0_S" localSheetId="2" hidden="1">#REF!</definedName>
    <definedName name="_1__0_S" localSheetId="12" hidden="1">#REF!</definedName>
    <definedName name="_1__0_S" localSheetId="3" hidden="1">#REF!</definedName>
    <definedName name="_1__0_S" localSheetId="6" hidden="1">#REF!</definedName>
    <definedName name="_1__0_S" localSheetId="4" hidden="1">#REF!</definedName>
    <definedName name="_1__0_S" hidden="1">#REF!</definedName>
    <definedName name="_2">#N/A</definedName>
    <definedName name="_2_하자보수비" localSheetId="10">#REF!</definedName>
    <definedName name="_2_하자보수비" localSheetId="11">#REF!</definedName>
    <definedName name="_2_하자보수비" localSheetId="9">#REF!</definedName>
    <definedName name="_2_하자보수비" localSheetId="2">#REF!</definedName>
    <definedName name="_2_하자보수비" localSheetId="12">#REF!</definedName>
    <definedName name="_2_하자보수비" localSheetId="3">#REF!</definedName>
    <definedName name="_2_하자보수비" localSheetId="6">#REF!</definedName>
    <definedName name="_2_하자보수비" localSheetId="4">#REF!</definedName>
    <definedName name="_2_하자보수비">#REF!</definedName>
    <definedName name="_3">#N/A</definedName>
    <definedName name="_3_제조원가명세_pjt별" localSheetId="10">#REF!</definedName>
    <definedName name="_3_제조원가명세_pjt별" localSheetId="11">#REF!</definedName>
    <definedName name="_3_제조원가명세_pjt별" localSheetId="9">#REF!</definedName>
    <definedName name="_3_제조원가명세_pjt별" localSheetId="2">#REF!</definedName>
    <definedName name="_3_제조원가명세_pjt별" localSheetId="12">#REF!</definedName>
    <definedName name="_3_제조원가명세_pjt별" localSheetId="3">#REF!</definedName>
    <definedName name="_3_제조원가명세_pjt별" localSheetId="6">#REF!</definedName>
    <definedName name="_3_제조원가명세_pjt별" localSheetId="4">#REF!</definedName>
    <definedName name="_3_제조원가명세_pjt별">#REF!</definedName>
    <definedName name="_5_간접비차이_pjt" localSheetId="10">#REF!</definedName>
    <definedName name="_5_간접비차이_pjt" localSheetId="11">#REF!</definedName>
    <definedName name="_5_간접비차이_pjt" localSheetId="9">#REF!</definedName>
    <definedName name="_5_간접비차이_pjt" localSheetId="2">#REF!</definedName>
    <definedName name="_5_간접비차이_pjt" localSheetId="12">#REF!</definedName>
    <definedName name="_5_간접비차이_pjt" localSheetId="3">#REF!</definedName>
    <definedName name="_5_간접비차이_pjt" localSheetId="6">#REF!</definedName>
    <definedName name="_5_간접비차이_pjt" localSheetId="4">#REF!</definedName>
    <definedName name="_5_간접비차이_pjt">#REF!</definedName>
    <definedName name="_5_하자보수비_pjt별" localSheetId="10">#REF!</definedName>
    <definedName name="_5_하자보수비_pjt별" localSheetId="11">#REF!</definedName>
    <definedName name="_5_하자보수비_pjt별" localSheetId="9">#REF!</definedName>
    <definedName name="_5_하자보수비_pjt별" localSheetId="2">#REF!</definedName>
    <definedName name="_5_하자보수비_pjt별" localSheetId="12">#REF!</definedName>
    <definedName name="_5_하자보수비_pjt별" localSheetId="3">#REF!</definedName>
    <definedName name="_5_하자보수비_pjt별" localSheetId="6">#REF!</definedName>
    <definedName name="_5_하자보수비_pjt별" localSheetId="4">#REF!</definedName>
    <definedName name="_5_하자보수비_pjt별">#REF!</definedName>
    <definedName name="_80706기준업체현황" localSheetId="10">#REF!</definedName>
    <definedName name="_80706기준업체현황" localSheetId="11">#REF!</definedName>
    <definedName name="_80706기준업체현황" localSheetId="9">#REF!</definedName>
    <definedName name="_80706기준업체현황" localSheetId="2">#REF!</definedName>
    <definedName name="_80706기준업체현황" localSheetId="12">#REF!</definedName>
    <definedName name="_80706기준업체현황" localSheetId="3">#REF!</definedName>
    <definedName name="_80706기준업체현황" localSheetId="6">#REF!</definedName>
    <definedName name="_80706기준업체현황" localSheetId="4">#REF!</definedName>
    <definedName name="_80706기준업체현황">#REF!</definedName>
    <definedName name="_9_하자보수비" localSheetId="10">#REF!</definedName>
    <definedName name="_9_하자보수비" localSheetId="11">#REF!</definedName>
    <definedName name="_9_하자보수비" localSheetId="9">#REF!</definedName>
    <definedName name="_9_하자보수비" localSheetId="2">#REF!</definedName>
    <definedName name="_9_하자보수비" localSheetId="12">#REF!</definedName>
    <definedName name="_9_하자보수비" localSheetId="3">#REF!</definedName>
    <definedName name="_9_하자보수비" localSheetId="6">#REF!</definedName>
    <definedName name="_9_하자보수비" localSheetId="4">#REF!</definedName>
    <definedName name="_9_하자보수비">#REF!</definedName>
    <definedName name="_공간" localSheetId="10">#REF!,#REF!,#REF!,#REF!,#REF!,#REF!,#REF!,#REF!,#REF!,#REF!,#REF!,#REF!,#REF!</definedName>
    <definedName name="_공간" localSheetId="11">#REF!,#REF!,#REF!,#REF!,#REF!,#REF!,#REF!,#REF!,#REF!,#REF!,#REF!,#REF!,#REF!</definedName>
    <definedName name="_공간" localSheetId="9">#REF!,#REF!,#REF!,#REF!,#REF!,#REF!,#REF!,#REF!,#REF!,#REF!,#REF!,#REF!,#REF!</definedName>
    <definedName name="_공간" localSheetId="2">#REF!,#REF!,#REF!,#REF!,#REF!,#REF!,#REF!,#REF!,#REF!,#REF!,#REF!,#REF!,#REF!</definedName>
    <definedName name="_공간" localSheetId="12">#REF!,#REF!,#REF!,#REF!,#REF!,#REF!,#REF!,#REF!,#REF!,#REF!,#REF!,#REF!,#REF!</definedName>
    <definedName name="_공간" localSheetId="3">#REF!,#REF!,#REF!,#REF!,#REF!,#REF!,#REF!,#REF!,#REF!,#REF!,#REF!,#REF!,#REF!</definedName>
    <definedName name="_공간" localSheetId="6">#REF!,#REF!,#REF!,#REF!,#REF!,#REF!,#REF!,#REF!,#REF!,#REF!,#REF!,#REF!,#REF!</definedName>
    <definedName name="_공간" localSheetId="4">#REF!,#REF!,#REF!,#REF!,#REF!,#REF!,#REF!,#REF!,#REF!,#REF!,#REF!,#REF!,#REF!</definedName>
    <definedName name="_공간">#REF!,#REF!,#REF!,#REF!,#REF!,#REF!,#REF!,#REF!,#REF!,#REF!,#REF!,#REF!,#REF!</definedName>
    <definedName name="_A1" localSheetId="10">#REF!</definedName>
    <definedName name="_A1" localSheetId="11">#REF!</definedName>
    <definedName name="_A1" localSheetId="9">#REF!</definedName>
    <definedName name="_A1" localSheetId="2">#REF!</definedName>
    <definedName name="_A1" localSheetId="12">#REF!</definedName>
    <definedName name="_A1" localSheetId="3">#REF!</definedName>
    <definedName name="_A1" localSheetId="6">#REF!</definedName>
    <definedName name="_A1" localSheetId="4">#REF!</definedName>
    <definedName name="_A1">#REF!</definedName>
    <definedName name="_aZ" localSheetId="10">[0]!_a1Z,[0]!_a2Z</definedName>
    <definedName name="_aZ" localSheetId="11">[0]!_a1Z,[0]!_a2Z</definedName>
    <definedName name="_aZ" localSheetId="9">[0]!_a1Z,[0]!_a2Z</definedName>
    <definedName name="_aZ" localSheetId="2">[0]!_a1Z,[0]!_a2Z</definedName>
    <definedName name="_aZ" localSheetId="12">[2]!_a1Z,[2]!_a2Z</definedName>
    <definedName name="_aZ" localSheetId="3">[2]!_a1Z,[2]!_a2Z</definedName>
    <definedName name="_aZ" localSheetId="6">[3]!_a1Z,[3]!_a2Z</definedName>
    <definedName name="_aZ" localSheetId="4">[0]!_a1Z,[0]!_a2Z</definedName>
    <definedName name="_aZ">[0]!_a1Z,[0]!_a2Z</definedName>
    <definedName name="_B2" localSheetId="10">#REF!</definedName>
    <definedName name="_B2" localSheetId="11">#REF!</definedName>
    <definedName name="_B2" localSheetId="9">#REF!</definedName>
    <definedName name="_B2" localSheetId="2">#REF!</definedName>
    <definedName name="_B2" localSheetId="12">#REF!</definedName>
    <definedName name="_B2" localSheetId="3">#REF!</definedName>
    <definedName name="_B2" localSheetId="6">#REF!</definedName>
    <definedName name="_B2" localSheetId="4">#REF!</definedName>
    <definedName name="_B2">#REF!</definedName>
    <definedName name="_bs1" localSheetId="10">#REF!</definedName>
    <definedName name="_bs1" localSheetId="11">#REF!</definedName>
    <definedName name="_bs1" localSheetId="9">#REF!</definedName>
    <definedName name="_bs1" localSheetId="2">#REF!</definedName>
    <definedName name="_bs1" localSheetId="12">#REF!</definedName>
    <definedName name="_bs1" localSheetId="3">#REF!</definedName>
    <definedName name="_bs1" localSheetId="6">#REF!</definedName>
    <definedName name="_bs1" localSheetId="4">#REF!</definedName>
    <definedName name="_bs1">#REF!</definedName>
    <definedName name="_DL08" localSheetId="10">#REF!</definedName>
    <definedName name="_DL08" localSheetId="11">#REF!</definedName>
    <definedName name="_DL08" localSheetId="9">#REF!</definedName>
    <definedName name="_DL08" localSheetId="2">#REF!</definedName>
    <definedName name="_DL08" localSheetId="12">#REF!</definedName>
    <definedName name="_DL08" localSheetId="3">#REF!</definedName>
    <definedName name="_DL08" localSheetId="6">#REF!</definedName>
    <definedName name="_DL08" localSheetId="4">#REF!</definedName>
    <definedName name="_DL08">#REF!</definedName>
    <definedName name="_DV11" localSheetId="10">#REF!</definedName>
    <definedName name="_DV11" localSheetId="11">#REF!</definedName>
    <definedName name="_DV11" localSheetId="9">#REF!</definedName>
    <definedName name="_DV11" localSheetId="2">#REF!</definedName>
    <definedName name="_DV11" localSheetId="12">#REF!</definedName>
    <definedName name="_DV11" localSheetId="3">#REF!</definedName>
    <definedName name="_DV11" localSheetId="6">#REF!</definedName>
    <definedName name="_DV11" localSheetId="4">#REF!</definedName>
    <definedName name="_DV11">#REF!</definedName>
    <definedName name="_Fill" localSheetId="10" hidden="1">#REF!</definedName>
    <definedName name="_Fill" localSheetId="11" hidden="1">#REF!</definedName>
    <definedName name="_Fill" localSheetId="9" hidden="1">#REF!</definedName>
    <definedName name="_Fill" localSheetId="1" hidden="1">#REF!</definedName>
    <definedName name="_Fill" localSheetId="2" hidden="1">#REF!</definedName>
    <definedName name="_Fill" localSheetId="12" hidden="1">#REF!</definedName>
    <definedName name="_Fill" localSheetId="3" hidden="1">#REF!</definedName>
    <definedName name="_Fill" localSheetId="6" hidden="1">#REF!</definedName>
    <definedName name="_Fill" localSheetId="4" hidden="1">#REF!</definedName>
    <definedName name="_Fill" hidden="1">#REF!</definedName>
    <definedName name="_xlnm._FilterDatabase" localSheetId="10" hidden="1">#REF!</definedName>
    <definedName name="_xlnm._FilterDatabase" localSheetId="11" hidden="1">#REF!</definedName>
    <definedName name="_xlnm._FilterDatabase" localSheetId="3" hidden="1">#REF!</definedName>
    <definedName name="_xlnm._FilterDatabase" localSheetId="7" hidden="1">BS!$A$16:$Z$462</definedName>
    <definedName name="_xlnm._FilterDatabase" localSheetId="8" hidden="1">IS!$A$16:$Z$452</definedName>
    <definedName name="_xlnm._FilterDatabase" localSheetId="4" hidden="1">#REF!</definedName>
    <definedName name="_xlnm._FilterDatabase" hidden="1">#REF!</definedName>
    <definedName name="_j42" localSheetId="10">#REF!</definedName>
    <definedName name="_j42" localSheetId="11">#REF!</definedName>
    <definedName name="_j42" localSheetId="9">#REF!</definedName>
    <definedName name="_j42" localSheetId="2">#REF!</definedName>
    <definedName name="_j42" localSheetId="12">#REF!</definedName>
    <definedName name="_j42" localSheetId="3">#REF!</definedName>
    <definedName name="_j42" localSheetId="6">#REF!</definedName>
    <definedName name="_j42" localSheetId="4">#REF!</definedName>
    <definedName name="_j42">#REF!</definedName>
    <definedName name="_Key1" localSheetId="10" hidden="1">#REF!</definedName>
    <definedName name="_Key1" localSheetId="11" hidden="1">#REF!</definedName>
    <definedName name="_Key1" localSheetId="9" hidden="1">#REF!</definedName>
    <definedName name="_Key1" localSheetId="1" hidden="1">#REF!</definedName>
    <definedName name="_Key1" localSheetId="2" hidden="1">#REF!</definedName>
    <definedName name="_Key1" localSheetId="12" hidden="1">#REF!</definedName>
    <definedName name="_Key1" localSheetId="3" hidden="1">#REF!</definedName>
    <definedName name="_Key1" localSheetId="6" hidden="1">#REF!</definedName>
    <definedName name="_Key1" localSheetId="4" hidden="1">#REF!</definedName>
    <definedName name="_Key1" hidden="1">#REF!</definedName>
    <definedName name="_Key2" localSheetId="10" hidden="1">#REF!</definedName>
    <definedName name="_Key2" localSheetId="11" hidden="1">#REF!</definedName>
    <definedName name="_Key2" localSheetId="9" hidden="1">#REF!</definedName>
    <definedName name="_Key2" localSheetId="1" hidden="1">#REF!</definedName>
    <definedName name="_Key2" localSheetId="2" hidden="1">#REF!</definedName>
    <definedName name="_Key2" localSheetId="12" hidden="1">#REF!</definedName>
    <definedName name="_Key2" localSheetId="3" hidden="1">#REF!</definedName>
    <definedName name="_Key2" localSheetId="6" hidden="1">#REF!</definedName>
    <definedName name="_Key2" localSheetId="4" hidden="1">#REF!</definedName>
    <definedName name="_Key2" hidden="1">#REF!</definedName>
    <definedName name="_MatInverse_Out" localSheetId="10" hidden="1">#REF!</definedName>
    <definedName name="_MatInverse_Out" localSheetId="11" hidden="1">#REF!</definedName>
    <definedName name="_MatInverse_Out" localSheetId="3" hidden="1">#REF!</definedName>
    <definedName name="_MatInverse_Out" localSheetId="4" hidden="1">#REF!</definedName>
    <definedName name="_MatInverse_Out" hidden="1">#REF!</definedName>
    <definedName name="_MatMult_B" localSheetId="10" hidden="1">#REF!</definedName>
    <definedName name="_MatMult_B" localSheetId="11" hidden="1">#REF!</definedName>
    <definedName name="_MatMult_B" localSheetId="3" hidden="1">#REF!</definedName>
    <definedName name="_MatMult_B" localSheetId="4" hidden="1">#REF!</definedName>
    <definedName name="_MatMult_B" hidden="1">#REF!</definedName>
    <definedName name="_Order1" hidden="1">255</definedName>
    <definedName name="_Order2" hidden="1">255</definedName>
    <definedName name="_Parse_Out" localSheetId="10" hidden="1">#REF!</definedName>
    <definedName name="_Parse_Out" localSheetId="11" hidden="1">#REF!</definedName>
    <definedName name="_Parse_Out" localSheetId="9" hidden="1">#REF!</definedName>
    <definedName name="_Parse_Out" localSheetId="1" hidden="1">#REF!</definedName>
    <definedName name="_Parse_Out" localSheetId="2" hidden="1">#REF!</definedName>
    <definedName name="_Parse_Out" localSheetId="12" hidden="1">#REF!</definedName>
    <definedName name="_Parse_Out" localSheetId="3" hidden="1">#REF!</definedName>
    <definedName name="_Parse_Out" localSheetId="6" hidden="1">#REF!</definedName>
    <definedName name="_Parse_Out" localSheetId="4" hidden="1">#REF!</definedName>
    <definedName name="_Parse_Out" hidden="1">#REF!</definedName>
    <definedName name="_PNT1">#N/A</definedName>
    <definedName name="_PNT2">#N/A</definedName>
    <definedName name="_PNT3">#N/A</definedName>
    <definedName name="_PNT4">#N/A</definedName>
    <definedName name="_q1">#N/A</definedName>
    <definedName name="_Regression_Int">1</definedName>
    <definedName name="_Regression_Out" localSheetId="10" hidden="1">#REF!</definedName>
    <definedName name="_Regression_Out" localSheetId="11" hidden="1">#REF!</definedName>
    <definedName name="_Regression_Out" localSheetId="9" hidden="1">#REF!</definedName>
    <definedName name="_Regression_Out" localSheetId="1" hidden="1">#REF!</definedName>
    <definedName name="_Regression_Out" localSheetId="2" hidden="1">#REF!</definedName>
    <definedName name="_Regression_Out" localSheetId="12" hidden="1">#REF!</definedName>
    <definedName name="_Regression_Out" localSheetId="3" hidden="1">#REF!</definedName>
    <definedName name="_Regression_Out" localSheetId="6" hidden="1">#REF!</definedName>
    <definedName name="_Regression_Out" localSheetId="4" hidden="1">#REF!</definedName>
    <definedName name="_Regression_Out" hidden="1">#REF!</definedName>
    <definedName name="_Regression_X" localSheetId="10" hidden="1">#REF!</definedName>
    <definedName name="_Regression_X" localSheetId="11" hidden="1">#REF!</definedName>
    <definedName name="_Regression_X" localSheetId="9" hidden="1">#REF!</definedName>
    <definedName name="_Regression_X" localSheetId="1" hidden="1">#REF!</definedName>
    <definedName name="_Regression_X" localSheetId="2" hidden="1">#REF!</definedName>
    <definedName name="_Regression_X" localSheetId="12" hidden="1">#REF!</definedName>
    <definedName name="_Regression_X" localSheetId="3" hidden="1">#REF!</definedName>
    <definedName name="_Regression_X" localSheetId="6" hidden="1">#REF!</definedName>
    <definedName name="_Regression_X" localSheetId="4" hidden="1">#REF!</definedName>
    <definedName name="_Regression_X" hidden="1">#REF!</definedName>
    <definedName name="_Regression_Y" localSheetId="10" hidden="1">#REF!</definedName>
    <definedName name="_Regression_Y" localSheetId="11" hidden="1">#REF!</definedName>
    <definedName name="_Regression_Y" localSheetId="9" hidden="1">#REF!</definedName>
    <definedName name="_Regression_Y" localSheetId="1" hidden="1">#REF!</definedName>
    <definedName name="_Regression_Y" localSheetId="2" hidden="1">#REF!</definedName>
    <definedName name="_Regression_Y" localSheetId="12" hidden="1">#REF!</definedName>
    <definedName name="_Regression_Y" localSheetId="3" hidden="1">#REF!</definedName>
    <definedName name="_Regression_Y" localSheetId="6" hidden="1">#REF!</definedName>
    <definedName name="_Regression_Y" localSheetId="4" hidden="1">#REF!</definedName>
    <definedName name="_Regression_Y" hidden="1">#REF!</definedName>
    <definedName name="_RK2" localSheetId="10">#REF!</definedName>
    <definedName name="_RK2" localSheetId="11">#REF!</definedName>
    <definedName name="_RK2" localSheetId="9">#REF!</definedName>
    <definedName name="_RK2" localSheetId="2">#REF!</definedName>
    <definedName name="_RK2" localSheetId="12">#REF!</definedName>
    <definedName name="_RK2" localSheetId="3">#REF!</definedName>
    <definedName name="_RK2" localSheetId="6">#REF!</definedName>
    <definedName name="_RK2" localSheetId="4">#REF!</definedName>
    <definedName name="_RK2">#REF!</definedName>
    <definedName name="_SH3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_SH3" hidden="1">{#N/A,#N/A,FALSE,"PART-1234-8-12-9(41)";#N/A,#N/A,FALSE,"PARTS-2(3)";#N/A,#N/A,FALSE,"VAN SYSTEM";#N/A,#N/A,FALSE,"PARTS-10(26)";#N/A,#N/A,FALSE,"PART-5-6-7-11(14)";#N/A,#N/A,FALSE,"PARTS-4(3)";#N/A,#N/A,FALSE,"PCLASS"}</definedName>
    <definedName name="_Sort" localSheetId="10" hidden="1">#REF!</definedName>
    <definedName name="_Sort" localSheetId="11" hidden="1">#REF!</definedName>
    <definedName name="_Sort" localSheetId="9" hidden="1">#REF!</definedName>
    <definedName name="_Sort" localSheetId="1" hidden="1">#REF!</definedName>
    <definedName name="_Sort" localSheetId="2" hidden="1">#REF!</definedName>
    <definedName name="_Sort" localSheetId="12" hidden="1">#REF!</definedName>
    <definedName name="_Sort" localSheetId="3" hidden="1">#REF!</definedName>
    <definedName name="_Sort" localSheetId="6" hidden="1">#REF!</definedName>
    <definedName name="_Sort" localSheetId="4" hidden="1">#REF!</definedName>
    <definedName name="_Sort" hidden="1">#REF!</definedName>
    <definedName name="_Sort2" localSheetId="10" hidden="1">#REF!</definedName>
    <definedName name="_Sort2" localSheetId="11" hidden="1">#REF!</definedName>
    <definedName name="_Sort2" localSheetId="9" hidden="1">#REF!</definedName>
    <definedName name="_Sort2" localSheetId="1" hidden="1">#REF!</definedName>
    <definedName name="_Sort2" localSheetId="2" hidden="1">#REF!</definedName>
    <definedName name="_Sort2" localSheetId="12" hidden="1">#REF!</definedName>
    <definedName name="_Sort2" localSheetId="3" hidden="1">#REF!</definedName>
    <definedName name="_Sort2" localSheetId="6" hidden="1">#REF!</definedName>
    <definedName name="_Sort2" localSheetId="4" hidden="1">#REF!</definedName>
    <definedName name="_Sort2" hidden="1">#REF!</definedName>
    <definedName name="_T2" localSheetId="10" hidden="1">{#N/A,#N/A,FALSE,"단축1";#N/A,#N/A,FALSE,"단축2";#N/A,#N/A,FALSE,"단축3";#N/A,#N/A,FALSE,"장축";#N/A,#N/A,FALSE,"4WD"}</definedName>
    <definedName name="_T2" localSheetId="11" hidden="1">{#N/A,#N/A,FALSE,"단축1";#N/A,#N/A,FALSE,"단축2";#N/A,#N/A,FALSE,"단축3";#N/A,#N/A,FALSE,"장축";#N/A,#N/A,FALSE,"4WD"}</definedName>
    <definedName name="_T2" localSheetId="9" hidden="1">{#N/A,#N/A,FALSE,"단축1";#N/A,#N/A,FALSE,"단축2";#N/A,#N/A,FALSE,"단축3";#N/A,#N/A,FALSE,"장축";#N/A,#N/A,FALSE,"4WD"}</definedName>
    <definedName name="_T2" localSheetId="1" hidden="1">{#N/A,#N/A,FALSE,"단축1";#N/A,#N/A,FALSE,"단축2";#N/A,#N/A,FALSE,"단축3";#N/A,#N/A,FALSE,"장축";#N/A,#N/A,FALSE,"4WD"}</definedName>
    <definedName name="_T2" localSheetId="2" hidden="1">{#N/A,#N/A,FALSE,"단축1";#N/A,#N/A,FALSE,"단축2";#N/A,#N/A,FALSE,"단축3";#N/A,#N/A,FALSE,"장축";#N/A,#N/A,FALSE,"4WD"}</definedName>
    <definedName name="_T2" localSheetId="12" hidden="1">{#N/A,#N/A,FALSE,"단축1";#N/A,#N/A,FALSE,"단축2";#N/A,#N/A,FALSE,"단축3";#N/A,#N/A,FALSE,"장축";#N/A,#N/A,FALSE,"4WD"}</definedName>
    <definedName name="_T2" localSheetId="3" hidden="1">{#N/A,#N/A,FALSE,"단축1";#N/A,#N/A,FALSE,"단축2";#N/A,#N/A,FALSE,"단축3";#N/A,#N/A,FALSE,"장축";#N/A,#N/A,FALSE,"4WD"}</definedName>
    <definedName name="_T2" localSheetId="6" hidden="1">{#N/A,#N/A,FALSE,"단축1";#N/A,#N/A,FALSE,"단축2";#N/A,#N/A,FALSE,"단축3";#N/A,#N/A,FALSE,"장축";#N/A,#N/A,FALSE,"4WD"}</definedName>
    <definedName name="_T2" localSheetId="4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able1_Out" localSheetId="10" hidden="1">#REF!</definedName>
    <definedName name="_Table1_Out" localSheetId="11" hidden="1">#REF!</definedName>
    <definedName name="_Table1_Out" localSheetId="9" hidden="1">#REF!</definedName>
    <definedName name="_Table1_Out" localSheetId="1" hidden="1">#REF!</definedName>
    <definedName name="_Table1_Out" localSheetId="2" hidden="1">#REF!</definedName>
    <definedName name="_Table1_Out" localSheetId="12" hidden="1">#REF!</definedName>
    <definedName name="_Table1_Out" localSheetId="3" hidden="1">#REF!</definedName>
    <definedName name="_Table1_Out" localSheetId="6" hidden="1">#REF!</definedName>
    <definedName name="_Table1_Out" localSheetId="4" hidden="1">#REF!</definedName>
    <definedName name="_Table1_Out" hidden="1">#REF!</definedName>
    <definedName name="_vtp1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WB1" localSheetId="10">#REF!</definedName>
    <definedName name="_WB1" localSheetId="11">#REF!</definedName>
    <definedName name="_WB1" localSheetId="9">#REF!</definedName>
    <definedName name="_WB1" localSheetId="2">#REF!</definedName>
    <definedName name="_WB1" localSheetId="12">#REF!</definedName>
    <definedName name="_WB1" localSheetId="3">#REF!</definedName>
    <definedName name="_WB1" localSheetId="6">#REF!</definedName>
    <definedName name="_WB1" localSheetId="4">#REF!</definedName>
    <definedName name="_WB1">#REF!</definedName>
    <definedName name="_WH1" localSheetId="10">#REF!</definedName>
    <definedName name="_WH1" localSheetId="11">#REF!</definedName>
    <definedName name="_WH1" localSheetId="9">#REF!</definedName>
    <definedName name="_WH1" localSheetId="2">#REF!</definedName>
    <definedName name="_WH1" localSheetId="12">#REF!</definedName>
    <definedName name="_WH1" localSheetId="3">#REF!</definedName>
    <definedName name="_WH1" localSheetId="6">#REF!</definedName>
    <definedName name="_WH1" localSheetId="4">#REF!</definedName>
    <definedName name="_WH1">#REF!</definedName>
    <definedName name="_WH2" localSheetId="10">#REF!</definedName>
    <definedName name="_WH2" localSheetId="11">#REF!</definedName>
    <definedName name="_WH2" localSheetId="9">#REF!</definedName>
    <definedName name="_WH2" localSheetId="2">#REF!</definedName>
    <definedName name="_WH2" localSheetId="12">#REF!</definedName>
    <definedName name="_WH2" localSheetId="3">#REF!</definedName>
    <definedName name="_WH2" localSheetId="6">#REF!</definedName>
    <definedName name="_WH2" localSheetId="4">#REF!</definedName>
    <definedName name="_WH2">#REF!</definedName>
    <definedName name="\a" localSheetId="10">#REF!</definedName>
    <definedName name="\a" localSheetId="11">#REF!</definedName>
    <definedName name="\a" localSheetId="9">#REF!</definedName>
    <definedName name="\a" localSheetId="2">#REF!</definedName>
    <definedName name="\a" localSheetId="12">#REF!</definedName>
    <definedName name="\a" localSheetId="3">#REF!</definedName>
    <definedName name="\a" localSheetId="6">#REF!</definedName>
    <definedName name="\a" localSheetId="4">#REF!</definedName>
    <definedName name="\a">#REF!</definedName>
    <definedName name="\b">#N/A</definedName>
    <definedName name="\c">#N/A</definedName>
    <definedName name="\d">#N/A</definedName>
    <definedName name="\e">#N/A</definedName>
    <definedName name="\f">#N/A</definedName>
    <definedName name="\g">#N/A</definedName>
    <definedName name="\h">#N/A</definedName>
    <definedName name="\i">#N/A</definedName>
    <definedName name="\j">#N/A</definedName>
    <definedName name="\k">#N/A</definedName>
    <definedName name="\l">#N/A</definedName>
    <definedName name="\m">#N/A</definedName>
    <definedName name="\n">#N/A</definedName>
    <definedName name="\o">#N/A</definedName>
    <definedName name="\q" localSheetId="10">#REF!</definedName>
    <definedName name="\q" localSheetId="11">#REF!</definedName>
    <definedName name="\q" localSheetId="9">#REF!</definedName>
    <definedName name="\q" localSheetId="2">#REF!</definedName>
    <definedName name="\q" localSheetId="12">#REF!</definedName>
    <definedName name="\q" localSheetId="3">#REF!</definedName>
    <definedName name="\q" localSheetId="6">#REF!</definedName>
    <definedName name="\q" localSheetId="4">#REF!</definedName>
    <definedName name="\q">#REF!</definedName>
    <definedName name="\r">#N/A</definedName>
    <definedName name="\s">#N/A</definedName>
    <definedName name="\u">#N/A</definedName>
    <definedName name="\v">#N/A</definedName>
    <definedName name="\x">#N/A</definedName>
    <definedName name="\y">#N/A</definedName>
    <definedName name="\z">#N/A</definedName>
    <definedName name="´cCØ≫c¾÷³aμμAC_°¨≫c³≫ºI°¨≫cAC_" localSheetId="10">#REF!</definedName>
    <definedName name="´cCØ≫c¾÷³aμμAC_°¨≫c³≫ºI°¨≫cAC_" localSheetId="11">#REF!</definedName>
    <definedName name="´cCØ≫c¾÷³aμμAC_°¨≫c³≫ºI°¨≫cAC_" localSheetId="9">#REF!</definedName>
    <definedName name="´cCØ≫c¾÷³aμμAC_°¨≫c³≫ºI°¨≫cAC_" localSheetId="2">#REF!</definedName>
    <definedName name="´cCØ≫c¾÷³aμμAC_°¨≫c³≫ºI°¨≫cAC_" localSheetId="12">#REF!</definedName>
    <definedName name="´cCØ≫c¾÷³aμμAC_°¨≫c³≫ºI°¨≫cAC_" localSheetId="3">#REF!</definedName>
    <definedName name="´cCØ≫c¾÷³aμμAC_°¨≫c³≫ºI°¨≫cAC_" localSheetId="6">#REF!</definedName>
    <definedName name="´cCØ≫c¾÷³aμμAC_°¨≫c³≫ºI°¨≫cAC_" localSheetId="4">#REF!</definedName>
    <definedName name="´cCØ≫c¾÷³aμμAC_°¨≫c³≫ºI°¨≫cAC_">#REF!</definedName>
    <definedName name="´U°¡" localSheetId="10">[4]출금실적!#REF!</definedName>
    <definedName name="´U°¡" localSheetId="11">[4]출금실적!#REF!</definedName>
    <definedName name="´U°¡" localSheetId="9">[4]출금실적!#REF!</definedName>
    <definedName name="´U°¡" localSheetId="2">[4]출금실적!#REF!</definedName>
    <definedName name="´U°¡" localSheetId="12">[4]출금실적!#REF!</definedName>
    <definedName name="´U°¡" localSheetId="3">[4]출금실적!#REF!</definedName>
    <definedName name="´U°¡" localSheetId="6">[4]출금실적!#REF!</definedName>
    <definedName name="´U°¡" localSheetId="4">[4]출금실적!#REF!</definedName>
    <definedName name="´U°¡">[4]출금실적!#REF!</definedName>
    <definedName name="¸≫AI" localSheetId="10">#REF!</definedName>
    <definedName name="¸≫AI" localSheetId="11">#REF!</definedName>
    <definedName name="¸≫AI" localSheetId="9">#REF!</definedName>
    <definedName name="¸≫AI" localSheetId="2">#REF!</definedName>
    <definedName name="¸≫AI" localSheetId="12">#REF!</definedName>
    <definedName name="¸≫AI" localSheetId="3">#REF!</definedName>
    <definedName name="¸≫AI" localSheetId="6">#REF!</definedName>
    <definedName name="¸≫AI" localSheetId="4">#REF!</definedName>
    <definedName name="¸≫AI">#REF!</definedName>
    <definedName name="°³¼o" localSheetId="10">[4]출금실적!#REF!</definedName>
    <definedName name="°³¼o" localSheetId="11">[4]출금실적!#REF!</definedName>
    <definedName name="°³¼o" localSheetId="9">[4]출금실적!#REF!</definedName>
    <definedName name="°³¼o" localSheetId="2">[4]출금실적!#REF!</definedName>
    <definedName name="°³¼o" localSheetId="12">[4]출금실적!#REF!</definedName>
    <definedName name="°³¼o" localSheetId="3">[4]출금실적!#REF!</definedName>
    <definedName name="°³¼o" localSheetId="6">[4]출금실적!#REF!</definedName>
    <definedName name="°³¼o" localSheetId="4">[4]출금실적!#REF!</definedName>
    <definedName name="°³¼o">[4]출금실적!#REF!</definedName>
    <definedName name="±a¾E°ⓒ" localSheetId="10">#REF!</definedName>
    <definedName name="±a¾E°ⓒ" localSheetId="11">#REF!</definedName>
    <definedName name="±a¾E°ⓒ" localSheetId="9">#REF!</definedName>
    <definedName name="±a¾E°ⓒ" localSheetId="2">#REF!</definedName>
    <definedName name="±a¾E°ⓒ" localSheetId="12">#REF!</definedName>
    <definedName name="±a¾E°ⓒ" localSheetId="3">#REF!</definedName>
    <definedName name="±a¾E°ⓒ" localSheetId="6">#REF!</definedName>
    <definedName name="±a¾E°ⓒ" localSheetId="4">#REF!</definedName>
    <definedName name="±a¾E°ⓒ">#REF!</definedName>
    <definedName name="±a¾EA≫" localSheetId="10">#REF!</definedName>
    <definedName name="±a¾EA≫" localSheetId="11">#REF!</definedName>
    <definedName name="±a¾EA≫" localSheetId="9">#REF!</definedName>
    <definedName name="±a¾EA≫" localSheetId="2">#REF!</definedName>
    <definedName name="±a¾EA≫" localSheetId="12">#REF!</definedName>
    <definedName name="±a¾EA≫" localSheetId="3">#REF!</definedName>
    <definedName name="±a¾EA≫" localSheetId="6">#REF!</definedName>
    <definedName name="±a¾EA≫" localSheetId="4">#REF!</definedName>
    <definedName name="±a¾EA≫">#REF!</definedName>
    <definedName name="¤A¤A" localSheetId="10">#REF!</definedName>
    <definedName name="¤A¤A" localSheetId="11">#REF!</definedName>
    <definedName name="¤A¤A" localSheetId="9">#REF!</definedName>
    <definedName name="¤A¤A" localSheetId="2">#REF!</definedName>
    <definedName name="¤A¤A" localSheetId="12">#REF!</definedName>
    <definedName name="¤A¤A" localSheetId="3">#REF!</definedName>
    <definedName name="¤A¤A" localSheetId="6">#REF!</definedName>
    <definedName name="¤A¤A" localSheetId="4">#REF!</definedName>
    <definedName name="¤A¤A">#REF!</definedName>
    <definedName name="¤μ¤μ" localSheetId="10">#REF!</definedName>
    <definedName name="¤μ¤μ" localSheetId="11">#REF!</definedName>
    <definedName name="¤μ¤μ" localSheetId="9">#REF!</definedName>
    <definedName name="¤μ¤μ" localSheetId="2">#REF!</definedName>
    <definedName name="¤μ¤μ" localSheetId="12">#REF!</definedName>
    <definedName name="¤μ¤μ" localSheetId="3">#REF!</definedName>
    <definedName name="¤μ¤μ" localSheetId="6">#REF!</definedName>
    <definedName name="¤μ¤μ" localSheetId="4">#REF!</definedName>
    <definedName name="¤μ¤μ">#REF!</definedName>
    <definedName name="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ㄱㄱ" localSheetId="10">#REF!</definedName>
    <definedName name="ㄱㄱㄱ" localSheetId="11">#REF!</definedName>
    <definedName name="ㄱㄱㄱ" localSheetId="9">#REF!</definedName>
    <definedName name="ㄱㄱㄱ" localSheetId="2">#REF!</definedName>
    <definedName name="ㄱㄱㄱ" localSheetId="12">#REF!</definedName>
    <definedName name="ㄱㄱㄱ" localSheetId="3">#REF!</definedName>
    <definedName name="ㄱㄱㄱ" localSheetId="6">#REF!</definedName>
    <definedName name="ㄱㄱㄱ" localSheetId="4">#REF!</definedName>
    <definedName name="ㄱㄱㄱ">#REF!</definedName>
    <definedName name="ㄱㄱㄱㄱ" localSheetId="10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localSheetId="9" hidden="1">{#N/A,#N/A,FALSE,"지침";#N/A,#N/A,FALSE,"환경분석";#N/A,#N/A,FALSE,"Sheet16"}</definedName>
    <definedName name="ㄱㄱㄱㄱ" localSheetId="1" hidden="1">{#N/A,#N/A,FALSE,"지침";#N/A,#N/A,FALSE,"환경분석";#N/A,#N/A,FALSE,"Sheet16"}</definedName>
    <definedName name="ㄱㄱㄱㄱ" localSheetId="2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3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localSheetId="4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ㄷㅈㅈㄷㅂㅂㅂㅂㅂㅂㅂ" localSheetId="10">#REF!</definedName>
    <definedName name="ㄱㄱㄱㄱㄷㅈㅈㄷㅂㅂㅂㅂㅂㅂㅂ" localSheetId="11">#REF!</definedName>
    <definedName name="ㄱㄱㄱㄱㄷㅈㅈㄷㅂㅂㅂㅂㅂㅂㅂ" localSheetId="9">#REF!</definedName>
    <definedName name="ㄱㄱㄱㄱㄷㅈㅈㄷㅂㅂㅂㅂㅂㅂㅂ" localSheetId="2">#REF!</definedName>
    <definedName name="ㄱㄱㄱㄱㄷㅈㅈㄷㅂㅂㅂㅂㅂㅂㅂ" localSheetId="12">#REF!</definedName>
    <definedName name="ㄱㄱㄱㄱㄷㅈㅈㄷㅂㅂㅂㅂㅂㅂㅂ" localSheetId="3">#REF!</definedName>
    <definedName name="ㄱㄱㄱㄱㄷㅈㅈㄷㅂㅂㅂㅂㅂㅂㅂ" localSheetId="6">#REF!</definedName>
    <definedName name="ㄱㄱㄱㄱㄷㅈㅈㄷㅂㅂㅂㅂㅂㅂㅂ" localSheetId="4">#REF!</definedName>
    <definedName name="ㄱㄱㄱㄱㄷㅈㅈㄷㅂㅂㅂㅂㅂㅂㅂ">#REF!</definedName>
    <definedName name="ㄱㄱㅈㄱㄷㅈㅈㄱㄱㅈ" localSheetId="10">#REF!</definedName>
    <definedName name="ㄱㄱㅈㄱㄷㅈㅈㄱㄱㅈ" localSheetId="11">#REF!</definedName>
    <definedName name="ㄱㄱㅈㄱㄷㅈㅈㄱㄱㅈ" localSheetId="9">#REF!</definedName>
    <definedName name="ㄱㄱㅈㄱㄷㅈㅈㄱㄱㅈ" localSheetId="2">#REF!</definedName>
    <definedName name="ㄱㄱㅈㄱㄷㅈㅈㄱㄱㅈ" localSheetId="12">#REF!</definedName>
    <definedName name="ㄱㄱㅈㄱㄷㅈㅈㄱㄱㅈ" localSheetId="3">#REF!</definedName>
    <definedName name="ㄱㄱㅈㄱㄷㅈㅈㄱㄱㅈ" localSheetId="6">#REF!</definedName>
    <definedName name="ㄱㄱㅈㄱㄷㅈㅈㄱㄱㅈ" localSheetId="4">#REF!</definedName>
    <definedName name="ㄱㄱㅈㄱㄷㅈㅈㄱㄱㅈ">#REF!</definedName>
    <definedName name="ㄱㄱㅈㅈ" localSheetId="10">#REF!</definedName>
    <definedName name="ㄱㄱㅈㅈ" localSheetId="11">#REF!</definedName>
    <definedName name="ㄱㄱㅈㅈ" localSheetId="9">#REF!</definedName>
    <definedName name="ㄱㄱㅈㅈ" localSheetId="2">#REF!</definedName>
    <definedName name="ㄱㄱㅈㅈ" localSheetId="12">#REF!</definedName>
    <definedName name="ㄱㄱㅈㅈ" localSheetId="3">#REF!</definedName>
    <definedName name="ㄱㄱㅈㅈ" localSheetId="6">#REF!</definedName>
    <definedName name="ㄱㄱㅈㅈ" localSheetId="4">#REF!</definedName>
    <definedName name="ㄱㄱㅈㅈ">#REF!</definedName>
    <definedName name="ㄱㄷㄴㅅㅅㄱㄷㄱㄷ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hidden="1">{#N/A,#N/A,FALSE,"PART-1234-8-12-9(41)";#N/A,#N/A,FALSE,"PARTS-2(3)";#N/A,#N/A,FALSE,"VAN SYSTEM";#N/A,#N/A,FALSE,"PARTS-10(26)";#N/A,#N/A,FALSE,"PART-5-6-7-11(14)";#N/A,#N/A,FALSE,"PARTS-4(3)";#N/A,#N/A,FALSE,"PCLASS"}</definedName>
    <definedName name="ㄱㄷㄷ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ㄱㄳㅅㄱ" localSheetId="10">#REF!</definedName>
    <definedName name="ㄱㄷㄷㄱㄱㄳㅅㄱ" localSheetId="11">#REF!</definedName>
    <definedName name="ㄱㄷㄷㄱㄱㄳㅅㄱ" localSheetId="9">#REF!</definedName>
    <definedName name="ㄱㄷㄷㄱㄱㄳㅅㄱ" localSheetId="2">#REF!</definedName>
    <definedName name="ㄱㄷㄷㄱㄱㄳㅅㄱ" localSheetId="12">#REF!</definedName>
    <definedName name="ㄱㄷㄷㄱㄱㄳㅅㄱ" localSheetId="3">#REF!</definedName>
    <definedName name="ㄱㄷㄷㄱㄱㄳㅅㄱ" localSheetId="6">#REF!</definedName>
    <definedName name="ㄱㄷㄷㄱㄱㄳㅅㄱ" localSheetId="4">#REF!</definedName>
    <definedName name="ㄱㄷㄷㄱㄱㄳㅅㄱ">#REF!</definedName>
    <definedName name="ㄱㄷㅁㄷㅈㅈㅈㅈ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ㅅㄷㄴㅅㄷㅅㅅㄱㄷㅅㄱㄷㅅㄱㄷ" localSheetId="10">#REF!</definedName>
    <definedName name="ㄱㄷㅅㄷㄴㅅㄷㅅㅅㄱㄷㅅㄱㄷㅅㄱㄷ" localSheetId="11">#REF!</definedName>
    <definedName name="ㄱㄷㅅㄷㄴㅅㄷㅅㅅㄱㄷㅅㄱㄷㅅㄱㄷ" localSheetId="9">#REF!</definedName>
    <definedName name="ㄱㄷㅅㄷㄴㅅㄷㅅㅅㄱㄷㅅㄱㄷㅅㄱㄷ" localSheetId="2">#REF!</definedName>
    <definedName name="ㄱㄷㅅㄷㄴㅅㄷㅅㅅㄱㄷㅅㄱㄷㅅㄱㄷ" localSheetId="12">#REF!</definedName>
    <definedName name="ㄱㄷㅅㄷㄴㅅㄷㅅㅅㄱㄷㅅㄱㄷㅅㄱㄷ" localSheetId="3">#REF!</definedName>
    <definedName name="ㄱㄷㅅㄷㄴㅅㄷㅅㅅㄱㄷㅅㄱㄷㅅㄱㄷ" localSheetId="6">#REF!</definedName>
    <definedName name="ㄱㄷㅅㄷㄴㅅㄷㅅㅅㄱㄷㅅㄱㄷㅅㄱㄷ" localSheetId="4">#REF!</definedName>
    <definedName name="ㄱㄷㅅㄷㄴㅅㄷㅅㅅㄱㄷㅅㄱㄷㅅㄱㄷ">#REF!</definedName>
    <definedName name="ㄱㄷㅅ히ㅏ" localSheetId="10" hidden="1">{#N/A,#N/A,FALSE,"지침";#N/A,#N/A,FALSE,"환경분석";#N/A,#N/A,FALSE,"Sheet16"}</definedName>
    <definedName name="ㄱㄷㅅ히ㅏ" localSheetId="11" hidden="1">{#N/A,#N/A,FALSE,"지침";#N/A,#N/A,FALSE,"환경분석";#N/A,#N/A,FALSE,"Sheet16"}</definedName>
    <definedName name="ㄱㄷㅅ히ㅏ" localSheetId="9" hidden="1">{#N/A,#N/A,FALSE,"지침";#N/A,#N/A,FALSE,"환경분석";#N/A,#N/A,FALSE,"Sheet16"}</definedName>
    <definedName name="ㄱㄷㅅ히ㅏ" localSheetId="1" hidden="1">{#N/A,#N/A,FALSE,"지침";#N/A,#N/A,FALSE,"환경분석";#N/A,#N/A,FALSE,"Sheet16"}</definedName>
    <definedName name="ㄱㄷㅅ히ㅏ" localSheetId="2" hidden="1">{#N/A,#N/A,FALSE,"지침";#N/A,#N/A,FALSE,"환경분석";#N/A,#N/A,FALSE,"Sheet16"}</definedName>
    <definedName name="ㄱㄷㅅ히ㅏ" localSheetId="12" hidden="1">{#N/A,#N/A,FALSE,"지침";#N/A,#N/A,FALSE,"환경분석";#N/A,#N/A,FALSE,"Sheet16"}</definedName>
    <definedName name="ㄱㄷㅅ히ㅏ" localSheetId="3" hidden="1">{#N/A,#N/A,FALSE,"지침";#N/A,#N/A,FALSE,"환경분석";#N/A,#N/A,FALSE,"Sheet16"}</definedName>
    <definedName name="ㄱㄷㅅ히ㅏ" localSheetId="6" hidden="1">{#N/A,#N/A,FALSE,"지침";#N/A,#N/A,FALSE,"환경분석";#N/A,#N/A,FALSE,"Sheet16"}</definedName>
    <definedName name="ㄱㄷㅅ히ㅏ" localSheetId="4" hidden="1">{#N/A,#N/A,FALSE,"지침";#N/A,#N/A,FALSE,"환경분석";#N/A,#N/A,FALSE,"Sheet16"}</definedName>
    <definedName name="ㄱㄷㅅ히ㅏ" hidden="1">{#N/A,#N/A,FALSE,"지침";#N/A,#N/A,FALSE,"환경분석";#N/A,#N/A,FALSE,"Sheet16"}</definedName>
    <definedName name="ㄱㄷㅈㄱㄷㅈㄱ" localSheetId="10">#REF!</definedName>
    <definedName name="ㄱㄷㅈㄱㄷㅈㄱ" localSheetId="11">#REF!</definedName>
    <definedName name="ㄱㄷㅈㄱㄷㅈㄱ" localSheetId="9">#REF!</definedName>
    <definedName name="ㄱㄷㅈㄱㄷㅈㄱ" localSheetId="2">#REF!</definedName>
    <definedName name="ㄱㄷㅈㄱㄷㅈㄱ" localSheetId="12">#REF!</definedName>
    <definedName name="ㄱㄷㅈㄱㄷㅈㄱ" localSheetId="3">#REF!</definedName>
    <definedName name="ㄱㄷㅈㄱㄷㅈㄱ" localSheetId="6">#REF!</definedName>
    <definedName name="ㄱㄷㅈㄱㄷㅈㄱ" localSheetId="4">#REF!</definedName>
    <definedName name="ㄱㄷㅈㄱㄷㅈㄱ">#REF!</definedName>
    <definedName name="ㄱㄷㅈㄱㄷㅈㄷㄱㄷ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ㅈㄱ" localSheetId="10">#REF!</definedName>
    <definedName name="ㄱㄷㅈㄱㅈㄱ" localSheetId="11">#REF!</definedName>
    <definedName name="ㄱㄷㅈㄱㅈㄱ" localSheetId="9">#REF!</definedName>
    <definedName name="ㄱㄷㅈㄱㅈㄱ" localSheetId="2">#REF!</definedName>
    <definedName name="ㄱㄷㅈㄱㅈㄱ" localSheetId="12">#REF!</definedName>
    <definedName name="ㄱㄷㅈㄱㅈㄱ" localSheetId="3">#REF!</definedName>
    <definedName name="ㄱㄷㅈㄱㅈㄱ" localSheetId="6">#REF!</definedName>
    <definedName name="ㄱㄷㅈㄱㅈㄱ" localSheetId="4">#REF!</definedName>
    <definedName name="ㄱㄷㅈㄱㅈㄱ">#REF!</definedName>
    <definedName name="ㄱㄹㄹ" localSheetId="10">#REF!</definedName>
    <definedName name="ㄱㄹㄹ" localSheetId="11">#REF!</definedName>
    <definedName name="ㄱㄹㄹ" localSheetId="9">#REF!</definedName>
    <definedName name="ㄱㄹㄹ" localSheetId="2">#REF!</definedName>
    <definedName name="ㄱㄹㄹ" localSheetId="12">#REF!</definedName>
    <definedName name="ㄱㄹㄹ" localSheetId="3">#REF!</definedName>
    <definedName name="ㄱㄹㄹ" localSheetId="6">#REF!</definedName>
    <definedName name="ㄱㄹㄹ" localSheetId="4">#REF!</definedName>
    <definedName name="ㄱㄹㄹ">#REF!</definedName>
    <definedName name="ㄱㅁㅁㄷㅁㄱㄷㄷㄱㅁ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hidden="1">{#N/A,#N/A,FALSE,"PART-1234-8-12-9(41)";#N/A,#N/A,FALSE,"PARTS-2(3)";#N/A,#N/A,FALSE,"VAN SYSTEM";#N/A,#N/A,FALSE,"PARTS-10(26)";#N/A,#N/A,FALSE,"PART-5-6-7-11(14)";#N/A,#N/A,FALSE,"PARTS-4(3)";#N/A,#N/A,FALSE,"PCLASS"}</definedName>
    <definedName name="ㄱ머굠서" localSheetId="10">'2.추정(긍정)'!ㄱ머굠서</definedName>
    <definedName name="ㄱ머굠서" localSheetId="11">'2.추정(부정)'!ㄱ머굠서</definedName>
    <definedName name="ㄱ머굠서" localSheetId="9">구NCP!ㄱ머굠서</definedName>
    <definedName name="ㄱ머굠서" localSheetId="2">추정!ㄱ머굠서</definedName>
    <definedName name="ㄱ머굠서" localSheetId="12">#N/A</definedName>
    <definedName name="ㄱ머굠서" localSheetId="3">#N/A</definedName>
    <definedName name="ㄱ머굠서" localSheetId="6">평정!ㄱ머굠서</definedName>
    <definedName name="ㄱ머굠서" localSheetId="4">NCP!ㄱ머굠서</definedName>
    <definedName name="ㄱ머굠서">'2.추정(긍정)'!ㄱ머굠서</definedName>
    <definedName name="ㄱㅂㄷㅈㄱㄱㄱㄱㅇㄴ" localSheetId="10">#REF!</definedName>
    <definedName name="ㄱㅂㄷㅈㄱㄱㄱㄱㅇㄴ" localSheetId="11">#REF!</definedName>
    <definedName name="ㄱㅂㄷㅈㄱㄱㄱㄱㅇㄴ" localSheetId="9">#REF!</definedName>
    <definedName name="ㄱㅂㄷㅈㄱㄱㄱㄱㅇㄴ" localSheetId="2">#REF!</definedName>
    <definedName name="ㄱㅂㄷㅈㄱㄱㄱㄱㅇㄴ" localSheetId="12">#REF!</definedName>
    <definedName name="ㄱㅂㄷㅈㄱㄱㄱㄱㅇㄴ" localSheetId="3">#REF!</definedName>
    <definedName name="ㄱㅂㄷㅈㄱㄱㄱㄱㅇㄴ" localSheetId="6">#REF!</definedName>
    <definedName name="ㄱㅂㄷㅈㄱㄱㄱㄱㅇㄴ" localSheetId="4">#REF!</definedName>
    <definedName name="ㄱㅂㄷㅈㄱㄱㄱㄱㅇㄴ">#REF!</definedName>
    <definedName name="ㄱ쇼ㅓㄱ" localSheetId="10">'2.추정(긍정)'!ㄱ쇼ㅓㄱ</definedName>
    <definedName name="ㄱ쇼ㅓㄱ" localSheetId="11">'2.추정(부정)'!ㄱ쇼ㅓㄱ</definedName>
    <definedName name="ㄱ쇼ㅓㄱ" localSheetId="9">구NCP!ㄱ쇼ㅓㄱ</definedName>
    <definedName name="ㄱ쇼ㅓㄱ" localSheetId="2">추정!ㄱ쇼ㅓㄱ</definedName>
    <definedName name="ㄱ쇼ㅓㄱ" localSheetId="12">#N/A</definedName>
    <definedName name="ㄱ쇼ㅓㄱ" localSheetId="3">#N/A</definedName>
    <definedName name="ㄱ쇼ㅓㄱ" localSheetId="6">평정!ㄱ쇼ㅓㄱ</definedName>
    <definedName name="ㄱ쇼ㅓㄱ" localSheetId="4">NCP!ㄱ쇼ㅓㄱ</definedName>
    <definedName name="ㄱ쇼ㅓㄱ">'2.추정(긍정)'!ㄱ쇼ㅓㄱ</definedName>
    <definedName name="ㄱㅈㄱㄷㅈㅈㅈ" localSheetId="10">#REF!</definedName>
    <definedName name="ㄱㅈㄱㄷㅈㅈㅈ" localSheetId="11">#REF!</definedName>
    <definedName name="ㄱㅈㄱㄷㅈㅈㅈ" localSheetId="9">#REF!</definedName>
    <definedName name="ㄱㅈㄱㄷㅈㅈㅈ" localSheetId="2">#REF!</definedName>
    <definedName name="ㄱㅈㄱㄷㅈㅈㅈ" localSheetId="12">#REF!</definedName>
    <definedName name="ㄱㅈㄱㄷㅈㅈㅈ" localSheetId="3">#REF!</definedName>
    <definedName name="ㄱㅈㄱㄷㅈㅈㅈ" localSheetId="6">#REF!</definedName>
    <definedName name="ㄱㅈㄱㄷㅈㅈㅈ" localSheetId="4">#REF!</definedName>
    <definedName name="ㄱㅈㄱㄷㅈㅈㅈ">#REF!</definedName>
    <definedName name="ㄱㅈㄱㅈㅈㄹ" localSheetId="10">#REF!</definedName>
    <definedName name="ㄱㅈㄱㅈㅈㄹ" localSheetId="11">#REF!</definedName>
    <definedName name="ㄱㅈㄱㅈㅈㄹ" localSheetId="9">#REF!</definedName>
    <definedName name="ㄱㅈㄱㅈㅈㄹ" localSheetId="2">#REF!</definedName>
    <definedName name="ㄱㅈㄱㅈㅈㄹ" localSheetId="12">#REF!</definedName>
    <definedName name="ㄱㅈㄱㅈㅈㄹ" localSheetId="3">#REF!</definedName>
    <definedName name="ㄱㅈㄱㅈㅈㄹ" localSheetId="6">#REF!</definedName>
    <definedName name="ㄱㅈㄱㅈㅈㄹ" localSheetId="4">#REF!</definedName>
    <definedName name="ㄱㅈㄱㅈㅈㄹ">#REF!</definedName>
    <definedName name="감" localSheetId="10">BlankMacro1</definedName>
    <definedName name="감" localSheetId="11">BlankMacro1</definedName>
    <definedName name="감" localSheetId="9">BlankMacro1</definedName>
    <definedName name="감" localSheetId="2">BlankMacro1</definedName>
    <definedName name="감" localSheetId="12">BlankMacro1</definedName>
    <definedName name="감" localSheetId="3">BlankMacro1</definedName>
    <definedName name="감" localSheetId="6">BlankMacro1</definedName>
    <definedName name="감" localSheetId="4">BlankMacro1</definedName>
    <definedName name="감">BlankMacro1</definedName>
    <definedName name="가나" localSheetId="10">#REF!</definedName>
    <definedName name="가나" localSheetId="11">#REF!</definedName>
    <definedName name="가나" localSheetId="9">#REF!</definedName>
    <definedName name="가나" localSheetId="2">#REF!</definedName>
    <definedName name="가나" localSheetId="12">#REF!</definedName>
    <definedName name="가나" localSheetId="3">#REF!</definedName>
    <definedName name="가나" localSheetId="6">#REF!</definedName>
    <definedName name="가나" localSheetId="4">#REF!</definedName>
    <definedName name="가나">#REF!</definedName>
    <definedName name="가나다" localSheetId="10">#REF!</definedName>
    <definedName name="가나다" localSheetId="11">#REF!</definedName>
    <definedName name="가나다" localSheetId="9">#REF!</definedName>
    <definedName name="가나다" localSheetId="2">#REF!</definedName>
    <definedName name="가나다" localSheetId="12">#REF!</definedName>
    <definedName name="가나다" localSheetId="3">#REF!</definedName>
    <definedName name="가나다" localSheetId="6">#REF!</definedName>
    <definedName name="가나다" localSheetId="4">#REF!</definedName>
    <definedName name="가나다">#REF!</definedName>
    <definedName name="가중평균자본비용" localSheetId="10">#REF!</definedName>
    <definedName name="가중평균자본비용" localSheetId="11">#REF!</definedName>
    <definedName name="가중평균자본비용" localSheetId="9">#REF!</definedName>
    <definedName name="가중평균자본비용" localSheetId="2">#REF!</definedName>
    <definedName name="가중평균자본비용" localSheetId="12">#REF!</definedName>
    <definedName name="가중평균자본비용" localSheetId="3">#REF!</definedName>
    <definedName name="가중평균자본비용" localSheetId="6">#REF!</definedName>
    <definedName name="가중평균자본비용" localSheetId="4">#REF!</definedName>
    <definedName name="가중평균자본비용">#REF!</definedName>
    <definedName name="감리상주" localSheetId="10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localSheetId="9" hidden="1">{#N/A,#N/A,FALSE,"지침";#N/A,#N/A,FALSE,"환경분석";#N/A,#N/A,FALSE,"Sheet16"}</definedName>
    <definedName name="감리상주" localSheetId="1" hidden="1">{#N/A,#N/A,FALSE,"지침";#N/A,#N/A,FALSE,"환경분석";#N/A,#N/A,FALSE,"Sheet16"}</definedName>
    <definedName name="감리상주" localSheetId="2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3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localSheetId="4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강원" localSheetId="10">#REF!</definedName>
    <definedName name="강원" localSheetId="11">#REF!</definedName>
    <definedName name="강원" localSheetId="9">#REF!</definedName>
    <definedName name="강원" localSheetId="2">#REF!</definedName>
    <definedName name="강원" localSheetId="12">#REF!</definedName>
    <definedName name="강원" localSheetId="3">#REF!</definedName>
    <definedName name="강원" localSheetId="6">#REF!</definedName>
    <definedName name="강원" localSheetId="4">#REF!</definedName>
    <definedName name="강원">#REF!</definedName>
    <definedName name="개발양수도3" localSheetId="10">#REF!</definedName>
    <definedName name="개발양수도3" localSheetId="11">#REF!</definedName>
    <definedName name="개발양수도3" localSheetId="9">#REF!</definedName>
    <definedName name="개발양수도3" localSheetId="2">#REF!</definedName>
    <definedName name="개발양수도3" localSheetId="12">#REF!</definedName>
    <definedName name="개발양수도3" localSheetId="3">#REF!</definedName>
    <definedName name="개발양수도3" localSheetId="6">#REF!</definedName>
    <definedName name="개발양수도3" localSheetId="4">#REF!</definedName>
    <definedName name="개발양수도3">#REF!</definedName>
    <definedName name="개발업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hidden="1">{#N/A,#N/A,FALSE,"PART-1234-8-12-9(41)";#N/A,#N/A,FALSE,"PARTS-2(3)";#N/A,#N/A,FALSE,"VAN SYSTEM";#N/A,#N/A,FALSE,"PARTS-10(26)";#N/A,#N/A,FALSE,"PART-5-6-7-11(14)";#N/A,#N/A,FALSE,"PARTS-4(3)";#N/A,#N/A,FALSE,"PCLASS"}</definedName>
    <definedName name="개별업체자료추가" localSheetId="10">'2.추정(긍정)'!개별업체자료추가</definedName>
    <definedName name="개별업체자료추가" localSheetId="11">'2.추정(부정)'!개별업체자료추가</definedName>
    <definedName name="개별업체자료추가" localSheetId="9">구NCP!개별업체자료추가</definedName>
    <definedName name="개별업체자료추가" localSheetId="2">추정!개별업체자료추가</definedName>
    <definedName name="개별업체자료추가" localSheetId="12">#N/A</definedName>
    <definedName name="개별업체자료추가" localSheetId="3">#N/A</definedName>
    <definedName name="개별업체자료추가" localSheetId="6">평정!개별업체자료추가</definedName>
    <definedName name="개별업체자료추가" localSheetId="4">NCP!개별업체자료추가</definedName>
    <definedName name="개별업체자료추가">'2.추정(긍정)'!개별업체자료추가</definedName>
    <definedName name="개새끼" localSheetId="10">BlankMacro1</definedName>
    <definedName name="개새끼" localSheetId="11">BlankMacro1</definedName>
    <definedName name="개새끼" localSheetId="9">BlankMacro1</definedName>
    <definedName name="개새끼" localSheetId="2">BlankMacro1</definedName>
    <definedName name="개새끼" localSheetId="12">BlankMacro1</definedName>
    <definedName name="개새끼" localSheetId="3">BlankMacro1</definedName>
    <definedName name="개새끼" localSheetId="6">BlankMacro1</definedName>
    <definedName name="개새끼" localSheetId="4">BlankMacro1</definedName>
    <definedName name="개새끼">BlankMacro1</definedName>
    <definedName name="개수" localSheetId="10">'[11]차입금현황 (연결)'!#REF!</definedName>
    <definedName name="개수" localSheetId="11">'[11]차입금현황 (연결)'!#REF!</definedName>
    <definedName name="개수" localSheetId="9">'[11]차입금현황 (연결)'!#REF!</definedName>
    <definedName name="개수" localSheetId="2">'[11]차입금현황 (연결)'!#REF!</definedName>
    <definedName name="개수" localSheetId="12">'[11]차입금현황 (연결)'!#REF!</definedName>
    <definedName name="개수" localSheetId="3">'[11]차입금현황 (연결)'!#REF!</definedName>
    <definedName name="개수" localSheetId="6">'[11]차입금현황 (연결)'!#REF!</definedName>
    <definedName name="개수" localSheetId="4">'[11]차입금현황 (연결)'!#REF!</definedName>
    <definedName name="개수">'[11]차입금현황 (연결)'!#REF!</definedName>
    <definedName name="거래처별내역" localSheetId="10">BlankMacro1</definedName>
    <definedName name="거래처별내역" localSheetId="11">BlankMacro1</definedName>
    <definedName name="거래처별내역" localSheetId="9">BlankMacro1</definedName>
    <definedName name="거래처별내역" localSheetId="2">BlankMacro1</definedName>
    <definedName name="거래처별내역" localSheetId="12">BlankMacro1</definedName>
    <definedName name="거래처별내역" localSheetId="3">BlankMacro1</definedName>
    <definedName name="거래처별내역" localSheetId="6">BlankMacro1</definedName>
    <definedName name="거래처별내역" localSheetId="4">BlankMacro1</definedName>
    <definedName name="거래처별내역">BlankMacro1</definedName>
    <definedName name="건설기간중_이자율_타인" localSheetId="10">#REF!</definedName>
    <definedName name="건설기간중_이자율_타인" localSheetId="11">#REF!</definedName>
    <definedName name="건설기간중_이자율_타인" localSheetId="9">#REF!</definedName>
    <definedName name="건설기간중_이자율_타인" localSheetId="2">#REF!</definedName>
    <definedName name="건설기간중_이자율_타인" localSheetId="12">#REF!</definedName>
    <definedName name="건설기간중_이자율_타인" localSheetId="3">#REF!</definedName>
    <definedName name="건설기간중_이자율_타인" localSheetId="6">#REF!</definedName>
    <definedName name="건설기간중_이자율_타인" localSheetId="4">#REF!</definedName>
    <definedName name="건설기간중_이자율_타인">#REF!</definedName>
    <definedName name="건축1" localSheetId="10">#REF!</definedName>
    <definedName name="건축1" localSheetId="11">#REF!</definedName>
    <definedName name="건축1" localSheetId="9">#REF!</definedName>
    <definedName name="건축1" localSheetId="2">#REF!</definedName>
    <definedName name="건축1" localSheetId="12">#REF!</definedName>
    <definedName name="건축1" localSheetId="3">#REF!</definedName>
    <definedName name="건축1" localSheetId="6">#REF!</definedName>
    <definedName name="건축1" localSheetId="4">#REF!</definedName>
    <definedName name="건축1">#REF!</definedName>
    <definedName name="건축팀별" localSheetId="10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localSheetId="9" hidden="1">{#N/A,#N/A,FALSE,"지침";#N/A,#N/A,FALSE,"환경분석";#N/A,#N/A,FALSE,"Sheet16"}</definedName>
    <definedName name="건축팀별" localSheetId="1" hidden="1">{#N/A,#N/A,FALSE,"지침";#N/A,#N/A,FALSE,"환경분석";#N/A,#N/A,FALSE,"Sheet16"}</definedName>
    <definedName name="건축팀별" localSheetId="2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3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localSheetId="4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견적비교" localSheetId="10">#REF!</definedName>
    <definedName name="견적비교" localSheetId="11">#REF!</definedName>
    <definedName name="견적비교" localSheetId="9">#REF!</definedName>
    <definedName name="견적비교" localSheetId="2">#REF!</definedName>
    <definedName name="견적비교" localSheetId="12">#REF!</definedName>
    <definedName name="견적비교" localSheetId="3">#REF!</definedName>
    <definedName name="견적비교" localSheetId="6">#REF!</definedName>
    <definedName name="견적비교" localSheetId="4">#REF!</definedName>
    <definedName name="견적비교">#REF!</definedName>
    <definedName name="결과" localSheetId="10">#REF!</definedName>
    <definedName name="결과" localSheetId="11">#REF!</definedName>
    <definedName name="결과" localSheetId="9">#REF!</definedName>
    <definedName name="결과" localSheetId="2">#REF!</definedName>
    <definedName name="결과" localSheetId="12">#REF!</definedName>
    <definedName name="결과" localSheetId="3">#REF!</definedName>
    <definedName name="결과" localSheetId="6">#REF!</definedName>
    <definedName name="결과" localSheetId="4">#REF!</definedName>
    <definedName name="결과">#REF!</definedName>
    <definedName name="결산정리" localSheetId="10">#REF!</definedName>
    <definedName name="결산정리" localSheetId="11">#REF!</definedName>
    <definedName name="결산정리" localSheetId="9">#REF!</definedName>
    <definedName name="결산정리" localSheetId="2">#REF!</definedName>
    <definedName name="결산정리" localSheetId="12">#REF!</definedName>
    <definedName name="결산정리" localSheetId="3">#REF!</definedName>
    <definedName name="결산정리" localSheetId="6">#REF!</definedName>
    <definedName name="결산정리" localSheetId="4">#REF!</definedName>
    <definedName name="결산정리">#REF!</definedName>
    <definedName name="경기고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hidden="1">{#N/A,#N/A,FALSE,"PART-1234-8-12-9(41)";#N/A,#N/A,FALSE,"PARTS-2(3)";#N/A,#N/A,FALSE,"VAN SYSTEM";#N/A,#N/A,FALSE,"PARTS-10(26)";#N/A,#N/A,FALSE,"PART-5-6-7-11(14)";#N/A,#N/A,FALSE,"PARTS-4(3)";#N/A,#N/A,FALSE,"PCLASS"}</definedName>
    <definedName name="경남" localSheetId="10">#REF!</definedName>
    <definedName name="경남" localSheetId="11">#REF!</definedName>
    <definedName name="경남" localSheetId="9">#REF!</definedName>
    <definedName name="경남" localSheetId="2">#REF!</definedName>
    <definedName name="경남" localSheetId="12">#REF!</definedName>
    <definedName name="경남" localSheetId="3">#REF!</definedName>
    <definedName name="경남" localSheetId="6">#REF!</definedName>
    <definedName name="경남" localSheetId="4">#REF!</definedName>
    <definedName name="경남">#REF!</definedName>
    <definedName name="경남1" localSheetId="10">#REF!</definedName>
    <definedName name="경남1" localSheetId="11">#REF!</definedName>
    <definedName name="경남1" localSheetId="9">#REF!</definedName>
    <definedName name="경남1" localSheetId="2">#REF!</definedName>
    <definedName name="경남1" localSheetId="12">#REF!</definedName>
    <definedName name="경남1" localSheetId="3">#REF!</definedName>
    <definedName name="경남1" localSheetId="6">#REF!</definedName>
    <definedName name="경남1" localSheetId="4">#REF!</definedName>
    <definedName name="경남1">#REF!</definedName>
    <definedName name="경량2" localSheetId="10">#REF!</definedName>
    <definedName name="경량2" localSheetId="11">#REF!</definedName>
    <definedName name="경량2" localSheetId="9">#REF!</definedName>
    <definedName name="경량2" localSheetId="2">#REF!</definedName>
    <definedName name="경량2" localSheetId="12">#REF!</definedName>
    <definedName name="경량2" localSheetId="3">#REF!</definedName>
    <definedName name="경량2" localSheetId="6">#REF!</definedName>
    <definedName name="경량2" localSheetId="4">#REF!</definedName>
    <definedName name="경량2">#REF!</definedName>
    <definedName name="경북" localSheetId="10">#REF!</definedName>
    <definedName name="경북" localSheetId="11">#REF!</definedName>
    <definedName name="경북" localSheetId="9">#REF!</definedName>
    <definedName name="경북" localSheetId="2">#REF!</definedName>
    <definedName name="경북" localSheetId="12">#REF!</definedName>
    <definedName name="경북" localSheetId="3">#REF!</definedName>
    <definedName name="경북" localSheetId="6">#REF!</definedName>
    <definedName name="경북" localSheetId="4">#REF!</definedName>
    <definedName name="경북">#REF!</definedName>
    <definedName name="경상이익" localSheetId="10">#REF!</definedName>
    <definedName name="경상이익" localSheetId="11">#REF!</definedName>
    <definedName name="경상이익" localSheetId="9">#REF!</definedName>
    <definedName name="경상이익" localSheetId="2">#REF!</definedName>
    <definedName name="경상이익" localSheetId="12">#REF!</definedName>
    <definedName name="경상이익" localSheetId="3">#REF!</definedName>
    <definedName name="경상이익" localSheetId="6">#REF!</definedName>
    <definedName name="경상이익" localSheetId="4">#REF!</definedName>
    <definedName name="경상이익">#REF!</definedName>
    <definedName name="경영계획" localSheetId="10">#REF!</definedName>
    <definedName name="경영계획" localSheetId="11">#REF!</definedName>
    <definedName name="경영계획" localSheetId="9">#REF!</definedName>
    <definedName name="경영계획" localSheetId="2">#REF!</definedName>
    <definedName name="경영계획" localSheetId="12">#REF!</definedName>
    <definedName name="경영계획" localSheetId="3">#REF!</definedName>
    <definedName name="경영계획" localSheetId="6">#REF!</definedName>
    <definedName name="경영계획" localSheetId="4">#REF!</definedName>
    <definedName name="경영계획">#REF!</definedName>
    <definedName name="계수" localSheetId="10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localSheetId="9" hidden="1">{#N/A,#N/A,FALSE,"지침";#N/A,#N/A,FALSE,"환경분석";#N/A,#N/A,FALSE,"Sheet16"}</definedName>
    <definedName name="계수" localSheetId="1" hidden="1">{#N/A,#N/A,FALSE,"지침";#N/A,#N/A,FALSE,"환경분석";#N/A,#N/A,FALSE,"Sheet16"}</definedName>
    <definedName name="계수" localSheetId="2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3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localSheetId="4" hidden="1">{#N/A,#N/A,FALSE,"지침";#N/A,#N/A,FALSE,"환경분석";#N/A,#N/A,FALSE,"Sheet16"}</definedName>
    <definedName name="계수" hidden="1">{#N/A,#N/A,FALSE,"지침";#N/A,#N/A,FALSE,"환경분석";#N/A,#N/A,FALSE,"Sheet16"}</definedName>
    <definedName name="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" hidden="1">{#N/A,#N/A,FALSE,"PART-1234-8-12-9(41)";#N/A,#N/A,FALSE,"PARTS-2(3)";#N/A,#N/A,FALSE,"VAN SYSTEM";#N/A,#N/A,FALSE,"PARTS-10(26)";#N/A,#N/A,FALSE,"PART-5-6-7-11(14)";#N/A,#N/A,FALSE,"PARTS-4(3)";#N/A,#N/A,FALSE,"PCLASS"}</definedName>
    <definedName name="고가5개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시스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hidden="1">{#N/A,#N/A,FALSE,"PART-1234-8-12-9(41)";#N/A,#N/A,FALSE,"PARTS-2(3)";#N/A,#N/A,FALSE,"VAN SYSTEM";#N/A,#N/A,FALSE,"PARTS-10(26)";#N/A,#N/A,FALSE,"PART-5-6-7-11(14)";#N/A,#N/A,FALSE,"PARTS-4(3)";#N/A,#N/A,FALSE,"PCLASS"}</definedName>
    <definedName name="고과2" localSheetId="10">#REF!</definedName>
    <definedName name="고과2" localSheetId="11">#REF!</definedName>
    <definedName name="고과2" localSheetId="9">#REF!</definedName>
    <definedName name="고과2" localSheetId="2">#REF!</definedName>
    <definedName name="고과2" localSheetId="12">#REF!</definedName>
    <definedName name="고과2" localSheetId="3">#REF!</definedName>
    <definedName name="고과2" localSheetId="6">#REF!</definedName>
    <definedName name="고과2" localSheetId="4">#REF!</definedName>
    <definedName name="고과2">#REF!</definedName>
    <definedName name="고생월별" localSheetId="10">#REF!</definedName>
    <definedName name="고생월별" localSheetId="11">#REF!</definedName>
    <definedName name="고생월별" localSheetId="9">#REF!</definedName>
    <definedName name="고생월별" localSheetId="2">#REF!</definedName>
    <definedName name="고생월별" localSheetId="12">#REF!</definedName>
    <definedName name="고생월별" localSheetId="3">#REF!</definedName>
    <definedName name="고생월별" localSheetId="6">#REF!</definedName>
    <definedName name="고생월별" localSheetId="4">#REF!</definedName>
    <definedName name="고생월별">#REF!</definedName>
    <definedName name="고정비미회수_하자보수비파일_" localSheetId="10">#REF!</definedName>
    <definedName name="고정비미회수_하자보수비파일_" localSheetId="11">#REF!</definedName>
    <definedName name="고정비미회수_하자보수비파일_" localSheetId="9">#REF!</definedName>
    <definedName name="고정비미회수_하자보수비파일_" localSheetId="2">#REF!</definedName>
    <definedName name="고정비미회수_하자보수비파일_" localSheetId="12">#REF!</definedName>
    <definedName name="고정비미회수_하자보수비파일_" localSheetId="3">#REF!</definedName>
    <definedName name="고정비미회수_하자보수비파일_" localSheetId="6">#REF!</definedName>
    <definedName name="고정비미회수_하자보수비파일_" localSheetId="4">#REF!</definedName>
    <definedName name="고정비미회수_하자보수비파일_">#REF!</definedName>
    <definedName name="고태우" localSheetId="10">BlankMacro1</definedName>
    <definedName name="고태우" localSheetId="11">BlankMacro1</definedName>
    <definedName name="고태우" localSheetId="9">BlankMacro1</definedName>
    <definedName name="고태우" localSheetId="2">BlankMacro1</definedName>
    <definedName name="고태우" localSheetId="12">BlankMacro1</definedName>
    <definedName name="고태우" localSheetId="3">BlankMacro1</definedName>
    <definedName name="고태우" localSheetId="6">BlankMacro1</definedName>
    <definedName name="고태우" localSheetId="4">BlankMacro1</definedName>
    <definedName name="고태우">BlankMacro1</definedName>
    <definedName name="공임표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hidden="1">{#N/A,#N/A,FALSE,"PART-1234-8-12-9(41)";#N/A,#N/A,FALSE,"PARTS-2(3)";#N/A,#N/A,FALSE,"VAN SYSTEM";#N/A,#N/A,FALSE,"PARTS-10(26)";#N/A,#N/A,FALSE,"PART-5-6-7-11(14)";#N/A,#N/A,FALSE,"PARTS-4(3)";#N/A,#N/A,FALSE,"PCLASS"}</definedName>
    <definedName name="공종" localSheetId="10">#REF!</definedName>
    <definedName name="공종" localSheetId="11">#REF!</definedName>
    <definedName name="공종" localSheetId="9">#REF!</definedName>
    <definedName name="공종" localSheetId="2">#REF!</definedName>
    <definedName name="공종" localSheetId="12">#REF!</definedName>
    <definedName name="공종" localSheetId="3">#REF!</definedName>
    <definedName name="공종" localSheetId="6">#REF!</definedName>
    <definedName name="공종" localSheetId="4">#REF!</definedName>
    <definedName name="공종">#REF!</definedName>
    <definedName name="관리비증가율" localSheetId="10">#REF!</definedName>
    <definedName name="관리비증가율" localSheetId="11">#REF!</definedName>
    <definedName name="관리비증가율" localSheetId="9">#REF!</definedName>
    <definedName name="관리비증가율" localSheetId="2">#REF!</definedName>
    <definedName name="관리비증가율" localSheetId="12">#REF!</definedName>
    <definedName name="관리비증가율" localSheetId="3">#REF!</definedName>
    <definedName name="관리비증가율" localSheetId="6">#REF!</definedName>
    <definedName name="관리비증가율" localSheetId="4">#REF!</definedName>
    <definedName name="관리비증가율">#REF!</definedName>
    <definedName name="교ㅓ" localSheetId="10">'2.추정(긍정)'!교ㅓ</definedName>
    <definedName name="교ㅓ" localSheetId="11">'2.추정(부정)'!교ㅓ</definedName>
    <definedName name="교ㅓ" localSheetId="9">구NCP!교ㅓ</definedName>
    <definedName name="교ㅓ" localSheetId="2">추정!교ㅓ</definedName>
    <definedName name="교ㅓ" localSheetId="12">#N/A</definedName>
    <definedName name="교ㅓ" localSheetId="3">#N/A</definedName>
    <definedName name="교ㅓ" localSheetId="6">평정!교ㅓ</definedName>
    <definedName name="교ㅓ" localSheetId="4">NCP!교ㅓ</definedName>
    <definedName name="교ㅓ">'2.추정(긍정)'!교ㅓ</definedName>
    <definedName name="구" localSheetId="10">#REF!</definedName>
    <definedName name="구" localSheetId="11">#REF!</definedName>
    <definedName name="구" localSheetId="9">#REF!</definedName>
    <definedName name="구" localSheetId="2">#REF!</definedName>
    <definedName name="구" localSheetId="12">#REF!</definedName>
    <definedName name="구" localSheetId="3">#REF!</definedName>
    <definedName name="구" localSheetId="6">#REF!</definedName>
    <definedName name="구" localSheetId="4">#REF!</definedName>
    <definedName name="구">#REF!</definedName>
    <definedName name="구매물량" localSheetId="10">#REF!</definedName>
    <definedName name="구매물량" localSheetId="11">#REF!</definedName>
    <definedName name="구매물량" localSheetId="9">#REF!</definedName>
    <definedName name="구매물량" localSheetId="2">#REF!</definedName>
    <definedName name="구매물량" localSheetId="12">#REF!</definedName>
    <definedName name="구매물량" localSheetId="3">#REF!</definedName>
    <definedName name="구매물량" localSheetId="6">#REF!</definedName>
    <definedName name="구매물량" localSheetId="4">#REF!</definedName>
    <definedName name="구매물량">#REF!</definedName>
    <definedName name="구미" localSheetId="10" hidden="1">{#N/A,#N/A,FALSE,"지침";#N/A,#N/A,FALSE,"환경분석";#N/A,#N/A,FALSE,"Sheet16"}</definedName>
    <definedName name="구미" localSheetId="11" hidden="1">{#N/A,#N/A,FALSE,"지침";#N/A,#N/A,FALSE,"환경분석";#N/A,#N/A,FALSE,"Sheet16"}</definedName>
    <definedName name="구미" localSheetId="9" hidden="1">{#N/A,#N/A,FALSE,"지침";#N/A,#N/A,FALSE,"환경분석";#N/A,#N/A,FALSE,"Sheet16"}</definedName>
    <definedName name="구미" localSheetId="1" hidden="1">{#N/A,#N/A,FALSE,"지침";#N/A,#N/A,FALSE,"환경분석";#N/A,#N/A,FALSE,"Sheet16"}</definedName>
    <definedName name="구미" localSheetId="2" hidden="1">{#N/A,#N/A,FALSE,"지침";#N/A,#N/A,FALSE,"환경분석";#N/A,#N/A,FALSE,"Sheet16"}</definedName>
    <definedName name="구미" localSheetId="12" hidden="1">{#N/A,#N/A,FALSE,"지침";#N/A,#N/A,FALSE,"환경분석";#N/A,#N/A,FALSE,"Sheet16"}</definedName>
    <definedName name="구미" localSheetId="3" hidden="1">{#N/A,#N/A,FALSE,"지침";#N/A,#N/A,FALSE,"환경분석";#N/A,#N/A,FALSE,"Sheet16"}</definedName>
    <definedName name="구미" localSheetId="6" hidden="1">{#N/A,#N/A,FALSE,"지침";#N/A,#N/A,FALSE,"환경분석";#N/A,#N/A,FALSE,"Sheet16"}</definedName>
    <definedName name="구미" localSheetId="4" hidden="1">{#N/A,#N/A,FALSE,"지침";#N/A,#N/A,FALSE,"환경분석";#N/A,#N/A,FALSE,"Sheet16"}</definedName>
    <definedName name="구미" hidden="1">{#N/A,#N/A,FALSE,"지침";#N/A,#N/A,FALSE,"환경분석";#N/A,#N/A,FALSE,"Sheet16"}</definedName>
    <definedName name="구분" localSheetId="10">#REF!</definedName>
    <definedName name="구분" localSheetId="11">#REF!</definedName>
    <definedName name="구분" localSheetId="9">#REF!</definedName>
    <definedName name="구분" localSheetId="2">#REF!</definedName>
    <definedName name="구분" localSheetId="12">#REF!</definedName>
    <definedName name="구분" localSheetId="3">#REF!</definedName>
    <definedName name="구분" localSheetId="6">#REF!</definedName>
    <definedName name="구분" localSheetId="4">#REF!</definedName>
    <definedName name="구분">#REF!</definedName>
    <definedName name="국제_종금" localSheetId="10">#REF!</definedName>
    <definedName name="국제_종금" localSheetId="11">#REF!</definedName>
    <definedName name="국제_종금" localSheetId="9">#REF!</definedName>
    <definedName name="국제_종금" localSheetId="2">#REF!</definedName>
    <definedName name="국제_종금" localSheetId="12">#REF!</definedName>
    <definedName name="국제_종금" localSheetId="3">#REF!</definedName>
    <definedName name="국제_종금" localSheetId="6">#REF!</definedName>
    <definedName name="국제_종금" localSheetId="4">#REF!</definedName>
    <definedName name="국제_종금">#REF!</definedName>
    <definedName name="귀신" localSheetId="10">{"S220-V";"S250-V";"S290-V"}</definedName>
    <definedName name="귀신" localSheetId="11">{"S220-V";"S250-V";"S290-V"}</definedName>
    <definedName name="귀신" localSheetId="9">{"S220-V";"S250-V";"S290-V"}</definedName>
    <definedName name="귀신" localSheetId="2">{"S220-V";"S250-V";"S290-V"}</definedName>
    <definedName name="귀신" localSheetId="12">{"S220-V";"S250-V";"S290-V"}</definedName>
    <definedName name="귀신" localSheetId="3">{"S220-V";"S250-V";"S290-V"}</definedName>
    <definedName name="귀신" localSheetId="6">{"S220-V";"S250-V";"S290-V"}</definedName>
    <definedName name="귀신" localSheetId="4">{"S220-V";"S250-V";"S290-V"}</definedName>
    <definedName name="귀신">{"S220-V";"S250-V";"S290-V"}</definedName>
    <definedName name="그래프">[12]그래프!$A$5:$A$7,[12]그래프!$D$5:$D$7,[12]그래프!$E$5:$E$7,[12]그래프!$G$5:$G$7,[12]그래프!$H$5:$H$7,[12]그래프!$J$5:$J$7</definedName>
    <definedName name="그런데" localSheetId="10">#REF!</definedName>
    <definedName name="그런데" localSheetId="11">#REF!</definedName>
    <definedName name="그런데" localSheetId="9">#REF!</definedName>
    <definedName name="그런데" localSheetId="2">#REF!</definedName>
    <definedName name="그런데" localSheetId="12">#REF!</definedName>
    <definedName name="그런데" localSheetId="3">#REF!</definedName>
    <definedName name="그런데" localSheetId="6">#REF!</definedName>
    <definedName name="그런데" localSheetId="4">#REF!</definedName>
    <definedName name="그런데">#REF!</definedName>
    <definedName name="김" localSheetId="10" hidden="1">{#N/A,#N/A,FALSE,"지침";#N/A,#N/A,FALSE,"환경분석";#N/A,#N/A,FALSE,"Sheet16"}</definedName>
    <definedName name="김" localSheetId="11" hidden="1">{#N/A,#N/A,FALSE,"지침";#N/A,#N/A,FALSE,"환경분석";#N/A,#N/A,FALSE,"Sheet16"}</definedName>
    <definedName name="김" localSheetId="9" hidden="1">{#N/A,#N/A,FALSE,"지침";#N/A,#N/A,FALSE,"환경분석";#N/A,#N/A,FALSE,"Sheet16"}</definedName>
    <definedName name="김" localSheetId="1" hidden="1">{#N/A,#N/A,FALSE,"지침";#N/A,#N/A,FALSE,"환경분석";#N/A,#N/A,FALSE,"Sheet16"}</definedName>
    <definedName name="김" localSheetId="2" hidden="1">{#N/A,#N/A,FALSE,"지침";#N/A,#N/A,FALSE,"환경분석";#N/A,#N/A,FALSE,"Sheet16"}</definedName>
    <definedName name="김" localSheetId="12" hidden="1">{#N/A,#N/A,FALSE,"지침";#N/A,#N/A,FALSE,"환경분석";#N/A,#N/A,FALSE,"Sheet16"}</definedName>
    <definedName name="김" localSheetId="3" hidden="1">{#N/A,#N/A,FALSE,"지침";#N/A,#N/A,FALSE,"환경분석";#N/A,#N/A,FALSE,"Sheet16"}</definedName>
    <definedName name="김" localSheetId="6" hidden="1">{#N/A,#N/A,FALSE,"지침";#N/A,#N/A,FALSE,"환경분석";#N/A,#N/A,FALSE,"Sheet16"}</definedName>
    <definedName name="김" localSheetId="4" hidden="1">{#N/A,#N/A,FALSE,"지침";#N/A,#N/A,FALSE,"환경분석";#N/A,#N/A,FALSE,"Sheet16"}</definedName>
    <definedName name="김" hidden="1">{#N/A,#N/A,FALSE,"지침";#N/A,#N/A,FALSE,"환경분석";#N/A,#N/A,FALSE,"Sheet16"}</definedName>
    <definedName name="기개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름" localSheetId="10">{"S220-V";"S250-V";"S290-V"}</definedName>
    <definedName name="기름" localSheetId="11">{"S220-V";"S250-V";"S290-V"}</definedName>
    <definedName name="기름" localSheetId="9">{"S220-V";"S250-V";"S290-V"}</definedName>
    <definedName name="기름" localSheetId="2">{"S220-V";"S250-V";"S290-V"}</definedName>
    <definedName name="기름" localSheetId="12">{"S220-V";"S250-V";"S290-V"}</definedName>
    <definedName name="기름" localSheetId="3">{"S220-V";"S250-V";"S290-V"}</definedName>
    <definedName name="기름" localSheetId="6">{"S220-V";"S250-V";"S290-V"}</definedName>
    <definedName name="기름" localSheetId="4">{"S220-V";"S250-V";"S290-V"}</definedName>
    <definedName name="기름">{"S220-V";"S250-V";"S290-V"}</definedName>
    <definedName name="기술" localSheetId="10">#REF!</definedName>
    <definedName name="기술" localSheetId="11">#REF!</definedName>
    <definedName name="기술" localSheetId="9">#REF!</definedName>
    <definedName name="기술" localSheetId="2">#REF!</definedName>
    <definedName name="기술" localSheetId="12">#REF!</definedName>
    <definedName name="기술" localSheetId="3">#REF!</definedName>
    <definedName name="기술" localSheetId="6">#REF!</definedName>
    <definedName name="기술" localSheetId="4">#REF!</definedName>
    <definedName name="기술">#REF!</definedName>
    <definedName name="기술이야" localSheetId="10">#REF!</definedName>
    <definedName name="기술이야" localSheetId="11">#REF!</definedName>
    <definedName name="기술이야" localSheetId="9">#REF!</definedName>
    <definedName name="기술이야" localSheetId="2">#REF!</definedName>
    <definedName name="기술이야" localSheetId="12">#REF!</definedName>
    <definedName name="기술이야" localSheetId="3">#REF!</definedName>
    <definedName name="기술이야" localSheetId="6">#REF!</definedName>
    <definedName name="기술이야" localSheetId="4">#REF!</definedName>
    <definedName name="기술이야">#REF!</definedName>
    <definedName name="기안갑" localSheetId="10">#REF!</definedName>
    <definedName name="기안갑" localSheetId="11">#REF!</definedName>
    <definedName name="기안갑" localSheetId="9">#REF!</definedName>
    <definedName name="기안갑" localSheetId="2">#REF!</definedName>
    <definedName name="기안갑" localSheetId="12">#REF!</definedName>
    <definedName name="기안갑" localSheetId="3">#REF!</definedName>
    <definedName name="기안갑" localSheetId="6">#REF!</definedName>
    <definedName name="기안갑" localSheetId="4">#REF!</definedName>
    <definedName name="기안갑">#REF!</definedName>
    <definedName name="기안을" localSheetId="10">#REF!</definedName>
    <definedName name="기안을" localSheetId="11">#REF!</definedName>
    <definedName name="기안을" localSheetId="9">#REF!</definedName>
    <definedName name="기안을" localSheetId="2">#REF!</definedName>
    <definedName name="기안을" localSheetId="12">#REF!</definedName>
    <definedName name="기안을" localSheetId="3">#REF!</definedName>
    <definedName name="기안을" localSheetId="6">#REF!</definedName>
    <definedName name="기안을" localSheetId="4">#REF!</definedName>
    <definedName name="기안을">#REF!</definedName>
    <definedName name="기종" localSheetId="10">{"S220-V";"S250-V";"S290-V"}</definedName>
    <definedName name="기종" localSheetId="11">{"S220-V";"S250-V";"S290-V"}</definedName>
    <definedName name="기종" localSheetId="9">{"S220-V";"S250-V";"S290-V"}</definedName>
    <definedName name="기종" localSheetId="2">{"S220-V";"S250-V";"S290-V"}</definedName>
    <definedName name="기종" localSheetId="12">{"S220-V";"S250-V";"S290-V"}</definedName>
    <definedName name="기종" localSheetId="3">{"S220-V";"S250-V";"S290-V"}</definedName>
    <definedName name="기종" localSheetId="6">{"S220-V";"S250-V";"S290-V"}</definedName>
    <definedName name="기종" localSheetId="4">{"S220-V";"S250-V";"S290-V"}</definedName>
    <definedName name="기종">{"S220-V";"S250-V";"S290-V"}</definedName>
    <definedName name="기준" localSheetId="10" hidden="1">{#N/A,#N/A,FALSE,"지침";#N/A,#N/A,FALSE,"환경분석";#N/A,#N/A,FALSE,"Sheet16"}</definedName>
    <definedName name="기준" localSheetId="11" hidden="1">{#N/A,#N/A,FALSE,"지침";#N/A,#N/A,FALSE,"환경분석";#N/A,#N/A,FALSE,"Sheet16"}</definedName>
    <definedName name="기준" localSheetId="9" hidden="1">{#N/A,#N/A,FALSE,"지침";#N/A,#N/A,FALSE,"환경분석";#N/A,#N/A,FALSE,"Sheet16"}</definedName>
    <definedName name="기준" localSheetId="1" hidden="1">{#N/A,#N/A,FALSE,"지침";#N/A,#N/A,FALSE,"환경분석";#N/A,#N/A,FALSE,"Sheet16"}</definedName>
    <definedName name="기준" localSheetId="2" hidden="1">{#N/A,#N/A,FALSE,"지침";#N/A,#N/A,FALSE,"환경분석";#N/A,#N/A,FALSE,"Sheet16"}</definedName>
    <definedName name="기준" localSheetId="12" hidden="1">{#N/A,#N/A,FALSE,"지침";#N/A,#N/A,FALSE,"환경분석";#N/A,#N/A,FALSE,"Sheet16"}</definedName>
    <definedName name="기준" localSheetId="3" hidden="1">{#N/A,#N/A,FALSE,"지침";#N/A,#N/A,FALSE,"환경분석";#N/A,#N/A,FALSE,"Sheet16"}</definedName>
    <definedName name="기준" localSheetId="6" hidden="1">{#N/A,#N/A,FALSE,"지침";#N/A,#N/A,FALSE,"환경분석";#N/A,#N/A,FALSE,"Sheet16"}</definedName>
    <definedName name="기준" localSheetId="4" hidden="1">{#N/A,#N/A,FALSE,"지침";#N/A,#N/A,FALSE,"환경분석";#N/A,#N/A,FALSE,"Sheet16"}</definedName>
    <definedName name="기준" hidden="1">{#N/A,#N/A,FALSE,"지침";#N/A,#N/A,FALSE,"환경분석";#N/A,#N/A,FALSE,"Sheet16"}</definedName>
    <definedName name="기준일" localSheetId="10" hidden="1">{#N/A,#N/A,FALSE,"지침";#N/A,#N/A,FALSE,"환경분석";#N/A,#N/A,FALSE,"Sheet16"}</definedName>
    <definedName name="기준일" localSheetId="11" hidden="1">{#N/A,#N/A,FALSE,"지침";#N/A,#N/A,FALSE,"환경분석";#N/A,#N/A,FALSE,"Sheet16"}</definedName>
    <definedName name="기준일" localSheetId="9" hidden="1">{#N/A,#N/A,FALSE,"지침";#N/A,#N/A,FALSE,"환경분석";#N/A,#N/A,FALSE,"Sheet16"}</definedName>
    <definedName name="기준일" localSheetId="1" hidden="1">{#N/A,#N/A,FALSE,"지침";#N/A,#N/A,FALSE,"환경분석";#N/A,#N/A,FALSE,"Sheet16"}</definedName>
    <definedName name="기준일" localSheetId="2" hidden="1">{#N/A,#N/A,FALSE,"지침";#N/A,#N/A,FALSE,"환경분석";#N/A,#N/A,FALSE,"Sheet16"}</definedName>
    <definedName name="기준일" localSheetId="12" hidden="1">{#N/A,#N/A,FALSE,"지침";#N/A,#N/A,FALSE,"환경분석";#N/A,#N/A,FALSE,"Sheet16"}</definedName>
    <definedName name="기준일" localSheetId="3" hidden="1">{#N/A,#N/A,FALSE,"지침";#N/A,#N/A,FALSE,"환경분석";#N/A,#N/A,FALSE,"Sheet16"}</definedName>
    <definedName name="기준일" localSheetId="6" hidden="1">{#N/A,#N/A,FALSE,"지침";#N/A,#N/A,FALSE,"환경분석";#N/A,#N/A,FALSE,"Sheet16"}</definedName>
    <definedName name="기준일" localSheetId="4" hidden="1">{#N/A,#N/A,FALSE,"지침";#N/A,#N/A,FALSE,"환경분석";#N/A,#N/A,FALSE,"Sheet16"}</definedName>
    <definedName name="기준일" hidden="1">{#N/A,#N/A,FALSE,"지침";#N/A,#N/A,FALSE,"환경분석";#N/A,#N/A,FALSE,"Sheet16"}</definedName>
    <definedName name="기타8" localSheetId="10">[0]!_a1Z,[0]!_a2Z</definedName>
    <definedName name="기타8" localSheetId="11">[0]!_a1Z,[0]!_a2Z</definedName>
    <definedName name="기타8" localSheetId="9">[0]!_a1Z,[0]!_a2Z</definedName>
    <definedName name="기타8" localSheetId="2">[0]!_a1Z,[0]!_a2Z</definedName>
    <definedName name="기타8" localSheetId="12">[2]!_a1Z,[2]!_a2Z</definedName>
    <definedName name="기타8" localSheetId="3">[2]!_a1Z,[2]!_a2Z</definedName>
    <definedName name="기타8" localSheetId="6">[3]!_a1Z,[3]!_a2Z</definedName>
    <definedName name="기타8" localSheetId="4">[0]!_a1Z,[0]!_a2Z</definedName>
    <definedName name="기타8">[0]!_a1Z,[0]!_a2Z</definedName>
    <definedName name="김성혁" localSheetId="10">#REF!,#REF!,#REF!,#REF!,#REF!,#REF!,#REF!,#REF!,#REF!,#REF!,#REF!,#REF!,#REF!,#REF!</definedName>
    <definedName name="김성혁" localSheetId="11">#REF!,#REF!,#REF!,#REF!,#REF!,#REF!,#REF!,#REF!,#REF!,#REF!,#REF!,#REF!,#REF!,#REF!</definedName>
    <definedName name="김성혁" localSheetId="9">#REF!,#REF!,#REF!,#REF!,#REF!,#REF!,#REF!,#REF!,#REF!,#REF!,#REF!,#REF!,#REF!,#REF!</definedName>
    <definedName name="김성혁" localSheetId="2">#REF!,#REF!,#REF!,#REF!,#REF!,#REF!,#REF!,#REF!,#REF!,#REF!,#REF!,#REF!,#REF!,#REF!</definedName>
    <definedName name="김성혁" localSheetId="12">#REF!,#REF!,#REF!,#REF!,#REF!,#REF!,#REF!,#REF!,#REF!,#REF!,#REF!,#REF!,#REF!,#REF!</definedName>
    <definedName name="김성혁" localSheetId="3">#REF!,#REF!,#REF!,#REF!,#REF!,#REF!,#REF!,#REF!,#REF!,#REF!,#REF!,#REF!,#REF!,#REF!</definedName>
    <definedName name="김성혁" localSheetId="6">#REF!,#REF!,#REF!,#REF!,#REF!,#REF!,#REF!,#REF!,#REF!,#REF!,#REF!,#REF!,#REF!,#REF!</definedName>
    <definedName name="김성혁" localSheetId="4">#REF!,#REF!,#REF!,#REF!,#REF!,#REF!,#REF!,#REF!,#REF!,#REF!,#REF!,#REF!,#REF!,#REF!</definedName>
    <definedName name="김성혁">#REF!,#REF!,#REF!,#REF!,#REF!,#REF!,#REF!,#REF!,#REF!,#REF!,#REF!,#REF!,#REF!,#REF!</definedName>
    <definedName name="김아ㅏ" localSheetId="10" hidden="1">{#N/A,#N/A,FALSE,"지침";#N/A,#N/A,FALSE,"환경분석";#N/A,#N/A,FALSE,"Sheet16"}</definedName>
    <definedName name="김아ㅏ" localSheetId="11" hidden="1">{#N/A,#N/A,FALSE,"지침";#N/A,#N/A,FALSE,"환경분석";#N/A,#N/A,FALSE,"Sheet16"}</definedName>
    <definedName name="김아ㅏ" localSheetId="9" hidden="1">{#N/A,#N/A,FALSE,"지침";#N/A,#N/A,FALSE,"환경분석";#N/A,#N/A,FALSE,"Sheet16"}</definedName>
    <definedName name="김아ㅏ" localSheetId="1" hidden="1">{#N/A,#N/A,FALSE,"지침";#N/A,#N/A,FALSE,"환경분석";#N/A,#N/A,FALSE,"Sheet16"}</definedName>
    <definedName name="김아ㅏ" localSheetId="2" hidden="1">{#N/A,#N/A,FALSE,"지침";#N/A,#N/A,FALSE,"환경분석";#N/A,#N/A,FALSE,"Sheet16"}</definedName>
    <definedName name="김아ㅏ" localSheetId="12" hidden="1">{#N/A,#N/A,FALSE,"지침";#N/A,#N/A,FALSE,"환경분석";#N/A,#N/A,FALSE,"Sheet16"}</definedName>
    <definedName name="김아ㅏ" localSheetId="3" hidden="1">{#N/A,#N/A,FALSE,"지침";#N/A,#N/A,FALSE,"환경분석";#N/A,#N/A,FALSE,"Sheet16"}</definedName>
    <definedName name="김아ㅏ" localSheetId="6" hidden="1">{#N/A,#N/A,FALSE,"지침";#N/A,#N/A,FALSE,"환경분석";#N/A,#N/A,FALSE,"Sheet16"}</definedName>
    <definedName name="김아ㅏ" localSheetId="4" hidden="1">{#N/A,#N/A,FALSE,"지침";#N/A,#N/A,FALSE,"환경분석";#N/A,#N/A,FALSE,"Sheet16"}</definedName>
    <definedName name="김아ㅏ" hidden="1">{#N/A,#N/A,FALSE,"지침";#N/A,#N/A,FALSE,"환경분석";#N/A,#N/A,FALSE,"Sheet16"}</definedName>
    <definedName name="김영삼" localSheetId="10" hidden="1">{#N/A,#N/A,FALSE,"지침";#N/A,#N/A,FALSE,"환경분석";#N/A,#N/A,FALSE,"Sheet16"}</definedName>
    <definedName name="김영삼" localSheetId="11" hidden="1">{#N/A,#N/A,FALSE,"지침";#N/A,#N/A,FALSE,"환경분석";#N/A,#N/A,FALSE,"Sheet16"}</definedName>
    <definedName name="김영삼" localSheetId="9" hidden="1">{#N/A,#N/A,FALSE,"지침";#N/A,#N/A,FALSE,"환경분석";#N/A,#N/A,FALSE,"Sheet16"}</definedName>
    <definedName name="김영삼" localSheetId="1" hidden="1">{#N/A,#N/A,FALSE,"지침";#N/A,#N/A,FALSE,"환경분석";#N/A,#N/A,FALSE,"Sheet16"}</definedName>
    <definedName name="김영삼" localSheetId="2" hidden="1">{#N/A,#N/A,FALSE,"지침";#N/A,#N/A,FALSE,"환경분석";#N/A,#N/A,FALSE,"Sheet16"}</definedName>
    <definedName name="김영삼" localSheetId="12" hidden="1">{#N/A,#N/A,FALSE,"지침";#N/A,#N/A,FALSE,"환경분석";#N/A,#N/A,FALSE,"Sheet16"}</definedName>
    <definedName name="김영삼" localSheetId="3" hidden="1">{#N/A,#N/A,FALSE,"지침";#N/A,#N/A,FALSE,"환경분석";#N/A,#N/A,FALSE,"Sheet16"}</definedName>
    <definedName name="김영삼" localSheetId="6" hidden="1">{#N/A,#N/A,FALSE,"지침";#N/A,#N/A,FALSE,"환경분석";#N/A,#N/A,FALSE,"Sheet16"}</definedName>
    <definedName name="김영삼" localSheetId="4" hidden="1">{#N/A,#N/A,FALSE,"지침";#N/A,#N/A,FALSE,"환경분석";#N/A,#N/A,FALSE,"Sheet16"}</definedName>
    <definedName name="김영삼" hidden="1">{#N/A,#N/A,FALSE,"지침";#N/A,#N/A,FALSE,"환경분석";#N/A,#N/A,FALSE,"Sheet16"}</definedName>
    <definedName name="김완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hidden="1">{#N/A,#N/A,FALSE,"PART-1234-8-12-9(41)";#N/A,#N/A,FALSE,"PARTS-2(3)";#N/A,#N/A,FALSE,"VAN SYSTEM";#N/A,#N/A,FALSE,"PARTS-10(26)";#N/A,#N/A,FALSE,"PART-5-6-7-11(14)";#N/A,#N/A,FALSE,"PARTS-4(3)";#N/A,#N/A,FALSE,"PCLASS"}</definedName>
    <definedName name="김정기" localSheetId="10" hidden="1">{#N/A,#N/A,FALSE,"지침";#N/A,#N/A,FALSE,"환경분석";#N/A,#N/A,FALSE,"Sheet16"}</definedName>
    <definedName name="김정기" localSheetId="11" hidden="1">{#N/A,#N/A,FALSE,"지침";#N/A,#N/A,FALSE,"환경분석";#N/A,#N/A,FALSE,"Sheet16"}</definedName>
    <definedName name="김정기" localSheetId="9" hidden="1">{#N/A,#N/A,FALSE,"지침";#N/A,#N/A,FALSE,"환경분석";#N/A,#N/A,FALSE,"Sheet16"}</definedName>
    <definedName name="김정기" localSheetId="1" hidden="1">{#N/A,#N/A,FALSE,"지침";#N/A,#N/A,FALSE,"환경분석";#N/A,#N/A,FALSE,"Sheet16"}</definedName>
    <definedName name="김정기" localSheetId="2" hidden="1">{#N/A,#N/A,FALSE,"지침";#N/A,#N/A,FALSE,"환경분석";#N/A,#N/A,FALSE,"Sheet16"}</definedName>
    <definedName name="김정기" localSheetId="12" hidden="1">{#N/A,#N/A,FALSE,"지침";#N/A,#N/A,FALSE,"환경분석";#N/A,#N/A,FALSE,"Sheet16"}</definedName>
    <definedName name="김정기" localSheetId="3" hidden="1">{#N/A,#N/A,FALSE,"지침";#N/A,#N/A,FALSE,"환경분석";#N/A,#N/A,FALSE,"Sheet16"}</definedName>
    <definedName name="김정기" localSheetId="6" hidden="1">{#N/A,#N/A,FALSE,"지침";#N/A,#N/A,FALSE,"환경분석";#N/A,#N/A,FALSE,"Sheet16"}</definedName>
    <definedName name="김정기" localSheetId="4" hidden="1">{#N/A,#N/A,FALSE,"지침";#N/A,#N/A,FALSE,"환경분석";#N/A,#N/A,FALSE,"Sheet16"}</definedName>
    <definedName name="김정기" hidden="1">{#N/A,#N/A,FALSE,"지침";#N/A,#N/A,FALSE,"환경분석";#N/A,#N/A,FALSE,"Sheet16"}</definedName>
    <definedName name="김태우" localSheetId="10">BlankMacro1</definedName>
    <definedName name="김태우" localSheetId="11">BlankMacro1</definedName>
    <definedName name="김태우" localSheetId="9">BlankMacro1</definedName>
    <definedName name="김태우" localSheetId="2">BlankMacro1</definedName>
    <definedName name="김태우" localSheetId="12">BlankMacro1</definedName>
    <definedName name="김태우" localSheetId="3">BlankMacro1</definedName>
    <definedName name="김태우" localSheetId="6">BlankMacro1</definedName>
    <definedName name="김태우" localSheetId="4">BlankMacro1</definedName>
    <definedName name="김태우">BlankMacro1</definedName>
    <definedName name="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" hidden="1">{#N/A,#N/A,FALSE,"PART-1234-8-12-9(41)";#N/A,#N/A,FALSE,"PARTS-2(3)";#N/A,#N/A,FALSE,"VAN SYSTEM";#N/A,#N/A,FALSE,"PARTS-10(26)";#N/A,#N/A,FALSE,"PART-5-6-7-11(14)";#N/A,#N/A,FALSE,"PARTS-4(3)";#N/A,#N/A,FALSE,"PCLASS"}</definedName>
    <definedName name="ㄴㄱㄷㄹ" localSheetId="10">#REF!</definedName>
    <definedName name="ㄴㄱㄷㄹ" localSheetId="11">#REF!</definedName>
    <definedName name="ㄴㄱㄷㄹ" localSheetId="9">#REF!</definedName>
    <definedName name="ㄴㄱㄷㄹ" localSheetId="2">#REF!</definedName>
    <definedName name="ㄴㄱㄷㄹ" localSheetId="12">#REF!</definedName>
    <definedName name="ㄴㄱㄷㄹ" localSheetId="3">#REF!</definedName>
    <definedName name="ㄴㄱㄷㄹ" localSheetId="6">#REF!</definedName>
    <definedName name="ㄴㄱㄷㄹ" localSheetId="4">#REF!</definedName>
    <definedName name="ㄴㄱㄷㄹ">#REF!</definedName>
    <definedName name="ㄴㄱㄷ쇽ㅅㄷㄳㅅㅅㅅㅅ" localSheetId="10">#REF!</definedName>
    <definedName name="ㄴㄱㄷ쇽ㅅㄷㄳㅅㅅㅅㅅ" localSheetId="11">#REF!</definedName>
    <definedName name="ㄴㄱㄷ쇽ㅅㄷㄳㅅㅅㅅㅅ" localSheetId="9">#REF!</definedName>
    <definedName name="ㄴㄱㄷ쇽ㅅㄷㄳㅅㅅㅅㅅ" localSheetId="2">#REF!</definedName>
    <definedName name="ㄴㄱㄷ쇽ㅅㄷㄳㅅㅅㅅㅅ" localSheetId="12">#REF!</definedName>
    <definedName name="ㄴㄱㄷ쇽ㅅㄷㄳㅅㅅㅅㅅ" localSheetId="3">#REF!</definedName>
    <definedName name="ㄴㄱㄷ쇽ㅅㄷㄳㅅㅅㅅㅅ" localSheetId="6">#REF!</definedName>
    <definedName name="ㄴㄱㄷ쇽ㅅㄷㄳㅅㅅㅅㅅ" localSheetId="4">#REF!</definedName>
    <definedName name="ㄴㄱㄷ쇽ㅅㄷㄳㅅㅅㅅㅅ">#REF!</definedName>
    <definedName name="ㄴㄴ" localSheetId="10" hidden="1">{#N/A,#N/A,FALSE,"지침";#N/A,#N/A,FALSE,"환경분석";#N/A,#N/A,FALSE,"Sheet16"}</definedName>
    <definedName name="ㄴㄴ" localSheetId="11" hidden="1">{#N/A,#N/A,FALSE,"지침";#N/A,#N/A,FALSE,"환경분석";#N/A,#N/A,FALSE,"Sheet16"}</definedName>
    <definedName name="ㄴㄴ" localSheetId="9" hidden="1">{#N/A,#N/A,FALSE,"지침";#N/A,#N/A,FALSE,"환경분석";#N/A,#N/A,FALSE,"Sheet16"}</definedName>
    <definedName name="ㄴㄴ" localSheetId="1" hidden="1">{#N/A,#N/A,FALSE,"지침";#N/A,#N/A,FALSE,"환경분석";#N/A,#N/A,FALSE,"Sheet16"}</definedName>
    <definedName name="ㄴㄴ" localSheetId="2" hidden="1">{#N/A,#N/A,FALSE,"지침";#N/A,#N/A,FALSE,"환경분석";#N/A,#N/A,FALSE,"Sheet16"}</definedName>
    <definedName name="ㄴㄴ" localSheetId="12" hidden="1">{#N/A,#N/A,FALSE,"지침";#N/A,#N/A,FALSE,"환경분석";#N/A,#N/A,FALSE,"Sheet16"}</definedName>
    <definedName name="ㄴㄴ" localSheetId="3" hidden="1">{#N/A,#N/A,FALSE,"지침";#N/A,#N/A,FALSE,"환경분석";#N/A,#N/A,FALSE,"Sheet16"}</definedName>
    <definedName name="ㄴㄴ" localSheetId="6" hidden="1">{#N/A,#N/A,FALSE,"지침";#N/A,#N/A,FALSE,"환경분석";#N/A,#N/A,FALSE,"Sheet16"}</definedName>
    <definedName name="ㄴㄴ" localSheetId="4" hidden="1">{#N/A,#N/A,FALSE,"지침";#N/A,#N/A,FALSE,"환경분석";#N/A,#N/A,FALSE,"Sheet16"}</definedName>
    <definedName name="ㄴㄴ" hidden="1">{#N/A,#N/A,FALSE,"지침";#N/A,#N/A,FALSE,"환경분석";#N/A,#N/A,FALSE,"Sheet16"}</definedName>
    <definedName name="ㄴㄴㄴ" localSheetId="10" hidden="1">{#N/A,#N/A,FALSE,"지침";#N/A,#N/A,FALSE,"환경분석";#N/A,#N/A,FALSE,"Sheet16"}</definedName>
    <definedName name="ㄴㄴㄴ" localSheetId="11" hidden="1">{#N/A,#N/A,FALSE,"지침";#N/A,#N/A,FALSE,"환경분석";#N/A,#N/A,FALSE,"Sheet16"}</definedName>
    <definedName name="ㄴㄴㄴ" localSheetId="9" hidden="1">{#N/A,#N/A,FALSE,"지침";#N/A,#N/A,FALSE,"환경분석";#N/A,#N/A,FALSE,"Sheet16"}</definedName>
    <definedName name="ㄴㄴㄴ" localSheetId="1" hidden="1">{#N/A,#N/A,FALSE,"지침";#N/A,#N/A,FALSE,"환경분석";#N/A,#N/A,FALSE,"Sheet16"}</definedName>
    <definedName name="ㄴㄴㄴ" localSheetId="2" hidden="1">{#N/A,#N/A,FALSE,"지침";#N/A,#N/A,FALSE,"환경분석";#N/A,#N/A,FALSE,"Sheet16"}</definedName>
    <definedName name="ㄴㄴㄴ" localSheetId="12" hidden="1">{#N/A,#N/A,FALSE,"지침";#N/A,#N/A,FALSE,"환경분석";#N/A,#N/A,FALSE,"Sheet16"}</definedName>
    <definedName name="ㄴㄴㄴ" localSheetId="3" hidden="1">{#N/A,#N/A,FALSE,"지침";#N/A,#N/A,FALSE,"환경분석";#N/A,#N/A,FALSE,"Sheet16"}</definedName>
    <definedName name="ㄴㄴㄴ" localSheetId="6" hidden="1">{#N/A,#N/A,FALSE,"지침";#N/A,#N/A,FALSE,"환경분석";#N/A,#N/A,FALSE,"Sheet16"}</definedName>
    <definedName name="ㄴㄴㄴ" localSheetId="4" hidden="1">{#N/A,#N/A,FALSE,"지침";#N/A,#N/A,FALSE,"환경분석";#N/A,#N/A,FALSE,"Sheet16"}</definedName>
    <definedName name="ㄴㄴㄴ" hidden="1">{#N/A,#N/A,FALSE,"지침";#N/A,#N/A,FALSE,"환경분석";#N/A,#N/A,FALSE,"Sheet16"}</definedName>
    <definedName name="ㄴㄴㄴㄴ" localSheetId="10">BlankMacro1</definedName>
    <definedName name="ㄴㄴㄴㄴ" localSheetId="11">BlankMacro1</definedName>
    <definedName name="ㄴㄴㄴㄴ" localSheetId="9">BlankMacro1</definedName>
    <definedName name="ㄴㄴㄴㄴ" localSheetId="2">BlankMacro1</definedName>
    <definedName name="ㄴㄴㄴㄴ" localSheetId="12">BlankMacro1</definedName>
    <definedName name="ㄴㄴㄴㄴ" localSheetId="3">BlankMacro1</definedName>
    <definedName name="ㄴㄴㄴㄴ" localSheetId="6">BlankMacro1</definedName>
    <definedName name="ㄴㄴㄴㄴ" localSheetId="4">BlankMacro1</definedName>
    <definedName name="ㄴㄴㄴㄴ">BlankMacro1</definedName>
    <definedName name="ㄴㄴㄴㄴㄴㄴㄴㄱㄷㄳㅅ" localSheetId="10">#REF!</definedName>
    <definedName name="ㄴㄴㄴㄴㄴㄴㄴㄱㄷㄳㅅ" localSheetId="11">#REF!</definedName>
    <definedName name="ㄴㄴㄴㄴㄴㄴㄴㄱㄷㄳㅅ" localSheetId="9">#REF!</definedName>
    <definedName name="ㄴㄴㄴㄴㄴㄴㄴㄱㄷㄳㅅ" localSheetId="2">#REF!</definedName>
    <definedName name="ㄴㄴㄴㄴㄴㄴㄴㄱㄷㄳㅅ" localSheetId="12">#REF!</definedName>
    <definedName name="ㄴㄴㄴㄴㄴㄴㄴㄱㄷㄳㅅ" localSheetId="3">#REF!</definedName>
    <definedName name="ㄴㄴㄴㄴㄴㄴㄴㄱㄷㄳㅅ" localSheetId="6">#REF!</definedName>
    <definedName name="ㄴㄴㄴㄴㄴㄴㄴㄱㄷㄳㅅ" localSheetId="4">#REF!</definedName>
    <definedName name="ㄴㄴㄴㄴㄴㄴㄴㄱㄷㄳㅅ">#REF!</definedName>
    <definedName name="ㄴㄴㄴㄴㄴㄴㄴㄴㄴㄴㄴㄳㄷㅅㄷㄱ" localSheetId="10">#REF!</definedName>
    <definedName name="ㄴㄴㄴㄴㄴㄴㄴㄴㄴㄴㄴㄳㄷㅅㄷㄱ" localSheetId="11">#REF!</definedName>
    <definedName name="ㄴㄴㄴㄴㄴㄴㄴㄴㄴㄴㄴㄳㄷㅅㄷㄱ" localSheetId="9">#REF!</definedName>
    <definedName name="ㄴㄴㄴㄴㄴㄴㄴㄴㄴㄴㄴㄳㄷㅅㄷㄱ" localSheetId="2">#REF!</definedName>
    <definedName name="ㄴㄴㄴㄴㄴㄴㄴㄴㄴㄴㄴㄳㄷㅅㄷㄱ" localSheetId="12">#REF!</definedName>
    <definedName name="ㄴㄴㄴㄴㄴㄴㄴㄴㄴㄴㄴㄳㄷㅅㄷㄱ" localSheetId="3">#REF!</definedName>
    <definedName name="ㄴㄴㄴㄴㄴㄴㄴㄴㄴㄴㄴㄳㄷㅅㄷㄱ" localSheetId="6">#REF!</definedName>
    <definedName name="ㄴㄴㄴㄴㄴㄴㄴㄴㄴㄴㄴㄳㄷㅅㄷㄱ" localSheetId="4">#REF!</definedName>
    <definedName name="ㄴㄴㄴㄴㄴㄴㄴㄴㄴㄴㄴㄳㄷㅅㄷㄱ">#REF!</definedName>
    <definedName name="ㄴㄴㄴㄹ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ㄶㄹㅇㅅㅅㅅ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ㄷㄳㄷㄷㄷ" localSheetId="10">#REF!</definedName>
    <definedName name="ㄴㄷㄳㄷㄷㄷ" localSheetId="11">#REF!</definedName>
    <definedName name="ㄴㄷㄳㄷㄷㄷ" localSheetId="9">#REF!</definedName>
    <definedName name="ㄴㄷㄳㄷㄷㄷ" localSheetId="2">#REF!</definedName>
    <definedName name="ㄴㄷㄳㄷㄷㄷ" localSheetId="12">#REF!</definedName>
    <definedName name="ㄴㄷㄳㄷㄷㄷ" localSheetId="3">#REF!</definedName>
    <definedName name="ㄴㄷㄳㄷㄷㄷ" localSheetId="6">#REF!</definedName>
    <definedName name="ㄴㄷㄳㄷㄷㄷ" localSheetId="4">#REF!</definedName>
    <definedName name="ㄴㄷㄳㄷㄷㄷ">#REF!</definedName>
    <definedName name="ㄴㄹㅇㄹㄷㄷㄱㅈ" localSheetId="10">#REF!</definedName>
    <definedName name="ㄴㄹㅇㄹㄷㄷㄱㅈ" localSheetId="11">#REF!</definedName>
    <definedName name="ㄴㄹㅇㄹㄷㄷㄱㅈ" localSheetId="9">#REF!</definedName>
    <definedName name="ㄴㄹㅇㄹㄷㄷㄱㅈ" localSheetId="2">#REF!</definedName>
    <definedName name="ㄴㄹㅇㄹㄷㄷㄱㅈ" localSheetId="12">#REF!</definedName>
    <definedName name="ㄴㄹㅇㄹㄷㄷㄱㅈ" localSheetId="3">#REF!</definedName>
    <definedName name="ㄴㄹㅇㄹㄷㄷㄱㅈ" localSheetId="6">#REF!</definedName>
    <definedName name="ㄴㄹㅇㄹㄷㄷㄱㅈ" localSheetId="4">#REF!</definedName>
    <definedName name="ㄴㄹㅇㄹㄷㄷㄱㅈ">#REF!</definedName>
    <definedName name="ㄴㅁㅁ" localSheetId="10">'2.추정(긍정)'!ㄴㅁㅁ</definedName>
    <definedName name="ㄴㅁㅁ" localSheetId="11">'2.추정(부정)'!ㄴㅁㅁ</definedName>
    <definedName name="ㄴㅁㅁ" localSheetId="9">구NCP!ㄴㅁㅁ</definedName>
    <definedName name="ㄴㅁㅁ" localSheetId="2">추정!ㄴㅁㅁ</definedName>
    <definedName name="ㄴㅁㅁ" localSheetId="12">#N/A</definedName>
    <definedName name="ㄴㅁㅁ" localSheetId="3">#N/A</definedName>
    <definedName name="ㄴㅁㅁ" localSheetId="6">평정!ㄴㅁㅁ</definedName>
    <definedName name="ㄴㅁㅁ" localSheetId="4">NCP!ㄴㅁㅁ</definedName>
    <definedName name="ㄴㅁㅁ">'2.추정(긍정)'!ㄴㅁㅁ</definedName>
    <definedName name="ㄴ머" localSheetId="10">'2.추정(긍정)'!ㄴ머</definedName>
    <definedName name="ㄴ머" localSheetId="11">'2.추정(부정)'!ㄴ머</definedName>
    <definedName name="ㄴ머" localSheetId="9">구NCP!ㄴ머</definedName>
    <definedName name="ㄴ머" localSheetId="2">추정!ㄴ머</definedName>
    <definedName name="ㄴ머" localSheetId="12">#N/A</definedName>
    <definedName name="ㄴ머" localSheetId="3">#N/A</definedName>
    <definedName name="ㄴ머" localSheetId="6">평정!ㄴ머</definedName>
    <definedName name="ㄴ머" localSheetId="4">NCP!ㄴ머</definedName>
    <definedName name="ㄴ머">'2.추정(긍정)'!ㄴ머</definedName>
    <definedName name="ㄴㅅㄱㄷㄴㅅㄱㄷㅅㄱㄷㅅㄱㄷ" localSheetId="10">#REF!</definedName>
    <definedName name="ㄴㅅㄱㄷㄴㅅㄱㄷㅅㄱㄷㅅㄱㄷ" localSheetId="11">#REF!</definedName>
    <definedName name="ㄴㅅㄱㄷㄴㅅㄱㄷㅅㄱㄷㅅㄱㄷ" localSheetId="9">#REF!</definedName>
    <definedName name="ㄴㅅㄱㄷㄴㅅㄱㄷㅅㄱㄷㅅㄱㄷ" localSheetId="2">#REF!</definedName>
    <definedName name="ㄴㅅㄱㄷㄴㅅㄱㄷㅅㄱㄷㅅㄱㄷ" localSheetId="12">#REF!</definedName>
    <definedName name="ㄴㅅㄱㄷㄴㅅㄱㄷㅅㄱㄷㅅㄱㄷ" localSheetId="3">#REF!</definedName>
    <definedName name="ㄴㅅㄱㄷㄴㅅㄱㄷㅅㄱㄷㅅㄱㄷ" localSheetId="6">#REF!</definedName>
    <definedName name="ㄴㅅㄱㄷㄴㅅㄱㄷㅅㄱㄷㅅㄱㄷ" localSheetId="4">#REF!</definedName>
    <definedName name="ㄴㅅㄱㄷㄴㅅㄱㄷㅅㄱㄷㅅㄱㄷ">#REF!</definedName>
    <definedName name="ㄴㅅㄱㄷㅅㄱㄷㅅㄱㄷ4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ㅅㄱㄷㄴㄴㅅㄱㄷ" localSheetId="10">#REF!</definedName>
    <definedName name="ㄴㅅㄱㄷㅅㄱㄷㅅㄱㄷㅅㄱㄷㄴㄴㅅㄱㄷ" localSheetId="11">#REF!</definedName>
    <definedName name="ㄴㅅㄱㄷㅅㄱㄷㅅㄱㄷㅅㄱㄷㄴㄴㅅㄱㄷ" localSheetId="9">#REF!</definedName>
    <definedName name="ㄴㅅㄱㄷㅅㄱㄷㅅㄱㄷㅅㄱㄷㄴㄴㅅㄱㄷ" localSheetId="2">#REF!</definedName>
    <definedName name="ㄴㅅㄱㄷㅅㄱㄷㅅㄱㄷㅅㄱㄷㄴㄴㅅㄱㄷ" localSheetId="12">#REF!</definedName>
    <definedName name="ㄴㅅㄱㄷㅅㄱㄷㅅㄱㄷㅅㄱㄷㄴㄴㅅㄱㄷ" localSheetId="3">#REF!</definedName>
    <definedName name="ㄴㅅㄱㄷㅅㄱㄷㅅㄱㄷㅅㄱㄷㄴㄴㅅㄱㄷ" localSheetId="6">#REF!</definedName>
    <definedName name="ㄴㅅㄱㄷㅅㄱㄷㅅㄱㄷㅅㄱㄷㄴㄴㅅㄱㄷ" localSheetId="4">#REF!</definedName>
    <definedName name="ㄴㅅㄱㄷㅅㄱㄷㅅㄱㄷㅅㄱㄷㄴㄴㅅㄱㄷ">#REF!</definedName>
    <definedName name="ㄴㅅㄱㄷㅅㄱㄷㅅㄱㄷㅅㄷㄳㄷㄷㄱ" localSheetId="10">#REF!</definedName>
    <definedName name="ㄴㅅㄱㄷㅅㄱㄷㅅㄱㄷㅅㄷㄳㄷㄷㄱ" localSheetId="11">#REF!</definedName>
    <definedName name="ㄴㅅㄱㄷㅅㄱㄷㅅㄱㄷㅅㄷㄳㄷㄷㄱ" localSheetId="9">#REF!</definedName>
    <definedName name="ㄴㅅㄱㄷㅅㄱㄷㅅㄱㄷㅅㄷㄳㄷㄷㄱ" localSheetId="2">#REF!</definedName>
    <definedName name="ㄴㅅㄱㄷㅅㄱㄷㅅㄱㄷㅅㄷㄳㄷㄷㄱ" localSheetId="12">#REF!</definedName>
    <definedName name="ㄴㅅㄱㄷㅅㄱㄷㅅㄱㄷㅅㄷㄳㄷㄷㄱ" localSheetId="3">#REF!</definedName>
    <definedName name="ㄴㅅㄱㄷㅅㄱㄷㅅㄱㄷㅅㄷㄳㄷㄷㄱ" localSheetId="6">#REF!</definedName>
    <definedName name="ㄴㅅㄱㄷㅅㄱㄷㅅㄱㄷㅅㄷㄳㄷㄷㄱ" localSheetId="4">#REF!</definedName>
    <definedName name="ㄴㅅㄱㄷㅅㄱㄷㅅㄱㄷㅅㄷㄳㄷㄷㄱ">#REF!</definedName>
    <definedName name="ㄴㅅㄱㄷㅅㄷㄱㄱㄱㄱㄱㄱ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ㄳㄱㄷㄴㅅㄱㄷㅅㄱㄷㅅㄱㄷ" localSheetId="10">#REF!</definedName>
    <definedName name="ㄴㅅㄱㄷㅅㄷㄳㄱㄷㄴㅅㄱㄷㅅㄱㄷㅅㄱㄷ" localSheetId="11">#REF!</definedName>
    <definedName name="ㄴㅅㄱㄷㅅㄷㄳㄱㄷㄴㅅㄱㄷㅅㄱㄷㅅㄱㄷ" localSheetId="9">#REF!</definedName>
    <definedName name="ㄴㅅㄱㄷㅅㄷㄳㄱㄷㄴㅅㄱㄷㅅㄱㄷㅅㄱㄷ" localSheetId="2">#REF!</definedName>
    <definedName name="ㄴㅅㄱㄷㅅㄷㄳㄱㄷㄴㅅㄱㄷㅅㄱㄷㅅㄱㄷ" localSheetId="12">#REF!</definedName>
    <definedName name="ㄴㅅㄱㄷㅅㄷㄳㄱㄷㄴㅅㄱㄷㅅㄱㄷㅅㄱㄷ" localSheetId="3">#REF!</definedName>
    <definedName name="ㄴㅅㄱㄷㅅㄷㄳㄱㄷㄴㅅㄱㄷㅅㄱㄷㅅㄱㄷ" localSheetId="6">#REF!</definedName>
    <definedName name="ㄴㅅㄱㄷㅅㄷㄳㄱㄷㄴㅅㄱㄷㅅㄱㄷㅅㄱㄷ" localSheetId="4">#REF!</definedName>
    <definedName name="ㄴㅅㄱㄷㅅㄷㄳㄱㄷㄴㅅㄱㄷㅅㄱㄷㅅㄱㄷ">#REF!</definedName>
    <definedName name="ㄴㅅㄱㄷㅅㄳㄱㄷㅅㄱㄷㅅㄷㄱ" localSheetId="10">#REF!</definedName>
    <definedName name="ㄴㅅㄱㄷㅅㄳㄱㄷㅅㄱㄷㅅㄷㄱ" localSheetId="11">#REF!</definedName>
    <definedName name="ㄴㅅㄱㄷㅅㄳㄱㄷㅅㄱㄷㅅㄷㄱ" localSheetId="9">#REF!</definedName>
    <definedName name="ㄴㅅㄱㄷㅅㄳㄱㄷㅅㄱㄷㅅㄷㄱ" localSheetId="2">#REF!</definedName>
    <definedName name="ㄴㅅㄱㄷㅅㄳㄱㄷㅅㄱㄷㅅㄷㄱ" localSheetId="12">#REF!</definedName>
    <definedName name="ㄴㅅㄱㄷㅅㄳㄱㄷㅅㄱㄷㅅㄷㄱ" localSheetId="3">#REF!</definedName>
    <definedName name="ㄴㅅㄱㄷㅅㄳㄱㄷㅅㄱㄷㅅㄷㄱ" localSheetId="6">#REF!</definedName>
    <definedName name="ㄴㅅㄱㄷㅅㄳㄱㄷㅅㄱㄷㅅㄷㄱ" localSheetId="4">#REF!</definedName>
    <definedName name="ㄴㅅㄱㄷㅅㄳㄱㄷㅅㄱㄷㅅㄷㄱ">#REF!</definedName>
    <definedName name="ㄴㅅㄴㅅㄷㄱㄷㅅ" localSheetId="10">#REF!,#REF!,#REF!,#REF!,#REF!,#REF!</definedName>
    <definedName name="ㄴㅅㄴㅅㄷㄱㄷㅅ" localSheetId="11">#REF!,#REF!,#REF!,#REF!,#REF!,#REF!</definedName>
    <definedName name="ㄴㅅㄴㅅㄷㄱㄷㅅ" localSheetId="9">#REF!,#REF!,#REF!,#REF!,#REF!,#REF!</definedName>
    <definedName name="ㄴㅅㄴㅅㄷㄱㄷㅅ" localSheetId="2">#REF!,#REF!,#REF!,#REF!,#REF!,#REF!</definedName>
    <definedName name="ㄴㅅㄴㅅㄷㄱㄷㅅ" localSheetId="12">#REF!,#REF!,#REF!,#REF!,#REF!,#REF!</definedName>
    <definedName name="ㄴㅅㄴㅅㄷㄱㄷㅅ" localSheetId="3">#REF!,#REF!,#REF!,#REF!,#REF!,#REF!</definedName>
    <definedName name="ㄴㅅㄴㅅㄷㄱㄷㅅ" localSheetId="6">#REF!,#REF!,#REF!,#REF!,#REF!,#REF!</definedName>
    <definedName name="ㄴㅅㄴㅅㄷㄱㄷㅅ" localSheetId="4">#REF!,#REF!,#REF!,#REF!,#REF!,#REF!</definedName>
    <definedName name="ㄴㅅㄴㅅㄷㄱㄷㅅ">#REF!,#REF!,#REF!,#REF!,#REF!,#REF!</definedName>
    <definedName name="ㄴㅅㄷㅅㄳㄷㅅㄱ" localSheetId="10">#REF!,#REF!,#REF!,#REF!,#REF!,#REF!</definedName>
    <definedName name="ㄴㅅㄷㅅㄳㄷㅅㄱ" localSheetId="11">#REF!,#REF!,#REF!,#REF!,#REF!,#REF!</definedName>
    <definedName name="ㄴㅅㄷㅅㄳㄷㅅㄱ" localSheetId="9">#REF!,#REF!,#REF!,#REF!,#REF!,#REF!</definedName>
    <definedName name="ㄴㅅㄷㅅㄳㄷㅅㄱ" localSheetId="2">#REF!,#REF!,#REF!,#REF!,#REF!,#REF!</definedName>
    <definedName name="ㄴㅅㄷㅅㄳㄷㅅㄱ" localSheetId="12">#REF!,#REF!,#REF!,#REF!,#REF!,#REF!</definedName>
    <definedName name="ㄴㅅㄷㅅㄳㄷㅅㄱ" localSheetId="3">#REF!,#REF!,#REF!,#REF!,#REF!,#REF!</definedName>
    <definedName name="ㄴㅅㄷㅅㄳㄷㅅㄱ" localSheetId="6">#REF!,#REF!,#REF!,#REF!,#REF!,#REF!</definedName>
    <definedName name="ㄴㅅㄷㅅㄳㄷㅅㄱ" localSheetId="4">#REF!,#REF!,#REF!,#REF!,#REF!,#REF!</definedName>
    <definedName name="ㄴㅅㄷㅅㄳㄷㅅㄱ">#REF!,#REF!,#REF!,#REF!,#REF!,#REF!</definedName>
    <definedName name="ㄴㅅㄷㄳㄴㄱㄷㅅ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hidden="1">{#N/A,#N/A,FALSE,"PART-1234-8-12-9(41)";#N/A,#N/A,FALSE,"PARTS-2(3)";#N/A,#N/A,FALSE,"VAN SYSTEM";#N/A,#N/A,FALSE,"PARTS-10(26)";#N/A,#N/A,FALSE,"PART-5-6-7-11(14)";#N/A,#N/A,FALSE,"PARTS-4(3)";#N/A,#N/A,FALSE,"PCLASS"}</definedName>
    <definedName name="ㄴㅅㅅㄱㄷㄴㄳ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ㅇ" localSheetId="10" hidden="1">{#N/A,#N/A,FALSE,"지침";#N/A,#N/A,FALSE,"환경분석";#N/A,#N/A,FALSE,"Sheet16"}</definedName>
    <definedName name="ㄴㅇ" localSheetId="11" hidden="1">{#N/A,#N/A,FALSE,"지침";#N/A,#N/A,FALSE,"환경분석";#N/A,#N/A,FALSE,"Sheet16"}</definedName>
    <definedName name="ㄴㅇ" localSheetId="9" hidden="1">{#N/A,#N/A,FALSE,"지침";#N/A,#N/A,FALSE,"환경분석";#N/A,#N/A,FALSE,"Sheet16"}</definedName>
    <definedName name="ㄴㅇ" localSheetId="1" hidden="1">{#N/A,#N/A,FALSE,"지침";#N/A,#N/A,FALSE,"환경분석";#N/A,#N/A,FALSE,"Sheet16"}</definedName>
    <definedName name="ㄴㅇ" localSheetId="2" hidden="1">{#N/A,#N/A,FALSE,"지침";#N/A,#N/A,FALSE,"환경분석";#N/A,#N/A,FALSE,"Sheet16"}</definedName>
    <definedName name="ㄴㅇ" localSheetId="12" hidden="1">{#N/A,#N/A,FALSE,"지침";#N/A,#N/A,FALSE,"환경분석";#N/A,#N/A,FALSE,"Sheet16"}</definedName>
    <definedName name="ㄴㅇ" localSheetId="3" hidden="1">{#N/A,#N/A,FALSE,"지침";#N/A,#N/A,FALSE,"환경분석";#N/A,#N/A,FALSE,"Sheet16"}</definedName>
    <definedName name="ㄴㅇ" localSheetId="6" hidden="1">{#N/A,#N/A,FALSE,"지침";#N/A,#N/A,FALSE,"환경분석";#N/A,#N/A,FALSE,"Sheet16"}</definedName>
    <definedName name="ㄴㅇ" localSheetId="4" hidden="1">{#N/A,#N/A,FALSE,"지침";#N/A,#N/A,FALSE,"환경분석";#N/A,#N/A,FALSE,"Sheet16"}</definedName>
    <definedName name="ㄴㅇ" hidden="1">{#N/A,#N/A,FALSE,"지침";#N/A,#N/A,FALSE,"환경분석";#N/A,#N/A,FALSE,"Sheet16"}</definedName>
    <definedName name="ㄴㅇㄹㄹㄹㄹㄹㄹㄹ" localSheetId="10">#REF!</definedName>
    <definedName name="ㄴㅇㄹㄹㄹㄹㄹㄹㄹ" localSheetId="11">#REF!</definedName>
    <definedName name="ㄴㅇㄹㄹㄹㄹㄹㄹㄹ" localSheetId="9">#REF!</definedName>
    <definedName name="ㄴㅇㄹㄹㄹㄹㄹㄹㄹ" localSheetId="2">#REF!</definedName>
    <definedName name="ㄴㅇㄹㄹㄹㄹㄹㄹㄹ" localSheetId="12">#REF!</definedName>
    <definedName name="ㄴㅇㄹㄹㄹㄹㄹㄹㄹ" localSheetId="3">#REF!</definedName>
    <definedName name="ㄴㅇㄹㄹㄹㄹㄹㄹㄹ" localSheetId="6">#REF!</definedName>
    <definedName name="ㄴㅇㄹㄹㄹㄹㄹㄹㄹ" localSheetId="4">#REF!</definedName>
    <definedName name="ㄴㅇㄹㄹㄹㄹㄹㄹㄹ">#REF!</definedName>
    <definedName name="ㄴㅇㅎㄹㄴㅇㄹ" localSheetId="10" hidden="1">{#N/A,#N/A,FALSE,"지침";#N/A,#N/A,FALSE,"환경분석";#N/A,#N/A,FALSE,"Sheet16"}</definedName>
    <definedName name="ㄴㅇㅎㄹㄴㅇㄹ" localSheetId="11" hidden="1">{#N/A,#N/A,FALSE,"지침";#N/A,#N/A,FALSE,"환경분석";#N/A,#N/A,FALSE,"Sheet16"}</definedName>
    <definedName name="ㄴㅇㅎㄹㄴㅇㄹ" localSheetId="9" hidden="1">{#N/A,#N/A,FALSE,"지침";#N/A,#N/A,FALSE,"환경분석";#N/A,#N/A,FALSE,"Sheet16"}</definedName>
    <definedName name="ㄴㅇㅎㄹㄴㅇㄹ" localSheetId="1" hidden="1">{#N/A,#N/A,FALSE,"지침";#N/A,#N/A,FALSE,"환경분석";#N/A,#N/A,FALSE,"Sheet16"}</definedName>
    <definedName name="ㄴㅇㅎㄹㄴㅇㄹ" localSheetId="2" hidden="1">{#N/A,#N/A,FALSE,"지침";#N/A,#N/A,FALSE,"환경분석";#N/A,#N/A,FALSE,"Sheet16"}</definedName>
    <definedName name="ㄴㅇㅎㄹㄴㅇㄹ" localSheetId="12" hidden="1">{#N/A,#N/A,FALSE,"지침";#N/A,#N/A,FALSE,"환경분석";#N/A,#N/A,FALSE,"Sheet16"}</definedName>
    <definedName name="ㄴㅇㅎㄹㄴㅇㄹ" localSheetId="3" hidden="1">{#N/A,#N/A,FALSE,"지침";#N/A,#N/A,FALSE,"환경분석";#N/A,#N/A,FALSE,"Sheet16"}</definedName>
    <definedName name="ㄴㅇㅎㄹㄴㅇㄹ" localSheetId="6" hidden="1">{#N/A,#N/A,FALSE,"지침";#N/A,#N/A,FALSE,"환경분석";#N/A,#N/A,FALSE,"Sheet16"}</definedName>
    <definedName name="ㄴㅇㅎㄹㄴㅇㄹ" localSheetId="4" hidden="1">{#N/A,#N/A,FALSE,"지침";#N/A,#N/A,FALSE,"환경분석";#N/A,#N/A,FALSE,"Sheet16"}</definedName>
    <definedName name="ㄴㅇㅎㄹㄴㅇㄹ" hidden="1">{#N/A,#N/A,FALSE,"지침";#N/A,#N/A,FALSE,"환경분석";#N/A,#N/A,FALSE,"Sheet16"}</definedName>
    <definedName name="ㄴㅌ" localSheetId="10">'2.추정(긍정)'!ㄴㅌ</definedName>
    <definedName name="ㄴㅌ" localSheetId="11">'2.추정(부정)'!ㄴㅌ</definedName>
    <definedName name="ㄴㅌ" localSheetId="9">구NCP!ㄴㅌ</definedName>
    <definedName name="ㄴㅌ" localSheetId="2">추정!ㄴㅌ</definedName>
    <definedName name="ㄴㅌ" localSheetId="12">#N/A</definedName>
    <definedName name="ㄴㅌ" localSheetId="3">#N/A</definedName>
    <definedName name="ㄴㅌ" localSheetId="6">평정!ㄴㅌ</definedName>
    <definedName name="ㄴㅌ" localSheetId="4">NCP!ㄴㅌ</definedName>
    <definedName name="ㄴㅌ">'2.추정(긍정)'!ㄴㅌ</definedName>
    <definedName name="나라" localSheetId="10">#REF!</definedName>
    <definedName name="나라" localSheetId="11">#REF!</definedName>
    <definedName name="나라" localSheetId="9">#REF!</definedName>
    <definedName name="나라" localSheetId="2">#REF!</definedName>
    <definedName name="나라" localSheetId="12">#REF!</definedName>
    <definedName name="나라" localSheetId="3">#REF!</definedName>
    <definedName name="나라" localSheetId="6">#REF!</definedName>
    <definedName name="나라" localSheetId="4">#REF!</definedName>
    <definedName name="나라">#REF!</definedName>
    <definedName name="나이스">[0]!나이스</definedName>
    <definedName name="넉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넉" hidden="1">{#N/A,#N/A,FALSE,"PART-1234-8-12-9(41)";#N/A,#N/A,FALSE,"PARTS-2(3)";#N/A,#N/A,FALSE,"VAN SYSTEM";#N/A,#N/A,FALSE,"PARTS-10(26)";#N/A,#N/A,FALSE,"PART-5-6-7-11(14)";#N/A,#N/A,FALSE,"PARTS-4(3)";#N/A,#N/A,FALSE,"PCLASS"}</definedName>
    <definedName name="너쇼ㅓㅜ" localSheetId="10">'2.추정(긍정)'!너쇼ㅓㅜ</definedName>
    <definedName name="너쇼ㅓㅜ" localSheetId="11">'2.추정(부정)'!너쇼ㅓㅜ</definedName>
    <definedName name="너쇼ㅓㅜ" localSheetId="9">구NCP!너쇼ㅓㅜ</definedName>
    <definedName name="너쇼ㅓㅜ" localSheetId="2">추정!너쇼ㅓㅜ</definedName>
    <definedName name="너쇼ㅓㅜ" localSheetId="12">#N/A</definedName>
    <definedName name="너쇼ㅓㅜ" localSheetId="3">#N/A</definedName>
    <definedName name="너쇼ㅓㅜ" localSheetId="6">평정!너쇼ㅓㅜ</definedName>
    <definedName name="너쇼ㅓㅜ" localSheetId="4">NCP!너쇼ㅓㅜ</definedName>
    <definedName name="너쇼ㅓㅜ">'2.추정(긍정)'!너쇼ㅓㅜ</definedName>
    <definedName name="년" localSheetId="10">{#N/A,#N/A,FALSE,"PART-1234-8-12-9(41)";#N/A,#N/A,FALSE,"PARTS-2(3)";#N/A,#N/A,FALSE,"VAN SYSTEM";#N/A,#N/A,FALSE,"PARTS-10(26)";#N/A,#N/A,FALSE,"PART-5-6-7-11(14)";#N/A,#N/A,FALSE,"PARTS-4(3)";#N/A,#N/A,FALSE,"PCLASS"}</definedName>
    <definedName name="년" localSheetId="11">{#N/A,#N/A,FALSE,"PART-1234-8-12-9(41)";#N/A,#N/A,FALSE,"PARTS-2(3)";#N/A,#N/A,FALSE,"VAN SYSTEM";#N/A,#N/A,FALSE,"PARTS-10(26)";#N/A,#N/A,FALSE,"PART-5-6-7-11(14)";#N/A,#N/A,FALSE,"PARTS-4(3)";#N/A,#N/A,FALSE,"PCLASS"}</definedName>
    <definedName name="년" localSheetId="9">{#N/A,#N/A,FALSE,"PART-1234-8-12-9(41)";#N/A,#N/A,FALSE,"PARTS-2(3)";#N/A,#N/A,FALSE,"VAN SYSTEM";#N/A,#N/A,FALSE,"PARTS-10(26)";#N/A,#N/A,FALSE,"PART-5-6-7-11(14)";#N/A,#N/A,FALSE,"PARTS-4(3)";#N/A,#N/A,FALSE,"PCLASS"}</definedName>
    <definedName name="년" localSheetId="2">{#N/A,#N/A,FALSE,"PART-1234-8-12-9(41)";#N/A,#N/A,FALSE,"PARTS-2(3)";#N/A,#N/A,FALSE,"VAN SYSTEM";#N/A,#N/A,FALSE,"PARTS-10(26)";#N/A,#N/A,FALSE,"PART-5-6-7-11(14)";#N/A,#N/A,FALSE,"PARTS-4(3)";#N/A,#N/A,FALSE,"PCLASS"}</definedName>
    <definedName name="년" localSheetId="12">{#N/A,#N/A,FALSE,"PART-1234-8-12-9(41)";#N/A,#N/A,FALSE,"PARTS-2(3)";#N/A,#N/A,FALSE,"VAN SYSTEM";#N/A,#N/A,FALSE,"PARTS-10(26)";#N/A,#N/A,FALSE,"PART-5-6-7-11(14)";#N/A,#N/A,FALSE,"PARTS-4(3)";#N/A,#N/A,FALSE,"PCLASS"}</definedName>
    <definedName name="년" localSheetId="3">{#N/A,#N/A,FALSE,"PART-1234-8-12-9(41)";#N/A,#N/A,FALSE,"PARTS-2(3)";#N/A,#N/A,FALSE,"VAN SYSTEM";#N/A,#N/A,FALSE,"PARTS-10(26)";#N/A,#N/A,FALSE,"PART-5-6-7-11(14)";#N/A,#N/A,FALSE,"PARTS-4(3)";#N/A,#N/A,FALSE,"PCLASS"}</definedName>
    <definedName name="년" localSheetId="6">{#N/A,#N/A,FALSE,"PART-1234-8-12-9(41)";#N/A,#N/A,FALSE,"PARTS-2(3)";#N/A,#N/A,FALSE,"VAN SYSTEM";#N/A,#N/A,FALSE,"PARTS-10(26)";#N/A,#N/A,FALSE,"PART-5-6-7-11(14)";#N/A,#N/A,FALSE,"PARTS-4(3)";#N/A,#N/A,FALSE,"PCLASS"}</definedName>
    <definedName name="년" localSheetId="4">{#N/A,#N/A,FALSE,"PART-1234-8-12-9(41)";#N/A,#N/A,FALSE,"PARTS-2(3)";#N/A,#N/A,FALSE,"VAN SYSTEM";#N/A,#N/A,FALSE,"PARTS-10(26)";#N/A,#N/A,FALSE,"PART-5-6-7-11(14)";#N/A,#N/A,FALSE,"PARTS-4(3)";#N/A,#N/A,FALSE,"PCLASS"}</definedName>
    <definedName name="년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hidden="1">{#N/A,#N/A,FALSE,"PART-1234-8-12-9(41)";#N/A,#N/A,FALSE,"PARTS-2(3)";#N/A,#N/A,FALSE,"VAN SYSTEM";#N/A,#N/A,FALSE,"PARTS-10(26)";#N/A,#N/A,FALSE,"PART-5-6-7-11(14)";#N/A,#N/A,FALSE,"PARTS-4(3)";#N/A,#N/A,FALSE,"PCLASS"}</definedName>
    <definedName name="뇩ㄷㄱㄷㅅㄱㄷㅅ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누적손익" localSheetId="10" hidden="1">{#N/A,#N/A,FALSE,"지침";#N/A,#N/A,FALSE,"환경분석";#N/A,#N/A,FALSE,"Sheet16"}</definedName>
    <definedName name="누적손익" localSheetId="11" hidden="1">{#N/A,#N/A,FALSE,"지침";#N/A,#N/A,FALSE,"환경분석";#N/A,#N/A,FALSE,"Sheet16"}</definedName>
    <definedName name="누적손익" localSheetId="9" hidden="1">{#N/A,#N/A,FALSE,"지침";#N/A,#N/A,FALSE,"환경분석";#N/A,#N/A,FALSE,"Sheet16"}</definedName>
    <definedName name="누적손익" localSheetId="1" hidden="1">{#N/A,#N/A,FALSE,"지침";#N/A,#N/A,FALSE,"환경분석";#N/A,#N/A,FALSE,"Sheet16"}</definedName>
    <definedName name="누적손익" localSheetId="2" hidden="1">{#N/A,#N/A,FALSE,"지침";#N/A,#N/A,FALSE,"환경분석";#N/A,#N/A,FALSE,"Sheet16"}</definedName>
    <definedName name="누적손익" localSheetId="12" hidden="1">{#N/A,#N/A,FALSE,"지침";#N/A,#N/A,FALSE,"환경분석";#N/A,#N/A,FALSE,"Sheet16"}</definedName>
    <definedName name="누적손익" localSheetId="3" hidden="1">{#N/A,#N/A,FALSE,"지침";#N/A,#N/A,FALSE,"환경분석";#N/A,#N/A,FALSE,"Sheet16"}</definedName>
    <definedName name="누적손익" localSheetId="6" hidden="1">{#N/A,#N/A,FALSE,"지침";#N/A,#N/A,FALSE,"환경분석";#N/A,#N/A,FALSE,"Sheet16"}</definedName>
    <definedName name="누적손익" localSheetId="4" hidden="1">{#N/A,#N/A,FALSE,"지침";#N/A,#N/A,FALSE,"환경분석";#N/A,#N/A,FALSE,"Sheet16"}</definedName>
    <definedName name="누적손익" hidden="1">{#N/A,#N/A,FALSE,"지침";#N/A,#N/A,FALSE,"환경분석";#N/A,#N/A,FALSE,"Sheet16"}</definedName>
    <definedName name="ㄴㄳㅅㄱㄷㄱㄷㅅㄴㅅㄷㄱ" localSheetId="10">#REF!</definedName>
    <definedName name="ㄴㄳㅅㄱㄷㄱㄷㅅㄴㅅㄷㄱ" localSheetId="11">#REF!</definedName>
    <definedName name="ㄴㄳㅅㄱㄷㄱㄷㅅㄴㅅㄷㄱ" localSheetId="9">#REF!</definedName>
    <definedName name="ㄴㄳㅅㄱㄷㄱㄷㅅㄴㅅㄷㄱ" localSheetId="2">#REF!</definedName>
    <definedName name="ㄴㄳㅅㄱㄷㄱㄷㅅㄴㅅㄷㄱ" localSheetId="12">#REF!</definedName>
    <definedName name="ㄴㄳㅅㄱㄷㄱㄷㅅㄴㅅㄷㄱ" localSheetId="3">#REF!</definedName>
    <definedName name="ㄴㄳㅅㄱㄷㄱㄷㅅㄴㅅㄷㄱ" localSheetId="6">#REF!</definedName>
    <definedName name="ㄴㄳㅅㄱㄷㄱㄷㅅㄴㅅㄷㄱ" localSheetId="4">#REF!</definedName>
    <definedName name="ㄴㄳㅅㄱㄷㄱㄷㅅㄴㅅㄷㄱ">#REF!</definedName>
    <definedName name="ㄷ" localSheetId="10" hidden="1">{#N/A,#N/A,FALSE,"지침";#N/A,#N/A,FALSE,"환경분석";#N/A,#N/A,FALSE,"Sheet16"}</definedName>
    <definedName name="ㄷ" localSheetId="11" hidden="1">{#N/A,#N/A,FALSE,"지침";#N/A,#N/A,FALSE,"환경분석";#N/A,#N/A,FALSE,"Sheet16"}</definedName>
    <definedName name="ㄷ" localSheetId="9" hidden="1">{#N/A,#N/A,FALSE,"지침";#N/A,#N/A,FALSE,"환경분석";#N/A,#N/A,FALSE,"Sheet16"}</definedName>
    <definedName name="ㄷ" localSheetId="1" hidden="1">{#N/A,#N/A,FALSE,"지침";#N/A,#N/A,FALSE,"환경분석";#N/A,#N/A,FALSE,"Sheet16"}</definedName>
    <definedName name="ㄷ" localSheetId="2" hidden="1">{#N/A,#N/A,FALSE,"지침";#N/A,#N/A,FALSE,"환경분석";#N/A,#N/A,FALSE,"Sheet16"}</definedName>
    <definedName name="ㄷ" localSheetId="12" hidden="1">{#N/A,#N/A,FALSE,"지침";#N/A,#N/A,FALSE,"환경분석";#N/A,#N/A,FALSE,"Sheet16"}</definedName>
    <definedName name="ㄷ" localSheetId="3" hidden="1">{#N/A,#N/A,FALSE,"지침";#N/A,#N/A,FALSE,"환경분석";#N/A,#N/A,FALSE,"Sheet16"}</definedName>
    <definedName name="ㄷ" localSheetId="6" hidden="1">{#N/A,#N/A,FALSE,"지침";#N/A,#N/A,FALSE,"환경분석";#N/A,#N/A,FALSE,"Sheet16"}</definedName>
    <definedName name="ㄷ" localSheetId="4" hidden="1">{#N/A,#N/A,FALSE,"지침";#N/A,#N/A,FALSE,"환경분석";#N/A,#N/A,FALSE,"Sheet16"}</definedName>
    <definedName name="ㄷ" hidden="1">{#N/A,#N/A,FALSE,"지침";#N/A,#N/A,FALSE,"환경분석";#N/A,#N/A,FALSE,"Sheet16"}</definedName>
    <definedName name="ㄷ1037" localSheetId="10">#REF!</definedName>
    <definedName name="ㄷ1037" localSheetId="11">#REF!</definedName>
    <definedName name="ㄷ1037" localSheetId="9">#REF!</definedName>
    <definedName name="ㄷ1037" localSheetId="2">#REF!</definedName>
    <definedName name="ㄷ1037" localSheetId="12">#REF!</definedName>
    <definedName name="ㄷ1037" localSheetId="3">#REF!</definedName>
    <definedName name="ㄷ1037" localSheetId="6">#REF!</definedName>
    <definedName name="ㄷ1037" localSheetId="4">#REF!</definedName>
    <definedName name="ㄷ1037">#REF!</definedName>
    <definedName name="ㄷㄱㄷㄱㄷ" localSheetId="10">#REF!</definedName>
    <definedName name="ㄷㄱㄷㄱㄷ" localSheetId="11">#REF!</definedName>
    <definedName name="ㄷㄱㄷㄱㄷ" localSheetId="9">#REF!</definedName>
    <definedName name="ㄷㄱㄷㄱㄷ" localSheetId="2">#REF!</definedName>
    <definedName name="ㄷㄱㄷㄱㄷ" localSheetId="12">#REF!</definedName>
    <definedName name="ㄷㄱㄷㄱㄷ" localSheetId="3">#REF!</definedName>
    <definedName name="ㄷㄱㄷㄱㄷ" localSheetId="6">#REF!</definedName>
    <definedName name="ㄷㄱㄷㄱㄷ" localSheetId="4">#REF!</definedName>
    <definedName name="ㄷㄱㄷㄱㄷ">#REF!</definedName>
    <definedName name="ㄷㄷㄱㅈㄱㅈ" localSheetId="10" hidden="1">{#N/A,#N/A,FALSE,"지침";#N/A,#N/A,FALSE,"환경분석";#N/A,#N/A,FALSE,"Sheet16"}</definedName>
    <definedName name="ㄷㄷㄱㅈㄱㅈ" localSheetId="11" hidden="1">{#N/A,#N/A,FALSE,"지침";#N/A,#N/A,FALSE,"환경분석";#N/A,#N/A,FALSE,"Sheet16"}</definedName>
    <definedName name="ㄷㄷㄱㅈㄱㅈ" localSheetId="9" hidden="1">{#N/A,#N/A,FALSE,"지침";#N/A,#N/A,FALSE,"환경분석";#N/A,#N/A,FALSE,"Sheet16"}</definedName>
    <definedName name="ㄷㄷㄱㅈㄱㅈ" localSheetId="1" hidden="1">{#N/A,#N/A,FALSE,"지침";#N/A,#N/A,FALSE,"환경분석";#N/A,#N/A,FALSE,"Sheet16"}</definedName>
    <definedName name="ㄷㄷㄱㅈㄱㅈ" localSheetId="2" hidden="1">{#N/A,#N/A,FALSE,"지침";#N/A,#N/A,FALSE,"환경분석";#N/A,#N/A,FALSE,"Sheet16"}</definedName>
    <definedName name="ㄷㄷㄱㅈㄱㅈ" localSheetId="12" hidden="1">{#N/A,#N/A,FALSE,"지침";#N/A,#N/A,FALSE,"환경분석";#N/A,#N/A,FALSE,"Sheet16"}</definedName>
    <definedName name="ㄷㄷㄱㅈㄱㅈ" localSheetId="3" hidden="1">{#N/A,#N/A,FALSE,"지침";#N/A,#N/A,FALSE,"환경분석";#N/A,#N/A,FALSE,"Sheet16"}</definedName>
    <definedName name="ㄷㄷㄱㅈㄱㅈ" localSheetId="6" hidden="1">{#N/A,#N/A,FALSE,"지침";#N/A,#N/A,FALSE,"환경분석";#N/A,#N/A,FALSE,"Sheet16"}</definedName>
    <definedName name="ㄷㄷㄱㅈㄱㅈ" localSheetId="4" hidden="1">{#N/A,#N/A,FALSE,"지침";#N/A,#N/A,FALSE,"환경분석";#N/A,#N/A,FALSE,"Sheet16"}</definedName>
    <definedName name="ㄷㄷㄱㅈㄱㅈ" hidden="1">{#N/A,#N/A,FALSE,"지침";#N/A,#N/A,FALSE,"환경분석";#N/A,#N/A,FALSE,"Sheet16"}</definedName>
    <definedName name="ㄷㄹ" localSheetId="10" hidden="1">{#N/A,#N/A,FALSE,"지침";#N/A,#N/A,FALSE,"환경분석";#N/A,#N/A,FALSE,"Sheet16"}</definedName>
    <definedName name="ㄷㄹ" localSheetId="11" hidden="1">{#N/A,#N/A,FALSE,"지침";#N/A,#N/A,FALSE,"환경분석";#N/A,#N/A,FALSE,"Sheet16"}</definedName>
    <definedName name="ㄷㄹ" localSheetId="9" hidden="1">{#N/A,#N/A,FALSE,"지침";#N/A,#N/A,FALSE,"환경분석";#N/A,#N/A,FALSE,"Sheet16"}</definedName>
    <definedName name="ㄷㄹ" localSheetId="1" hidden="1">{#N/A,#N/A,FALSE,"지침";#N/A,#N/A,FALSE,"환경분석";#N/A,#N/A,FALSE,"Sheet16"}</definedName>
    <definedName name="ㄷㄹ" localSheetId="2" hidden="1">{#N/A,#N/A,FALSE,"지침";#N/A,#N/A,FALSE,"환경분석";#N/A,#N/A,FALSE,"Sheet16"}</definedName>
    <definedName name="ㄷㄹ" localSheetId="12" hidden="1">{#N/A,#N/A,FALSE,"지침";#N/A,#N/A,FALSE,"환경분석";#N/A,#N/A,FALSE,"Sheet16"}</definedName>
    <definedName name="ㄷㄹ" localSheetId="3" hidden="1">{#N/A,#N/A,FALSE,"지침";#N/A,#N/A,FALSE,"환경분석";#N/A,#N/A,FALSE,"Sheet16"}</definedName>
    <definedName name="ㄷㄹ" localSheetId="6" hidden="1">{#N/A,#N/A,FALSE,"지침";#N/A,#N/A,FALSE,"환경분석";#N/A,#N/A,FALSE,"Sheet16"}</definedName>
    <definedName name="ㄷㄹ" localSheetId="4" hidden="1">{#N/A,#N/A,FALSE,"지침";#N/A,#N/A,FALSE,"환경분석";#N/A,#N/A,FALSE,"Sheet16"}</definedName>
    <definedName name="ㄷㄹ" hidden="1">{#N/A,#N/A,FALSE,"지침";#N/A,#N/A,FALSE,"환경분석";#N/A,#N/A,FALSE,"Sheet16"}</definedName>
    <definedName name="ㄷㄹ햐" localSheetId="10" hidden="1">{#N/A,#N/A,FALSE,"지침";#N/A,#N/A,FALSE,"환경분석";#N/A,#N/A,FALSE,"Sheet16"}</definedName>
    <definedName name="ㄷㄹ햐" localSheetId="11" hidden="1">{#N/A,#N/A,FALSE,"지침";#N/A,#N/A,FALSE,"환경분석";#N/A,#N/A,FALSE,"Sheet16"}</definedName>
    <definedName name="ㄷㄹ햐" localSheetId="9" hidden="1">{#N/A,#N/A,FALSE,"지침";#N/A,#N/A,FALSE,"환경분석";#N/A,#N/A,FALSE,"Sheet16"}</definedName>
    <definedName name="ㄷㄹ햐" localSheetId="1" hidden="1">{#N/A,#N/A,FALSE,"지침";#N/A,#N/A,FALSE,"환경분석";#N/A,#N/A,FALSE,"Sheet16"}</definedName>
    <definedName name="ㄷㄹ햐" localSheetId="2" hidden="1">{#N/A,#N/A,FALSE,"지침";#N/A,#N/A,FALSE,"환경분석";#N/A,#N/A,FALSE,"Sheet16"}</definedName>
    <definedName name="ㄷㄹ햐" localSheetId="12" hidden="1">{#N/A,#N/A,FALSE,"지침";#N/A,#N/A,FALSE,"환경분석";#N/A,#N/A,FALSE,"Sheet16"}</definedName>
    <definedName name="ㄷㄹ햐" localSheetId="3" hidden="1">{#N/A,#N/A,FALSE,"지침";#N/A,#N/A,FALSE,"환경분석";#N/A,#N/A,FALSE,"Sheet16"}</definedName>
    <definedName name="ㄷㄹ햐" localSheetId="6" hidden="1">{#N/A,#N/A,FALSE,"지침";#N/A,#N/A,FALSE,"환경분석";#N/A,#N/A,FALSE,"Sheet16"}</definedName>
    <definedName name="ㄷㄹ햐" localSheetId="4" hidden="1">{#N/A,#N/A,FALSE,"지침";#N/A,#N/A,FALSE,"환경분석";#N/A,#N/A,FALSE,"Sheet16"}</definedName>
    <definedName name="ㄷㄹ햐" hidden="1">{#N/A,#N/A,FALSE,"지침";#N/A,#N/A,FALSE,"환경분석";#N/A,#N/A,FALSE,"Sheet16"}</definedName>
    <definedName name="ㄷㅅㄱㄷㅅㄱㄷ" localSheetId="10">#REF!</definedName>
    <definedName name="ㄷㅅㄱㄷㅅㄱㄷ" localSheetId="11">#REF!</definedName>
    <definedName name="ㄷㅅㄱㄷㅅㄱㄷ" localSheetId="9">#REF!</definedName>
    <definedName name="ㄷㅅㄱㄷㅅㄱㄷ" localSheetId="2">#REF!</definedName>
    <definedName name="ㄷㅅㄱㄷㅅㄱㄷ" localSheetId="12">#REF!</definedName>
    <definedName name="ㄷㅅㄱㄷㅅㄱㄷ" localSheetId="3">#REF!</definedName>
    <definedName name="ㄷㅅㄱㄷㅅㄱㄷ" localSheetId="6">#REF!</definedName>
    <definedName name="ㄷㅅㄱㄷㅅㄱㄷ" localSheetId="4">#REF!</definedName>
    <definedName name="ㄷㅅㄱㄷㅅㄱㄷ">#REF!</definedName>
    <definedName name="ㄷㅅㄱㅈㅅㄱㄷㄱㄷㄴㅅㄱㄷ" localSheetId="10">#REF!</definedName>
    <definedName name="ㄷㅅㄱㅈㅅㄱㄷㄱㄷㄴㅅㄱㄷ" localSheetId="11">#REF!</definedName>
    <definedName name="ㄷㅅㄱㅈㅅㄱㄷㄱㄷㄴㅅㄱㄷ" localSheetId="9">#REF!</definedName>
    <definedName name="ㄷㅅㄱㅈㅅㄱㄷㄱㄷㄴㅅㄱㄷ" localSheetId="2">#REF!</definedName>
    <definedName name="ㄷㅅㄱㅈㅅㄱㄷㄱㄷㄴㅅㄱㄷ" localSheetId="12">#REF!</definedName>
    <definedName name="ㄷㅅㄱㅈㅅㄱㄷㄱㄷㄴㅅㄱㄷ" localSheetId="3">#REF!</definedName>
    <definedName name="ㄷㅅㄱㅈㅅㄱㄷㄱㄷㄴㅅㄱㄷ" localSheetId="6">#REF!</definedName>
    <definedName name="ㄷㅅㄱㅈㅅㄱㄷㄱㄷㄴㅅㄱㄷ" localSheetId="4">#REF!</definedName>
    <definedName name="ㄷㅅㄱㅈㅅㄱㄷㄱㄷㄴㅅㄱㄷ">#REF!</definedName>
    <definedName name="ㄷㅈㄱㄹㅈ" localSheetId="10">#REF!</definedName>
    <definedName name="ㄷㅈㄱㄹㅈ" localSheetId="11">#REF!</definedName>
    <definedName name="ㄷㅈㄱㄹㅈ" localSheetId="9">#REF!</definedName>
    <definedName name="ㄷㅈㄱㄹㅈ" localSheetId="2">#REF!</definedName>
    <definedName name="ㄷㅈㄱㄹㅈ" localSheetId="12">#REF!</definedName>
    <definedName name="ㄷㅈㄱㄹㅈ" localSheetId="3">#REF!</definedName>
    <definedName name="ㄷㅈㄱㄹㅈ" localSheetId="6">#REF!</definedName>
    <definedName name="ㄷㅈㄱㄹㅈ" localSheetId="4">#REF!</definedName>
    <definedName name="ㄷㅈㄱㄹㅈ">#REF!</definedName>
    <definedName name="ㄷㅈㅂㄱㄷㅈㅇㅇㅇㅁㅁ" localSheetId="10">#REF!</definedName>
    <definedName name="ㄷㅈㅂㄱㄷㅈㅇㅇㅇㅁㅁ" localSheetId="11">#REF!</definedName>
    <definedName name="ㄷㅈㅂㄱㄷㅈㅇㅇㅇㅁㅁ" localSheetId="9">#REF!</definedName>
    <definedName name="ㄷㅈㅂㄱㄷㅈㅇㅇㅇㅁㅁ" localSheetId="2">#REF!</definedName>
    <definedName name="ㄷㅈㅂㄱㄷㅈㅇㅇㅇㅁㅁ" localSheetId="12">#REF!</definedName>
    <definedName name="ㄷㅈㅂㄱㄷㅈㅇㅇㅇㅁㅁ" localSheetId="3">#REF!</definedName>
    <definedName name="ㄷㅈㅂㄱㄷㅈㅇㅇㅇㅁㅁ" localSheetId="6">#REF!</definedName>
    <definedName name="ㄷㅈㅂㄱㄷㅈㅇㅇㅇㅁㅁ" localSheetId="4">#REF!</definedName>
    <definedName name="ㄷㅈㅂㄱㄷㅈㅇㅇㅇㅁㅁ">#REF!</definedName>
    <definedName name="단가" localSheetId="10">'[11]차입금현황 (연결)'!#REF!</definedName>
    <definedName name="단가" localSheetId="11">'[11]차입금현황 (연결)'!#REF!</definedName>
    <definedName name="단가" localSheetId="9">'[11]차입금현황 (연결)'!#REF!</definedName>
    <definedName name="단가" localSheetId="2">'[11]차입금현황 (연결)'!#REF!</definedName>
    <definedName name="단가" localSheetId="12">'[11]차입금현황 (연결)'!#REF!</definedName>
    <definedName name="단가" localSheetId="3">'[11]차입금현황 (연결)'!#REF!</definedName>
    <definedName name="단가" localSheetId="6">'[11]차입금현황 (연결)'!#REF!</definedName>
    <definedName name="단가" localSheetId="4">'[11]차입금현황 (연결)'!#REF!</definedName>
    <definedName name="단가">'[11]차입금현황 (연결)'!#REF!</definedName>
    <definedName name="單位阡원_阡￥" localSheetId="10">#REF!</definedName>
    <definedName name="單位阡원_阡￥" localSheetId="11">#REF!</definedName>
    <definedName name="單位阡원_阡￥" localSheetId="9">#REF!</definedName>
    <definedName name="單位阡원_阡￥" localSheetId="2">#REF!</definedName>
    <definedName name="單位阡원_阡￥" localSheetId="12">#REF!</definedName>
    <definedName name="單位阡원_阡￥" localSheetId="3">#REF!</definedName>
    <definedName name="單位阡원_阡￥" localSheetId="6">#REF!</definedName>
    <definedName name="單位阡원_阡￥" localSheetId="4">#REF!</definedName>
    <definedName name="單位阡원_阡￥">#REF!</definedName>
    <definedName name="단일적용품" localSheetId="10">#REF!</definedName>
    <definedName name="단일적용품" localSheetId="11">#REF!</definedName>
    <definedName name="단일적용품" localSheetId="9">#REF!</definedName>
    <definedName name="단일적용품" localSheetId="2">#REF!</definedName>
    <definedName name="단일적용품" localSheetId="12">#REF!</definedName>
    <definedName name="단일적용품" localSheetId="3">#REF!</definedName>
    <definedName name="단일적용품" localSheetId="6">#REF!</definedName>
    <definedName name="단일적용품" localSheetId="4">#REF!</definedName>
    <definedName name="단일적용품">#REF!</definedName>
    <definedName name="당기" localSheetId="10">#REF!</definedName>
    <definedName name="당기" localSheetId="11">#REF!</definedName>
    <definedName name="당기" localSheetId="9">#REF!</definedName>
    <definedName name="당기" localSheetId="2">#REF!</definedName>
    <definedName name="당기" localSheetId="12">#REF!</definedName>
    <definedName name="당기" localSheetId="3">#REF!</definedName>
    <definedName name="당기" localSheetId="6">#REF!</definedName>
    <definedName name="당기" localSheetId="4">#REF!</definedName>
    <definedName name="당기">#REF!</definedName>
    <definedName name="당기설정분3" localSheetId="10">#REF!</definedName>
    <definedName name="당기설정분3" localSheetId="11">#REF!</definedName>
    <definedName name="당기설정분3" localSheetId="9">#REF!</definedName>
    <definedName name="당기설정분3" localSheetId="2">#REF!</definedName>
    <definedName name="당기설정분3" localSheetId="12">#REF!</definedName>
    <definedName name="당기설정분3" localSheetId="3">#REF!</definedName>
    <definedName name="당기설정분3" localSheetId="6">#REF!</definedName>
    <definedName name="당기설정분3" localSheetId="4">#REF!</definedName>
    <definedName name="당기설정분3">#REF!</definedName>
    <definedName name="당해사업년도의_감사내부감사의_" localSheetId="10">#REF!</definedName>
    <definedName name="당해사업년도의_감사내부감사의_" localSheetId="11">#REF!</definedName>
    <definedName name="당해사업년도의_감사내부감사의_" localSheetId="9">#REF!</definedName>
    <definedName name="당해사업년도의_감사내부감사의_" localSheetId="2">#REF!</definedName>
    <definedName name="당해사업년도의_감사내부감사의_" localSheetId="12">#REF!</definedName>
    <definedName name="당해사업년도의_감사내부감사의_" localSheetId="3">#REF!</definedName>
    <definedName name="당해사업년도의_감사내부감사의_" localSheetId="6">#REF!</definedName>
    <definedName name="당해사업년도의_감사내부감사의_" localSheetId="4">#REF!</definedName>
    <definedName name="당해사업년도의_감사내부감사의_">#REF!</definedName>
    <definedName name="대우자동차협조전" localSheetId="10">BlankMacro1</definedName>
    <definedName name="대우자동차협조전" localSheetId="11">BlankMacro1</definedName>
    <definedName name="대우자동차협조전" localSheetId="9">BlankMacro1</definedName>
    <definedName name="대우자동차협조전" localSheetId="2">BlankMacro1</definedName>
    <definedName name="대우자동차협조전" localSheetId="12">BlankMacro1</definedName>
    <definedName name="대우자동차협조전" localSheetId="3">BlankMacro1</definedName>
    <definedName name="대우자동차협조전" localSheetId="6">BlankMacro1</definedName>
    <definedName name="대우자동차협조전" localSheetId="4">BlankMacro1</definedName>
    <definedName name="대우자동차협조전">BlankMacro1</definedName>
    <definedName name="대차대조표" localSheetId="10">#REF!</definedName>
    <definedName name="대차대조표" localSheetId="11">#REF!</definedName>
    <definedName name="대차대조표" localSheetId="9">#REF!</definedName>
    <definedName name="대차대조표" localSheetId="2">#REF!</definedName>
    <definedName name="대차대조표" localSheetId="12">#REF!</definedName>
    <definedName name="대차대조표" localSheetId="3">#REF!</definedName>
    <definedName name="대차대조표" localSheetId="6">#REF!</definedName>
    <definedName name="대차대조표" localSheetId="4">#REF!</definedName>
    <definedName name="대차대조표">#REF!</definedName>
    <definedName name="대차요약연말결산" localSheetId="10">#REF!</definedName>
    <definedName name="대차요약연말결산" localSheetId="11">#REF!</definedName>
    <definedName name="대차요약연말결산" localSheetId="9">#REF!</definedName>
    <definedName name="대차요약연말결산" localSheetId="2">#REF!</definedName>
    <definedName name="대차요약연말결산" localSheetId="12">#REF!</definedName>
    <definedName name="대차요약연말결산" localSheetId="3">#REF!</definedName>
    <definedName name="대차요약연말결산" localSheetId="6">#REF!</definedName>
    <definedName name="대차요약연말결산" localSheetId="4">#REF!</definedName>
    <definedName name="대차요약연말결산">#REF!</definedName>
    <definedName name="동양종금" localSheetId="10">#REF!</definedName>
    <definedName name="동양종금" localSheetId="11">#REF!</definedName>
    <definedName name="동양종금" localSheetId="9">#REF!</definedName>
    <definedName name="동양종금" localSheetId="2">#REF!</definedName>
    <definedName name="동양종금" localSheetId="12">#REF!</definedName>
    <definedName name="동양종금" localSheetId="3">#REF!</definedName>
    <definedName name="동양종금" localSheetId="6">#REF!</definedName>
    <definedName name="동양종금" localSheetId="4">#REF!</definedName>
    <definedName name="동양종금">#REF!</definedName>
    <definedName name="두산매출" localSheetId="10">'2.추정(긍정)'!두산매출</definedName>
    <definedName name="두산매출" localSheetId="11">'2.추정(부정)'!두산매출</definedName>
    <definedName name="두산매출" localSheetId="9">구NCP!두산매출</definedName>
    <definedName name="두산매출" localSheetId="2">추정!두산매출</definedName>
    <definedName name="두산매출" localSheetId="12">#N/A</definedName>
    <definedName name="두산매출" localSheetId="3">#N/A</definedName>
    <definedName name="두산매출" localSheetId="6">평정!두산매출</definedName>
    <definedName name="두산매출" localSheetId="4">NCP!두산매출</definedName>
    <definedName name="두산매출">'2.추정(긍정)'!두산매출</definedName>
    <definedName name="뒤" localSheetId="10">#REF!</definedName>
    <definedName name="뒤" localSheetId="11">#REF!</definedName>
    <definedName name="뒤" localSheetId="9">#REF!</definedName>
    <definedName name="뒤" localSheetId="2">#REF!</definedName>
    <definedName name="뒤" localSheetId="12">#REF!</definedName>
    <definedName name="뒤" localSheetId="3">#REF!</definedName>
    <definedName name="뒤" localSheetId="6">#REF!</definedName>
    <definedName name="뒤" localSheetId="4">#REF!</definedName>
    <definedName name="뒤">#REF!</definedName>
    <definedName name="ㄷㄳ" localSheetId="10">#REF!</definedName>
    <definedName name="ㄷㄳ" localSheetId="11">#REF!</definedName>
    <definedName name="ㄷㄳ" localSheetId="9">#REF!</definedName>
    <definedName name="ㄷㄳ" localSheetId="2">#REF!</definedName>
    <definedName name="ㄷㄳ" localSheetId="12">#REF!</definedName>
    <definedName name="ㄷㄳ" localSheetId="3">#REF!</definedName>
    <definedName name="ㄷㄳ" localSheetId="6">#REF!</definedName>
    <definedName name="ㄷㄳ" localSheetId="4">#REF!</definedName>
    <definedName name="ㄷㄳ">#REF!</definedName>
    <definedName name="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" hidden="1">{#N/A,#N/A,FALSE,"PART-1234-8-12-9(41)";#N/A,#N/A,FALSE,"PARTS-2(3)";#N/A,#N/A,FALSE,"VAN SYSTEM";#N/A,#N/A,FALSE,"PARTS-10(26)";#N/A,#N/A,FALSE,"PART-5-6-7-11(14)";#N/A,#N/A,FALSE,"PARTS-4(3)";#N/A,#N/A,FALSE,"PCLASS"}</definedName>
    <definedName name="ㄹㄴㄹㄴㄹㄴㄹㅇ" localSheetId="10">#REF!</definedName>
    <definedName name="ㄹㄴㄹㄴㄹㄴㄹㅇ" localSheetId="11">#REF!</definedName>
    <definedName name="ㄹㄴㄹㄴㄹㄴㄹㅇ" localSheetId="9">#REF!</definedName>
    <definedName name="ㄹㄴㄹㄴㄹㄴㄹㅇ" localSheetId="2">#REF!</definedName>
    <definedName name="ㄹㄴㄹㄴㄹㄴㄹㅇ" localSheetId="12">#REF!</definedName>
    <definedName name="ㄹㄴㄹㄴㄹㄴㄹㅇ" localSheetId="3">#REF!</definedName>
    <definedName name="ㄹㄴㄹㄴㄹㄴㄹㅇ" localSheetId="6">#REF!</definedName>
    <definedName name="ㄹㄴㄹㄴㄹㄴㄹㅇ" localSheetId="4">#REF!</definedName>
    <definedName name="ㄹㄴㄹㄴㄹㄴㄹㅇ">#REF!</definedName>
    <definedName name="ㄹㄴㅇㄹㄴㅇㄹㄴㄱㄴㅇ" localSheetId="10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localSheetId="9" hidden="1">{#N/A,#N/A,FALSE,"지침";#N/A,#N/A,FALSE,"환경분석";#N/A,#N/A,FALSE,"Sheet16"}</definedName>
    <definedName name="ㄹㄴㅇㄹㄴㅇㄹㄴㄱㄴㅇ" localSheetId="1" hidden="1">{#N/A,#N/A,FALSE,"지침";#N/A,#N/A,FALSE,"환경분석";#N/A,#N/A,FALSE,"Sheet16"}</definedName>
    <definedName name="ㄹㄴㅇㄹㄴㅇㄹㄴㄱㄴㅇ" localSheetId="2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3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localSheetId="4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ㅇㅁㄹ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ㄹ" localSheetId="10">#REF!</definedName>
    <definedName name="ㄹㄹ" localSheetId="11">#REF!</definedName>
    <definedName name="ㄹㄹ" localSheetId="9">#REF!</definedName>
    <definedName name="ㄹㄹ" localSheetId="2">#REF!</definedName>
    <definedName name="ㄹㄹ" localSheetId="12">#REF!</definedName>
    <definedName name="ㄹㄹ" localSheetId="3">#REF!</definedName>
    <definedName name="ㄹㄹ" localSheetId="6">#REF!</definedName>
    <definedName name="ㄹㄹ" localSheetId="4">#REF!</definedName>
    <definedName name="ㄹㄹ">#REF!</definedName>
    <definedName name="ㄹㄹㄹㄴㄹㄹㄷㅈ" localSheetId="10">#REF!</definedName>
    <definedName name="ㄹㄹㄹㄴㄹㄹㄷㅈ" localSheetId="11">#REF!</definedName>
    <definedName name="ㄹㄹㄹㄴㄹㄹㄷㅈ" localSheetId="9">#REF!</definedName>
    <definedName name="ㄹㄹㄹㄴㄹㄹㄷㅈ" localSheetId="2">#REF!</definedName>
    <definedName name="ㄹㄹㄹㄴㄹㄹㄷㅈ" localSheetId="12">#REF!</definedName>
    <definedName name="ㄹㄹㄹㄴㄹㄹㄷㅈ" localSheetId="3">#REF!</definedName>
    <definedName name="ㄹㄹㄹㄴㄹㄹㄷㅈ" localSheetId="6">#REF!</definedName>
    <definedName name="ㄹㄹㄹㄴㄹㄹㄷㅈ" localSheetId="4">#REF!</definedName>
    <definedName name="ㄹㄹㄹㄴㄹㄹㄷㅈ">#REF!</definedName>
    <definedName name="ㄹㄹㄹㄴㅇㅁㄹㄴ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hidden="1">{#N/A,#N/A,FALSE,"PART-1234-8-12-9(41)";#N/A,#N/A,FALSE,"PARTS-2(3)";#N/A,#N/A,FALSE,"VAN SYSTEM";#N/A,#N/A,FALSE,"PARTS-10(26)";#N/A,#N/A,FALSE,"PART-5-6-7-11(14)";#N/A,#N/A,FALSE,"PARTS-4(3)";#N/A,#N/A,FALSE,"PCLASS"}</definedName>
    <definedName name="ㄹㅇ" localSheetId="10">{"S220-V";"S250-V";"S290-V"}</definedName>
    <definedName name="ㄹㅇ" localSheetId="11">{"S220-V";"S250-V";"S290-V"}</definedName>
    <definedName name="ㄹㅇ" localSheetId="9">{"S220-V";"S250-V";"S290-V"}</definedName>
    <definedName name="ㄹㅇ" localSheetId="2">{"S220-V";"S250-V";"S290-V"}</definedName>
    <definedName name="ㄹㅇ" localSheetId="12">{"S220-V";"S250-V";"S290-V"}</definedName>
    <definedName name="ㄹㅇ" localSheetId="3">{"S220-V";"S250-V";"S290-V"}</definedName>
    <definedName name="ㄹㅇ" localSheetId="6">{"S220-V";"S250-V";"S290-V"}</definedName>
    <definedName name="ㄹㅇ" localSheetId="4">{"S220-V";"S250-V";"S290-V"}</definedName>
    <definedName name="ㄹㅇ">{"S220-V";"S250-V";"S290-V"}</definedName>
    <definedName name="ㄹㅇㄴ" localSheetId="10">#REF!</definedName>
    <definedName name="ㄹㅇㄴ" localSheetId="11">#REF!</definedName>
    <definedName name="ㄹㅇㄴ" localSheetId="9">#REF!</definedName>
    <definedName name="ㄹㅇㄴ" localSheetId="2">#REF!</definedName>
    <definedName name="ㄹㅇㄴ" localSheetId="12">#REF!</definedName>
    <definedName name="ㄹㅇㄴ" localSheetId="3">#REF!</definedName>
    <definedName name="ㄹㅇㄴ" localSheetId="6">#REF!</definedName>
    <definedName name="ㄹㅇㄴ" localSheetId="4">#REF!</definedName>
    <definedName name="ㄹㅇㄴ">#REF!</definedName>
    <definedName name="ㄹㅇㄴㄱㄱㄱㄴㅅㄷㄷ" localSheetId="10">#REF!</definedName>
    <definedName name="ㄹㅇㄴㄱㄱㄱㄴㅅㄷㄷ" localSheetId="11">#REF!</definedName>
    <definedName name="ㄹㅇㄴㄱㄱㄱㄴㅅㄷㄷ" localSheetId="9">#REF!</definedName>
    <definedName name="ㄹㅇㄴㄱㄱㄱㄴㅅㄷㄷ" localSheetId="2">#REF!</definedName>
    <definedName name="ㄹㅇㄴㄱㄱㄱㄴㅅㄷㄷ" localSheetId="12">#REF!</definedName>
    <definedName name="ㄹㅇㄴㄱㄱㄱㄴㅅㄷㄷ" localSheetId="3">#REF!</definedName>
    <definedName name="ㄹㅇㄴㄱㄱㄱㄴㅅㄷㄷ" localSheetId="6">#REF!</definedName>
    <definedName name="ㄹㅇㄴㄱㄱㄱㄴㅅㄷㄷ" localSheetId="4">#REF!</definedName>
    <definedName name="ㄹㅇㄴㄱㄱㄱㄴㅅㄷㄷ">#REF!</definedName>
    <definedName name="랑" localSheetId="10" hidden="1">{#N/A,#N/A,FALSE,"지침";#N/A,#N/A,FALSE,"환경분석";#N/A,#N/A,FALSE,"Sheet16"}</definedName>
    <definedName name="랑" localSheetId="11" hidden="1">{#N/A,#N/A,FALSE,"지침";#N/A,#N/A,FALSE,"환경분석";#N/A,#N/A,FALSE,"Sheet16"}</definedName>
    <definedName name="랑" localSheetId="9" hidden="1">{#N/A,#N/A,FALSE,"지침";#N/A,#N/A,FALSE,"환경분석";#N/A,#N/A,FALSE,"Sheet16"}</definedName>
    <definedName name="랑" localSheetId="1" hidden="1">{#N/A,#N/A,FALSE,"지침";#N/A,#N/A,FALSE,"환경분석";#N/A,#N/A,FALSE,"Sheet16"}</definedName>
    <definedName name="랑" localSheetId="2" hidden="1">{#N/A,#N/A,FALSE,"지침";#N/A,#N/A,FALSE,"환경분석";#N/A,#N/A,FALSE,"Sheet16"}</definedName>
    <definedName name="랑" localSheetId="12" hidden="1">{#N/A,#N/A,FALSE,"지침";#N/A,#N/A,FALSE,"환경분석";#N/A,#N/A,FALSE,"Sheet16"}</definedName>
    <definedName name="랑" localSheetId="3" hidden="1">{#N/A,#N/A,FALSE,"지침";#N/A,#N/A,FALSE,"환경분석";#N/A,#N/A,FALSE,"Sheet16"}</definedName>
    <definedName name="랑" localSheetId="6" hidden="1">{#N/A,#N/A,FALSE,"지침";#N/A,#N/A,FALSE,"환경분석";#N/A,#N/A,FALSE,"Sheet16"}</definedName>
    <definedName name="랑" localSheetId="4" hidden="1">{#N/A,#N/A,FALSE,"지침";#N/A,#N/A,FALSE,"환경분석";#N/A,#N/A,FALSE,"Sheet16"}</definedName>
    <definedName name="랑" hidden="1">{#N/A,#N/A,FALSE,"지침";#N/A,#N/A,FALSE,"환경분석";#N/A,#N/A,FALSE,"Sheet16"}</definedName>
    <definedName name="라라" localSheetId="10">BlankMacro1</definedName>
    <definedName name="라라" localSheetId="11">BlankMacro1</definedName>
    <definedName name="라라" localSheetId="9">BlankMacro1</definedName>
    <definedName name="라라" localSheetId="2">BlankMacro1</definedName>
    <definedName name="라라" localSheetId="12">BlankMacro1</definedName>
    <definedName name="라라" localSheetId="3">BlankMacro1</definedName>
    <definedName name="라라" localSheetId="6">BlankMacro1</definedName>
    <definedName name="라라" localSheetId="4">BlankMacro1</definedName>
    <definedName name="라라">BlankMacro1</definedName>
    <definedName name="로놓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hidden="1">{#N/A,#N/A,FALSE,"PART-1234-8-12-9(41)";#N/A,#N/A,FALSE,"PARTS-2(3)";#N/A,#N/A,FALSE,"VAN SYSTEM";#N/A,#N/A,FALSE,"PARTS-10(26)";#N/A,#N/A,FALSE,"PART-5-6-7-11(14)";#N/A,#N/A,FALSE,"PARTS-4(3)";#N/A,#N/A,FALSE,"PCLASS"}</definedName>
    <definedName name="로ㅓㅗㄴ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링" localSheetId="10" hidden="1">{#N/A,#N/A,FALSE,"지침";#N/A,#N/A,FALSE,"환경분석";#N/A,#N/A,FALSE,"Sheet16"}</definedName>
    <definedName name="링" localSheetId="11" hidden="1">{#N/A,#N/A,FALSE,"지침";#N/A,#N/A,FALSE,"환경분석";#N/A,#N/A,FALSE,"Sheet16"}</definedName>
    <definedName name="링" localSheetId="9" hidden="1">{#N/A,#N/A,FALSE,"지침";#N/A,#N/A,FALSE,"환경분석";#N/A,#N/A,FALSE,"Sheet16"}</definedName>
    <definedName name="링" localSheetId="1" hidden="1">{#N/A,#N/A,FALSE,"지침";#N/A,#N/A,FALSE,"환경분석";#N/A,#N/A,FALSE,"Sheet16"}</definedName>
    <definedName name="링" localSheetId="2" hidden="1">{#N/A,#N/A,FALSE,"지침";#N/A,#N/A,FALSE,"환경분석";#N/A,#N/A,FALSE,"Sheet16"}</definedName>
    <definedName name="링" localSheetId="12" hidden="1">{#N/A,#N/A,FALSE,"지침";#N/A,#N/A,FALSE,"환경분석";#N/A,#N/A,FALSE,"Sheet16"}</definedName>
    <definedName name="링" localSheetId="3" hidden="1">{#N/A,#N/A,FALSE,"지침";#N/A,#N/A,FALSE,"환경분석";#N/A,#N/A,FALSE,"Sheet16"}</definedName>
    <definedName name="링" localSheetId="6" hidden="1">{#N/A,#N/A,FALSE,"지침";#N/A,#N/A,FALSE,"환경분석";#N/A,#N/A,FALSE,"Sheet16"}</definedName>
    <definedName name="링" localSheetId="4" hidden="1">{#N/A,#N/A,FALSE,"지침";#N/A,#N/A,FALSE,"환경분석";#N/A,#N/A,FALSE,"Sheet16"}</definedName>
    <definedName name="링" hidden="1">{#N/A,#N/A,FALSE,"지침";#N/A,#N/A,FALSE,"환경분석";#N/A,#N/A,FALSE,"Sheet16"}</definedName>
    <definedName name="ㅁ">[5]재공품기초자료!$A$1:$O$94</definedName>
    <definedName name="ㅁ1" localSheetId="10">#REF!</definedName>
    <definedName name="ㅁ1" localSheetId="11">#REF!</definedName>
    <definedName name="ㅁ1" localSheetId="9">#REF!</definedName>
    <definedName name="ㅁ1" localSheetId="2">#REF!</definedName>
    <definedName name="ㅁ1" localSheetId="12">#REF!</definedName>
    <definedName name="ㅁ1" localSheetId="3">#REF!</definedName>
    <definedName name="ㅁ1" localSheetId="6">#REF!</definedName>
    <definedName name="ㅁ1" localSheetId="4">#REF!</definedName>
    <definedName name="ㅁ1">#REF!</definedName>
    <definedName name="ㅁ823" localSheetId="10">#REF!</definedName>
    <definedName name="ㅁ823" localSheetId="11">#REF!</definedName>
    <definedName name="ㅁ823" localSheetId="9">#REF!</definedName>
    <definedName name="ㅁ823" localSheetId="2">#REF!</definedName>
    <definedName name="ㅁ823" localSheetId="12">#REF!</definedName>
    <definedName name="ㅁ823" localSheetId="3">#REF!</definedName>
    <definedName name="ㅁ823" localSheetId="6">#REF!</definedName>
    <definedName name="ㅁ823" localSheetId="4">#REF!</definedName>
    <definedName name="ㅁ823">#REF!</definedName>
    <definedName name="ㅁㄱㄱㄷㄱㄷㄱㄷㄱ" localSheetId="10">#REF!</definedName>
    <definedName name="ㅁㄱㄱㄷㄱㄷㄱㄷㄱ" localSheetId="11">#REF!</definedName>
    <definedName name="ㅁㄱㄱㄷㄱㄷㄱㄷㄱ" localSheetId="9">#REF!</definedName>
    <definedName name="ㅁㄱㄱㄷㄱㄷㄱㄷㄱ" localSheetId="2">#REF!</definedName>
    <definedName name="ㅁㄱㄱㄷㄱㄷㄱㄷㄱ" localSheetId="12">#REF!</definedName>
    <definedName name="ㅁㄱㄱㄷㄱㄷㄱㄷㄱ" localSheetId="3">#REF!</definedName>
    <definedName name="ㅁㄱㄱㄷㄱㄷㄱㄷㄱ" localSheetId="6">#REF!</definedName>
    <definedName name="ㅁㄱㄱㄷㄱㄷㄱㄷㄱ" localSheetId="4">#REF!</definedName>
    <definedName name="ㅁㄱㄱㄷㄱㄷㄱㄷㄱ">#REF!</definedName>
    <definedName name="ㅁㄱㄱㄷㅈㄱㄷㅈㄱㄱㅈ" localSheetId="10">#REF!,#REF!,#REF!,#REF!</definedName>
    <definedName name="ㅁㄱㄱㄷㅈㄱㄷㅈㄱㄱㅈ" localSheetId="11">#REF!,#REF!,#REF!,#REF!</definedName>
    <definedName name="ㅁㄱㄱㄷㅈㄱㄷㅈㄱㄱㅈ" localSheetId="9">#REF!,#REF!,#REF!,#REF!</definedName>
    <definedName name="ㅁㄱㄱㄷㅈㄱㄷㅈㄱㄱㅈ" localSheetId="2">#REF!,#REF!,#REF!,#REF!</definedName>
    <definedName name="ㅁㄱㄱㄷㅈㄱㄷㅈㄱㄱㅈ" localSheetId="12">#REF!,#REF!,#REF!,#REF!</definedName>
    <definedName name="ㅁㄱㄱㄷㅈㄱㄷㅈㄱㄱㅈ" localSheetId="3">#REF!,#REF!,#REF!,#REF!</definedName>
    <definedName name="ㅁㄱㄱㄷㅈㄱㄷㅈㄱㄱㅈ" localSheetId="6">#REF!,#REF!,#REF!,#REF!</definedName>
    <definedName name="ㅁㄱㄱㄷㅈㄱㄷㅈㄱㄱㅈ" localSheetId="4">#REF!,#REF!,#REF!,#REF!</definedName>
    <definedName name="ㅁㄱㄱㄷㅈㄱㄷㅈㄱㄱㅈ">#REF!,#REF!,#REF!,#REF!</definedName>
    <definedName name="ㅁㄱㄷㄷㄱㄷㄱ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ㅈㄷㄷㄱ" localSheetId="10">#REF!</definedName>
    <definedName name="ㅁㄱㅈㄷㄷㄱ" localSheetId="11">#REF!</definedName>
    <definedName name="ㅁㄱㅈㄷㄷㄱ" localSheetId="9">#REF!</definedName>
    <definedName name="ㅁㄱㅈㄷㄷㄱ" localSheetId="2">#REF!</definedName>
    <definedName name="ㅁㄱㅈㄷㄷㄱ" localSheetId="12">#REF!</definedName>
    <definedName name="ㅁㄱㅈㄷㄷㄱ" localSheetId="3">#REF!</definedName>
    <definedName name="ㅁㄱㅈㄷㄷㄱ" localSheetId="6">#REF!</definedName>
    <definedName name="ㅁㄱㅈㄷㄷㄱ" localSheetId="4">#REF!</definedName>
    <definedName name="ㅁㄱㅈㄷㄷㄱ">#REF!</definedName>
    <definedName name="ㅁㄴ" localSheetId="10">#REF!</definedName>
    <definedName name="ㅁㄴ" localSheetId="11">#REF!</definedName>
    <definedName name="ㅁㄴ" localSheetId="9">#REF!</definedName>
    <definedName name="ㅁㄴ" localSheetId="2">#REF!</definedName>
    <definedName name="ㅁㄴ" localSheetId="12">#REF!</definedName>
    <definedName name="ㅁㄴ" localSheetId="3">#REF!</definedName>
    <definedName name="ㅁㄴ" localSheetId="6">#REF!</definedName>
    <definedName name="ㅁㄴ" localSheetId="4">#REF!</definedName>
    <definedName name="ㅁㄴ">#REF!</definedName>
    <definedName name="ㅁㄴㄹㄹㄹㄷㅈ" localSheetId="10">#REF!</definedName>
    <definedName name="ㅁㄴㄹㄹㄹㄷㅈ" localSheetId="11">#REF!</definedName>
    <definedName name="ㅁㄴㄹㄹㄹㄷㅈ" localSheetId="9">#REF!</definedName>
    <definedName name="ㅁㄴㄹㄹㄹㄷㅈ" localSheetId="2">#REF!</definedName>
    <definedName name="ㅁㄴㄹㄹㄹㄷㅈ" localSheetId="12">#REF!</definedName>
    <definedName name="ㅁㄴㄹㄹㄹㄷㅈ" localSheetId="3">#REF!</definedName>
    <definedName name="ㅁㄴㄹㄹㄹㄷㅈ" localSheetId="6">#REF!</definedName>
    <definedName name="ㅁㄴㄹㄹㄹㄷㅈ" localSheetId="4">#REF!</definedName>
    <definedName name="ㅁㄴㄹㄹㄹㄷㅈ">#REF!</definedName>
    <definedName name="ㅁㄴㅇ" localSheetId="10" hidden="1">{#N/A,#N/A,FALSE,"지침";#N/A,#N/A,FALSE,"환경분석";#N/A,#N/A,FALSE,"Sheet16"}</definedName>
    <definedName name="ㅁㄴㅇ" localSheetId="11" hidden="1">{#N/A,#N/A,FALSE,"지침";#N/A,#N/A,FALSE,"환경분석";#N/A,#N/A,FALSE,"Sheet16"}</definedName>
    <definedName name="ㅁㄴㅇ" localSheetId="9" hidden="1">{#N/A,#N/A,FALSE,"지침";#N/A,#N/A,FALSE,"환경분석";#N/A,#N/A,FALSE,"Sheet16"}</definedName>
    <definedName name="ㅁㄴㅇ" localSheetId="1" hidden="1">{#N/A,#N/A,FALSE,"지침";#N/A,#N/A,FALSE,"환경분석";#N/A,#N/A,FALSE,"Sheet16"}</definedName>
    <definedName name="ㅁㄴㅇ" localSheetId="2" hidden="1">{#N/A,#N/A,FALSE,"지침";#N/A,#N/A,FALSE,"환경분석";#N/A,#N/A,FALSE,"Sheet16"}</definedName>
    <definedName name="ㅁㄴㅇ" localSheetId="12" hidden="1">{#N/A,#N/A,FALSE,"지침";#N/A,#N/A,FALSE,"환경분석";#N/A,#N/A,FALSE,"Sheet16"}</definedName>
    <definedName name="ㅁㄴㅇ" localSheetId="3" hidden="1">{#N/A,#N/A,FALSE,"지침";#N/A,#N/A,FALSE,"환경분석";#N/A,#N/A,FALSE,"Sheet16"}</definedName>
    <definedName name="ㅁㄴㅇ" localSheetId="6" hidden="1">{#N/A,#N/A,FALSE,"지침";#N/A,#N/A,FALSE,"환경분석";#N/A,#N/A,FALSE,"Sheet16"}</definedName>
    <definedName name="ㅁㄴㅇ" localSheetId="4" hidden="1">{#N/A,#N/A,FALSE,"지침";#N/A,#N/A,FALSE,"환경분석";#N/A,#N/A,FALSE,"Sheet16"}</definedName>
    <definedName name="ㅁㄴㅇ" hidden="1">{#N/A,#N/A,FALSE,"지침";#N/A,#N/A,FALSE,"환경분석";#N/A,#N/A,FALSE,"Sheet16"}</definedName>
    <definedName name="ㅁㄴㅇㄹ" localSheetId="10" hidden="1">{#N/A,#N/A,FALSE,"지침";#N/A,#N/A,FALSE,"환경분석";#N/A,#N/A,FALSE,"Sheet16"}</definedName>
    <definedName name="ㅁㄴㅇㄹ" localSheetId="11" hidden="1">{#N/A,#N/A,FALSE,"지침";#N/A,#N/A,FALSE,"환경분석";#N/A,#N/A,FALSE,"Sheet16"}</definedName>
    <definedName name="ㅁㄴㅇㄹ" localSheetId="9" hidden="1">{#N/A,#N/A,FALSE,"지침";#N/A,#N/A,FALSE,"환경분석";#N/A,#N/A,FALSE,"Sheet16"}</definedName>
    <definedName name="ㅁㄴㅇㄹ" localSheetId="1" hidden="1">{#N/A,#N/A,FALSE,"지침";#N/A,#N/A,FALSE,"환경분석";#N/A,#N/A,FALSE,"Sheet16"}</definedName>
    <definedName name="ㅁㄴㅇㄹ" localSheetId="2" hidden="1">{#N/A,#N/A,FALSE,"지침";#N/A,#N/A,FALSE,"환경분석";#N/A,#N/A,FALSE,"Sheet16"}</definedName>
    <definedName name="ㅁㄴㅇㄹ" localSheetId="12" hidden="1">{#N/A,#N/A,FALSE,"지침";#N/A,#N/A,FALSE,"환경분석";#N/A,#N/A,FALSE,"Sheet16"}</definedName>
    <definedName name="ㅁㄴㅇㄹ" localSheetId="3" hidden="1">{#N/A,#N/A,FALSE,"지침";#N/A,#N/A,FALSE,"환경분석";#N/A,#N/A,FALSE,"Sheet16"}</definedName>
    <definedName name="ㅁㄴㅇㄹ" localSheetId="6" hidden="1">{#N/A,#N/A,FALSE,"지침";#N/A,#N/A,FALSE,"환경분석";#N/A,#N/A,FALSE,"Sheet16"}</definedName>
    <definedName name="ㅁㄴㅇㄹ" localSheetId="4" hidden="1">{#N/A,#N/A,FALSE,"지침";#N/A,#N/A,FALSE,"환경분석";#N/A,#N/A,FALSE,"Sheet16"}</definedName>
    <definedName name="ㅁㄴㅇㄹ" hidden="1">{#N/A,#N/A,FALSE,"지침";#N/A,#N/A,FALSE,"환경분석";#N/A,#N/A,FALSE,"Sheet16"}</definedName>
    <definedName name="ㅁㄴㅇㅀ" localSheetId="10">#REF!</definedName>
    <definedName name="ㅁㄴㅇㅀ" localSheetId="11">#REF!</definedName>
    <definedName name="ㅁㄴㅇㅀ" localSheetId="9">#REF!</definedName>
    <definedName name="ㅁㄴㅇㅀ" localSheetId="2">#REF!</definedName>
    <definedName name="ㅁㄴㅇㅀ" localSheetId="12">#REF!</definedName>
    <definedName name="ㅁㄴㅇㅀ" localSheetId="3">#REF!</definedName>
    <definedName name="ㅁㄴㅇㅀ" localSheetId="6">#REF!</definedName>
    <definedName name="ㅁㄴㅇㅀ" localSheetId="4">#REF!</definedName>
    <definedName name="ㅁㄴㅇㅀ">#REF!</definedName>
    <definedName name="ㅁㄷㄱㄱ" localSheetId="10">#REF!</definedName>
    <definedName name="ㅁㄷㄱㄱ" localSheetId="11">#REF!</definedName>
    <definedName name="ㅁㄷㄱㄱ" localSheetId="9">#REF!</definedName>
    <definedName name="ㅁㄷㄱㄱ" localSheetId="2">#REF!</definedName>
    <definedName name="ㅁㄷㄱㄱ" localSheetId="12">#REF!</definedName>
    <definedName name="ㅁㄷㄱㄱ" localSheetId="3">#REF!</definedName>
    <definedName name="ㅁㄷㄱㄱ" localSheetId="6">#REF!</definedName>
    <definedName name="ㅁㄷㄱㄱ" localSheetId="4">#REF!</definedName>
    <definedName name="ㅁㄷㄱㄱ">#REF!</definedName>
    <definedName name="ㅁㄷㅈㅈㅈㄱㄷㅈㄷㅈ" localSheetId="10">#REF!</definedName>
    <definedName name="ㅁㄷㅈㅈㅈㄱㄷㅈㄷㅈ" localSheetId="11">#REF!</definedName>
    <definedName name="ㅁㄷㅈㅈㅈㄱㄷㅈㄷㅈ" localSheetId="9">#REF!</definedName>
    <definedName name="ㅁㄷㅈㅈㅈㄱㄷㅈㄷㅈ" localSheetId="2">#REF!</definedName>
    <definedName name="ㅁㄷㅈㅈㅈㄱㄷㅈㄷㅈ" localSheetId="12">#REF!</definedName>
    <definedName name="ㅁㄷㅈㅈㅈㄱㄷㅈㄷㅈ" localSheetId="3">#REF!</definedName>
    <definedName name="ㅁㄷㅈㅈㅈㄱㄷㅈㄷㅈ" localSheetId="6">#REF!</definedName>
    <definedName name="ㅁㄷㅈㅈㅈㄱㄷㅈㄷㅈ" localSheetId="4">#REF!</definedName>
    <definedName name="ㅁㄷㅈㅈㅈㄱㄷㅈㄷㅈ">#REF!</definedName>
    <definedName name="ㅁㄹㄴ" localSheetId="10" hidden="1">{#N/A,#N/A,TRUE,"일정"}</definedName>
    <definedName name="ㅁㄹㄴ" localSheetId="11" hidden="1">{#N/A,#N/A,TRUE,"일정"}</definedName>
    <definedName name="ㅁㄹㄴ" localSheetId="9" hidden="1">{#N/A,#N/A,TRUE,"일정"}</definedName>
    <definedName name="ㅁㄹㄴ" localSheetId="1" hidden="1">{#N/A,#N/A,TRUE,"일정"}</definedName>
    <definedName name="ㅁㄹㄴ" localSheetId="2" hidden="1">{#N/A,#N/A,TRUE,"일정"}</definedName>
    <definedName name="ㅁㄹㄴ" localSheetId="12" hidden="1">{#N/A,#N/A,TRUE,"일정"}</definedName>
    <definedName name="ㅁㄹㄴ" localSheetId="3" hidden="1">{#N/A,#N/A,TRUE,"일정"}</definedName>
    <definedName name="ㅁㄹㄴ" localSheetId="6" hidden="1">{#N/A,#N/A,TRUE,"일정"}</definedName>
    <definedName name="ㅁㄹㄴ" localSheetId="4" hidden="1">{#N/A,#N/A,TRUE,"일정"}</definedName>
    <definedName name="ㅁㄹㄴ" hidden="1">{#N/A,#N/A,TRUE,"일정"}</definedName>
    <definedName name="ㅁㄹㅇㄴㄹ" localSheetId="10">#REF!</definedName>
    <definedName name="ㅁㄹㅇㄴㄹ" localSheetId="11">#REF!</definedName>
    <definedName name="ㅁㄹㅇㄴㄹ" localSheetId="9">#REF!</definedName>
    <definedName name="ㅁㄹㅇㄴㄹ" localSheetId="2">#REF!</definedName>
    <definedName name="ㅁㄹㅇㄴㄹ" localSheetId="12">#REF!</definedName>
    <definedName name="ㅁㄹㅇㄴㄹ" localSheetId="3">#REF!</definedName>
    <definedName name="ㅁㄹㅇㄴㄹ" localSheetId="6">#REF!</definedName>
    <definedName name="ㅁㄹㅇㄴㄹ" localSheetId="4">#REF!</definedName>
    <definedName name="ㅁㄹㅇㄴㄹ">#REF!</definedName>
    <definedName name="ㅁㅁ" localSheetId="10">[5]xxxxxx!#REF!</definedName>
    <definedName name="ㅁㅁ" localSheetId="11">[5]xxxxxx!#REF!</definedName>
    <definedName name="ㅁㅁ" localSheetId="9">[5]xxxxxx!#REF!</definedName>
    <definedName name="ㅁㅁ" localSheetId="2">[5]xxxxxx!#REF!</definedName>
    <definedName name="ㅁㅁ" localSheetId="12">[5]xxxxxx!#REF!</definedName>
    <definedName name="ㅁㅁ" localSheetId="3">[5]xxxxxx!#REF!</definedName>
    <definedName name="ㅁㅁ" localSheetId="6">[5]xxxxxx!#REF!</definedName>
    <definedName name="ㅁㅁ" localSheetId="4">[5]xxxxxx!#REF!</definedName>
    <definedName name="ㅁㅁ">[5]xxxxxx!#REF!</definedName>
    <definedName name="ㅁㅁㅁ" localSheetId="10" hidden="1">{#N/A,#N/A,FALSE,"지침";#N/A,#N/A,FALSE,"환경분석";#N/A,#N/A,FALSE,"Sheet16"}</definedName>
    <definedName name="ㅁㅁㅁ" localSheetId="11" hidden="1">{#N/A,#N/A,FALSE,"지침";#N/A,#N/A,FALSE,"환경분석";#N/A,#N/A,FALSE,"Sheet16"}</definedName>
    <definedName name="ㅁㅁㅁ" localSheetId="9" hidden="1">{#N/A,#N/A,FALSE,"지침";#N/A,#N/A,FALSE,"환경분석";#N/A,#N/A,FALSE,"Sheet16"}</definedName>
    <definedName name="ㅁㅁㅁ" localSheetId="1" hidden="1">{#N/A,#N/A,FALSE,"지침";#N/A,#N/A,FALSE,"환경분석";#N/A,#N/A,FALSE,"Sheet16"}</definedName>
    <definedName name="ㅁㅁㅁ" localSheetId="2" hidden="1">{#N/A,#N/A,FALSE,"지침";#N/A,#N/A,FALSE,"환경분석";#N/A,#N/A,FALSE,"Sheet16"}</definedName>
    <definedName name="ㅁㅁㅁ" localSheetId="12" hidden="1">{#N/A,#N/A,FALSE,"지침";#N/A,#N/A,FALSE,"환경분석";#N/A,#N/A,FALSE,"Sheet16"}</definedName>
    <definedName name="ㅁㅁㅁ" localSheetId="3" hidden="1">{#N/A,#N/A,FALSE,"지침";#N/A,#N/A,FALSE,"환경분석";#N/A,#N/A,FALSE,"Sheet16"}</definedName>
    <definedName name="ㅁㅁㅁ" localSheetId="6" hidden="1">{#N/A,#N/A,FALSE,"지침";#N/A,#N/A,FALSE,"환경분석";#N/A,#N/A,FALSE,"Sheet16"}</definedName>
    <definedName name="ㅁㅁㅁ" localSheetId="4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ㅁㅁㅁㅁㅁㅁ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hidden="1">{#N/A,#N/A,FALSE,"PART-1234-8-12-9(41)";#N/A,#N/A,FALSE,"PARTS-2(3)";#N/A,#N/A,FALSE,"VAN SYSTEM";#N/A,#N/A,FALSE,"PARTS-10(26)";#N/A,#N/A,FALSE,"PART-5-6-7-11(14)";#N/A,#N/A,FALSE,"PARTS-4(3)";#N/A,#N/A,FALSE,"PCLASS"}</definedName>
    <definedName name="ㅁㅁㅇ" localSheetId="10">{"S220-V";"S250-V";"S290-V"}</definedName>
    <definedName name="ㅁㅁㅇ" localSheetId="11">{"S220-V";"S250-V";"S290-V"}</definedName>
    <definedName name="ㅁㅁㅇ" localSheetId="9">{"S220-V";"S250-V";"S290-V"}</definedName>
    <definedName name="ㅁㅁㅇ" localSheetId="2">{"S220-V";"S250-V";"S290-V"}</definedName>
    <definedName name="ㅁㅁㅇ" localSheetId="12">{"S220-V";"S250-V";"S290-V"}</definedName>
    <definedName name="ㅁㅁㅇ" localSheetId="3">{"S220-V";"S250-V";"S290-V"}</definedName>
    <definedName name="ㅁㅁㅇ" localSheetId="6">{"S220-V";"S250-V";"S290-V"}</definedName>
    <definedName name="ㅁㅁㅇ" localSheetId="4">{"S220-V";"S250-V";"S290-V"}</definedName>
    <definedName name="ㅁㅁㅇ">{"S220-V";"S250-V";"S290-V"}</definedName>
    <definedName name="ㅁㅇㄴ" localSheetId="10" hidden="1">{#N/A,#N/A,FALSE,"지침";#N/A,#N/A,FALSE,"환경분석";#N/A,#N/A,FALSE,"Sheet16"}</definedName>
    <definedName name="ㅁㅇㄴ" localSheetId="11" hidden="1">{#N/A,#N/A,FALSE,"지침";#N/A,#N/A,FALSE,"환경분석";#N/A,#N/A,FALSE,"Sheet16"}</definedName>
    <definedName name="ㅁㅇㄴ" localSheetId="9" hidden="1">{#N/A,#N/A,FALSE,"지침";#N/A,#N/A,FALSE,"환경분석";#N/A,#N/A,FALSE,"Sheet16"}</definedName>
    <definedName name="ㅁㅇㄴ" localSheetId="1" hidden="1">{#N/A,#N/A,FALSE,"지침";#N/A,#N/A,FALSE,"환경분석";#N/A,#N/A,FALSE,"Sheet16"}</definedName>
    <definedName name="ㅁㅇㄴ" localSheetId="2" hidden="1">{#N/A,#N/A,FALSE,"지침";#N/A,#N/A,FALSE,"환경분석";#N/A,#N/A,FALSE,"Sheet16"}</definedName>
    <definedName name="ㅁㅇㄴ" localSheetId="12" hidden="1">{#N/A,#N/A,FALSE,"지침";#N/A,#N/A,FALSE,"환경분석";#N/A,#N/A,FALSE,"Sheet16"}</definedName>
    <definedName name="ㅁㅇㄴ" localSheetId="3" hidden="1">{#N/A,#N/A,FALSE,"지침";#N/A,#N/A,FALSE,"환경분석";#N/A,#N/A,FALSE,"Sheet16"}</definedName>
    <definedName name="ㅁㅇㄴ" localSheetId="6" hidden="1">{#N/A,#N/A,FALSE,"지침";#N/A,#N/A,FALSE,"환경분석";#N/A,#N/A,FALSE,"Sheet16"}</definedName>
    <definedName name="ㅁㅇㄴ" localSheetId="4" hidden="1">{#N/A,#N/A,FALSE,"지침";#N/A,#N/A,FALSE,"환경분석";#N/A,#N/A,FALSE,"Sheet16"}</definedName>
    <definedName name="ㅁㅇㄴ" hidden="1">{#N/A,#N/A,FALSE,"지침";#N/A,#N/A,FALSE,"환경분석";#N/A,#N/A,FALSE,"Sheet16"}</definedName>
    <definedName name="ㅁㅈㅌ" localSheetId="10">'2.추정(긍정)'!ㅁㅈㅌ</definedName>
    <definedName name="ㅁㅈㅌ" localSheetId="11">'2.추정(부정)'!ㅁㅈㅌ</definedName>
    <definedName name="ㅁㅈㅌ" localSheetId="9">구NCP!ㅁㅈㅌ</definedName>
    <definedName name="ㅁㅈㅌ" localSheetId="2">추정!ㅁㅈㅌ</definedName>
    <definedName name="ㅁㅈㅌ" localSheetId="12">#N/A</definedName>
    <definedName name="ㅁㅈㅌ" localSheetId="3">#N/A</definedName>
    <definedName name="ㅁㅈㅌ" localSheetId="6">평정!ㅁㅈㅌ</definedName>
    <definedName name="ㅁㅈㅌ" localSheetId="4">NCP!ㅁㅈㅌ</definedName>
    <definedName name="ㅁㅈㅌ">'2.추정(긍정)'!ㅁㅈㅌ</definedName>
    <definedName name="ㅁ자ㅓ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hidden="1">{#N/A,#N/A,FALSE,"PART-1234-8-12-9(41)";#N/A,#N/A,FALSE,"PARTS-2(3)";#N/A,#N/A,FALSE,"VAN SYSTEM";#N/A,#N/A,FALSE,"PARTS-10(26)";#N/A,#N/A,FALSE,"PART-5-6-7-11(14)";#N/A,#N/A,FALSE,"PARTS-4(3)";#N/A,#N/A,FALSE,"PCLASS"}</definedName>
    <definedName name="ㅁㅌㅁ" localSheetId="10">'2.추정(긍정)'!ㅁㅌㅁ</definedName>
    <definedName name="ㅁㅌㅁ" localSheetId="11">'2.추정(부정)'!ㅁㅌㅁ</definedName>
    <definedName name="ㅁㅌㅁ" localSheetId="9">구NCP!ㅁㅌㅁ</definedName>
    <definedName name="ㅁㅌㅁ" localSheetId="2">추정!ㅁㅌㅁ</definedName>
    <definedName name="ㅁㅌㅁ" localSheetId="12">#N/A</definedName>
    <definedName name="ㅁㅌㅁ" localSheetId="3">#N/A</definedName>
    <definedName name="ㅁㅌㅁ" localSheetId="6">평정!ㅁㅌㅁ</definedName>
    <definedName name="ㅁㅌㅁ" localSheetId="4">NCP!ㅁㅌㅁ</definedName>
    <definedName name="ㅁㅌㅁ">'2.추정(긍정)'!ㅁㅌㅁ</definedName>
    <definedName name="만통" localSheetId="10">#REF!</definedName>
    <definedName name="만통" localSheetId="11">#REF!</definedName>
    <definedName name="만통" localSheetId="9">#REF!</definedName>
    <definedName name="만통" localSheetId="2">#REF!</definedName>
    <definedName name="만통" localSheetId="12">#REF!</definedName>
    <definedName name="만통" localSheetId="3">#REF!</definedName>
    <definedName name="만통" localSheetId="6">#REF!</definedName>
    <definedName name="만통" localSheetId="4">#REF!</definedName>
    <definedName name="만통">#REF!</definedName>
    <definedName name="말일" localSheetId="10">#REF!</definedName>
    <definedName name="말일" localSheetId="11">#REF!</definedName>
    <definedName name="말일" localSheetId="9">#REF!</definedName>
    <definedName name="말일" localSheetId="2">#REF!</definedName>
    <definedName name="말일" localSheetId="12">#REF!</definedName>
    <definedName name="말일" localSheetId="3">#REF!</definedName>
    <definedName name="말일" localSheetId="6">#REF!</definedName>
    <definedName name="말일" localSheetId="4">#REF!</definedName>
    <definedName name="말일">#REF!</definedName>
    <definedName name="매22" localSheetId="10">#REF!</definedName>
    <definedName name="매22" localSheetId="11">#REF!</definedName>
    <definedName name="매22" localSheetId="9">#REF!</definedName>
    <definedName name="매22" localSheetId="2">#REF!</definedName>
    <definedName name="매22" localSheetId="12">#REF!</definedName>
    <definedName name="매22" localSheetId="3">#REF!</definedName>
    <definedName name="매22" localSheetId="6">#REF!</definedName>
    <definedName name="매22" localSheetId="4">#REF!</definedName>
    <definedName name="매22">#REF!</definedName>
    <definedName name="매미" localSheetId="10">BlankMacro1</definedName>
    <definedName name="매미" localSheetId="11">BlankMacro1</definedName>
    <definedName name="매미" localSheetId="9">BlankMacro1</definedName>
    <definedName name="매미" localSheetId="2">BlankMacro1</definedName>
    <definedName name="매미" localSheetId="12">BlankMacro1</definedName>
    <definedName name="매미" localSheetId="3">BlankMacro1</definedName>
    <definedName name="매미" localSheetId="6">BlankMacro1</definedName>
    <definedName name="매미" localSheetId="4">BlankMacro1</definedName>
    <definedName name="매미">BlankMacro1</definedName>
    <definedName name="매출" localSheetId="10" hidden="1">{#N/A,#N/A,FALSE,"지침";#N/A,#N/A,FALSE,"환경분석";#N/A,#N/A,FALSE,"Sheet16"}</definedName>
    <definedName name="매출" localSheetId="11" hidden="1">{#N/A,#N/A,FALSE,"지침";#N/A,#N/A,FALSE,"환경분석";#N/A,#N/A,FALSE,"Sheet16"}</definedName>
    <definedName name="매출" localSheetId="9" hidden="1">{#N/A,#N/A,FALSE,"지침";#N/A,#N/A,FALSE,"환경분석";#N/A,#N/A,FALSE,"Sheet16"}</definedName>
    <definedName name="매출" localSheetId="1" hidden="1">{#N/A,#N/A,FALSE,"지침";#N/A,#N/A,FALSE,"환경분석";#N/A,#N/A,FALSE,"Sheet16"}</definedName>
    <definedName name="매출" localSheetId="2" hidden="1">{#N/A,#N/A,FALSE,"지침";#N/A,#N/A,FALSE,"환경분석";#N/A,#N/A,FALSE,"Sheet16"}</definedName>
    <definedName name="매출" localSheetId="12" hidden="1">{#N/A,#N/A,FALSE,"지침";#N/A,#N/A,FALSE,"환경분석";#N/A,#N/A,FALSE,"Sheet16"}</definedName>
    <definedName name="매출" localSheetId="3" hidden="1">{#N/A,#N/A,FALSE,"지침";#N/A,#N/A,FALSE,"환경분석";#N/A,#N/A,FALSE,"Sheet16"}</definedName>
    <definedName name="매출" localSheetId="6" hidden="1">{#N/A,#N/A,FALSE,"지침";#N/A,#N/A,FALSE,"환경분석";#N/A,#N/A,FALSE,"Sheet16"}</definedName>
    <definedName name="매출" localSheetId="4" hidden="1">{#N/A,#N/A,FALSE,"지침";#N/A,#N/A,FALSE,"환경분석";#N/A,#N/A,FALSE,"Sheet16"}</definedName>
    <definedName name="매출" hidden="1">{#N/A,#N/A,FALSE,"지침";#N/A,#N/A,FALSE,"환경분석";#N/A,#N/A,FALSE,"Sheet16"}</definedName>
    <definedName name="매출3" localSheetId="10" hidden="1">{#N/A,#N/A,FALSE,"지침";#N/A,#N/A,FALSE,"환경분석";#N/A,#N/A,FALSE,"Sheet16"}</definedName>
    <definedName name="매출3" localSheetId="11" hidden="1">{#N/A,#N/A,FALSE,"지침";#N/A,#N/A,FALSE,"환경분석";#N/A,#N/A,FALSE,"Sheet16"}</definedName>
    <definedName name="매출3" localSheetId="9" hidden="1">{#N/A,#N/A,FALSE,"지침";#N/A,#N/A,FALSE,"환경분석";#N/A,#N/A,FALSE,"Sheet16"}</definedName>
    <definedName name="매출3" localSheetId="1" hidden="1">{#N/A,#N/A,FALSE,"지침";#N/A,#N/A,FALSE,"환경분석";#N/A,#N/A,FALSE,"Sheet16"}</definedName>
    <definedName name="매출3" localSheetId="2" hidden="1">{#N/A,#N/A,FALSE,"지침";#N/A,#N/A,FALSE,"환경분석";#N/A,#N/A,FALSE,"Sheet16"}</definedName>
    <definedName name="매출3" localSheetId="12" hidden="1">{#N/A,#N/A,FALSE,"지침";#N/A,#N/A,FALSE,"환경분석";#N/A,#N/A,FALSE,"Sheet16"}</definedName>
    <definedName name="매출3" localSheetId="3" hidden="1">{#N/A,#N/A,FALSE,"지침";#N/A,#N/A,FALSE,"환경분석";#N/A,#N/A,FALSE,"Sheet16"}</definedName>
    <definedName name="매출3" localSheetId="6" hidden="1">{#N/A,#N/A,FALSE,"지침";#N/A,#N/A,FALSE,"환경분석";#N/A,#N/A,FALSE,"Sheet16"}</definedName>
    <definedName name="매출3" localSheetId="4" hidden="1">{#N/A,#N/A,FALSE,"지침";#N/A,#N/A,FALSE,"환경분석";#N/A,#N/A,FALSE,"Sheet16"}</definedName>
    <definedName name="매출3" hidden="1">{#N/A,#N/A,FALSE,"지침";#N/A,#N/A,FALSE,"환경분석";#N/A,#N/A,FALSE,"Sheet16"}</definedName>
    <definedName name="매출우너가율산정식" localSheetId="10" hidden="1">{#N/A,#N/A,FALSE,"지침";#N/A,#N/A,FALSE,"환경분석";#N/A,#N/A,FALSE,"Sheet16"}</definedName>
    <definedName name="매출우너가율산정식" localSheetId="11" hidden="1">{#N/A,#N/A,FALSE,"지침";#N/A,#N/A,FALSE,"환경분석";#N/A,#N/A,FALSE,"Sheet16"}</definedName>
    <definedName name="매출우너가율산정식" localSheetId="9" hidden="1">{#N/A,#N/A,FALSE,"지침";#N/A,#N/A,FALSE,"환경분석";#N/A,#N/A,FALSE,"Sheet16"}</definedName>
    <definedName name="매출우너가율산정식" localSheetId="1" hidden="1">{#N/A,#N/A,FALSE,"지침";#N/A,#N/A,FALSE,"환경분석";#N/A,#N/A,FALSE,"Sheet16"}</definedName>
    <definedName name="매출우너가율산정식" localSheetId="2" hidden="1">{#N/A,#N/A,FALSE,"지침";#N/A,#N/A,FALSE,"환경분석";#N/A,#N/A,FALSE,"Sheet16"}</definedName>
    <definedName name="매출우너가율산정식" localSheetId="12" hidden="1">{#N/A,#N/A,FALSE,"지침";#N/A,#N/A,FALSE,"환경분석";#N/A,#N/A,FALSE,"Sheet16"}</definedName>
    <definedName name="매출우너가율산정식" localSheetId="3" hidden="1">{#N/A,#N/A,FALSE,"지침";#N/A,#N/A,FALSE,"환경분석";#N/A,#N/A,FALSE,"Sheet16"}</definedName>
    <definedName name="매출우너가율산정식" localSheetId="6" hidden="1">{#N/A,#N/A,FALSE,"지침";#N/A,#N/A,FALSE,"환경분석";#N/A,#N/A,FALSE,"Sheet16"}</definedName>
    <definedName name="매출우너가율산정식" localSheetId="4" hidden="1">{#N/A,#N/A,FALSE,"지침";#N/A,#N/A,FALSE,"환경분석";#N/A,#N/A,FALSE,"Sheet16"}</definedName>
    <definedName name="매출우너가율산정식" hidden="1">{#N/A,#N/A,FALSE,"지침";#N/A,#N/A,FALSE,"환경분석";#N/A,#N/A,FALSE,"Sheet16"}</definedName>
    <definedName name="매출원가율" localSheetId="10" hidden="1">{#N/A,#N/A,FALSE,"지침";#N/A,#N/A,FALSE,"환경분석";#N/A,#N/A,FALSE,"Sheet16"}</definedName>
    <definedName name="매출원가율" localSheetId="11" hidden="1">{#N/A,#N/A,FALSE,"지침";#N/A,#N/A,FALSE,"환경분석";#N/A,#N/A,FALSE,"Sheet16"}</definedName>
    <definedName name="매출원가율" localSheetId="9" hidden="1">{#N/A,#N/A,FALSE,"지침";#N/A,#N/A,FALSE,"환경분석";#N/A,#N/A,FALSE,"Sheet16"}</definedName>
    <definedName name="매출원가율" localSheetId="1" hidden="1">{#N/A,#N/A,FALSE,"지침";#N/A,#N/A,FALSE,"환경분석";#N/A,#N/A,FALSE,"Sheet16"}</definedName>
    <definedName name="매출원가율" localSheetId="2" hidden="1">{#N/A,#N/A,FALSE,"지침";#N/A,#N/A,FALSE,"환경분석";#N/A,#N/A,FALSE,"Sheet16"}</definedName>
    <definedName name="매출원가율" localSheetId="12" hidden="1">{#N/A,#N/A,FALSE,"지침";#N/A,#N/A,FALSE,"환경분석";#N/A,#N/A,FALSE,"Sheet16"}</definedName>
    <definedName name="매출원가율" localSheetId="3" hidden="1">{#N/A,#N/A,FALSE,"지침";#N/A,#N/A,FALSE,"환경분석";#N/A,#N/A,FALSE,"Sheet16"}</definedName>
    <definedName name="매출원가율" localSheetId="6" hidden="1">{#N/A,#N/A,FALSE,"지침";#N/A,#N/A,FALSE,"환경분석";#N/A,#N/A,FALSE,"Sheet16"}</definedName>
    <definedName name="매출원가율" localSheetId="4" hidden="1">{#N/A,#N/A,FALSE,"지침";#N/A,#N/A,FALSE,"환경분석";#N/A,#N/A,FALSE,"Sheet16"}</definedName>
    <definedName name="매출원가율" hidden="1">{#N/A,#N/A,FALSE,"지침";#N/A,#N/A,FALSE,"환경분석";#N/A,#N/A,FALSE,"Sheet16"}</definedName>
    <definedName name="매출채권할인및융통어음내역" localSheetId="10">#REF!</definedName>
    <definedName name="매출채권할인및융통어음내역" localSheetId="11">#REF!</definedName>
    <definedName name="매출채권할인및융통어음내역" localSheetId="9">#REF!</definedName>
    <definedName name="매출채권할인및융통어음내역" localSheetId="2">#REF!</definedName>
    <definedName name="매출채권할인및융통어음내역" localSheetId="12">#REF!</definedName>
    <definedName name="매출채권할인및융통어음내역" localSheetId="3">#REF!</definedName>
    <definedName name="매출채권할인및융통어음내역" localSheetId="6">#REF!</definedName>
    <definedName name="매출채권할인및융통어음내역" localSheetId="4">#REF!</definedName>
    <definedName name="매출채권할인및융통어음내역">#REF!</definedName>
    <definedName name="매출총괄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hidden="1">{#N/A,#N/A,FALSE,"PART-1234-8-12-9(41)";#N/A,#N/A,FALSE,"PARTS-2(3)";#N/A,#N/A,FALSE,"VAN SYSTEM";#N/A,#N/A,FALSE,"PARTS-10(26)";#N/A,#N/A,FALSE,"PART-5-6-7-11(14)";#N/A,#N/A,FALSE,"PARTS-4(3)";#N/A,#N/A,FALSE,"PCLASS"}</definedName>
    <definedName name="매크로4" localSheetId="10">[13]!매크로4</definedName>
    <definedName name="매크로4" localSheetId="11">[13]!매크로4</definedName>
    <definedName name="매크로4" localSheetId="9">[13]!매크로4</definedName>
    <definedName name="매크로4" localSheetId="3">[13]!매크로4</definedName>
    <definedName name="매크로4" localSheetId="6">[13]!매크로4</definedName>
    <definedName name="매크로4" localSheetId="4">[13]!매크로4</definedName>
    <definedName name="매크로4">[13]!매크로4</definedName>
    <definedName name="매크로5" localSheetId="10">[14]!매크로4</definedName>
    <definedName name="매크로5" localSheetId="11">[14]!매크로4</definedName>
    <definedName name="매크로5" localSheetId="9">[14]!매크로4</definedName>
    <definedName name="매크로5" localSheetId="3">[14]!매크로4</definedName>
    <definedName name="매크로5" localSheetId="6">[14]!매크로4</definedName>
    <definedName name="매크로5" localSheetId="4">[14]!매크로4</definedName>
    <definedName name="매크로5">[14]!매크로4</definedName>
    <definedName name="메롱" localSheetId="10">BlankMacro1</definedName>
    <definedName name="메롱" localSheetId="11">BlankMacro1</definedName>
    <definedName name="메롱" localSheetId="9">BlankMacro1</definedName>
    <definedName name="메롱" localSheetId="2">BlankMacro1</definedName>
    <definedName name="메롱" localSheetId="12">BlankMacro1</definedName>
    <definedName name="메롱" localSheetId="3">BlankMacro1</definedName>
    <definedName name="메롱" localSheetId="6">BlankMacro1</definedName>
    <definedName name="메롱" localSheetId="4">BlankMacro1</definedName>
    <definedName name="메롱">BlankMacro1</definedName>
    <definedName name="모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모" hidden="1">{#N/A,#N/A,FALSE,"PART-1234-8-12-9(41)";#N/A,#N/A,FALSE,"PARTS-2(3)";#N/A,#N/A,FALSE,"VAN SYSTEM";#N/A,#N/A,FALSE,"PARTS-10(26)";#N/A,#N/A,FALSE,"PART-5-6-7-11(14)";#N/A,#N/A,FALSE,"PARTS-4(3)";#N/A,#N/A,FALSE,"PCLASS"}</definedName>
    <definedName name="목표">#N/A</definedName>
    <definedName name="목표2" localSheetId="10">#REF!</definedName>
    <definedName name="목표2" localSheetId="11">#REF!</definedName>
    <definedName name="목표2" localSheetId="9">#REF!</definedName>
    <definedName name="목표2" localSheetId="2">#REF!</definedName>
    <definedName name="목표2" localSheetId="12">#REF!</definedName>
    <definedName name="목표2" localSheetId="3">#REF!</definedName>
    <definedName name="목표2" localSheetId="6">#REF!</definedName>
    <definedName name="목표2" localSheetId="4">#REF!</definedName>
    <definedName name="목표2">#REF!</definedName>
    <definedName name="목표전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무상사용기간_및_통행료산정" localSheetId="10">#REF!</definedName>
    <definedName name="무상사용기간_및_통행료산정" localSheetId="11">#REF!</definedName>
    <definedName name="무상사용기간_및_통행료산정" localSheetId="9">#REF!</definedName>
    <definedName name="무상사용기간_및_통행료산정" localSheetId="2">#REF!</definedName>
    <definedName name="무상사용기간_및_통행료산정" localSheetId="12">#REF!</definedName>
    <definedName name="무상사용기간_및_통행료산정" localSheetId="3">#REF!</definedName>
    <definedName name="무상사용기간_및_통행료산정" localSheetId="6">#REF!</definedName>
    <definedName name="무상사용기간_및_통행료산정" localSheetId="4">#REF!</definedName>
    <definedName name="무상사용기간_및_통행료산정">#REF!</definedName>
    <definedName name="문제점설변" localSheetId="10">{"S220-V";"S250-V";"S290-V"}</definedName>
    <definedName name="문제점설변" localSheetId="11">{"S220-V";"S250-V";"S290-V"}</definedName>
    <definedName name="문제점설변" localSheetId="9">{"S220-V";"S250-V";"S290-V"}</definedName>
    <definedName name="문제점설변" localSheetId="2">{"S220-V";"S250-V";"S290-V"}</definedName>
    <definedName name="문제점설변" localSheetId="12">{"S220-V";"S250-V";"S290-V"}</definedName>
    <definedName name="문제점설변" localSheetId="3">{"S220-V";"S250-V";"S290-V"}</definedName>
    <definedName name="문제점설변" localSheetId="6">{"S220-V";"S250-V";"S290-V"}</definedName>
    <definedName name="문제점설변" localSheetId="4">{"S220-V";"S250-V";"S290-V"}</definedName>
    <definedName name="문제점설변">{"S220-V";"S250-V";"S290-V"}</definedName>
    <definedName name="문제점설변LIST" localSheetId="10">{"S220-V";"S250-V";"S290-V"}</definedName>
    <definedName name="문제점설변LIST" localSheetId="11">{"S220-V";"S250-V";"S290-V"}</definedName>
    <definedName name="문제점설변LIST" localSheetId="9">{"S220-V";"S250-V";"S290-V"}</definedName>
    <definedName name="문제점설변LIST" localSheetId="2">{"S220-V";"S250-V";"S290-V"}</definedName>
    <definedName name="문제점설변LIST" localSheetId="12">{"S220-V";"S250-V";"S290-V"}</definedName>
    <definedName name="문제점설변LIST" localSheetId="3">{"S220-V";"S250-V";"S290-V"}</definedName>
    <definedName name="문제점설변LIST" localSheetId="6">{"S220-V";"S250-V";"S290-V"}</definedName>
    <definedName name="문제점설변LIST" localSheetId="4">{"S220-V";"S250-V";"S290-V"}</definedName>
    <definedName name="문제점설변LIST">{"S220-V";"S250-V";"S290-V"}</definedName>
    <definedName name="물가상승률" localSheetId="10">#REF!</definedName>
    <definedName name="물가상승률" localSheetId="11">#REF!</definedName>
    <definedName name="물가상승률" localSheetId="9">#REF!</definedName>
    <definedName name="물가상승률" localSheetId="2">#REF!</definedName>
    <definedName name="물가상승률" localSheetId="12">#REF!</definedName>
    <definedName name="물가상승률" localSheetId="3">#REF!</definedName>
    <definedName name="물가상승률" localSheetId="6">#REF!</definedName>
    <definedName name="물가상승률" localSheetId="4">#REF!</definedName>
    <definedName name="물가상승률">#REF!</definedName>
    <definedName name="뭐" localSheetId="10">{"S220-V";"S250-V";"S290-V"}</definedName>
    <definedName name="뭐" localSheetId="11">{"S220-V";"S250-V";"S290-V"}</definedName>
    <definedName name="뭐" localSheetId="9">{"S220-V";"S250-V";"S290-V"}</definedName>
    <definedName name="뭐" localSheetId="2">{"S220-V";"S250-V";"S290-V"}</definedName>
    <definedName name="뭐" localSheetId="12">{"S220-V";"S250-V";"S290-V"}</definedName>
    <definedName name="뭐" localSheetId="3">{"S220-V";"S250-V";"S290-V"}</definedName>
    <definedName name="뭐" localSheetId="6">{"S220-V";"S250-V";"S290-V"}</definedName>
    <definedName name="뭐" localSheetId="4">{"S220-V";"S250-V";"S290-V"}</definedName>
    <definedName name="뭐">{"S220-V";"S250-V";"S290-V"}</definedName>
    <definedName name="뭔" localSheetId="10">{"S220-V";"S250-V";"S290-V"}</definedName>
    <definedName name="뭔" localSheetId="11">{"S220-V";"S250-V";"S290-V"}</definedName>
    <definedName name="뭔" localSheetId="9">{"S220-V";"S250-V";"S290-V"}</definedName>
    <definedName name="뭔" localSheetId="2">{"S220-V";"S250-V";"S290-V"}</definedName>
    <definedName name="뭔" localSheetId="12">{"S220-V";"S250-V";"S290-V"}</definedName>
    <definedName name="뭔" localSheetId="3">{"S220-V";"S250-V";"S290-V"}</definedName>
    <definedName name="뭔" localSheetId="6">{"S220-V";"S250-V";"S290-V"}</definedName>
    <definedName name="뭔" localSheetId="4">{"S220-V";"S250-V";"S290-V"}</definedName>
    <definedName name="뭔">{"S220-V";"S250-V";"S290-V"}</definedName>
    <definedName name="뭐야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뮤" localSheetId="10" hidden="1">{#N/A,#N/A,FALSE,"지침";#N/A,#N/A,FALSE,"환경분석";#N/A,#N/A,FALSE,"Sheet16"}</definedName>
    <definedName name="뮤" localSheetId="11" hidden="1">{#N/A,#N/A,FALSE,"지침";#N/A,#N/A,FALSE,"환경분석";#N/A,#N/A,FALSE,"Sheet16"}</definedName>
    <definedName name="뮤" localSheetId="9" hidden="1">{#N/A,#N/A,FALSE,"지침";#N/A,#N/A,FALSE,"환경분석";#N/A,#N/A,FALSE,"Sheet16"}</definedName>
    <definedName name="뮤" localSheetId="1" hidden="1">{#N/A,#N/A,FALSE,"지침";#N/A,#N/A,FALSE,"환경분석";#N/A,#N/A,FALSE,"Sheet16"}</definedName>
    <definedName name="뮤" localSheetId="2" hidden="1">{#N/A,#N/A,FALSE,"지침";#N/A,#N/A,FALSE,"환경분석";#N/A,#N/A,FALSE,"Sheet16"}</definedName>
    <definedName name="뮤" localSheetId="12" hidden="1">{#N/A,#N/A,FALSE,"지침";#N/A,#N/A,FALSE,"환경분석";#N/A,#N/A,FALSE,"Sheet16"}</definedName>
    <definedName name="뮤" localSheetId="3" hidden="1">{#N/A,#N/A,FALSE,"지침";#N/A,#N/A,FALSE,"환경분석";#N/A,#N/A,FALSE,"Sheet16"}</definedName>
    <definedName name="뮤" localSheetId="6" hidden="1">{#N/A,#N/A,FALSE,"지침";#N/A,#N/A,FALSE,"환경분석";#N/A,#N/A,FALSE,"Sheet16"}</definedName>
    <definedName name="뮤" localSheetId="4" hidden="1">{#N/A,#N/A,FALSE,"지침";#N/A,#N/A,FALSE,"환경분석";#N/A,#N/A,FALSE,"Sheet16"}</definedName>
    <definedName name="뮤" hidden="1">{#N/A,#N/A,FALSE,"지침";#N/A,#N/A,FALSE,"환경분석";#N/A,#N/A,FALSE,"Sheet16"}</definedName>
    <definedName name="미" localSheetId="10" hidden="1">{#N/A,#N/A,TRUE,"일정"}</definedName>
    <definedName name="미" localSheetId="11" hidden="1">{#N/A,#N/A,TRUE,"일정"}</definedName>
    <definedName name="미" localSheetId="9" hidden="1">{#N/A,#N/A,TRUE,"일정"}</definedName>
    <definedName name="미" localSheetId="1" hidden="1">{#N/A,#N/A,TRUE,"일정"}</definedName>
    <definedName name="미" localSheetId="2" hidden="1">{#N/A,#N/A,TRUE,"일정"}</definedName>
    <definedName name="미" localSheetId="12" hidden="1">{#N/A,#N/A,TRUE,"일정"}</definedName>
    <definedName name="미" localSheetId="3" hidden="1">{#N/A,#N/A,TRUE,"일정"}</definedName>
    <definedName name="미" localSheetId="6" hidden="1">{#N/A,#N/A,TRUE,"일정"}</definedName>
    <definedName name="미" localSheetId="4" hidden="1">{#N/A,#N/A,TRUE,"일정"}</definedName>
    <definedName name="미" hidden="1">{#N/A,#N/A,TRUE,"일정"}</definedName>
    <definedName name="미승인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지급금" localSheetId="10">'2.추정(긍정)'!미지급금</definedName>
    <definedName name="미지급금" localSheetId="11">'2.추정(부정)'!미지급금</definedName>
    <definedName name="미지급금" localSheetId="9">구NCP!미지급금</definedName>
    <definedName name="미지급금" localSheetId="2">추정!미지급금</definedName>
    <definedName name="미지급금" localSheetId="12">#N/A</definedName>
    <definedName name="미지급금" localSheetId="3">#N/A</definedName>
    <definedName name="미지급금" localSheetId="6">평정!미지급금</definedName>
    <definedName name="미지급금" localSheetId="4">NCP!미지급금</definedName>
    <definedName name="미지급금">'2.추정(긍정)'!미지급금</definedName>
    <definedName name="ㅂ" localSheetId="10">#REF!</definedName>
    <definedName name="ㅂ" localSheetId="11">#REF!</definedName>
    <definedName name="ㅂ" localSheetId="9">#REF!</definedName>
    <definedName name="ㅂ" localSheetId="2">#REF!</definedName>
    <definedName name="ㅂ" localSheetId="12">#REF!</definedName>
    <definedName name="ㅂ" localSheetId="3">#REF!</definedName>
    <definedName name="ㅂ" localSheetId="6">#REF!</definedName>
    <definedName name="ㅂ" localSheetId="4">#REF!</definedName>
    <definedName name="ㅂ">#REF!</definedName>
    <definedName name="ㅂㄷ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hidden="1">{#N/A,#N/A,FALSE,"PART-1234-8-12-9(41)";#N/A,#N/A,FALSE,"PARTS-2(3)";#N/A,#N/A,FALSE,"VAN SYSTEM";#N/A,#N/A,FALSE,"PARTS-10(26)";#N/A,#N/A,FALSE,"PART-5-6-7-11(14)";#N/A,#N/A,FALSE,"PARTS-4(3)";#N/A,#N/A,FALSE,"PCLASS"}</definedName>
    <definedName name="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ㄱ" localSheetId="10">#REF!</definedName>
    <definedName name="ㅂㄷㅈㄱ" localSheetId="11">#REF!</definedName>
    <definedName name="ㅂㄷㅈㄱ" localSheetId="9">#REF!</definedName>
    <definedName name="ㅂㄷㅈㄱ" localSheetId="2">#REF!</definedName>
    <definedName name="ㅂㄷㅈㄱ" localSheetId="12">#REF!</definedName>
    <definedName name="ㅂㄷㅈㄱ" localSheetId="3">#REF!</definedName>
    <definedName name="ㅂㄷㅈㄱ" localSheetId="6">#REF!</definedName>
    <definedName name="ㅂㄷㅈㄱ" localSheetId="4">#REF!</definedName>
    <definedName name="ㅂㄷㅈㄱ">#REF!</definedName>
    <definedName name="ㅂㅁㄱ" localSheetId="10">#REF!</definedName>
    <definedName name="ㅂㅁㄱ" localSheetId="11">#REF!</definedName>
    <definedName name="ㅂㅁㄱ" localSheetId="9">#REF!</definedName>
    <definedName name="ㅂㅁㄱ" localSheetId="2">#REF!</definedName>
    <definedName name="ㅂㅁㄱ" localSheetId="12">#REF!</definedName>
    <definedName name="ㅂㅁㄱ" localSheetId="3">#REF!</definedName>
    <definedName name="ㅂㅁㄱ" localSheetId="6">#REF!</definedName>
    <definedName name="ㅂㅁㄱ" localSheetId="4">#REF!</definedName>
    <definedName name="ㅂㅁㄱ">#REF!</definedName>
    <definedName name="ㅂㅁㄴ" localSheetId="10">#REF!</definedName>
    <definedName name="ㅂㅁㄴ" localSheetId="11">#REF!</definedName>
    <definedName name="ㅂㅁㄴ" localSheetId="9">#REF!</definedName>
    <definedName name="ㅂㅁㄴ" localSheetId="2">#REF!</definedName>
    <definedName name="ㅂㅁㄴ" localSheetId="12">#REF!</definedName>
    <definedName name="ㅂㅁㄴ" localSheetId="3">#REF!</definedName>
    <definedName name="ㅂㅁㄴ" localSheetId="6">#REF!</definedName>
    <definedName name="ㅂㅁㄴ" localSheetId="4">#REF!</definedName>
    <definedName name="ㅂㅁㄴ">#REF!</definedName>
    <definedName name="ㅂㅂ" localSheetId="10">#REF!</definedName>
    <definedName name="ㅂㅂ" localSheetId="11">#REF!</definedName>
    <definedName name="ㅂㅂ" localSheetId="9">#REF!</definedName>
    <definedName name="ㅂㅂ" localSheetId="2">#REF!</definedName>
    <definedName name="ㅂㅂ" localSheetId="12">#REF!</definedName>
    <definedName name="ㅂㅂ" localSheetId="3">#REF!</definedName>
    <definedName name="ㅂㅂ" localSheetId="6">#REF!</definedName>
    <definedName name="ㅂㅂ" localSheetId="4">#REF!</definedName>
    <definedName name="ㅂㅂ">#REF!</definedName>
    <definedName name="ㅂㅂㅂ" localSheetId="10">#REF!</definedName>
    <definedName name="ㅂㅂㅂ" localSheetId="11">#REF!</definedName>
    <definedName name="ㅂㅂㅂ" localSheetId="9">#REF!</definedName>
    <definedName name="ㅂㅂㅂ" localSheetId="2">#REF!</definedName>
    <definedName name="ㅂㅂㅂ" localSheetId="12">#REF!</definedName>
    <definedName name="ㅂㅂㅂ" localSheetId="3">#REF!</definedName>
    <definedName name="ㅂㅂㅂ" localSheetId="6">#REF!</definedName>
    <definedName name="ㅂㅂㅂ" localSheetId="4">#REF!</definedName>
    <definedName name="ㅂㅂㅂ">#REF!</definedName>
    <definedName name="ㅂㅂㅂㅂ" localSheetId="10">#REF!</definedName>
    <definedName name="ㅂㅂㅂㅂ" localSheetId="11">#REF!</definedName>
    <definedName name="ㅂㅂㅂㅂ" localSheetId="9">#REF!</definedName>
    <definedName name="ㅂㅂㅂㅂ" localSheetId="2">#REF!</definedName>
    <definedName name="ㅂㅂㅂㅂ" localSheetId="12">#REF!</definedName>
    <definedName name="ㅂㅂㅂㅂ" localSheetId="3">#REF!</definedName>
    <definedName name="ㅂㅂㅂㅂ" localSheetId="6">#REF!</definedName>
    <definedName name="ㅂㅂㅂㅂ" localSheetId="4">#REF!</definedName>
    <definedName name="ㅂㅂㅂㅂ">#REF!</definedName>
    <definedName name="ㅂㅂㅂㅂㅂㅂ" localSheetId="10" hidden="1">{#N/A,#N/A,FALSE,"지침";#N/A,#N/A,FALSE,"환경분석";#N/A,#N/A,FALSE,"Sheet16"}</definedName>
    <definedName name="ㅂㅂㅂㅂㅂㅂ" localSheetId="11" hidden="1">{#N/A,#N/A,FALSE,"지침";#N/A,#N/A,FALSE,"환경분석";#N/A,#N/A,FALSE,"Sheet16"}</definedName>
    <definedName name="ㅂㅂㅂㅂㅂㅂ" localSheetId="9" hidden="1">{#N/A,#N/A,FALSE,"지침";#N/A,#N/A,FALSE,"환경분석";#N/A,#N/A,FALSE,"Sheet16"}</definedName>
    <definedName name="ㅂㅂㅂㅂㅂㅂ" localSheetId="1" hidden="1">{#N/A,#N/A,FALSE,"지침";#N/A,#N/A,FALSE,"환경분석";#N/A,#N/A,FALSE,"Sheet16"}</definedName>
    <definedName name="ㅂㅂㅂㅂㅂㅂ" localSheetId="2" hidden="1">{#N/A,#N/A,FALSE,"지침";#N/A,#N/A,FALSE,"환경분석";#N/A,#N/A,FALSE,"Sheet16"}</definedName>
    <definedName name="ㅂㅂㅂㅂㅂㅂ" localSheetId="12" hidden="1">{#N/A,#N/A,FALSE,"지침";#N/A,#N/A,FALSE,"환경분석";#N/A,#N/A,FALSE,"Sheet16"}</definedName>
    <definedName name="ㅂㅂㅂㅂㅂㅂ" localSheetId="3" hidden="1">{#N/A,#N/A,FALSE,"지침";#N/A,#N/A,FALSE,"환경분석";#N/A,#N/A,FALSE,"Sheet16"}</definedName>
    <definedName name="ㅂㅂㅂㅂㅂㅂ" localSheetId="6" hidden="1">{#N/A,#N/A,FALSE,"지침";#N/A,#N/A,FALSE,"환경분석";#N/A,#N/A,FALSE,"Sheet16"}</definedName>
    <definedName name="ㅂㅂㅂㅂㅂㅂ" localSheetId="4" hidden="1">{#N/A,#N/A,FALSE,"지침";#N/A,#N/A,FALSE,"환경분석";#N/A,#N/A,FALSE,"Sheet16"}</definedName>
    <definedName name="ㅂㅂㅂㅂㅂㅂ" hidden="1">{#N/A,#N/A,FALSE,"지침";#N/A,#N/A,FALSE,"환경분석";#N/A,#N/A,FALSE,"Sheet16"}</definedName>
    <definedName name="ㅂㅂㅈㅈㄷㄱ" localSheetId="10">#REF!</definedName>
    <definedName name="ㅂㅂㅈㅈㄷㄱ" localSheetId="11">#REF!</definedName>
    <definedName name="ㅂㅂㅈㅈㄷㄱ" localSheetId="9">#REF!</definedName>
    <definedName name="ㅂㅂㅈㅈㄷㄱ" localSheetId="2">#REF!</definedName>
    <definedName name="ㅂㅂㅈㅈㄷㄱ" localSheetId="12">#REF!</definedName>
    <definedName name="ㅂㅂㅈㅈㄷㄱ" localSheetId="3">#REF!</definedName>
    <definedName name="ㅂㅂㅈㅈㄷㄱ" localSheetId="6">#REF!</definedName>
    <definedName name="ㅂㅂㅈㅈㄷㄱ" localSheetId="4">#REF!</definedName>
    <definedName name="ㅂㅂㅈㅈㄷㄱ">#REF!</definedName>
    <definedName name="ㅂㅈ" localSheetId="10">'2.추정(긍정)'!ㅂㅈ</definedName>
    <definedName name="ㅂㅈ" localSheetId="11">'2.추정(부정)'!ㅂㅈ</definedName>
    <definedName name="ㅂㅈ" localSheetId="9">구NCP!ㅂㅈ</definedName>
    <definedName name="ㅂㅈ" localSheetId="2">추정!ㅂㅈ</definedName>
    <definedName name="ㅂㅈ" localSheetId="12">#N/A</definedName>
    <definedName name="ㅂㅈ" localSheetId="3">#N/A</definedName>
    <definedName name="ㅂㅈ" localSheetId="6">평정!ㅂㅈ</definedName>
    <definedName name="ㅂㅈ" localSheetId="4">NCP!ㅂㅈ</definedName>
    <definedName name="ㅂㅈ">'2.추정(긍정)'!ㅂㅈ</definedName>
    <definedName name="ㅂㅈ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hidden="1">{#N/A,#N/A,FALSE,"PART-1234-8-12-9(41)";#N/A,#N/A,FALSE,"PARTS-2(3)";#N/A,#N/A,FALSE,"VAN SYSTEM";#N/A,#N/A,FALSE,"PARTS-10(26)";#N/A,#N/A,FALSE,"PART-5-6-7-11(14)";#N/A,#N/A,FALSE,"PARTS-4(3)";#N/A,#N/A,FALSE,"PCLASS"}</definedName>
    <definedName name="ㅂㅈㄷ" localSheetId="10">#REF!</definedName>
    <definedName name="ㅂㅈㄷ" localSheetId="11">#REF!</definedName>
    <definedName name="ㅂㅈㄷ" localSheetId="9">#REF!</definedName>
    <definedName name="ㅂㅈㄷ" localSheetId="2">#REF!</definedName>
    <definedName name="ㅂㅈㄷ" localSheetId="12">#REF!</definedName>
    <definedName name="ㅂㅈㄷ" localSheetId="3">#REF!</definedName>
    <definedName name="ㅂㅈㄷ" localSheetId="6">#REF!</definedName>
    <definedName name="ㅂㅈㄷ" localSheetId="4">#REF!</definedName>
    <definedName name="ㅂㅈㄷ">#REF!</definedName>
    <definedName name="ㅂㅈ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바" localSheetId="10">#REF!</definedName>
    <definedName name="바" localSheetId="11">#REF!</definedName>
    <definedName name="바" localSheetId="9">#REF!</definedName>
    <definedName name="바" localSheetId="2">#REF!</definedName>
    <definedName name="바" localSheetId="12">#REF!</definedName>
    <definedName name="바" localSheetId="3">#REF!</definedName>
    <definedName name="바" localSheetId="6">#REF!</definedName>
    <definedName name="바" localSheetId="4">#REF!</definedName>
    <definedName name="바">#REF!</definedName>
    <definedName name="박" localSheetId="10" hidden="1">{#N/A,#N/A,FALSE,"지침";#N/A,#N/A,FALSE,"환경분석";#N/A,#N/A,FALSE,"Sheet16"}</definedName>
    <definedName name="박" localSheetId="11" hidden="1">{#N/A,#N/A,FALSE,"지침";#N/A,#N/A,FALSE,"환경분석";#N/A,#N/A,FALSE,"Sheet16"}</definedName>
    <definedName name="박" localSheetId="9" hidden="1">{#N/A,#N/A,FALSE,"지침";#N/A,#N/A,FALSE,"환경분석";#N/A,#N/A,FALSE,"Sheet16"}</definedName>
    <definedName name="박" localSheetId="1" hidden="1">{#N/A,#N/A,FALSE,"지침";#N/A,#N/A,FALSE,"환경분석";#N/A,#N/A,FALSE,"Sheet16"}</definedName>
    <definedName name="박" localSheetId="2" hidden="1">{#N/A,#N/A,FALSE,"지침";#N/A,#N/A,FALSE,"환경분석";#N/A,#N/A,FALSE,"Sheet16"}</definedName>
    <definedName name="박" localSheetId="12" hidden="1">{#N/A,#N/A,FALSE,"지침";#N/A,#N/A,FALSE,"환경분석";#N/A,#N/A,FALSE,"Sheet16"}</definedName>
    <definedName name="박" localSheetId="3" hidden="1">{#N/A,#N/A,FALSE,"지침";#N/A,#N/A,FALSE,"환경분석";#N/A,#N/A,FALSE,"Sheet16"}</definedName>
    <definedName name="박" localSheetId="6" hidden="1">{#N/A,#N/A,FALSE,"지침";#N/A,#N/A,FALSE,"환경분석";#N/A,#N/A,FALSE,"Sheet16"}</definedName>
    <definedName name="박" localSheetId="4" hidden="1">{#N/A,#N/A,FALSE,"지침";#N/A,#N/A,FALSE,"환경분석";#N/A,#N/A,FALSE,"Sheet16"}</definedName>
    <definedName name="박" hidden="1">{#N/A,#N/A,FALSE,"지침";#N/A,#N/A,FALSE,"환경분석";#N/A,#N/A,FALSE,"Sheet16"}</definedName>
    <definedName name="박건우" localSheetId="10" hidden="1">{#N/A,#N/A,FALSE,"model"}</definedName>
    <definedName name="박건우" localSheetId="11" hidden="1">{#N/A,#N/A,FALSE,"model"}</definedName>
    <definedName name="박건우" localSheetId="9" hidden="1">{#N/A,#N/A,FALSE,"model"}</definedName>
    <definedName name="박건우" localSheetId="1" hidden="1">{#N/A,#N/A,FALSE,"model"}</definedName>
    <definedName name="박건우" localSheetId="2" hidden="1">{#N/A,#N/A,FALSE,"model"}</definedName>
    <definedName name="박건우" localSheetId="12" hidden="1">{#N/A,#N/A,FALSE,"model"}</definedName>
    <definedName name="박건우" localSheetId="3" hidden="1">{#N/A,#N/A,FALSE,"model"}</definedName>
    <definedName name="박건우" localSheetId="6" hidden="1">{#N/A,#N/A,FALSE,"model"}</definedName>
    <definedName name="박건우" localSheetId="4" hidden="1">{#N/A,#N/A,FALSE,"model"}</definedName>
    <definedName name="박건우" hidden="1">{#N/A,#N/A,FALSE,"model"}</definedName>
    <definedName name="박진국">[15]영업!$AA$2:$IT$2</definedName>
    <definedName name="버스2002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번호" localSheetId="10">#REF!</definedName>
    <definedName name="번호" localSheetId="11">#REF!</definedName>
    <definedName name="번호" localSheetId="9">#REF!</definedName>
    <definedName name="번호" localSheetId="2">#REF!</definedName>
    <definedName name="번호" localSheetId="12">#REF!</definedName>
    <definedName name="번호" localSheetId="3">#REF!</definedName>
    <definedName name="번호" localSheetId="6">#REF!</definedName>
    <definedName name="번호" localSheetId="4">#REF!</definedName>
    <definedName name="번호">#REF!</definedName>
    <definedName name="번호1" localSheetId="10">#REF!</definedName>
    <definedName name="번호1" localSheetId="11">#REF!</definedName>
    <definedName name="번호1" localSheetId="9">#REF!</definedName>
    <definedName name="번호1" localSheetId="2">#REF!</definedName>
    <definedName name="번호1" localSheetId="12">#REF!</definedName>
    <definedName name="번호1" localSheetId="3">#REF!</definedName>
    <definedName name="번호1" localSheetId="6">#REF!</definedName>
    <definedName name="번호1" localSheetId="4">#REF!</definedName>
    <definedName name="번호1">#REF!</definedName>
    <definedName name="번호3" localSheetId="10">#REF!</definedName>
    <definedName name="번호3" localSheetId="11">#REF!</definedName>
    <definedName name="번호3" localSheetId="9">#REF!</definedName>
    <definedName name="번호3" localSheetId="2">#REF!</definedName>
    <definedName name="번호3" localSheetId="12">#REF!</definedName>
    <definedName name="번호3" localSheetId="3">#REF!</definedName>
    <definedName name="번호3" localSheetId="6">#REF!</definedName>
    <definedName name="번호3" localSheetId="4">#REF!</definedName>
    <definedName name="번호3">#REF!</definedName>
    <definedName name="법인세등_명세표" localSheetId="10">#REF!</definedName>
    <definedName name="법인세등_명세표" localSheetId="11">#REF!</definedName>
    <definedName name="법인세등_명세표" localSheetId="9">#REF!</definedName>
    <definedName name="법인세등_명세표" localSheetId="2">#REF!</definedName>
    <definedName name="법인세등_명세표" localSheetId="12">#REF!</definedName>
    <definedName name="법인세등_명세표" localSheetId="3">#REF!</definedName>
    <definedName name="법인세등_명세표" localSheetId="6">#REF!</definedName>
    <definedName name="법인세등_명세표" localSheetId="4">#REF!</definedName>
    <definedName name="법인세등_명세표">#REF!</definedName>
    <definedName name="법인세율" localSheetId="10">#REF!</definedName>
    <definedName name="법인세율" localSheetId="11">#REF!</definedName>
    <definedName name="법인세율" localSheetId="9">#REF!</definedName>
    <definedName name="법인세율" localSheetId="2">#REF!</definedName>
    <definedName name="법인세율" localSheetId="12">#REF!</definedName>
    <definedName name="법인세율" localSheetId="3">#REF!</definedName>
    <definedName name="법인세율" localSheetId="6">#REF!</definedName>
    <definedName name="법인세율" localSheetId="4">#REF!</definedName>
    <definedName name="법인세율">#REF!</definedName>
    <definedName name="변경" localSheetId="10">#REF!</definedName>
    <definedName name="변경" localSheetId="11">#REF!</definedName>
    <definedName name="변경" localSheetId="9">#REF!</definedName>
    <definedName name="변경" localSheetId="2">#REF!</definedName>
    <definedName name="변경" localSheetId="12">#REF!</definedName>
    <definedName name="변경" localSheetId="3">#REF!</definedName>
    <definedName name="변경" localSheetId="6">#REF!</definedName>
    <definedName name="변경" localSheetId="4">#REF!</definedName>
    <definedName name="변경">#REF!</definedName>
    <definedName name="변동비고정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hidden="1">{#N/A,#N/A,FALSE,"PART-1234-8-12-9(41)";#N/A,#N/A,FALSE,"PARTS-2(3)";#N/A,#N/A,FALSE,"VAN SYSTEM";#N/A,#N/A,FALSE,"PARTS-10(26)";#N/A,#N/A,FALSE,"PART-5-6-7-11(14)";#N/A,#N/A,FALSE,"PARTS-4(3)";#N/A,#N/A,FALSE,"PCLASS"}</definedName>
    <definedName name="보고양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부산" localSheetId="10">#REF!</definedName>
    <definedName name="부산" localSheetId="11">#REF!</definedName>
    <definedName name="부산" localSheetId="9">#REF!</definedName>
    <definedName name="부산" localSheetId="2">#REF!</definedName>
    <definedName name="부산" localSheetId="12">#REF!</definedName>
    <definedName name="부산" localSheetId="3">#REF!</definedName>
    <definedName name="부산" localSheetId="6">#REF!</definedName>
    <definedName name="부산" localSheetId="4">#REF!</definedName>
    <definedName name="부산">#REF!</definedName>
    <definedName name="부산1" localSheetId="10">#REF!</definedName>
    <definedName name="부산1" localSheetId="11">#REF!</definedName>
    <definedName name="부산1" localSheetId="9">#REF!</definedName>
    <definedName name="부산1" localSheetId="2">#REF!</definedName>
    <definedName name="부산1" localSheetId="12">#REF!</definedName>
    <definedName name="부산1" localSheetId="3">#REF!</definedName>
    <definedName name="부산1" localSheetId="6">#REF!</definedName>
    <definedName name="부산1" localSheetId="4">#REF!</definedName>
    <definedName name="부산1">#REF!</definedName>
    <definedName name="부표" localSheetId="10">#REF!</definedName>
    <definedName name="부표" localSheetId="11">#REF!</definedName>
    <definedName name="부표" localSheetId="9">#REF!</definedName>
    <definedName name="부표" localSheetId="2">#REF!</definedName>
    <definedName name="부표" localSheetId="12">#REF!</definedName>
    <definedName name="부표" localSheetId="3">#REF!</definedName>
    <definedName name="부표" localSheetId="6">#REF!</definedName>
    <definedName name="부표" localSheetId="4">#REF!</definedName>
    <definedName name="부표">#REF!</definedName>
    <definedName name="부품송부현황" localSheetId="10">#REF!</definedName>
    <definedName name="부품송부현황" localSheetId="11">#REF!</definedName>
    <definedName name="부품송부현황" localSheetId="9">#REF!</definedName>
    <definedName name="부품송부현황" localSheetId="2">#REF!</definedName>
    <definedName name="부품송부현황" localSheetId="12">#REF!</definedName>
    <definedName name="부품송부현황" localSheetId="3">#REF!</definedName>
    <definedName name="부품송부현황" localSheetId="6">#REF!</definedName>
    <definedName name="부품송부현황" localSheetId="4">#REF!</definedName>
    <definedName name="부품송부현황">#REF!</definedName>
    <definedName name="부품위치" localSheetId="10">#REF!</definedName>
    <definedName name="부품위치" localSheetId="11">#REF!</definedName>
    <definedName name="부품위치" localSheetId="9">#REF!</definedName>
    <definedName name="부품위치" localSheetId="2">#REF!</definedName>
    <definedName name="부품위치" localSheetId="12">#REF!</definedName>
    <definedName name="부품위치" localSheetId="3">#REF!</definedName>
    <definedName name="부품위치" localSheetId="6">#REF!</definedName>
    <definedName name="부품위치" localSheetId="4">#REF!</definedName>
    <definedName name="부품위치">#REF!</definedName>
    <definedName name="부품위치1" localSheetId="10">#REF!</definedName>
    <definedName name="부품위치1" localSheetId="11">#REF!</definedName>
    <definedName name="부품위치1" localSheetId="9">#REF!</definedName>
    <definedName name="부품위치1" localSheetId="2">#REF!</definedName>
    <definedName name="부품위치1" localSheetId="12">#REF!</definedName>
    <definedName name="부품위치1" localSheetId="3">#REF!</definedName>
    <definedName name="부품위치1" localSheetId="6">#REF!</definedName>
    <definedName name="부품위치1" localSheetId="4">#REF!</definedName>
    <definedName name="부품위치1">#REF!</definedName>
    <definedName name="부품중량" localSheetId="10">#REF!</definedName>
    <definedName name="부품중량" localSheetId="11">#REF!</definedName>
    <definedName name="부품중량" localSheetId="9">#REF!</definedName>
    <definedName name="부품중량" localSheetId="2">#REF!</definedName>
    <definedName name="부품중량" localSheetId="12">#REF!</definedName>
    <definedName name="부품중량" localSheetId="3">#REF!</definedName>
    <definedName name="부품중량" localSheetId="6">#REF!</definedName>
    <definedName name="부품중량" localSheetId="4">#REF!</definedName>
    <definedName name="부품중량">#REF!</definedName>
    <definedName name="부품중량1" localSheetId="10">#REF!</definedName>
    <definedName name="부품중량1" localSheetId="11">#REF!</definedName>
    <definedName name="부품중량1" localSheetId="9">#REF!</definedName>
    <definedName name="부품중량1" localSheetId="2">#REF!</definedName>
    <definedName name="부품중량1" localSheetId="12">#REF!</definedName>
    <definedName name="부품중량1" localSheetId="3">#REF!</definedName>
    <definedName name="부품중량1" localSheetId="6">#REF!</definedName>
    <definedName name="부품중량1" localSheetId="4">#REF!</definedName>
    <definedName name="부품중량1">#REF!</definedName>
    <definedName name="분기1_인쇄영역">'[16]제시용(구)'!$A$2:$AI$237,'[16]제시용(구)'!$A$238:$AF$288,'[16]제시용(구)'!$A$289:$AI$335</definedName>
    <definedName name="불변할인율" localSheetId="10">#REF!</definedName>
    <definedName name="불변할인율" localSheetId="11">#REF!</definedName>
    <definedName name="불변할인율" localSheetId="9">#REF!</definedName>
    <definedName name="불변할인율" localSheetId="2">#REF!</definedName>
    <definedName name="불변할인율" localSheetId="12">#REF!</definedName>
    <definedName name="불변할인율" localSheetId="3">#REF!</definedName>
    <definedName name="불변할인율" localSheetId="6">#REF!</definedName>
    <definedName name="불변할인율" localSheetId="4">#REF!</definedName>
    <definedName name="불변할인율">#REF!</definedName>
    <definedName name="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비교" hidden="1">{#N/A,#N/A,FALSE,"PART-1234-8-12-9(41)";#N/A,#N/A,FALSE,"PARTS-2(3)";#N/A,#N/A,FALSE,"VAN SYSTEM";#N/A,#N/A,FALSE,"PARTS-10(26)";#N/A,#N/A,FALSE,"PART-5-6-7-11(14)";#N/A,#N/A,FALSE,"PARTS-4(3)";#N/A,#N/A,FALSE,"PCLASS"}</definedName>
    <definedName name="비교자료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비" localSheetId="10">#REF!</definedName>
    <definedName name="비비" localSheetId="11">#REF!</definedName>
    <definedName name="비비" localSheetId="9">#REF!</definedName>
    <definedName name="비비" localSheetId="2">#REF!</definedName>
    <definedName name="비비" localSheetId="12">#REF!</definedName>
    <definedName name="비비" localSheetId="3">#REF!</definedName>
    <definedName name="비비" localSheetId="6">#REF!</definedName>
    <definedName name="비비" localSheetId="4">#REF!</definedName>
    <definedName name="비비">#REF!</definedName>
    <definedName name="ㅅㄱㄴㄷㅅㄴㅅㄱㄷㄷㅅㄳㄷㅅㄷㄱ" localSheetId="10">#REF!</definedName>
    <definedName name="ㅅㄱㄴㄷㅅㄴㅅㄱㄷㄷㅅㄳㄷㅅㄷㄱ" localSheetId="11">#REF!</definedName>
    <definedName name="ㅅㄱㄴㄷㅅㄴㅅㄱㄷㄷㅅㄳㄷㅅㄷㄱ" localSheetId="9">#REF!</definedName>
    <definedName name="ㅅㄱㄴㄷㅅㄴㅅㄱㄷㄷㅅㄳㄷㅅㄷㄱ" localSheetId="2">#REF!</definedName>
    <definedName name="ㅅㄱㄴㄷㅅㄴㅅㄱㄷㄷㅅㄳㄷㅅㄷㄱ" localSheetId="12">#REF!</definedName>
    <definedName name="ㅅㄱㄴㄷㅅㄴㅅㄱㄷㄷㅅㄳㄷㅅㄷㄱ" localSheetId="3">#REF!</definedName>
    <definedName name="ㅅㄱㄴㄷㅅㄴㅅㄱㄷㄷㅅㄳㄷㅅㄷㄱ" localSheetId="6">#REF!</definedName>
    <definedName name="ㅅㄱㄴㄷㅅㄴㅅㄱㄷㄷㅅㄳㄷㅅㄷㄱ" localSheetId="4">#REF!</definedName>
    <definedName name="ㅅㄱㄴㄷㅅㄴㅅㄱㄷㄷㅅㄳㄷㅅㄷㄱ">#REF!</definedName>
    <definedName name="ㅅㄱㄷㄴㅅㄱㄷㅅㄱㄷㅅㄱㄷㅅ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ㅅㄱㄱㄷㅅㄷㄷ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ㄷㅅㅅㄷㅅㄱ" localSheetId="10">#REF!</definedName>
    <definedName name="ㅅㄱㄷㅅㄱㄷㅅㅅㄷㅅㄱ" localSheetId="11">#REF!</definedName>
    <definedName name="ㅅㄱㄷㅅㄱㄷㅅㅅㄷㅅㄱ" localSheetId="9">#REF!</definedName>
    <definedName name="ㅅㄱㄷㅅㄱㄷㅅㅅㄷㅅㄱ" localSheetId="2">#REF!</definedName>
    <definedName name="ㅅㄱㄷㅅㄱㄷㅅㅅㄷㅅㄱ" localSheetId="12">#REF!</definedName>
    <definedName name="ㅅㄱㄷㅅㄱㄷㅅㅅㄷㅅㄱ" localSheetId="3">#REF!</definedName>
    <definedName name="ㅅㄱㄷㅅㄱㄷㅅㅅㄷㅅㄱ" localSheetId="6">#REF!</definedName>
    <definedName name="ㅅㄱㄷㅅㄱㄷㅅㅅㄷㅅㄱ" localSheetId="4">#REF!</definedName>
    <definedName name="ㅅㄱㄷㅅㄱㄷㅅㅅㄷㅅㄱ">#REF!</definedName>
    <definedName name="ㅅㄱㄷㅅㄷㄳㄱㄷㅅㄱㄷㄴㅅㄱ" localSheetId="10">#REF!</definedName>
    <definedName name="ㅅㄱㄷㅅㄷㄳㄱㄷㅅㄱㄷㄴㅅㄱ" localSheetId="11">#REF!</definedName>
    <definedName name="ㅅㄱㄷㅅㄷㄳㄱㄷㅅㄱㄷㄴㅅㄱ" localSheetId="9">#REF!</definedName>
    <definedName name="ㅅㄱㄷㅅㄷㄳㄱㄷㅅㄱㄷㄴㅅㄱ" localSheetId="2">#REF!</definedName>
    <definedName name="ㅅㄱㄷㅅㄷㄳㄱㄷㅅㄱㄷㄴㅅㄱ" localSheetId="12">#REF!</definedName>
    <definedName name="ㅅㄱㄷㅅㄷㄳㄱㄷㅅㄱㄷㄴㅅㄱ" localSheetId="3">#REF!</definedName>
    <definedName name="ㅅㄱㄷㅅㄷㄳㄱㄷㅅㄱㄷㄴㅅㄱ" localSheetId="6">#REF!</definedName>
    <definedName name="ㅅㄱㄷㅅㄷㄳㄱㄷㅅㄱㄷㄴㅅㄱ" localSheetId="4">#REF!</definedName>
    <definedName name="ㅅㄱㄷㅅㄷㄳㄱㄷㅅㄱㄷㄴㅅㄱ">#REF!</definedName>
    <definedName name="ㅅㄱㄷㅈㅅㅅㄱㄷㅅㄱㄷ" localSheetId="10">#REF!</definedName>
    <definedName name="ㅅㄱㄷㅈㅅㅅㄱㄷㅅㄱㄷ" localSheetId="11">#REF!</definedName>
    <definedName name="ㅅㄱㄷㅈㅅㅅㄱㄷㅅㄱㄷ" localSheetId="9">#REF!</definedName>
    <definedName name="ㅅㄱㄷㅈㅅㅅㄱㄷㅅㄱㄷ" localSheetId="2">#REF!</definedName>
    <definedName name="ㅅㄱㄷㅈㅅㅅㄱㄷㅅㄱㄷ" localSheetId="12">#REF!</definedName>
    <definedName name="ㅅㄱㄷㅈㅅㅅㄱㄷㅅㄱㄷ" localSheetId="3">#REF!</definedName>
    <definedName name="ㅅㄱㄷㅈㅅㅅㄱㄷㅅㄱㄷ" localSheetId="6">#REF!</definedName>
    <definedName name="ㅅㄱㄷㅈㅅㅅㄱㄷㅅㄱㄷ" localSheetId="4">#REF!</definedName>
    <definedName name="ㅅㄱㄷㅈㅅㅅㄱㄷㅅㄱㄷ">#REF!</definedName>
    <definedName name="ㅅㅅ" localSheetId="10">#REF!</definedName>
    <definedName name="ㅅㅅ" localSheetId="11">#REF!</definedName>
    <definedName name="ㅅㅅ" localSheetId="9">#REF!</definedName>
    <definedName name="ㅅㅅ" localSheetId="2">#REF!</definedName>
    <definedName name="ㅅㅅ" localSheetId="12">#REF!</definedName>
    <definedName name="ㅅㅅ" localSheetId="3">#REF!</definedName>
    <definedName name="ㅅㅅ" localSheetId="6">#REF!</definedName>
    <definedName name="ㅅㅅ" localSheetId="4">#REF!</definedName>
    <definedName name="ㅅㅅ">#REF!</definedName>
    <definedName name="ㅅㅅㄱㄱ" localSheetId="10">#REF!</definedName>
    <definedName name="ㅅㅅㄱㄱ" localSheetId="11">#REF!</definedName>
    <definedName name="ㅅㅅㄱㄱ" localSheetId="9">#REF!</definedName>
    <definedName name="ㅅㅅㄱㄱ" localSheetId="2">#REF!</definedName>
    <definedName name="ㅅㅅㄱㄱ" localSheetId="12">#REF!</definedName>
    <definedName name="ㅅㅅㄱㄱ" localSheetId="3">#REF!</definedName>
    <definedName name="ㅅㅅㄱㄱ" localSheetId="6">#REF!</definedName>
    <definedName name="ㅅㅅㄱㄱ" localSheetId="4">#REF!</definedName>
    <definedName name="ㅅㅅㄱㄱ">#REF!</definedName>
    <definedName name="ㅅㅅㄱㄷㄱㄷㅅㅅㄱ" localSheetId="10">#REF!</definedName>
    <definedName name="ㅅㅅㄱㄷㄱㄷㅅㅅㄱ" localSheetId="11">#REF!</definedName>
    <definedName name="ㅅㅅㄱㄷㄱㄷㅅㅅㄱ" localSheetId="9">#REF!</definedName>
    <definedName name="ㅅㅅㄱㄷㄱㄷㅅㅅㄱ" localSheetId="2">#REF!</definedName>
    <definedName name="ㅅㅅㄱㄷㄱㄷㅅㅅㄱ" localSheetId="12">#REF!</definedName>
    <definedName name="ㅅㅅㄱㄷㄱㄷㅅㅅㄱ" localSheetId="3">#REF!</definedName>
    <definedName name="ㅅㅅㄱㄷㄱㄷㅅㅅㄱ" localSheetId="6">#REF!</definedName>
    <definedName name="ㅅㅅㄱㄷㄱㄷㅅㅅㄱ" localSheetId="4">#REF!</definedName>
    <definedName name="ㅅㅅㄱㄷㄱㄷㅅㅅㄱ">#REF!</definedName>
    <definedName name="ㅅㅅㄷㄱㄷㄷㄳ" localSheetId="10">#REF!</definedName>
    <definedName name="ㅅㅅㄷㄱㄷㄷㄳ" localSheetId="11">#REF!</definedName>
    <definedName name="ㅅㅅㄷㄱㄷㄷㄳ" localSheetId="9">#REF!</definedName>
    <definedName name="ㅅㅅㄷㄱㄷㄷㄳ" localSheetId="2">#REF!</definedName>
    <definedName name="ㅅㅅㄷㄱㄷㄷㄳ" localSheetId="12">#REF!</definedName>
    <definedName name="ㅅㅅㄷㄱㄷㄷㄳ" localSheetId="3">#REF!</definedName>
    <definedName name="ㅅㅅㄷㄱㄷㄷㄳ" localSheetId="6">#REF!</definedName>
    <definedName name="ㅅㅅㄷㄱㄷㄷㄳ" localSheetId="4">#REF!</definedName>
    <definedName name="ㅅㅅㄷㄱㄷㄷㄳ">#REF!</definedName>
    <definedName name="ㅅㅅ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hidden="1">{#N/A,#N/A,FALSE,"PART-1234-8-12-9(41)";#N/A,#N/A,FALSE,"PARTS-2(3)";#N/A,#N/A,FALSE,"VAN SYSTEM";#N/A,#N/A,FALSE,"PARTS-10(26)";#N/A,#N/A,FALSE,"PART-5-6-7-11(14)";#N/A,#N/A,FALSE,"PARTS-4(3)";#N/A,#N/A,FALSE,"PCLASS"}</definedName>
    <definedName name="사" localSheetId="10">#REF!</definedName>
    <definedName name="사" localSheetId="11">#REF!</definedName>
    <definedName name="사" localSheetId="9">#REF!</definedName>
    <definedName name="사" localSheetId="2">#REF!</definedName>
    <definedName name="사" localSheetId="12">#REF!</definedName>
    <definedName name="사" localSheetId="3">#REF!</definedName>
    <definedName name="사" localSheetId="6">#REF!</definedName>
    <definedName name="사" localSheetId="4">#REF!</definedName>
    <definedName name="사">#REF!</definedName>
    <definedName name="사1" localSheetId="10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localSheetId="9" hidden="1">{#N/A,#N/A,FALSE,"지침";#N/A,#N/A,FALSE,"환경분석";#N/A,#N/A,FALSE,"Sheet16"}</definedName>
    <definedName name="사1" localSheetId="1" hidden="1">{#N/A,#N/A,FALSE,"지침";#N/A,#N/A,FALSE,"환경분석";#N/A,#N/A,FALSE,"Sheet16"}</definedName>
    <definedName name="사1" localSheetId="2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3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localSheetId="4" hidden="1">{#N/A,#N/A,FALSE,"지침";#N/A,#N/A,FALSE,"환경분석";#N/A,#N/A,FALSE,"Sheet16"}</definedName>
    <definedName name="사1" hidden="1">{#N/A,#N/A,FALSE,"지침";#N/A,#N/A,FALSE,"환경분석";#N/A,#N/A,FALSE,"Sheet16"}</definedName>
    <definedName name="삼" localSheetId="9">#REF!</definedName>
    <definedName name="삼" localSheetId="2">#REF!</definedName>
    <definedName name="삼" localSheetId="12">#REF!</definedName>
    <definedName name="삼" localSheetId="3">#REF!</definedName>
    <definedName name="삼" localSheetId="6">#REF!</definedName>
    <definedName name="삼">#REF!</definedName>
    <definedName name="사랑" localSheetId="10" hidden="1">{#N/A,#N/A,FALSE,"지침";#N/A,#N/A,FALSE,"환경분석";#N/A,#N/A,FALSE,"Sheet16"}</definedName>
    <definedName name="사랑" localSheetId="11" hidden="1">{#N/A,#N/A,FALSE,"지침";#N/A,#N/A,FALSE,"환경분석";#N/A,#N/A,FALSE,"Sheet16"}</definedName>
    <definedName name="사랑" localSheetId="9" hidden="1">{#N/A,#N/A,FALSE,"지침";#N/A,#N/A,FALSE,"환경분석";#N/A,#N/A,FALSE,"Sheet16"}</definedName>
    <definedName name="사랑" localSheetId="1" hidden="1">{#N/A,#N/A,FALSE,"지침";#N/A,#N/A,FALSE,"환경분석";#N/A,#N/A,FALSE,"Sheet16"}</definedName>
    <definedName name="사랑" localSheetId="2" hidden="1">{#N/A,#N/A,FALSE,"지침";#N/A,#N/A,FALSE,"환경분석";#N/A,#N/A,FALSE,"Sheet16"}</definedName>
    <definedName name="사랑" localSheetId="12" hidden="1">{#N/A,#N/A,FALSE,"지침";#N/A,#N/A,FALSE,"환경분석";#N/A,#N/A,FALSE,"Sheet16"}</definedName>
    <definedName name="사랑" localSheetId="3" hidden="1">{#N/A,#N/A,FALSE,"지침";#N/A,#N/A,FALSE,"환경분석";#N/A,#N/A,FALSE,"Sheet16"}</definedName>
    <definedName name="사랑" localSheetId="6" hidden="1">{#N/A,#N/A,FALSE,"지침";#N/A,#N/A,FALSE,"환경분석";#N/A,#N/A,FALSE,"Sheet16"}</definedName>
    <definedName name="사랑" localSheetId="4" hidden="1">{#N/A,#N/A,FALSE,"지침";#N/A,#N/A,FALSE,"환경분석";#N/A,#N/A,FALSE,"Sheet16"}</definedName>
    <definedName name="사랑" hidden="1">{#N/A,#N/A,FALSE,"지침";#N/A,#N/A,FALSE,"환경분석";#N/A,#N/A,FALSE,"Sheet16"}</definedName>
    <definedName name="사양" localSheetId="10" hidden="1">{#N/A,#N/A,FALSE,"지침";#N/A,#N/A,FALSE,"환경분석";#N/A,#N/A,FALSE,"Sheet16"}</definedName>
    <definedName name="사양" localSheetId="11" hidden="1">{#N/A,#N/A,FALSE,"지침";#N/A,#N/A,FALSE,"환경분석";#N/A,#N/A,FALSE,"Sheet16"}</definedName>
    <definedName name="사양" localSheetId="9" hidden="1">{#N/A,#N/A,FALSE,"지침";#N/A,#N/A,FALSE,"환경분석";#N/A,#N/A,FALSE,"Sheet16"}</definedName>
    <definedName name="사양" localSheetId="1" hidden="1">{#N/A,#N/A,FALSE,"지침";#N/A,#N/A,FALSE,"환경분석";#N/A,#N/A,FALSE,"Sheet16"}</definedName>
    <definedName name="사양" localSheetId="2" hidden="1">{#N/A,#N/A,FALSE,"지침";#N/A,#N/A,FALSE,"환경분석";#N/A,#N/A,FALSE,"Sheet16"}</definedName>
    <definedName name="사양" localSheetId="12" hidden="1">{#N/A,#N/A,FALSE,"지침";#N/A,#N/A,FALSE,"환경분석";#N/A,#N/A,FALSE,"Sheet16"}</definedName>
    <definedName name="사양" localSheetId="3" hidden="1">{#N/A,#N/A,FALSE,"지침";#N/A,#N/A,FALSE,"환경분석";#N/A,#N/A,FALSE,"Sheet16"}</definedName>
    <definedName name="사양" localSheetId="6" hidden="1">{#N/A,#N/A,FALSE,"지침";#N/A,#N/A,FALSE,"환경분석";#N/A,#N/A,FALSE,"Sheet16"}</definedName>
    <definedName name="사양" localSheetId="4" hidden="1">{#N/A,#N/A,FALSE,"지침";#N/A,#N/A,FALSE,"환경분석";#N/A,#N/A,FALSE,"Sheet16"}</definedName>
    <definedName name="사양" hidden="1">{#N/A,#N/A,FALSE,"지침";#N/A,#N/A,FALSE,"환경분석";#N/A,#N/A,FALSE,"Sheet16"}</definedName>
    <definedName name="사업본부등급" localSheetId="10">#REF!</definedName>
    <definedName name="사업본부등급" localSheetId="11">#REF!</definedName>
    <definedName name="사업본부등급" localSheetId="9">#REF!</definedName>
    <definedName name="사업본부등급" localSheetId="2">#REF!</definedName>
    <definedName name="사업본부등급" localSheetId="12">#REF!</definedName>
    <definedName name="사업본부등급" localSheetId="3">#REF!</definedName>
    <definedName name="사업본부등급" localSheetId="6">#REF!</definedName>
    <definedName name="사업본부등급" localSheetId="4">#REF!</definedName>
    <definedName name="사업본부등급">#REF!</definedName>
    <definedName name="사업성" localSheetId="10">#REF!</definedName>
    <definedName name="사업성" localSheetId="11">#REF!</definedName>
    <definedName name="사업성" localSheetId="9">#REF!</definedName>
    <definedName name="사업성" localSheetId="2">#REF!</definedName>
    <definedName name="사업성" localSheetId="12">#REF!</definedName>
    <definedName name="사업성" localSheetId="3">#REF!</definedName>
    <definedName name="사업성" localSheetId="6">#REF!</definedName>
    <definedName name="사업성" localSheetId="4">#REF!</definedName>
    <definedName name="사업성">#REF!</definedName>
    <definedName name="사업주에대한_검토" localSheetId="10">#REF!</definedName>
    <definedName name="사업주에대한_검토" localSheetId="11">#REF!</definedName>
    <definedName name="사업주에대한_검토" localSheetId="9">#REF!</definedName>
    <definedName name="사업주에대한_검토" localSheetId="2">#REF!</definedName>
    <definedName name="사업주에대한_검토" localSheetId="12">#REF!</definedName>
    <definedName name="사업주에대한_검토" localSheetId="3">#REF!</definedName>
    <definedName name="사업주에대한_검토" localSheetId="6">#REF!</definedName>
    <definedName name="사업주에대한_검토" localSheetId="4">#REF!</definedName>
    <definedName name="사업주에대한_검토">#REF!</definedName>
    <definedName name="산업기반신용보증료율" localSheetId="10">#REF!</definedName>
    <definedName name="산업기반신용보증료율" localSheetId="11">#REF!</definedName>
    <definedName name="산업기반신용보증료율" localSheetId="9">#REF!</definedName>
    <definedName name="산업기반신용보증료율" localSheetId="2">#REF!</definedName>
    <definedName name="산업기반신용보증료율" localSheetId="12">#REF!</definedName>
    <definedName name="산업기반신용보증료율" localSheetId="3">#REF!</definedName>
    <definedName name="산업기반신용보증료율" localSheetId="6">#REF!</definedName>
    <definedName name="산업기반신용보증료율" localSheetId="4">#REF!</definedName>
    <definedName name="산업기반신용보증료율">#REF!</definedName>
    <definedName name="삼" localSheetId="10">#REF!</definedName>
    <definedName name="삼" localSheetId="11">#REF!</definedName>
    <definedName name="삼" localSheetId="4">#REF!</definedName>
    <definedName name="상반기품종" localSheetId="10">#REF!</definedName>
    <definedName name="상반기품종" localSheetId="11">#REF!</definedName>
    <definedName name="상반기품종" localSheetId="9">#REF!</definedName>
    <definedName name="상반기품종" localSheetId="2">#REF!</definedName>
    <definedName name="상반기품종" localSheetId="12">#REF!</definedName>
    <definedName name="상반기품종" localSheetId="3">#REF!</definedName>
    <definedName name="상반기품종" localSheetId="6">#REF!</definedName>
    <definedName name="상반기품종" localSheetId="4">#REF!</definedName>
    <definedName name="상반기품종">#REF!</definedName>
    <definedName name="상주" localSheetId="10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localSheetId="9" hidden="1">{#N/A,#N/A,FALSE,"지침";#N/A,#N/A,FALSE,"환경분석";#N/A,#N/A,FALSE,"Sheet16"}</definedName>
    <definedName name="상주" localSheetId="1" hidden="1">{#N/A,#N/A,FALSE,"지침";#N/A,#N/A,FALSE,"환경분석";#N/A,#N/A,FALSE,"Sheet16"}</definedName>
    <definedName name="상주" localSheetId="2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3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localSheetId="4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0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localSheetId="9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2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3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localSheetId="4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생" localSheetId="10">#REF!</definedName>
    <definedName name="생" localSheetId="11">#REF!</definedName>
    <definedName name="생" localSheetId="9">#REF!</definedName>
    <definedName name="생" localSheetId="2">#REF!</definedName>
    <definedName name="생" localSheetId="12">#REF!</definedName>
    <definedName name="생" localSheetId="3">#REF!</definedName>
    <definedName name="생" localSheetId="6">#REF!</definedName>
    <definedName name="생" localSheetId="4">#REF!</definedName>
    <definedName name="생">#REF!</definedName>
    <definedName name="새것" localSheetId="10">#REF!</definedName>
    <definedName name="새것" localSheetId="11">#REF!</definedName>
    <definedName name="새것" localSheetId="9">#REF!</definedName>
    <definedName name="새것" localSheetId="2">#REF!</definedName>
    <definedName name="새것" localSheetId="12">#REF!</definedName>
    <definedName name="새것" localSheetId="3">#REF!</definedName>
    <definedName name="새것" localSheetId="6">#REF!</definedName>
    <definedName name="새것" localSheetId="4">#REF!</definedName>
    <definedName name="새것">#REF!</definedName>
    <definedName name="새로운표지" localSheetId="10">[17]출금실적!#REF!</definedName>
    <definedName name="새로운표지" localSheetId="11">[17]출금실적!#REF!</definedName>
    <definedName name="새로운표지" localSheetId="9">[17]출금실적!#REF!</definedName>
    <definedName name="새로운표지" localSheetId="2">[17]출금실적!#REF!</definedName>
    <definedName name="새로운표지" localSheetId="12">[17]출금실적!#REF!</definedName>
    <definedName name="새로운표지" localSheetId="3">[17]출금실적!#REF!</definedName>
    <definedName name="새로운표지" localSheetId="6">[17]출금실적!#REF!</definedName>
    <definedName name="새로운표지" localSheetId="4">[17]출금실적!#REF!</definedName>
    <definedName name="새로운표지">[17]출금실적!#REF!</definedName>
    <definedName name="새이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hidden="1">{#N/A,#N/A,FALSE,"PART-1234-8-12-9(41)";#N/A,#N/A,FALSE,"PARTS-2(3)";#N/A,#N/A,FALSE,"VAN SYSTEM";#N/A,#N/A,FALSE,"PARTS-10(26)";#N/A,#N/A,FALSE,"PART-5-6-7-11(14)";#N/A,#N/A,FALSE,"PARTS-4(3)";#N/A,#N/A,FALSE,"PCLASS"}</definedName>
    <definedName name="생산능력" localSheetId="10">#REF!</definedName>
    <definedName name="생산능력" localSheetId="11">#REF!</definedName>
    <definedName name="생산능력" localSheetId="9">#REF!</definedName>
    <definedName name="생산능력" localSheetId="2">#REF!</definedName>
    <definedName name="생산능력" localSheetId="12">#REF!</definedName>
    <definedName name="생산능력" localSheetId="3">#REF!</definedName>
    <definedName name="생산능력" localSheetId="6">#REF!</definedName>
    <definedName name="생산능력" localSheetId="4">#REF!</definedName>
    <definedName name="생산능력">#REF!</definedName>
    <definedName name="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서" hidden="1">{#N/A,#N/A,FALSE,"PART-1234-8-12-9(41)";#N/A,#N/A,FALSE,"PARTS-2(3)";#N/A,#N/A,FALSE,"VAN SYSTEM";#N/A,#N/A,FALSE,"PARTS-10(26)";#N/A,#N/A,FALSE,"PART-5-6-7-11(14)";#N/A,#N/A,FALSE,"PARTS-4(3)";#N/A,#N/A,FALSE,"PCLASS"}</definedName>
    <definedName name="선택" localSheetId="10" hidden="1">{#N/A,#N/A,FALSE,"지침";#N/A,#N/A,FALSE,"환경분석";#N/A,#N/A,FALSE,"Sheet16"}</definedName>
    <definedName name="선택" localSheetId="11" hidden="1">{#N/A,#N/A,FALSE,"지침";#N/A,#N/A,FALSE,"환경분석";#N/A,#N/A,FALSE,"Sheet16"}</definedName>
    <definedName name="선택" localSheetId="9" hidden="1">{#N/A,#N/A,FALSE,"지침";#N/A,#N/A,FALSE,"환경분석";#N/A,#N/A,FALSE,"Sheet16"}</definedName>
    <definedName name="선택" localSheetId="1" hidden="1">{#N/A,#N/A,FALSE,"지침";#N/A,#N/A,FALSE,"환경분석";#N/A,#N/A,FALSE,"Sheet16"}</definedName>
    <definedName name="선택" localSheetId="2" hidden="1">{#N/A,#N/A,FALSE,"지침";#N/A,#N/A,FALSE,"환경분석";#N/A,#N/A,FALSE,"Sheet16"}</definedName>
    <definedName name="선택" localSheetId="12" hidden="1">{#N/A,#N/A,FALSE,"지침";#N/A,#N/A,FALSE,"환경분석";#N/A,#N/A,FALSE,"Sheet16"}</definedName>
    <definedName name="선택" localSheetId="3" hidden="1">{#N/A,#N/A,FALSE,"지침";#N/A,#N/A,FALSE,"환경분석";#N/A,#N/A,FALSE,"Sheet16"}</definedName>
    <definedName name="선택" localSheetId="6" hidden="1">{#N/A,#N/A,FALSE,"지침";#N/A,#N/A,FALSE,"환경분석";#N/A,#N/A,FALSE,"Sheet16"}</definedName>
    <definedName name="선택" localSheetId="4" hidden="1">{#N/A,#N/A,FALSE,"지침";#N/A,#N/A,FALSE,"환경분석";#N/A,#N/A,FALSE,"Sheet16"}</definedName>
    <definedName name="선택" hidden="1">{#N/A,#N/A,FALSE,"지침";#N/A,#N/A,FALSE,"환경분석";#N/A,#N/A,FALSE,"Sheet16"}</definedName>
    <definedName name="세전익익" localSheetId="10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localSheetId="9" hidden="1">{#N/A,#N/A,FALSE,"지침";#N/A,#N/A,FALSE,"환경분석";#N/A,#N/A,FALSE,"Sheet16"}</definedName>
    <definedName name="세전익익" localSheetId="1" hidden="1">{#N/A,#N/A,FALSE,"지침";#N/A,#N/A,FALSE,"환경분석";#N/A,#N/A,FALSE,"Sheet16"}</definedName>
    <definedName name="세전익익" localSheetId="2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3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localSheetId="4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셀리카" localSheetId="10" hidden="1">#REF!</definedName>
    <definedName name="셀리카" localSheetId="11" hidden="1">#REF!</definedName>
    <definedName name="셀리카" localSheetId="9" hidden="1">#REF!</definedName>
    <definedName name="셀리카" localSheetId="1" hidden="1">#REF!</definedName>
    <definedName name="셀리카" localSheetId="2" hidden="1">#REF!</definedName>
    <definedName name="셀리카" localSheetId="12" hidden="1">#REF!</definedName>
    <definedName name="셀리카" localSheetId="3" hidden="1">#REF!</definedName>
    <definedName name="셀리카" localSheetId="6" hidden="1">#REF!</definedName>
    <definedName name="셀리카" localSheetId="4" hidden="1">#REF!</definedName>
    <definedName name="셀리카" hidden="1">#REF!</definedName>
    <definedName name="소랑" localSheetId="10">BlankMacro1</definedName>
    <definedName name="소랑" localSheetId="11">BlankMacro1</definedName>
    <definedName name="소랑" localSheetId="9">BlankMacro1</definedName>
    <definedName name="소랑" localSheetId="2">BlankMacro1</definedName>
    <definedName name="소랑" localSheetId="12">BlankMacro1</definedName>
    <definedName name="소랑" localSheetId="3">BlankMacro1</definedName>
    <definedName name="소랑" localSheetId="6">BlankMacro1</definedName>
    <definedName name="소랑" localSheetId="4">BlankMacro1</definedName>
    <definedName name="소랑">BlankMacro1</definedName>
    <definedName name="소수점0자리" localSheetId="10">#REF!,#REF!,#REF!,#REF!,#REF!,#REF!</definedName>
    <definedName name="소수점0자리" localSheetId="11">#REF!,#REF!,#REF!,#REF!,#REF!,#REF!</definedName>
    <definedName name="소수점0자리" localSheetId="9">#REF!,#REF!,#REF!,#REF!,#REF!,#REF!</definedName>
    <definedName name="소수점0자리" localSheetId="2">#REF!,#REF!,#REF!,#REF!,#REF!,#REF!</definedName>
    <definedName name="소수점0자리" localSheetId="12">#REF!,#REF!,#REF!,#REF!,#REF!,#REF!</definedName>
    <definedName name="소수점0자리" localSheetId="3">#REF!,#REF!,#REF!,#REF!,#REF!,#REF!</definedName>
    <definedName name="소수점0자리" localSheetId="6">#REF!,#REF!,#REF!,#REF!,#REF!,#REF!</definedName>
    <definedName name="소수점0자리" localSheetId="4">#REF!,#REF!,#REF!,#REF!,#REF!,#REF!</definedName>
    <definedName name="소수점0자리">#REF!,#REF!,#REF!,#REF!,#REF!,#REF!</definedName>
    <definedName name="소수점1자리" localSheetId="10">#REF!,#REF!,#REF!,#REF!,#REF!,#REF!</definedName>
    <definedName name="소수점1자리" localSheetId="11">#REF!,#REF!,#REF!,#REF!,#REF!,#REF!</definedName>
    <definedName name="소수점1자리" localSheetId="9">#REF!,#REF!,#REF!,#REF!,#REF!,#REF!</definedName>
    <definedName name="소수점1자리" localSheetId="2">#REF!,#REF!,#REF!,#REF!,#REF!,#REF!</definedName>
    <definedName name="소수점1자리" localSheetId="12">#REF!,#REF!,#REF!,#REF!,#REF!,#REF!</definedName>
    <definedName name="소수점1자리" localSheetId="3">#REF!,#REF!,#REF!,#REF!,#REF!,#REF!</definedName>
    <definedName name="소수점1자리" localSheetId="6">#REF!,#REF!,#REF!,#REF!,#REF!,#REF!</definedName>
    <definedName name="소수점1자리" localSheetId="4">#REF!,#REF!,#REF!,#REF!,#REF!,#REF!</definedName>
    <definedName name="소수점1자리">#REF!,#REF!,#REF!,#REF!,#REF!,#REF!</definedName>
    <definedName name="손익" localSheetId="10" hidden="1">{#N/A,#N/A,FALSE,"지침";#N/A,#N/A,FALSE,"환경분석";#N/A,#N/A,FALSE,"Sheet16"}</definedName>
    <definedName name="손익" localSheetId="11" hidden="1">{#N/A,#N/A,FALSE,"지침";#N/A,#N/A,FALSE,"환경분석";#N/A,#N/A,FALSE,"Sheet16"}</definedName>
    <definedName name="손익" localSheetId="9" hidden="1">{#N/A,#N/A,FALSE,"지침";#N/A,#N/A,FALSE,"환경분석";#N/A,#N/A,FALSE,"Sheet16"}</definedName>
    <definedName name="손익" localSheetId="1" hidden="1">{#N/A,#N/A,FALSE,"지침";#N/A,#N/A,FALSE,"환경분석";#N/A,#N/A,FALSE,"Sheet16"}</definedName>
    <definedName name="손익" localSheetId="2" hidden="1">{#N/A,#N/A,FALSE,"지침";#N/A,#N/A,FALSE,"환경분석";#N/A,#N/A,FALSE,"Sheet16"}</definedName>
    <definedName name="손익" localSheetId="12" hidden="1">{#N/A,#N/A,FALSE,"지침";#N/A,#N/A,FALSE,"환경분석";#N/A,#N/A,FALSE,"Sheet16"}</definedName>
    <definedName name="손익" localSheetId="3" hidden="1">{#N/A,#N/A,FALSE,"지침";#N/A,#N/A,FALSE,"환경분석";#N/A,#N/A,FALSE,"Sheet16"}</definedName>
    <definedName name="손익" localSheetId="6" hidden="1">{#N/A,#N/A,FALSE,"지침";#N/A,#N/A,FALSE,"환경분석";#N/A,#N/A,FALSE,"Sheet16"}</definedName>
    <definedName name="손익" localSheetId="4" hidden="1">{#N/A,#N/A,FALSE,"지침";#N/A,#N/A,FALSE,"환경분석";#N/A,#N/A,FALSE,"Sheet16"}</definedName>
    <definedName name="손익" hidden="1">{#N/A,#N/A,FALSE,"지침";#N/A,#N/A,FALSE,"환경분석";#N/A,#N/A,FALSE,"Sheet16"}</definedName>
    <definedName name="손익계산서" localSheetId="10">#REF!</definedName>
    <definedName name="손익계산서" localSheetId="11">#REF!</definedName>
    <definedName name="손익계산서" localSheetId="9">#REF!</definedName>
    <definedName name="손익계산서" localSheetId="2">#REF!</definedName>
    <definedName name="손익계산서" localSheetId="12">#REF!</definedName>
    <definedName name="손익계산서" localSheetId="3">#REF!</definedName>
    <definedName name="손익계산서" localSheetId="6">#REF!</definedName>
    <definedName name="손익계산서" localSheetId="4">#REF!</definedName>
    <definedName name="손익계산서">#REF!</definedName>
    <definedName name="손익변경" localSheetId="10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localSheetId="9" hidden="1">{#N/A,#N/A,FALSE,"지침";#N/A,#N/A,FALSE,"환경분석";#N/A,#N/A,FALSE,"Sheet16"}</definedName>
    <definedName name="손익변경" localSheetId="1" hidden="1">{#N/A,#N/A,FALSE,"지침";#N/A,#N/A,FALSE,"환경분석";#N/A,#N/A,FALSE,"Sheet16"}</definedName>
    <definedName name="손익변경" localSheetId="2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3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localSheetId="4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쇼교ㅛ" localSheetId="10">#REF!</definedName>
    <definedName name="쇼교ㅛ" localSheetId="11">#REF!</definedName>
    <definedName name="쇼교ㅛ" localSheetId="9">#REF!</definedName>
    <definedName name="쇼교ㅛ" localSheetId="2">#REF!</definedName>
    <definedName name="쇼교ㅛ" localSheetId="12">#REF!</definedName>
    <definedName name="쇼교ㅛ" localSheetId="3">#REF!</definedName>
    <definedName name="쇼교ㅛ" localSheetId="6">#REF!</definedName>
    <definedName name="쇼교ㅛ" localSheetId="4">#REF!</definedName>
    <definedName name="쇼교ㅛ">#REF!</definedName>
    <definedName name="수수료" localSheetId="10">#REF!</definedName>
    <definedName name="수수료" localSheetId="11">#REF!</definedName>
    <definedName name="수수료" localSheetId="9">#REF!</definedName>
    <definedName name="수수료" localSheetId="2">#REF!</definedName>
    <definedName name="수수료" localSheetId="12">#REF!</definedName>
    <definedName name="수수료" localSheetId="3">#REF!</definedName>
    <definedName name="수수료" localSheetId="6">#REF!</definedName>
    <definedName name="수수료" localSheetId="4">#REF!</definedName>
    <definedName name="수수료">#REF!</definedName>
    <definedName name="수습" localSheetId="10">#REF!</definedName>
    <definedName name="수습" localSheetId="11">#REF!</definedName>
    <definedName name="수습" localSheetId="9">#REF!</definedName>
    <definedName name="수습" localSheetId="2">#REF!</definedName>
    <definedName name="수습" localSheetId="12">#REF!</definedName>
    <definedName name="수습" localSheetId="3">#REF!</definedName>
    <definedName name="수습" localSheetId="6">#REF!</definedName>
    <definedName name="수습" localSheetId="4">#REF!</definedName>
    <definedName name="수습">#REF!</definedName>
    <definedName name="수정본" localSheetId="10" hidden="1">{#N/A,#N/A,FALSE,"지침";#N/A,#N/A,FALSE,"환경분석";#N/A,#N/A,FALSE,"Sheet16"}</definedName>
    <definedName name="수정본" localSheetId="11" hidden="1">{#N/A,#N/A,FALSE,"지침";#N/A,#N/A,FALSE,"환경분석";#N/A,#N/A,FALSE,"Sheet16"}</definedName>
    <definedName name="수정본" localSheetId="9" hidden="1">{#N/A,#N/A,FALSE,"지침";#N/A,#N/A,FALSE,"환경분석";#N/A,#N/A,FALSE,"Sheet16"}</definedName>
    <definedName name="수정본" localSheetId="1" hidden="1">{#N/A,#N/A,FALSE,"지침";#N/A,#N/A,FALSE,"환경분석";#N/A,#N/A,FALSE,"Sheet16"}</definedName>
    <definedName name="수정본" localSheetId="2" hidden="1">{#N/A,#N/A,FALSE,"지침";#N/A,#N/A,FALSE,"환경분석";#N/A,#N/A,FALSE,"Sheet16"}</definedName>
    <definedName name="수정본" localSheetId="12" hidden="1">{#N/A,#N/A,FALSE,"지침";#N/A,#N/A,FALSE,"환경분석";#N/A,#N/A,FALSE,"Sheet16"}</definedName>
    <definedName name="수정본" localSheetId="3" hidden="1">{#N/A,#N/A,FALSE,"지침";#N/A,#N/A,FALSE,"환경분석";#N/A,#N/A,FALSE,"Sheet16"}</definedName>
    <definedName name="수정본" localSheetId="6" hidden="1">{#N/A,#N/A,FALSE,"지침";#N/A,#N/A,FALSE,"환경분석";#N/A,#N/A,FALSE,"Sheet16"}</definedName>
    <definedName name="수정본" localSheetId="4" hidden="1">{#N/A,#N/A,FALSE,"지침";#N/A,#N/A,FALSE,"환경분석";#N/A,#N/A,FALSE,"Sheet16"}</definedName>
    <definedName name="수정본" hidden="1">{#N/A,#N/A,FALSE,"지침";#N/A,#N/A,FALSE,"환경분석";#N/A,#N/A,FALSE,"Sheet16"}</definedName>
    <definedName name="수정현금흐름표" localSheetId="10" hidden="1">{#N/A,#N/A,TRUE,"Summary";#N/A,#N/A,TRUE,"IS";#N/A,#N/A,TRUE,"Adj";#N/A,#N/A,TRUE,"BS";#N/A,#N/A,TRUE,"CF";#N/A,#N/A,TRUE,"Debt";#N/A,#N/A,TRUE,"IRR"}</definedName>
    <definedName name="수정현금흐름표" localSheetId="11" hidden="1">{#N/A,#N/A,TRUE,"Summary";#N/A,#N/A,TRUE,"IS";#N/A,#N/A,TRUE,"Adj";#N/A,#N/A,TRUE,"BS";#N/A,#N/A,TRUE,"CF";#N/A,#N/A,TRUE,"Debt";#N/A,#N/A,TRUE,"IRR"}</definedName>
    <definedName name="수정현금흐름표" localSheetId="9" hidden="1">{#N/A,#N/A,TRUE,"Summary";#N/A,#N/A,TRUE,"IS";#N/A,#N/A,TRUE,"Adj";#N/A,#N/A,TRUE,"BS";#N/A,#N/A,TRUE,"CF";#N/A,#N/A,TRUE,"Debt";#N/A,#N/A,TRUE,"IRR"}</definedName>
    <definedName name="수정현금흐름표" localSheetId="1" hidden="1">{#N/A,#N/A,TRUE,"Summary";#N/A,#N/A,TRUE,"IS";#N/A,#N/A,TRUE,"Adj";#N/A,#N/A,TRUE,"BS";#N/A,#N/A,TRUE,"CF";#N/A,#N/A,TRUE,"Debt";#N/A,#N/A,TRUE,"IRR"}</definedName>
    <definedName name="수정현금흐름표" localSheetId="2" hidden="1">{#N/A,#N/A,TRUE,"Summary";#N/A,#N/A,TRUE,"IS";#N/A,#N/A,TRUE,"Adj";#N/A,#N/A,TRUE,"BS";#N/A,#N/A,TRUE,"CF";#N/A,#N/A,TRUE,"Debt";#N/A,#N/A,TRUE,"IRR"}</definedName>
    <definedName name="수정현금흐름표" localSheetId="12" hidden="1">{#N/A,#N/A,TRUE,"Summary";#N/A,#N/A,TRUE,"IS";#N/A,#N/A,TRUE,"Adj";#N/A,#N/A,TRUE,"BS";#N/A,#N/A,TRUE,"CF";#N/A,#N/A,TRUE,"Debt";#N/A,#N/A,TRUE,"IRR"}</definedName>
    <definedName name="수정현금흐름표" localSheetId="3" hidden="1">{#N/A,#N/A,TRUE,"Summary";#N/A,#N/A,TRUE,"IS";#N/A,#N/A,TRUE,"Adj";#N/A,#N/A,TRUE,"BS";#N/A,#N/A,TRUE,"CF";#N/A,#N/A,TRUE,"Debt";#N/A,#N/A,TRUE,"IRR"}</definedName>
    <definedName name="수정현금흐름표" localSheetId="6" hidden="1">{#N/A,#N/A,TRUE,"Summary";#N/A,#N/A,TRUE,"IS";#N/A,#N/A,TRUE,"Adj";#N/A,#N/A,TRUE,"BS";#N/A,#N/A,TRUE,"CF";#N/A,#N/A,TRUE,"Debt";#N/A,#N/A,TRUE,"IRR"}</definedName>
    <definedName name="수정현금흐름표" localSheetId="4" hidden="1">{#N/A,#N/A,TRUE,"Summary";#N/A,#N/A,TRUE,"IS";#N/A,#N/A,TRUE,"Adj";#N/A,#N/A,TRUE,"BS";#N/A,#N/A,TRUE,"CF";#N/A,#N/A,TRUE,"Debt";#N/A,#N/A,TRUE,"IRR"}</definedName>
    <definedName name="수정현금흐름표" hidden="1">{#N/A,#N/A,TRUE,"Summary";#N/A,#N/A,TRUE,"IS";#N/A,#N/A,TRUE,"Adj";#N/A,#N/A,TRUE,"BS";#N/A,#N/A,TRUE,"CF";#N/A,#N/A,TRUE,"Debt";#N/A,#N/A,TRUE,"IRR"}</definedName>
    <definedName name="수주" localSheetId="10">#REF!</definedName>
    <definedName name="수주" localSheetId="11">#REF!</definedName>
    <definedName name="수주" localSheetId="9">#REF!</definedName>
    <definedName name="수주" localSheetId="2">#REF!</definedName>
    <definedName name="수주" localSheetId="12">#REF!</definedName>
    <definedName name="수주" localSheetId="3">#REF!</definedName>
    <definedName name="수주" localSheetId="6">#REF!</definedName>
    <definedName name="수주" localSheetId="4">#REF!</definedName>
    <definedName name="수주">#REF!</definedName>
    <definedName name="수주실적" localSheetId="10" hidden="1">#REF!</definedName>
    <definedName name="수주실적" localSheetId="11" hidden="1">#REF!</definedName>
    <definedName name="수주실적" localSheetId="9" hidden="1">#REF!</definedName>
    <definedName name="수주실적" localSheetId="1" hidden="1">#REF!</definedName>
    <definedName name="수주실적" localSheetId="2" hidden="1">#REF!</definedName>
    <definedName name="수주실적" localSheetId="12" hidden="1">#REF!</definedName>
    <definedName name="수주실적" localSheetId="3" hidden="1">#REF!</definedName>
    <definedName name="수주실적" localSheetId="6" hidden="1">#REF!</definedName>
    <definedName name="수주실적" localSheetId="4" hidden="1">#REF!</definedName>
    <definedName name="수주실적" hidden="1">#REF!</definedName>
    <definedName name="수출차진행현황" localSheetId="10">BlankMacro1</definedName>
    <definedName name="수출차진행현황" localSheetId="11">BlankMacro1</definedName>
    <definedName name="수출차진행현황" localSheetId="9">BlankMacro1</definedName>
    <definedName name="수출차진행현황" localSheetId="2">BlankMacro1</definedName>
    <definedName name="수출차진행현황" localSheetId="12">BlankMacro1</definedName>
    <definedName name="수출차진행현황" localSheetId="3">BlankMacro1</definedName>
    <definedName name="수출차진행현황" localSheetId="6">BlankMacro1</definedName>
    <definedName name="수출차진행현황" localSheetId="4">BlankMacro1</definedName>
    <definedName name="수출차진행현황">BlankMacro1</definedName>
    <definedName name="순이익" localSheetId="10">#REF!</definedName>
    <definedName name="순이익" localSheetId="11">#REF!</definedName>
    <definedName name="순이익" localSheetId="9">#REF!</definedName>
    <definedName name="순이익" localSheetId="2">#REF!</definedName>
    <definedName name="순이익" localSheetId="12">#REF!</definedName>
    <definedName name="순이익" localSheetId="3">#REF!</definedName>
    <definedName name="순이익" localSheetId="6">#REF!</definedName>
    <definedName name="순이익" localSheetId="4">#REF!</definedName>
    <definedName name="순이익">#REF!</definedName>
    <definedName name="슛ㅎ" localSheetId="10">'2.추정(긍정)'!슛ㅎ</definedName>
    <definedName name="슛ㅎ" localSheetId="11">'2.추정(부정)'!슛ㅎ</definedName>
    <definedName name="슛ㅎ" localSheetId="9">구NCP!슛ㅎ</definedName>
    <definedName name="슛ㅎ" localSheetId="2">추정!슛ㅎ</definedName>
    <definedName name="슛ㅎ" localSheetId="12">#N/A</definedName>
    <definedName name="슛ㅎ" localSheetId="3">#N/A</definedName>
    <definedName name="슛ㅎ" localSheetId="6">평정!슛ㅎ</definedName>
    <definedName name="슛ㅎ" localSheetId="4">NCP!슛ㅎ</definedName>
    <definedName name="슛ㅎ">'2.추정(긍정)'!슛ㅎ</definedName>
    <definedName name="스타일3" localSheetId="10">BlankMacro1</definedName>
    <definedName name="스타일3" localSheetId="11">BlankMacro1</definedName>
    <definedName name="스타일3" localSheetId="9">BlankMacro1</definedName>
    <definedName name="스타일3" localSheetId="2">BlankMacro1</definedName>
    <definedName name="스타일3" localSheetId="12">BlankMacro1</definedName>
    <definedName name="스타일3" localSheetId="3">BlankMacro1</definedName>
    <definedName name="스타일3" localSheetId="6">BlankMacro1</definedName>
    <definedName name="스타일3" localSheetId="4">BlankMacro1</definedName>
    <definedName name="스타일3">BlankMacro1</definedName>
    <definedName name="시나리오" localSheetId="10">#REF!</definedName>
    <definedName name="시나리오" localSheetId="11">#REF!</definedName>
    <definedName name="시나리오" localSheetId="9">#REF!</definedName>
    <definedName name="시나리오" localSheetId="2">#REF!</definedName>
    <definedName name="시나리오" localSheetId="12">#REF!</definedName>
    <definedName name="시나리오" localSheetId="3">#REF!</definedName>
    <definedName name="시나리오" localSheetId="6">#REF!</definedName>
    <definedName name="시나리오" localSheetId="4">#REF!</definedName>
    <definedName name="시나리오">#REF!</definedName>
    <definedName name="시설투자" localSheetId="10">[0]!_a1Z,[0]!_a2Z</definedName>
    <definedName name="시설투자" localSheetId="11">[0]!_a1Z,[0]!_a2Z</definedName>
    <definedName name="시설투자" localSheetId="9">[0]!_a1Z,[0]!_a2Z</definedName>
    <definedName name="시설투자" localSheetId="2">[0]!_a1Z,[0]!_a2Z</definedName>
    <definedName name="시설투자" localSheetId="12">[2]!_a1Z,[2]!_a2Z</definedName>
    <definedName name="시설투자" localSheetId="3">[2]!_a1Z,[2]!_a2Z</definedName>
    <definedName name="시설투자" localSheetId="6">[3]!_a1Z,[3]!_a2Z</definedName>
    <definedName name="시설투자" localSheetId="4">[0]!_a1Z,[0]!_a2Z</definedName>
    <definedName name="시설투자">[0]!_a1Z,[0]!_a2Z</definedName>
    <definedName name="시스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규" localSheetId="10">[0]!신규업체</definedName>
    <definedName name="신규" localSheetId="11">[0]!신규업체</definedName>
    <definedName name="신규" localSheetId="9">[0]!신규업체</definedName>
    <definedName name="신규" localSheetId="2">[0]!신규업체</definedName>
    <definedName name="신규" localSheetId="12">[2]!신규업체</definedName>
    <definedName name="신규" localSheetId="3">[2]!신규업체</definedName>
    <definedName name="신규" localSheetId="6">평정!신규업체</definedName>
    <definedName name="신규" localSheetId="4">[0]!신규업체</definedName>
    <definedName name="신규">[0]!신규업체</definedName>
    <definedName name="신규업체" localSheetId="12">#N/A</definedName>
    <definedName name="신규업체" localSheetId="3">#N/A</definedName>
    <definedName name="신규업체" localSheetId="6">#N/A</definedName>
    <definedName name="신규업체">#N/A</definedName>
    <definedName name="신용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청서제출" localSheetId="10">#REF!</definedName>
    <definedName name="신청서제출" localSheetId="11">#REF!</definedName>
    <definedName name="신청서제출" localSheetId="9">#REF!</definedName>
    <definedName name="신청서제출" localSheetId="2">#REF!</definedName>
    <definedName name="신청서제출" localSheetId="12">#REF!</definedName>
    <definedName name="신청서제출" localSheetId="3">#REF!</definedName>
    <definedName name="신청서제출" localSheetId="6">#REF!</definedName>
    <definedName name="신청서제출" localSheetId="4">#REF!</definedName>
    <definedName name="신청서제출">#REF!</definedName>
    <definedName name="신현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실긴수2" localSheetId="10" hidden="1">{#N/A,#N/A,FALSE,"지침";#N/A,#N/A,FALSE,"환경분석";#N/A,#N/A,FALSE,"Sheet16"}</definedName>
    <definedName name="실긴수2" localSheetId="11" hidden="1">{#N/A,#N/A,FALSE,"지침";#N/A,#N/A,FALSE,"환경분석";#N/A,#N/A,FALSE,"Sheet16"}</definedName>
    <definedName name="실긴수2" localSheetId="9" hidden="1">{#N/A,#N/A,FALSE,"지침";#N/A,#N/A,FALSE,"환경분석";#N/A,#N/A,FALSE,"Sheet16"}</definedName>
    <definedName name="실긴수2" localSheetId="1" hidden="1">{#N/A,#N/A,FALSE,"지침";#N/A,#N/A,FALSE,"환경분석";#N/A,#N/A,FALSE,"Sheet16"}</definedName>
    <definedName name="실긴수2" localSheetId="2" hidden="1">{#N/A,#N/A,FALSE,"지침";#N/A,#N/A,FALSE,"환경분석";#N/A,#N/A,FALSE,"Sheet16"}</definedName>
    <definedName name="실긴수2" localSheetId="12" hidden="1">{#N/A,#N/A,FALSE,"지침";#N/A,#N/A,FALSE,"환경분석";#N/A,#N/A,FALSE,"Sheet16"}</definedName>
    <definedName name="실긴수2" localSheetId="3" hidden="1">{#N/A,#N/A,FALSE,"지침";#N/A,#N/A,FALSE,"환경분석";#N/A,#N/A,FALSE,"Sheet16"}</definedName>
    <definedName name="실긴수2" localSheetId="6" hidden="1">{#N/A,#N/A,FALSE,"지침";#N/A,#N/A,FALSE,"환경분석";#N/A,#N/A,FALSE,"Sheet16"}</definedName>
    <definedName name="실긴수2" localSheetId="4" hidden="1">{#N/A,#N/A,FALSE,"지침";#N/A,#N/A,FALSE,"환경분석";#N/A,#N/A,FALSE,"Sheet16"}</definedName>
    <definedName name="실긴수2" hidden="1">{#N/A,#N/A,FALSE,"지침";#N/A,#N/A,FALSE,"환경분석";#N/A,#N/A,FALSE,"Sheet16"}</definedName>
    <definedName name="실무" localSheetId="10">#REF!</definedName>
    <definedName name="실무" localSheetId="11">#REF!</definedName>
    <definedName name="실무" localSheetId="9">#REF!</definedName>
    <definedName name="실무" localSheetId="2">#REF!</definedName>
    <definedName name="실무" localSheetId="12">#REF!</definedName>
    <definedName name="실무" localSheetId="3">#REF!</definedName>
    <definedName name="실무" localSheetId="6">#REF!</definedName>
    <definedName name="실무" localSheetId="4">#REF!</definedName>
    <definedName name="실무">#REF!</definedName>
    <definedName name="실적보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hidden="1">{#N/A,#N/A,FALSE,"PART-1234-8-12-9(41)";#N/A,#N/A,FALSE,"PARTS-2(3)";#N/A,#N/A,FALSE,"VAN SYSTEM";#N/A,#N/A,FALSE,"PARTS-10(26)";#N/A,#N/A,FALSE,"PART-5-6-7-11(14)";#N/A,#N/A,FALSE,"PARTS-4(3)";#N/A,#N/A,FALSE,"PCLASS"}</definedName>
    <definedName name="씨파" localSheetId="10">#REF!</definedName>
    <definedName name="씨파" localSheetId="11">#REF!</definedName>
    <definedName name="씨파" localSheetId="9">#REF!</definedName>
    <definedName name="씨파" localSheetId="2">#REF!</definedName>
    <definedName name="씨파" localSheetId="12">#REF!</definedName>
    <definedName name="씨파" localSheetId="3">#REF!</definedName>
    <definedName name="씨파" localSheetId="6">#REF!</definedName>
    <definedName name="씨파" localSheetId="4">#REF!</definedName>
    <definedName name="씨파">#REF!</definedName>
    <definedName name="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ㄹ호" localSheetId="10">#REF!</definedName>
    <definedName name="ㅇㄹ호" localSheetId="11">#REF!</definedName>
    <definedName name="ㅇㄹ호" localSheetId="9">#REF!</definedName>
    <definedName name="ㅇㄹ호" localSheetId="2">#REF!</definedName>
    <definedName name="ㅇㄹ호" localSheetId="12">#REF!</definedName>
    <definedName name="ㅇㄹ호" localSheetId="3">#REF!</definedName>
    <definedName name="ㅇㄹ호" localSheetId="6">#REF!</definedName>
    <definedName name="ㅇㄹ호" localSheetId="4">#REF!</definedName>
    <definedName name="ㅇㄹ호">#REF!</definedName>
    <definedName name="ㅇㅇ" localSheetId="10">BlankMacro1</definedName>
    <definedName name="ㅇㅇ" localSheetId="11">BlankMacro1</definedName>
    <definedName name="ㅇㅇ" localSheetId="9">BlankMacro1</definedName>
    <definedName name="ㅇㅇ" localSheetId="2">BlankMacro1</definedName>
    <definedName name="ㅇㅇ" localSheetId="12">BlankMacro1</definedName>
    <definedName name="ㅇㅇ" localSheetId="3">BlankMacro1</definedName>
    <definedName name="ㅇㅇ" localSheetId="6">BlankMacro1</definedName>
    <definedName name="ㅇㅇ" localSheetId="4">BlankMacro1</definedName>
    <definedName name="ㅇㅇ">BlankMacro1</definedName>
    <definedName name="ㅇㅇㅇ" localSheetId="10" hidden="1">{#N/A,#N/A,FALSE,"지침";#N/A,#N/A,FALSE,"환경분석";#N/A,#N/A,FALSE,"Sheet16"}</definedName>
    <definedName name="ㅇㅇㅇ" localSheetId="11" hidden="1">{#N/A,#N/A,FALSE,"지침";#N/A,#N/A,FALSE,"환경분석";#N/A,#N/A,FALSE,"Sheet16"}</definedName>
    <definedName name="ㅇㅇㅇ" localSheetId="9" hidden="1">{#N/A,#N/A,FALSE,"지침";#N/A,#N/A,FALSE,"환경분석";#N/A,#N/A,FALSE,"Sheet16"}</definedName>
    <definedName name="ㅇㅇㅇ" localSheetId="1" hidden="1">{#N/A,#N/A,FALSE,"지침";#N/A,#N/A,FALSE,"환경분석";#N/A,#N/A,FALSE,"Sheet16"}</definedName>
    <definedName name="ㅇㅇㅇ" localSheetId="2" hidden="1">{#N/A,#N/A,FALSE,"지침";#N/A,#N/A,FALSE,"환경분석";#N/A,#N/A,FALSE,"Sheet16"}</definedName>
    <definedName name="ㅇㅇㅇ" localSheetId="12" hidden="1">{#N/A,#N/A,FALSE,"지침";#N/A,#N/A,FALSE,"환경분석";#N/A,#N/A,FALSE,"Sheet16"}</definedName>
    <definedName name="ㅇㅇㅇ" localSheetId="3" hidden="1">{#N/A,#N/A,FALSE,"지침";#N/A,#N/A,FALSE,"환경분석";#N/A,#N/A,FALSE,"Sheet16"}</definedName>
    <definedName name="ㅇㅇㅇ" localSheetId="6" hidden="1">{#N/A,#N/A,FALSE,"지침";#N/A,#N/A,FALSE,"환경분석";#N/A,#N/A,FALSE,"Sheet16"}</definedName>
    <definedName name="ㅇㅇㅇ" localSheetId="4" hidden="1">{#N/A,#N/A,FALSE,"지침";#N/A,#N/A,FALSE,"환경분석";#N/A,#N/A,FALSE,"Sheet16"}</definedName>
    <definedName name="ㅇㅇㅇ" hidden="1">{#N/A,#N/A,FALSE,"지침";#N/A,#N/A,FALSE,"환경분석";#N/A,#N/A,FALSE,"Sheet16"}</definedName>
    <definedName name="ㅇㅇㅇㅇ" localSheetId="10" hidden="1">{#N/A,#N/A,FALSE,"지침";#N/A,#N/A,FALSE,"환경분석";#N/A,#N/A,FALSE,"Sheet16"}</definedName>
    <definedName name="ㅇㅇㅇㅇ" localSheetId="11" hidden="1">{#N/A,#N/A,FALSE,"지침";#N/A,#N/A,FALSE,"환경분석";#N/A,#N/A,FALSE,"Sheet16"}</definedName>
    <definedName name="ㅇㅇㅇㅇ" localSheetId="9" hidden="1">{#N/A,#N/A,FALSE,"지침";#N/A,#N/A,FALSE,"환경분석";#N/A,#N/A,FALSE,"Sheet16"}</definedName>
    <definedName name="ㅇㅇㅇㅇ" localSheetId="1" hidden="1">{#N/A,#N/A,FALSE,"지침";#N/A,#N/A,FALSE,"환경분석";#N/A,#N/A,FALSE,"Sheet16"}</definedName>
    <definedName name="ㅇㅇㅇㅇ" localSheetId="2" hidden="1">{#N/A,#N/A,FALSE,"지침";#N/A,#N/A,FALSE,"환경분석";#N/A,#N/A,FALSE,"Sheet16"}</definedName>
    <definedName name="ㅇㅇㅇㅇ" localSheetId="12" hidden="1">{#N/A,#N/A,FALSE,"지침";#N/A,#N/A,FALSE,"환경분석";#N/A,#N/A,FALSE,"Sheet16"}</definedName>
    <definedName name="ㅇㅇㅇㅇ" localSheetId="3" hidden="1">{#N/A,#N/A,FALSE,"지침";#N/A,#N/A,FALSE,"환경분석";#N/A,#N/A,FALSE,"Sheet16"}</definedName>
    <definedName name="ㅇㅇㅇㅇ" localSheetId="6" hidden="1">{#N/A,#N/A,FALSE,"지침";#N/A,#N/A,FALSE,"환경분석";#N/A,#N/A,FALSE,"Sheet16"}</definedName>
    <definedName name="ㅇㅇㅇㅇ" localSheetId="4" hidden="1">{#N/A,#N/A,FALSE,"지침";#N/A,#N/A,FALSE,"환경분석";#N/A,#N/A,FALSE,"Sheet16"}</definedName>
    <definedName name="ㅇㅇㅇㅇ" hidden="1">{#N/A,#N/A,FALSE,"지침";#N/A,#N/A,FALSE,"환경분석";#N/A,#N/A,FALSE,"Sheet16"}</definedName>
    <definedName name="ㅇㅇㅇㅇㅇㅇ" localSheetId="10" hidden="1">{#N/A,#N/A,FALSE,"지침";#N/A,#N/A,FALSE,"환경분석";#N/A,#N/A,FALSE,"Sheet16"}</definedName>
    <definedName name="ㅇㅇㅇㅇㅇㅇ" localSheetId="11" hidden="1">{#N/A,#N/A,FALSE,"지침";#N/A,#N/A,FALSE,"환경분석";#N/A,#N/A,FALSE,"Sheet16"}</definedName>
    <definedName name="ㅇㅇㅇㅇㅇㅇ" localSheetId="9" hidden="1">{#N/A,#N/A,FALSE,"지침";#N/A,#N/A,FALSE,"환경분석";#N/A,#N/A,FALSE,"Sheet16"}</definedName>
    <definedName name="ㅇㅇㅇㅇㅇㅇ" localSheetId="1" hidden="1">{#N/A,#N/A,FALSE,"지침";#N/A,#N/A,FALSE,"환경분석";#N/A,#N/A,FALSE,"Sheet16"}</definedName>
    <definedName name="ㅇㅇㅇㅇㅇㅇ" localSheetId="2" hidden="1">{#N/A,#N/A,FALSE,"지침";#N/A,#N/A,FALSE,"환경분석";#N/A,#N/A,FALSE,"Sheet16"}</definedName>
    <definedName name="ㅇㅇㅇㅇㅇㅇ" localSheetId="12" hidden="1">{#N/A,#N/A,FALSE,"지침";#N/A,#N/A,FALSE,"환경분석";#N/A,#N/A,FALSE,"Sheet16"}</definedName>
    <definedName name="ㅇㅇㅇㅇㅇㅇ" localSheetId="3" hidden="1">{#N/A,#N/A,FALSE,"지침";#N/A,#N/A,FALSE,"환경분석";#N/A,#N/A,FALSE,"Sheet16"}</definedName>
    <definedName name="ㅇㅇㅇㅇㅇㅇ" localSheetId="6" hidden="1">{#N/A,#N/A,FALSE,"지침";#N/A,#N/A,FALSE,"환경분석";#N/A,#N/A,FALSE,"Sheet16"}</definedName>
    <definedName name="ㅇㅇㅇㅇㅇㅇ" localSheetId="4" hidden="1">{#N/A,#N/A,FALSE,"지침";#N/A,#N/A,FALSE,"환경분석";#N/A,#N/A,FALSE,"Sheet16"}</definedName>
    <definedName name="ㅇㅇㅇㅇㅇㅇ" hidden="1">{#N/A,#N/A,FALSE,"지침";#N/A,#N/A,FALSE,"환경분석";#N/A,#N/A,FALSE,"Sheet16"}</definedName>
    <definedName name="ㅇㅈㄹ" localSheetId="10">'2.추정(긍정)'!ㅇㅈㄹ</definedName>
    <definedName name="ㅇㅈㄹ" localSheetId="11">'2.추정(부정)'!ㅇㅈㄹ</definedName>
    <definedName name="ㅇㅈㄹ" localSheetId="9">구NCP!ㅇㅈㄹ</definedName>
    <definedName name="ㅇㅈㄹ" localSheetId="2">추정!ㅇㅈㄹ</definedName>
    <definedName name="ㅇㅈㄹ" localSheetId="12">#N/A</definedName>
    <definedName name="ㅇㅈㄹ" localSheetId="3">#N/A</definedName>
    <definedName name="ㅇㅈㄹ" localSheetId="6">평정!ㅇㅈㄹ</definedName>
    <definedName name="ㅇㅈㄹ" localSheetId="4">NCP!ㅇㅈㄹ</definedName>
    <definedName name="ㅇㅈㄹ">'2.추정(긍정)'!ㅇㅈㄹ</definedName>
    <definedName name="ㅇㅈㅇ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타" localSheetId="10">'2.추정(긍정)'!ㅇ타</definedName>
    <definedName name="ㅇ타" localSheetId="11">'2.추정(부정)'!ㅇ타</definedName>
    <definedName name="ㅇ타" localSheetId="9">구NCP!ㅇ타</definedName>
    <definedName name="ㅇ타" localSheetId="2">추정!ㅇ타</definedName>
    <definedName name="ㅇ타" localSheetId="12">#N/A</definedName>
    <definedName name="ㅇ타" localSheetId="3">#N/A</definedName>
    <definedName name="ㅇ타" localSheetId="6">평정!ㅇ타</definedName>
    <definedName name="ㅇ타" localSheetId="4">NCP!ㅇ타</definedName>
    <definedName name="ㅇ타">'2.추정(긍정)'!ㅇ타</definedName>
    <definedName name="앞" localSheetId="9">#REF!</definedName>
    <definedName name="앞" localSheetId="2">#REF!</definedName>
    <definedName name="앞" localSheetId="12">#REF!</definedName>
    <definedName name="앞" localSheetId="3">#REF!</definedName>
    <definedName name="앞" localSheetId="6">#REF!</definedName>
    <definedName name="앞">#REF!</definedName>
    <definedName name="아닌데" localSheetId="10">#REF!</definedName>
    <definedName name="아닌데" localSheetId="11">#REF!</definedName>
    <definedName name="아닌데" localSheetId="9">#REF!</definedName>
    <definedName name="아닌데" localSheetId="2">#REF!</definedName>
    <definedName name="아닌데" localSheetId="12">#REF!</definedName>
    <definedName name="아닌데" localSheetId="3">#REF!</definedName>
    <definedName name="아닌데" localSheetId="6">#REF!</definedName>
    <definedName name="아닌데" localSheetId="4">#REF!</definedName>
    <definedName name="아닌데">#REF!</definedName>
    <definedName name="아들" localSheetId="10" hidden="1">{#N/A,#N/A,FALSE,"지침";#N/A,#N/A,FALSE,"환경분석";#N/A,#N/A,FALSE,"Sheet16"}</definedName>
    <definedName name="아들" localSheetId="11" hidden="1">{#N/A,#N/A,FALSE,"지침";#N/A,#N/A,FALSE,"환경분석";#N/A,#N/A,FALSE,"Sheet16"}</definedName>
    <definedName name="아들" localSheetId="9" hidden="1">{#N/A,#N/A,FALSE,"지침";#N/A,#N/A,FALSE,"환경분석";#N/A,#N/A,FALSE,"Sheet16"}</definedName>
    <definedName name="아들" localSheetId="1" hidden="1">{#N/A,#N/A,FALSE,"지침";#N/A,#N/A,FALSE,"환경분석";#N/A,#N/A,FALSE,"Sheet16"}</definedName>
    <definedName name="아들" localSheetId="2" hidden="1">{#N/A,#N/A,FALSE,"지침";#N/A,#N/A,FALSE,"환경분석";#N/A,#N/A,FALSE,"Sheet16"}</definedName>
    <definedName name="아들" localSheetId="12" hidden="1">{#N/A,#N/A,FALSE,"지침";#N/A,#N/A,FALSE,"환경분석";#N/A,#N/A,FALSE,"Sheet16"}</definedName>
    <definedName name="아들" localSheetId="3" hidden="1">{#N/A,#N/A,FALSE,"지침";#N/A,#N/A,FALSE,"환경분석";#N/A,#N/A,FALSE,"Sheet16"}</definedName>
    <definedName name="아들" localSheetId="6" hidden="1">{#N/A,#N/A,FALSE,"지침";#N/A,#N/A,FALSE,"환경분석";#N/A,#N/A,FALSE,"Sheet16"}</definedName>
    <definedName name="아들" localSheetId="4" hidden="1">{#N/A,#N/A,FALSE,"지침";#N/A,#N/A,FALSE,"환경분석";#N/A,#N/A,FALSE,"Sheet16"}</definedName>
    <definedName name="아들" hidden="1">{#N/A,#N/A,FALSE,"지침";#N/A,#N/A,FALSE,"환경분석";#N/A,#N/A,FALSE,"Sheet16"}</definedName>
    <definedName name="아리" localSheetId="10" hidden="1">{#N/A,#N/A,FALSE,"지침";#N/A,#N/A,FALSE,"환경분석";#N/A,#N/A,FALSE,"Sheet16"}</definedName>
    <definedName name="아리" localSheetId="11" hidden="1">{#N/A,#N/A,FALSE,"지침";#N/A,#N/A,FALSE,"환경분석";#N/A,#N/A,FALSE,"Sheet16"}</definedName>
    <definedName name="아리" localSheetId="9" hidden="1">{#N/A,#N/A,FALSE,"지침";#N/A,#N/A,FALSE,"환경분석";#N/A,#N/A,FALSE,"Sheet16"}</definedName>
    <definedName name="아리" localSheetId="1" hidden="1">{#N/A,#N/A,FALSE,"지침";#N/A,#N/A,FALSE,"환경분석";#N/A,#N/A,FALSE,"Sheet16"}</definedName>
    <definedName name="아리" localSheetId="2" hidden="1">{#N/A,#N/A,FALSE,"지침";#N/A,#N/A,FALSE,"환경분석";#N/A,#N/A,FALSE,"Sheet16"}</definedName>
    <definedName name="아리" localSheetId="12" hidden="1">{#N/A,#N/A,FALSE,"지침";#N/A,#N/A,FALSE,"환경분석";#N/A,#N/A,FALSE,"Sheet16"}</definedName>
    <definedName name="아리" localSheetId="3" hidden="1">{#N/A,#N/A,FALSE,"지침";#N/A,#N/A,FALSE,"환경분석";#N/A,#N/A,FALSE,"Sheet16"}</definedName>
    <definedName name="아리" localSheetId="6" hidden="1">{#N/A,#N/A,FALSE,"지침";#N/A,#N/A,FALSE,"환경분석";#N/A,#N/A,FALSE,"Sheet16"}</definedName>
    <definedName name="아리" localSheetId="4" hidden="1">{#N/A,#N/A,FALSE,"지침";#N/A,#N/A,FALSE,"환경분석";#N/A,#N/A,FALSE,"Sheet16"}</definedName>
    <definedName name="아리" hidden="1">{#N/A,#N/A,FALSE,"지침";#N/A,#N/A,FALSE,"환경분석";#N/A,#N/A,FALSE,"Sheet16"}</definedName>
    <definedName name="아무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앙" localSheetId="10">BlankMacro1</definedName>
    <definedName name="아앙" localSheetId="11">BlankMacro1</definedName>
    <definedName name="아앙" localSheetId="9">BlankMacro1</definedName>
    <definedName name="아앙" localSheetId="2">BlankMacro1</definedName>
    <definedName name="아앙" localSheetId="12">BlankMacro1</definedName>
    <definedName name="아앙" localSheetId="3">BlankMacro1</definedName>
    <definedName name="아앙" localSheetId="6">BlankMacro1</definedName>
    <definedName name="아앙" localSheetId="4">BlankMacro1</definedName>
    <definedName name="아앙">BlankMacro1</definedName>
    <definedName name="아이구" localSheetId="10">#REF!</definedName>
    <definedName name="아이구" localSheetId="11">#REF!</definedName>
    <definedName name="아이구" localSheetId="9">#REF!</definedName>
    <definedName name="아이구" localSheetId="2">#REF!</definedName>
    <definedName name="아이구" localSheetId="12">#REF!</definedName>
    <definedName name="아이구" localSheetId="3">#REF!</definedName>
    <definedName name="아이구" localSheetId="6">#REF!</definedName>
    <definedName name="아이구" localSheetId="4">#REF!</definedName>
    <definedName name="아이구">#REF!</definedName>
    <definedName name="아ㅕㅡㅕㅛ" localSheetId="10">'2.추정(긍정)'!아ㅕㅡㅕㅛ</definedName>
    <definedName name="아ㅕㅡㅕㅛ" localSheetId="11">'2.추정(부정)'!아ㅕㅡㅕㅛ</definedName>
    <definedName name="아ㅕㅡㅕㅛ" localSheetId="9">구NCP!아ㅕㅡㅕㅛ</definedName>
    <definedName name="아ㅕㅡㅕㅛ" localSheetId="2">추정!아ㅕㅡㅕㅛ</definedName>
    <definedName name="아ㅕㅡㅕㅛ" localSheetId="12">#N/A</definedName>
    <definedName name="아ㅕㅡㅕㅛ" localSheetId="3">#N/A</definedName>
    <definedName name="아ㅕㅡㅕㅛ" localSheetId="6">평정!아ㅕㅡㅕㅛ</definedName>
    <definedName name="아ㅕㅡㅕㅛ" localSheetId="4">NCP!아ㅕㅡㅕㅛ</definedName>
    <definedName name="아ㅕㅡㅕㅛ">'2.추정(긍정)'!아ㅕㅡㅕㅛ</definedName>
    <definedName name="안광민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홍수" localSheetId="10" hidden="1">{#N/A,#N/A,FALSE,"지침";#N/A,#N/A,FALSE,"환경분석";#N/A,#N/A,FALSE,"Sheet16"}</definedName>
    <definedName name="안홍수" localSheetId="11" hidden="1">{#N/A,#N/A,FALSE,"지침";#N/A,#N/A,FALSE,"환경분석";#N/A,#N/A,FALSE,"Sheet16"}</definedName>
    <definedName name="안홍수" localSheetId="9" hidden="1">{#N/A,#N/A,FALSE,"지침";#N/A,#N/A,FALSE,"환경분석";#N/A,#N/A,FALSE,"Sheet16"}</definedName>
    <definedName name="안홍수" localSheetId="1" hidden="1">{#N/A,#N/A,FALSE,"지침";#N/A,#N/A,FALSE,"환경분석";#N/A,#N/A,FALSE,"Sheet16"}</definedName>
    <definedName name="안홍수" localSheetId="2" hidden="1">{#N/A,#N/A,FALSE,"지침";#N/A,#N/A,FALSE,"환경분석";#N/A,#N/A,FALSE,"Sheet16"}</definedName>
    <definedName name="안홍수" localSheetId="12" hidden="1">{#N/A,#N/A,FALSE,"지침";#N/A,#N/A,FALSE,"환경분석";#N/A,#N/A,FALSE,"Sheet16"}</definedName>
    <definedName name="안홍수" localSheetId="3" hidden="1">{#N/A,#N/A,FALSE,"지침";#N/A,#N/A,FALSE,"환경분석";#N/A,#N/A,FALSE,"Sheet16"}</definedName>
    <definedName name="안홍수" localSheetId="6" hidden="1">{#N/A,#N/A,FALSE,"지침";#N/A,#N/A,FALSE,"환경분석";#N/A,#N/A,FALSE,"Sheet16"}</definedName>
    <definedName name="안홍수" localSheetId="4" hidden="1">{#N/A,#N/A,FALSE,"지침";#N/A,#N/A,FALSE,"환경분석";#N/A,#N/A,FALSE,"Sheet16"}</definedName>
    <definedName name="안홍수" hidden="1">{#N/A,#N/A,FALSE,"지침";#N/A,#N/A,FALSE,"환경분석";#N/A,#N/A,FALSE,"Sheet16"}</definedName>
    <definedName name="앞" localSheetId="10">#REF!</definedName>
    <definedName name="앞" localSheetId="11">#REF!</definedName>
    <definedName name="앞" localSheetId="4">#REF!</definedName>
    <definedName name="약정수수료율_1년이내" localSheetId="10">#REF!</definedName>
    <definedName name="약정수수료율_1년이내" localSheetId="11">#REF!</definedName>
    <definedName name="약정수수료율_1년이내" localSheetId="9">#REF!</definedName>
    <definedName name="약정수수료율_1년이내" localSheetId="2">#REF!</definedName>
    <definedName name="약정수수료율_1년이내" localSheetId="12">#REF!</definedName>
    <definedName name="약정수수료율_1년이내" localSheetId="3">#REF!</definedName>
    <definedName name="약정수수료율_1년이내" localSheetId="6">#REF!</definedName>
    <definedName name="약정수수료율_1년이내" localSheetId="4">#REF!</definedName>
    <definedName name="약정수수료율_1년이내">#REF!</definedName>
    <definedName name="약정수수료율_1년초과" localSheetId="10">#REF!</definedName>
    <definedName name="약정수수료율_1년초과" localSheetId="11">#REF!</definedName>
    <definedName name="약정수수료율_1년초과" localSheetId="9">#REF!</definedName>
    <definedName name="약정수수료율_1년초과" localSheetId="2">#REF!</definedName>
    <definedName name="약정수수료율_1년초과" localSheetId="12">#REF!</definedName>
    <definedName name="약정수수료율_1년초과" localSheetId="3">#REF!</definedName>
    <definedName name="약정수수료율_1년초과" localSheetId="6">#REF!</definedName>
    <definedName name="약정수수료율_1년초과" localSheetId="4">#REF!</definedName>
    <definedName name="약정수수료율_1년초과">#REF!</definedName>
    <definedName name="얀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양식" localSheetId="10" hidden="1">{#N/A,#N/A,FALSE,"지침";#N/A,#N/A,FALSE,"환경분석";#N/A,#N/A,FALSE,"Sheet16"}</definedName>
    <definedName name="양식" localSheetId="11" hidden="1">{#N/A,#N/A,FALSE,"지침";#N/A,#N/A,FALSE,"환경분석";#N/A,#N/A,FALSE,"Sheet16"}</definedName>
    <definedName name="양식" localSheetId="9" hidden="1">{#N/A,#N/A,FALSE,"지침";#N/A,#N/A,FALSE,"환경분석";#N/A,#N/A,FALSE,"Sheet16"}</definedName>
    <definedName name="양식" localSheetId="1" hidden="1">{#N/A,#N/A,FALSE,"지침";#N/A,#N/A,FALSE,"환경분석";#N/A,#N/A,FALSE,"Sheet16"}</definedName>
    <definedName name="양식" localSheetId="2" hidden="1">{#N/A,#N/A,FALSE,"지침";#N/A,#N/A,FALSE,"환경분석";#N/A,#N/A,FALSE,"Sheet16"}</definedName>
    <definedName name="양식" localSheetId="12" hidden="1">{#N/A,#N/A,FALSE,"지침";#N/A,#N/A,FALSE,"환경분석";#N/A,#N/A,FALSE,"Sheet16"}</definedName>
    <definedName name="양식" localSheetId="3" hidden="1">{#N/A,#N/A,FALSE,"지침";#N/A,#N/A,FALSE,"환경분석";#N/A,#N/A,FALSE,"Sheet16"}</definedName>
    <definedName name="양식" localSheetId="6" hidden="1">{#N/A,#N/A,FALSE,"지침";#N/A,#N/A,FALSE,"환경분석";#N/A,#N/A,FALSE,"Sheet16"}</definedName>
    <definedName name="양식" localSheetId="4" hidden="1">{#N/A,#N/A,FALSE,"지침";#N/A,#N/A,FALSE,"환경분석";#N/A,#N/A,FALSE,"Sheet16"}</definedName>
    <definedName name="양식" hidden="1">{#N/A,#N/A,FALSE,"지침";#N/A,#N/A,FALSE,"환경분석";#N/A,#N/A,FALSE,"Sheet16"}</definedName>
    <definedName name="어이구" localSheetId="10">#REF!</definedName>
    <definedName name="어이구" localSheetId="11">#REF!</definedName>
    <definedName name="어이구" localSheetId="9">#REF!</definedName>
    <definedName name="어이구" localSheetId="2">#REF!</definedName>
    <definedName name="어이구" localSheetId="12">#REF!</definedName>
    <definedName name="어이구" localSheetId="3">#REF!</definedName>
    <definedName name="어이구" localSheetId="6">#REF!</definedName>
    <definedName name="어이구" localSheetId="4">#REF!</definedName>
    <definedName name="어이구">#REF!</definedName>
    <definedName name="업체명1" localSheetId="10">#REF!,#REF!,#REF!,#REF!,#REF!</definedName>
    <definedName name="업체명1" localSheetId="11">#REF!,#REF!,#REF!,#REF!,#REF!</definedName>
    <definedName name="업체명1" localSheetId="9">#REF!,#REF!,#REF!,#REF!,#REF!</definedName>
    <definedName name="업체명1" localSheetId="2">#REF!,#REF!,#REF!,#REF!,#REF!</definedName>
    <definedName name="업체명1" localSheetId="12">#REF!,#REF!,#REF!,#REF!,#REF!</definedName>
    <definedName name="업체명1" localSheetId="3">#REF!,#REF!,#REF!,#REF!,#REF!</definedName>
    <definedName name="업체명1" localSheetId="6">#REF!,#REF!,#REF!,#REF!,#REF!</definedName>
    <definedName name="업체명1" localSheetId="4">#REF!,#REF!,#REF!,#REF!,#REF!</definedName>
    <definedName name="업체명1">#REF!,#REF!,#REF!,#REF!,#REF!</definedName>
    <definedName name="업체명2" localSheetId="10">[18]제시용!#REF!,[18]제시용!#REF!,[18]제시용!#REF!,[18]제시용!#REF!,[18]제시용!#REF!</definedName>
    <definedName name="업체명2" localSheetId="11">[18]제시용!#REF!,[18]제시용!#REF!,[18]제시용!#REF!,[18]제시용!#REF!,[18]제시용!#REF!</definedName>
    <definedName name="업체명2" localSheetId="9">[18]제시용!#REF!,[18]제시용!#REF!,[18]제시용!#REF!,[18]제시용!#REF!,[18]제시용!#REF!</definedName>
    <definedName name="업체명2" localSheetId="2">[18]제시용!#REF!,[18]제시용!#REF!,[18]제시용!#REF!,[18]제시용!#REF!,[18]제시용!#REF!</definedName>
    <definedName name="업체명2" localSheetId="12">[19]제시용!#REF!,[19]제시용!#REF!,[19]제시용!#REF!,[19]제시용!#REF!,[19]제시용!#REF!</definedName>
    <definedName name="업체명2" localSheetId="3">[19]제시용!#REF!,[19]제시용!#REF!,[19]제시용!#REF!,[19]제시용!#REF!,[19]제시용!#REF!</definedName>
    <definedName name="업체명2" localSheetId="6">[18]제시용!#REF!,[18]제시용!#REF!,[18]제시용!#REF!,[18]제시용!#REF!,[18]제시용!#REF!</definedName>
    <definedName name="업체명2" localSheetId="4">[18]제시용!#REF!,[18]제시용!#REF!,[18]제시용!#REF!,[18]제시용!#REF!,[18]제시용!#REF!</definedName>
    <definedName name="업체명2">[18]제시용!#REF!,[18]제시용!#REF!,[18]제시용!#REF!,[18]제시용!#REF!,[18]제시용!#REF!</definedName>
    <definedName name="업체자료삭제" localSheetId="10">'2.추정(긍정)'!업체자료삭제</definedName>
    <definedName name="업체자료삭제" localSheetId="11">'2.추정(부정)'!업체자료삭제</definedName>
    <definedName name="업체자료삭제" localSheetId="9">구NCP!업체자료삭제</definedName>
    <definedName name="업체자료삭제" localSheetId="2">추정!업체자료삭제</definedName>
    <definedName name="업체자료삭제" localSheetId="12">#N/A</definedName>
    <definedName name="업체자료삭제" localSheetId="3">#N/A</definedName>
    <definedName name="업체자료삭제" localSheetId="6">평정!업체자료삭제</definedName>
    <definedName name="업체자료삭제" localSheetId="4">NCP!업체자료삭제</definedName>
    <definedName name="업체자료삭제">'2.추정(긍정)'!업체자료삭제</definedName>
    <definedName name="연료" localSheetId="10">#REF!</definedName>
    <definedName name="연료" localSheetId="11">#REF!</definedName>
    <definedName name="연료" localSheetId="9">#REF!</definedName>
    <definedName name="연료" localSheetId="2">#REF!</definedName>
    <definedName name="연료" localSheetId="12">#REF!</definedName>
    <definedName name="연료" localSheetId="3">#REF!</definedName>
    <definedName name="연료" localSheetId="6">#REF!</definedName>
    <definedName name="연료" localSheetId="4">#REF!</definedName>
    <definedName name="연료">#REF!</definedName>
    <definedName name="연료계통비교" localSheetId="10">#REF!</definedName>
    <definedName name="연료계통비교" localSheetId="11">#REF!</definedName>
    <definedName name="연료계통비교" localSheetId="9">#REF!</definedName>
    <definedName name="연료계통비교" localSheetId="2">#REF!</definedName>
    <definedName name="연료계통비교" localSheetId="12">#REF!</definedName>
    <definedName name="연료계통비교" localSheetId="3">#REF!</definedName>
    <definedName name="연료계통비교" localSheetId="6">#REF!</definedName>
    <definedName name="연료계통비교" localSheetId="4">#REF!</definedName>
    <definedName name="연료계통비교">#REF!</definedName>
    <definedName name="연료제어" localSheetId="10">#REF!</definedName>
    <definedName name="연료제어" localSheetId="11">#REF!</definedName>
    <definedName name="연료제어" localSheetId="9">#REF!</definedName>
    <definedName name="연료제어" localSheetId="2">#REF!</definedName>
    <definedName name="연료제어" localSheetId="12">#REF!</definedName>
    <definedName name="연료제어" localSheetId="3">#REF!</definedName>
    <definedName name="연료제어" localSheetId="6">#REF!</definedName>
    <definedName name="연료제어" localSheetId="4">#REF!</definedName>
    <definedName name="연료제어">#REF!</definedName>
    <definedName name="연료제어장치" localSheetId="10">#REF!</definedName>
    <definedName name="연료제어장치" localSheetId="11">#REF!</definedName>
    <definedName name="연료제어장치" localSheetId="9">#REF!</definedName>
    <definedName name="연료제어장치" localSheetId="2">#REF!</definedName>
    <definedName name="연료제어장치" localSheetId="12">#REF!</definedName>
    <definedName name="연료제어장치" localSheetId="3">#REF!</definedName>
    <definedName name="연료제어장치" localSheetId="6">#REF!</definedName>
    <definedName name="연료제어장치" localSheetId="4">#REF!</definedName>
    <definedName name="연료제어장치">#REF!</definedName>
    <definedName name="연비" localSheetId="10">{"S220-V";"S250-V";"S290-V"}</definedName>
    <definedName name="연비" localSheetId="11">{"S220-V";"S250-V";"S290-V"}</definedName>
    <definedName name="연비" localSheetId="9">{"S220-V";"S250-V";"S290-V"}</definedName>
    <definedName name="연비" localSheetId="2">{"S220-V";"S250-V";"S290-V"}</definedName>
    <definedName name="연비" localSheetId="12">{"S220-V";"S250-V";"S290-V"}</definedName>
    <definedName name="연비" localSheetId="3">{"S220-V";"S250-V";"S290-V"}</definedName>
    <definedName name="연비" localSheetId="6">{"S220-V";"S250-V";"S290-V"}</definedName>
    <definedName name="연비" localSheetId="4">{"S220-V";"S250-V";"S290-V"}</definedName>
    <definedName name="연비">{"S220-V";"S250-V";"S290-V"}</definedName>
    <definedName name="영등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업" localSheetId="10" hidden="1">{#N/A,#N/A,FALSE,"지침";#N/A,#N/A,FALSE,"환경분석";#N/A,#N/A,FALSE,"Sheet16"}</definedName>
    <definedName name="영업" localSheetId="11" hidden="1">{#N/A,#N/A,FALSE,"지침";#N/A,#N/A,FALSE,"환경분석";#N/A,#N/A,FALSE,"Sheet16"}</definedName>
    <definedName name="영업" localSheetId="9" hidden="1">{#N/A,#N/A,FALSE,"지침";#N/A,#N/A,FALSE,"환경분석";#N/A,#N/A,FALSE,"Sheet16"}</definedName>
    <definedName name="영업" localSheetId="1" hidden="1">{#N/A,#N/A,FALSE,"지침";#N/A,#N/A,FALSE,"환경분석";#N/A,#N/A,FALSE,"Sheet16"}</definedName>
    <definedName name="영업" localSheetId="2" hidden="1">{#N/A,#N/A,FALSE,"지침";#N/A,#N/A,FALSE,"환경분석";#N/A,#N/A,FALSE,"Sheet16"}</definedName>
    <definedName name="영업" localSheetId="12" hidden="1">{#N/A,#N/A,FALSE,"지침";#N/A,#N/A,FALSE,"환경분석";#N/A,#N/A,FALSE,"Sheet16"}</definedName>
    <definedName name="영업" localSheetId="3" hidden="1">{#N/A,#N/A,FALSE,"지침";#N/A,#N/A,FALSE,"환경분석";#N/A,#N/A,FALSE,"Sheet16"}</definedName>
    <definedName name="영업" localSheetId="6" hidden="1">{#N/A,#N/A,FALSE,"지침";#N/A,#N/A,FALSE,"환경분석";#N/A,#N/A,FALSE,"Sheet16"}</definedName>
    <definedName name="영업" localSheetId="4" hidden="1">{#N/A,#N/A,FALSE,"지침";#N/A,#N/A,FALSE,"환경분석";#N/A,#N/A,FALSE,"Sheet16"}</definedName>
    <definedName name="영업" hidden="1">{#N/A,#N/A,FALSE,"지침";#N/A,#N/A,FALSE,"환경분석";#N/A,#N/A,FALSE,"Sheet16"}</definedName>
    <definedName name="영업비_및_일반관리비추정" localSheetId="10">#REF!</definedName>
    <definedName name="영업비_및_일반관리비추정" localSheetId="11">#REF!</definedName>
    <definedName name="영업비_및_일반관리비추정" localSheetId="9">#REF!</definedName>
    <definedName name="영업비_및_일반관리비추정" localSheetId="2">#REF!</definedName>
    <definedName name="영업비_및_일반관리비추정" localSheetId="12">#REF!</definedName>
    <definedName name="영업비_및_일반관리비추정" localSheetId="3">#REF!</definedName>
    <definedName name="영업비_및_일반관리비추정" localSheetId="6">#REF!</definedName>
    <definedName name="영업비_및_일반관리비추정" localSheetId="4">#REF!</definedName>
    <definedName name="영업비_및_일반관리비추정">#REF!</definedName>
    <definedName name="영업외비용_추정" localSheetId="10">#REF!</definedName>
    <definedName name="영업외비용_추정" localSheetId="11">#REF!</definedName>
    <definedName name="영업외비용_추정" localSheetId="9">#REF!</definedName>
    <definedName name="영업외비용_추정" localSheetId="2">#REF!</definedName>
    <definedName name="영업외비용_추정" localSheetId="12">#REF!</definedName>
    <definedName name="영업외비용_추정" localSheetId="3">#REF!</definedName>
    <definedName name="영업외비용_추정" localSheetId="6">#REF!</definedName>
    <definedName name="영업외비용_추정" localSheetId="4">#REF!</definedName>
    <definedName name="영업외비용_추정">#REF!</definedName>
    <definedName name="영업이익" localSheetId="10" hidden="1">{#N/A,#N/A,FALSE,"지침";#N/A,#N/A,FALSE,"환경분석";#N/A,#N/A,FALSE,"Sheet16"}</definedName>
    <definedName name="영업이익" localSheetId="11" hidden="1">{#N/A,#N/A,FALSE,"지침";#N/A,#N/A,FALSE,"환경분석";#N/A,#N/A,FALSE,"Sheet16"}</definedName>
    <definedName name="영업이익" localSheetId="9" hidden="1">{#N/A,#N/A,FALSE,"지침";#N/A,#N/A,FALSE,"환경분석";#N/A,#N/A,FALSE,"Sheet16"}</definedName>
    <definedName name="영업이익" localSheetId="1" hidden="1">{#N/A,#N/A,FALSE,"지침";#N/A,#N/A,FALSE,"환경분석";#N/A,#N/A,FALSE,"Sheet16"}</definedName>
    <definedName name="영업이익" localSheetId="2" hidden="1">{#N/A,#N/A,FALSE,"지침";#N/A,#N/A,FALSE,"환경분석";#N/A,#N/A,FALSE,"Sheet16"}</definedName>
    <definedName name="영업이익" localSheetId="12" hidden="1">{#N/A,#N/A,FALSE,"지침";#N/A,#N/A,FALSE,"환경분석";#N/A,#N/A,FALSE,"Sheet16"}</definedName>
    <definedName name="영업이익" localSheetId="3" hidden="1">{#N/A,#N/A,FALSE,"지침";#N/A,#N/A,FALSE,"환경분석";#N/A,#N/A,FALSE,"Sheet16"}</definedName>
    <definedName name="영업이익" localSheetId="6" hidden="1">{#N/A,#N/A,FALSE,"지침";#N/A,#N/A,FALSE,"환경분석";#N/A,#N/A,FALSE,"Sheet16"}</definedName>
    <definedName name="영업이익" localSheetId="4" hidden="1">{#N/A,#N/A,FALSE,"지침";#N/A,#N/A,FALSE,"환경분석";#N/A,#N/A,FALSE,"Sheet16"}</definedName>
    <definedName name="영업이익" hidden="1">{#N/A,#N/A,FALSE,"지침";#N/A,#N/A,FALSE,"환경분석";#N/A,#N/A,FALSE,"Sheet16"}</definedName>
    <definedName name="영업현금" localSheetId="10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localSheetId="9" hidden="1">{#N/A,#N/A,FALSE,"지침";#N/A,#N/A,FALSE,"환경분석";#N/A,#N/A,FALSE,"Sheet16"}</definedName>
    <definedName name="영업현금" localSheetId="1" hidden="1">{#N/A,#N/A,FALSE,"지침";#N/A,#N/A,FALSE,"환경분석";#N/A,#N/A,FALSE,"Sheet16"}</definedName>
    <definedName name="영업현금" localSheetId="2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3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localSheetId="4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영역" localSheetId="10">#REF!</definedName>
    <definedName name="영역" localSheetId="11">#REF!</definedName>
    <definedName name="영역" localSheetId="9">#REF!</definedName>
    <definedName name="영역" localSheetId="2">#REF!</definedName>
    <definedName name="영역" localSheetId="12">#REF!</definedName>
    <definedName name="영역" localSheetId="3">#REF!</definedName>
    <definedName name="영역" localSheetId="6">#REF!</definedName>
    <definedName name="영역" localSheetId="4">#REF!</definedName>
    <definedName name="영역">#REF!</definedName>
    <definedName name="영역1" localSheetId="10">#REF!</definedName>
    <definedName name="영역1" localSheetId="11">#REF!</definedName>
    <definedName name="영역1" localSheetId="9">#REF!</definedName>
    <definedName name="영역1" localSheetId="2">#REF!</definedName>
    <definedName name="영역1" localSheetId="12">#REF!</definedName>
    <definedName name="영역1" localSheetId="3">#REF!</definedName>
    <definedName name="영역1" localSheetId="6">#REF!</definedName>
    <definedName name="영역1" localSheetId="4">#REF!</definedName>
    <definedName name="영역1">#REF!</definedName>
    <definedName name="영역2" localSheetId="10">#REF!</definedName>
    <definedName name="영역2" localSheetId="11">#REF!</definedName>
    <definedName name="영역2" localSheetId="9">#REF!</definedName>
    <definedName name="영역2" localSheetId="2">#REF!</definedName>
    <definedName name="영역2" localSheetId="12">#REF!</definedName>
    <definedName name="영역2" localSheetId="3">#REF!</definedName>
    <definedName name="영역2" localSheetId="6">#REF!</definedName>
    <definedName name="영역2" localSheetId="4">#REF!</definedName>
    <definedName name="영역2">#REF!</definedName>
    <definedName name="예산" localSheetId="10" hidden="1">{#N/A,#N/A,FALSE,"지침";#N/A,#N/A,FALSE,"환경분석";#N/A,#N/A,FALSE,"Sheet16"}</definedName>
    <definedName name="예산" localSheetId="11" hidden="1">{#N/A,#N/A,FALSE,"지침";#N/A,#N/A,FALSE,"환경분석";#N/A,#N/A,FALSE,"Sheet16"}</definedName>
    <definedName name="예산" localSheetId="9" hidden="1">{#N/A,#N/A,FALSE,"지침";#N/A,#N/A,FALSE,"환경분석";#N/A,#N/A,FALSE,"Sheet16"}</definedName>
    <definedName name="예산" localSheetId="1" hidden="1">{#N/A,#N/A,FALSE,"지침";#N/A,#N/A,FALSE,"환경분석";#N/A,#N/A,FALSE,"Sheet16"}</definedName>
    <definedName name="예산" localSheetId="2" hidden="1">{#N/A,#N/A,FALSE,"지침";#N/A,#N/A,FALSE,"환경분석";#N/A,#N/A,FALSE,"Sheet16"}</definedName>
    <definedName name="예산" localSheetId="12" hidden="1">{#N/A,#N/A,FALSE,"지침";#N/A,#N/A,FALSE,"환경분석";#N/A,#N/A,FALSE,"Sheet16"}</definedName>
    <definedName name="예산" localSheetId="3" hidden="1">{#N/A,#N/A,FALSE,"지침";#N/A,#N/A,FALSE,"환경분석";#N/A,#N/A,FALSE,"Sheet16"}</definedName>
    <definedName name="예산" localSheetId="6" hidden="1">{#N/A,#N/A,FALSE,"지침";#N/A,#N/A,FALSE,"환경분석";#N/A,#N/A,FALSE,"Sheet16"}</definedName>
    <definedName name="예산" localSheetId="4" hidden="1">{#N/A,#N/A,FALSE,"지침";#N/A,#N/A,FALSE,"환경분석";#N/A,#N/A,FALSE,"Sheet16"}</definedName>
    <definedName name="예산" hidden="1">{#N/A,#N/A,FALSE,"지침";#N/A,#N/A,FALSE,"환경분석";#N/A,#N/A,FALSE,"Sheet16"}</definedName>
    <definedName name="예상" localSheetId="10">#REF!</definedName>
    <definedName name="예상" localSheetId="11">#REF!</definedName>
    <definedName name="예상" localSheetId="9">#REF!</definedName>
    <definedName name="예상" localSheetId="2">#REF!</definedName>
    <definedName name="예상" localSheetId="12">#REF!</definedName>
    <definedName name="예상" localSheetId="3">#REF!</definedName>
    <definedName name="예상" localSheetId="6">#REF!</definedName>
    <definedName name="예상" localSheetId="4">#REF!</definedName>
    <definedName name="예상">#REF!</definedName>
    <definedName name="오" localSheetId="10">#REF!</definedName>
    <definedName name="오" localSheetId="11">#REF!</definedName>
    <definedName name="오" localSheetId="9">#REF!</definedName>
    <definedName name="오" localSheetId="2">#REF!</definedName>
    <definedName name="오" localSheetId="12">#REF!</definedName>
    <definedName name="오" localSheetId="3">#REF!</definedName>
    <definedName name="오" localSheetId="6">#REF!</definedName>
    <definedName name="오" localSheetId="4">#REF!</definedName>
    <definedName name="오">#REF!</definedName>
    <definedName name="온도측정법" localSheetId="10">{"S220-V";"S250-V";"S290-V"}</definedName>
    <definedName name="온도측정법" localSheetId="11">{"S220-V";"S250-V";"S290-V"}</definedName>
    <definedName name="온도측정법" localSheetId="9">{"S220-V";"S250-V";"S290-V"}</definedName>
    <definedName name="온도측정법" localSheetId="2">{"S220-V";"S250-V";"S290-V"}</definedName>
    <definedName name="온도측정법" localSheetId="12">{"S220-V";"S250-V";"S290-V"}</definedName>
    <definedName name="온도측정법" localSheetId="3">{"S220-V";"S250-V";"S290-V"}</definedName>
    <definedName name="온도측정법" localSheetId="6">{"S220-V";"S250-V";"S290-V"}</definedName>
    <definedName name="온도측정법" localSheetId="4">{"S220-V";"S250-V";"S290-V"}</definedName>
    <definedName name="온도측정법">{"S220-V";"S250-V";"S290-V"}</definedName>
    <definedName name="외부위협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hidden="1">{#N/A,#N/A,FALSE,"PART-1234-8-12-9(41)";#N/A,#N/A,FALSE,"PARTS-2(3)";#N/A,#N/A,FALSE,"VAN SYSTEM";#N/A,#N/A,FALSE,"PARTS-10(26)";#N/A,#N/A,FALSE,"PART-5-6-7-11(14)";#N/A,#N/A,FALSE,"PARTS-4(3)";#N/A,#N/A,FALSE,"PCLASS"}</definedName>
    <definedName name="외생종합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요약" localSheetId="10">#REF!</definedName>
    <definedName name="요약" localSheetId="11">#REF!</definedName>
    <definedName name="요약" localSheetId="9">#REF!</definedName>
    <definedName name="요약" localSheetId="2">#REF!</definedName>
    <definedName name="요약" localSheetId="12">#REF!</definedName>
    <definedName name="요약" localSheetId="3">#REF!</definedName>
    <definedName name="요약" localSheetId="6">#REF!</definedName>
    <definedName name="요약" localSheetId="4">#REF!</definedName>
    <definedName name="요약">#REF!</definedName>
    <definedName name="용역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hidden="1">{#N/A,#N/A,FALSE,"PART-1234-8-12-9(41)";#N/A,#N/A,FALSE,"PARTS-2(3)";#N/A,#N/A,FALSE,"VAN SYSTEM";#N/A,#N/A,FALSE,"PARTS-10(26)";#N/A,#N/A,FALSE,"PART-5-6-7-11(14)";#N/A,#N/A,FALSE,"PARTS-4(3)";#N/A,#N/A,FALSE,"PCLASS"}</definedName>
    <definedName name="우너강ㅍㄹ" localSheetId="10" hidden="1">{#N/A,#N/A,FALSE,"지침";#N/A,#N/A,FALSE,"환경분석";#N/A,#N/A,FALSE,"Sheet16"}</definedName>
    <definedName name="우너강ㅍㄹ" localSheetId="11" hidden="1">{#N/A,#N/A,FALSE,"지침";#N/A,#N/A,FALSE,"환경분석";#N/A,#N/A,FALSE,"Sheet16"}</definedName>
    <definedName name="우너강ㅍㄹ" localSheetId="9" hidden="1">{#N/A,#N/A,FALSE,"지침";#N/A,#N/A,FALSE,"환경분석";#N/A,#N/A,FALSE,"Sheet16"}</definedName>
    <definedName name="우너강ㅍㄹ" localSheetId="1" hidden="1">{#N/A,#N/A,FALSE,"지침";#N/A,#N/A,FALSE,"환경분석";#N/A,#N/A,FALSE,"Sheet16"}</definedName>
    <definedName name="우너강ㅍㄹ" localSheetId="2" hidden="1">{#N/A,#N/A,FALSE,"지침";#N/A,#N/A,FALSE,"환경분석";#N/A,#N/A,FALSE,"Sheet16"}</definedName>
    <definedName name="우너강ㅍㄹ" localSheetId="12" hidden="1">{#N/A,#N/A,FALSE,"지침";#N/A,#N/A,FALSE,"환경분석";#N/A,#N/A,FALSE,"Sheet16"}</definedName>
    <definedName name="우너강ㅍㄹ" localSheetId="3" hidden="1">{#N/A,#N/A,FALSE,"지침";#N/A,#N/A,FALSE,"환경분석";#N/A,#N/A,FALSE,"Sheet16"}</definedName>
    <definedName name="우너강ㅍㄹ" localSheetId="6" hidden="1">{#N/A,#N/A,FALSE,"지침";#N/A,#N/A,FALSE,"환경분석";#N/A,#N/A,FALSE,"Sheet16"}</definedName>
    <definedName name="우너강ㅍㄹ" localSheetId="4" hidden="1">{#N/A,#N/A,FALSE,"지침";#N/A,#N/A,FALSE,"환경분석";#N/A,#N/A,FALSE,"Sheet16"}</definedName>
    <definedName name="우너강ㅍㄹ" hidden="1">{#N/A,#N/A,FALSE,"지침";#N/A,#N/A,FALSE,"환경분석";#N/A,#N/A,FALSE,"Sheet16"}</definedName>
    <definedName name="운영기간중이자율_타인" localSheetId="10">#REF!</definedName>
    <definedName name="운영기간중이자율_타인" localSheetId="11">#REF!</definedName>
    <definedName name="운영기간중이자율_타인" localSheetId="9">#REF!</definedName>
    <definedName name="운영기간중이자율_타인" localSheetId="2">#REF!</definedName>
    <definedName name="운영기간중이자율_타인" localSheetId="12">#REF!</definedName>
    <definedName name="운영기간중이자율_타인" localSheetId="3">#REF!</definedName>
    <definedName name="운영기간중이자율_타인" localSheetId="6">#REF!</definedName>
    <definedName name="운영기간중이자율_타인" localSheetId="4">#REF!</definedName>
    <definedName name="운영기간중이자율_타인">#REF!</definedName>
    <definedName name="울산" localSheetId="10">#REF!</definedName>
    <definedName name="울산" localSheetId="11">#REF!</definedName>
    <definedName name="울산" localSheetId="9">#REF!</definedName>
    <definedName name="울산" localSheetId="2">#REF!</definedName>
    <definedName name="울산" localSheetId="12">#REF!</definedName>
    <definedName name="울산" localSheetId="3">#REF!</definedName>
    <definedName name="울산" localSheetId="6">#REF!</definedName>
    <definedName name="울산" localSheetId="4">#REF!</definedName>
    <definedName name="울산">#REF!</definedName>
    <definedName name="원" localSheetId="10" hidden="1">{#N/A,#N/A,FALSE,"지침";#N/A,#N/A,FALSE,"환경분석";#N/A,#N/A,FALSE,"Sheet16"}</definedName>
    <definedName name="원" localSheetId="11" hidden="1">{#N/A,#N/A,FALSE,"지침";#N/A,#N/A,FALSE,"환경분석";#N/A,#N/A,FALSE,"Sheet16"}</definedName>
    <definedName name="원" localSheetId="9" hidden="1">{#N/A,#N/A,FALSE,"지침";#N/A,#N/A,FALSE,"환경분석";#N/A,#N/A,FALSE,"Sheet16"}</definedName>
    <definedName name="원" localSheetId="1" hidden="1">{#N/A,#N/A,FALSE,"지침";#N/A,#N/A,FALSE,"환경분석";#N/A,#N/A,FALSE,"Sheet16"}</definedName>
    <definedName name="원" localSheetId="2" hidden="1">{#N/A,#N/A,FALSE,"지침";#N/A,#N/A,FALSE,"환경분석";#N/A,#N/A,FALSE,"Sheet16"}</definedName>
    <definedName name="원" localSheetId="12" hidden="1">{#N/A,#N/A,FALSE,"지침";#N/A,#N/A,FALSE,"환경분석";#N/A,#N/A,FALSE,"Sheet16"}</definedName>
    <definedName name="원" localSheetId="3" hidden="1">{#N/A,#N/A,FALSE,"지침";#N/A,#N/A,FALSE,"환경분석";#N/A,#N/A,FALSE,"Sheet16"}</definedName>
    <definedName name="원" localSheetId="6" hidden="1">{#N/A,#N/A,FALSE,"지침";#N/A,#N/A,FALSE,"환경분석";#N/A,#N/A,FALSE,"Sheet16"}</definedName>
    <definedName name="원" localSheetId="4" hidden="1">{#N/A,#N/A,FALSE,"지침";#N/A,#N/A,FALSE,"환경분석";#N/A,#N/A,FALSE,"Sheet16"}</definedName>
    <definedName name="원" hidden="1">{#N/A,#N/A,FALSE,"지침";#N/A,#N/A,FALSE,"환경분석";#N/A,#N/A,FALSE,"Sheet16"}</definedName>
    <definedName name="원가절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hidden="1">{#N/A,#N/A,FALSE,"PART-1234-8-12-9(41)";#N/A,#N/A,FALSE,"PARTS-2(3)";#N/A,#N/A,FALSE,"VAN SYSTEM";#N/A,#N/A,FALSE,"PARTS-10(26)";#N/A,#N/A,FALSE,"PART-5-6-7-11(14)";#N/A,#N/A,FALSE,"PARTS-4(3)";#N/A,#N/A,FALSE,"PCLASS"}</definedName>
    <definedName name="원계획대비" localSheetId="10" hidden="1">{#N/A,#N/A,FALSE,"지침";#N/A,#N/A,FALSE,"환경분석";#N/A,#N/A,FALSE,"Sheet16"}</definedName>
    <definedName name="원계획대비" localSheetId="11" hidden="1">{#N/A,#N/A,FALSE,"지침";#N/A,#N/A,FALSE,"환경분석";#N/A,#N/A,FALSE,"Sheet16"}</definedName>
    <definedName name="원계획대비" localSheetId="9" hidden="1">{#N/A,#N/A,FALSE,"지침";#N/A,#N/A,FALSE,"환경분석";#N/A,#N/A,FALSE,"Sheet16"}</definedName>
    <definedName name="원계획대비" localSheetId="1" hidden="1">{#N/A,#N/A,FALSE,"지침";#N/A,#N/A,FALSE,"환경분석";#N/A,#N/A,FALSE,"Sheet16"}</definedName>
    <definedName name="원계획대비" localSheetId="2" hidden="1">{#N/A,#N/A,FALSE,"지침";#N/A,#N/A,FALSE,"환경분석";#N/A,#N/A,FALSE,"Sheet16"}</definedName>
    <definedName name="원계획대비" localSheetId="12" hidden="1">{#N/A,#N/A,FALSE,"지침";#N/A,#N/A,FALSE,"환경분석";#N/A,#N/A,FALSE,"Sheet16"}</definedName>
    <definedName name="원계획대비" localSheetId="3" hidden="1">{#N/A,#N/A,FALSE,"지침";#N/A,#N/A,FALSE,"환경분석";#N/A,#N/A,FALSE,"Sheet16"}</definedName>
    <definedName name="원계획대비" localSheetId="6" hidden="1">{#N/A,#N/A,FALSE,"지침";#N/A,#N/A,FALSE,"환경분석";#N/A,#N/A,FALSE,"Sheet16"}</definedName>
    <definedName name="원계획대비" localSheetId="4" hidden="1">{#N/A,#N/A,FALSE,"지침";#N/A,#N/A,FALSE,"환경분석";#N/A,#N/A,FALSE,"Sheet16"}</definedName>
    <definedName name="원계획대비" hidden="1">{#N/A,#N/A,FALSE,"지침";#N/A,#N/A,FALSE,"환경분석";#N/A,#N/A,FALSE,"Sheet16"}</definedName>
    <definedName name="월별현황" localSheetId="10">#REF!</definedName>
    <definedName name="월별현황" localSheetId="11">#REF!</definedName>
    <definedName name="월별현황" localSheetId="9">#REF!</definedName>
    <definedName name="월별현황" localSheetId="2">#REF!</definedName>
    <definedName name="월별현황" localSheetId="12">#REF!</definedName>
    <definedName name="월별현황" localSheetId="3">#REF!</definedName>
    <definedName name="월별현황" localSheetId="6">#REF!</definedName>
    <definedName name="월별현황" localSheetId="4">#REF!</definedName>
    <definedName name="월별현황">#REF!</definedName>
    <definedName name="육" localSheetId="10">#REF!</definedName>
    <definedName name="육" localSheetId="11">#REF!</definedName>
    <definedName name="육" localSheetId="9">#REF!</definedName>
    <definedName name="육" localSheetId="2">#REF!</definedName>
    <definedName name="육" localSheetId="12">#REF!</definedName>
    <definedName name="육" localSheetId="3">#REF!</definedName>
    <definedName name="육" localSheetId="6">#REF!</definedName>
    <definedName name="육" localSheetId="4">#REF!</definedName>
    <definedName name="육">#REF!</definedName>
    <definedName name="유가증권" localSheetId="10">'2.추정(긍정)'!유가증권</definedName>
    <definedName name="유가증권" localSheetId="11">'2.추정(부정)'!유가증권</definedName>
    <definedName name="유가증권" localSheetId="9">구NCP!유가증권</definedName>
    <definedName name="유가증권" localSheetId="2">추정!유가증권</definedName>
    <definedName name="유가증권" localSheetId="12">#N/A</definedName>
    <definedName name="유가증권" localSheetId="3">#N/A</definedName>
    <definedName name="유가증권" localSheetId="6">평정!유가증권</definedName>
    <definedName name="유가증권" localSheetId="4">NCP!유가증권</definedName>
    <definedName name="유가증권">'2.추정(긍정)'!유가증권</definedName>
    <definedName name="유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사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hidden="1">{#N/A,#N/A,FALSE,"PART-1234-8-12-9(41)";#N/A,#N/A,FALSE,"PARTS-2(3)";#N/A,#N/A,FALSE,"VAN SYSTEM";#N/A,#N/A,FALSE,"PARTS-10(26)";#N/A,#N/A,FALSE,"PART-5-6-7-11(14)";#N/A,#N/A,FALSE,"PARTS-4(3)";#N/A,#N/A,FALSE,"PCLASS"}</definedName>
    <definedName name="유장기" localSheetId="10">#REF!</definedName>
    <definedName name="유장기" localSheetId="11">#REF!</definedName>
    <definedName name="유장기" localSheetId="9">#REF!</definedName>
    <definedName name="유장기" localSheetId="2">#REF!</definedName>
    <definedName name="유장기" localSheetId="12">#REF!</definedName>
    <definedName name="유장기" localSheetId="3">#REF!</definedName>
    <definedName name="유장기" localSheetId="6">#REF!</definedName>
    <definedName name="유장기" localSheetId="4">#REF!</definedName>
    <definedName name="유장기">#REF!</definedName>
    <definedName name="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정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주" hidden="1">{#N/A,#N/A,FALSE,"PART-1234-8-12-9(41)";#N/A,#N/A,FALSE,"PARTS-2(3)";#N/A,#N/A,FALSE,"VAN SYSTEM";#N/A,#N/A,FALSE,"PARTS-10(26)";#N/A,#N/A,FALSE,"PART-5-6-7-11(14)";#N/A,#N/A,FALSE,"PARTS-4(3)";#N/A,#N/A,FALSE,"PCLASS"}</definedName>
    <definedName name="의장" localSheetId="10">BlankMacro1</definedName>
    <definedName name="의장" localSheetId="11">BlankMacro1</definedName>
    <definedName name="의장" localSheetId="9">BlankMacro1</definedName>
    <definedName name="의장" localSheetId="2">BlankMacro1</definedName>
    <definedName name="의장" localSheetId="12">BlankMacro1</definedName>
    <definedName name="의장" localSheetId="3">BlankMacro1</definedName>
    <definedName name="의장" localSheetId="6">BlankMacro1</definedName>
    <definedName name="의장" localSheetId="4">BlankMacro1</definedName>
    <definedName name="의장">BlankMacro1</definedName>
    <definedName name="이" localSheetId="10">#REF!</definedName>
    <definedName name="이" localSheetId="11">#REF!</definedName>
    <definedName name="이" localSheetId="9">#REF!</definedName>
    <definedName name="이" localSheetId="2">#REF!</definedName>
    <definedName name="이" localSheetId="12">#REF!</definedName>
    <definedName name="이" localSheetId="3">#REF!</definedName>
    <definedName name="이" localSheetId="6">#REF!</definedName>
    <definedName name="이" localSheetId="4">#REF!</definedName>
    <definedName name="이">#REF!</definedName>
    <definedName name="일" localSheetId="9">#REF!</definedName>
    <definedName name="일" localSheetId="2">#REF!</definedName>
    <definedName name="일" localSheetId="12">#REF!</definedName>
    <definedName name="일" localSheetId="3">#REF!</definedName>
    <definedName name="일" localSheetId="6">#REF!</definedName>
    <definedName name="일">#REF!</definedName>
    <definedName name="임" localSheetId="9">#REF!</definedName>
    <definedName name="임" localSheetId="2">#REF!</definedName>
    <definedName name="임" localSheetId="12">#REF!</definedName>
    <definedName name="임" localSheetId="3">#REF!</definedName>
    <definedName name="임" localSheetId="6">#REF!</definedName>
    <definedName name="임">#REF!</definedName>
    <definedName name="이동" localSheetId="10">#REF!</definedName>
    <definedName name="이동" localSheetId="11">#REF!</definedName>
    <definedName name="이동" localSheetId="9">#REF!</definedName>
    <definedName name="이동" localSheetId="2">#REF!</definedName>
    <definedName name="이동" localSheetId="12">#REF!</definedName>
    <definedName name="이동" localSheetId="3">#REF!</definedName>
    <definedName name="이동" localSheetId="6">#REF!</definedName>
    <definedName name="이동" localSheetId="4">#REF!</definedName>
    <definedName name="이동">#REF!</definedName>
    <definedName name="이름" localSheetId="10" hidden="1">{#N/A,#N/A,FALSE,"지침";#N/A,#N/A,FALSE,"환경분석";#N/A,#N/A,FALSE,"Sheet16"}</definedName>
    <definedName name="이름" localSheetId="11" hidden="1">{#N/A,#N/A,FALSE,"지침";#N/A,#N/A,FALSE,"환경분석";#N/A,#N/A,FALSE,"Sheet16"}</definedName>
    <definedName name="이름" localSheetId="9" hidden="1">{#N/A,#N/A,FALSE,"지침";#N/A,#N/A,FALSE,"환경분석";#N/A,#N/A,FALSE,"Sheet16"}</definedName>
    <definedName name="이름" localSheetId="1" hidden="1">{#N/A,#N/A,FALSE,"지침";#N/A,#N/A,FALSE,"환경분석";#N/A,#N/A,FALSE,"Sheet16"}</definedName>
    <definedName name="이름" localSheetId="2" hidden="1">{#N/A,#N/A,FALSE,"지침";#N/A,#N/A,FALSE,"환경분석";#N/A,#N/A,FALSE,"Sheet16"}</definedName>
    <definedName name="이름" localSheetId="12" hidden="1">{#N/A,#N/A,FALSE,"지침";#N/A,#N/A,FALSE,"환경분석";#N/A,#N/A,FALSE,"Sheet16"}</definedName>
    <definedName name="이름" localSheetId="3" hidden="1">{#N/A,#N/A,FALSE,"지침";#N/A,#N/A,FALSE,"환경분석";#N/A,#N/A,FALSE,"Sheet16"}</definedName>
    <definedName name="이름" localSheetId="6" hidden="1">{#N/A,#N/A,FALSE,"지침";#N/A,#N/A,FALSE,"환경분석";#N/A,#N/A,FALSE,"Sheet16"}</definedName>
    <definedName name="이름" localSheetId="4" hidden="1">{#N/A,#N/A,FALSE,"지침";#N/A,#N/A,FALSE,"환경분석";#N/A,#N/A,FALSE,"Sheet16"}</definedName>
    <definedName name="이름" hidden="1">{#N/A,#N/A,FALSE,"지침";#N/A,#N/A,FALSE,"환경분석";#N/A,#N/A,FALSE,"Sheet16"}</definedName>
    <definedName name="이상국" localSheetId="10">BlankMacro1</definedName>
    <definedName name="이상국" localSheetId="11">BlankMacro1</definedName>
    <definedName name="이상국" localSheetId="9">BlankMacro1</definedName>
    <definedName name="이상국" localSheetId="2">BlankMacro1</definedName>
    <definedName name="이상국" localSheetId="12">BlankMacro1</definedName>
    <definedName name="이상국" localSheetId="3">BlankMacro1</definedName>
    <definedName name="이상국" localSheetId="6">BlankMacro1</definedName>
    <definedName name="이상국" localSheetId="4">BlankMacro1</definedName>
    <definedName name="이상국">BlankMacro1</definedName>
    <definedName name="이슈" localSheetId="10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localSheetId="9" hidden="1">{#N/A,#N/A,FALSE,"지침";#N/A,#N/A,FALSE,"환경분석";#N/A,#N/A,FALSE,"Sheet16"}</definedName>
    <definedName name="이슈" localSheetId="1" hidden="1">{#N/A,#N/A,FALSE,"지침";#N/A,#N/A,FALSE,"환경분석";#N/A,#N/A,FALSE,"Sheet16"}</definedName>
    <definedName name="이슈" localSheetId="2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3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localSheetId="4" hidden="1">{#N/A,#N/A,FALSE,"지침";#N/A,#N/A,FALSE,"환경분석";#N/A,#N/A,FALSE,"Sheet16"}</definedName>
    <definedName name="이슈" hidden="1">{#N/A,#N/A,FALSE,"지침";#N/A,#N/A,FALSE,"환경분석";#N/A,#N/A,FALSE,"Sheet16"}</definedName>
    <definedName name="이은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hidden="1">{#N/A,#N/A,FALSE,"PART-1234-8-12-9(41)";#N/A,#N/A,FALSE,"PARTS-2(3)";#N/A,#N/A,FALSE,"VAN SYSTEM";#N/A,#N/A,FALSE,"PARTS-10(26)";#N/A,#N/A,FALSE,"PART-5-6-7-11(14)";#N/A,#N/A,FALSE,"PARTS-4(3)";#N/A,#N/A,FALSE,"PCLASS"}</definedName>
    <definedName name="이준호" localSheetId="10">#REF!</definedName>
    <definedName name="이준호" localSheetId="11">#REF!</definedName>
    <definedName name="이준호" localSheetId="9">#REF!</definedName>
    <definedName name="이준호" localSheetId="2">#REF!</definedName>
    <definedName name="이준호" localSheetId="12">#REF!</definedName>
    <definedName name="이준호" localSheetId="3">#REF!</definedName>
    <definedName name="이준호" localSheetId="6">#REF!</definedName>
    <definedName name="이준호" localSheetId="4">#REF!</definedName>
    <definedName name="이준호">#REF!</definedName>
    <definedName name="이창훈" localSheetId="10" hidden="1">{#N/A,#N/A,TRUE,"Summary";#N/A,#N/A,TRUE,"IS";#N/A,#N/A,TRUE,"Adj";#N/A,#N/A,TRUE,"BS";#N/A,#N/A,TRUE,"CF";#N/A,#N/A,TRUE,"Debt";#N/A,#N/A,TRUE,"IRR"}</definedName>
    <definedName name="이창훈" localSheetId="11" hidden="1">{#N/A,#N/A,TRUE,"Summary";#N/A,#N/A,TRUE,"IS";#N/A,#N/A,TRUE,"Adj";#N/A,#N/A,TRUE,"BS";#N/A,#N/A,TRUE,"CF";#N/A,#N/A,TRUE,"Debt";#N/A,#N/A,TRUE,"IRR"}</definedName>
    <definedName name="이창훈" localSheetId="9" hidden="1">{#N/A,#N/A,TRUE,"Summary";#N/A,#N/A,TRUE,"IS";#N/A,#N/A,TRUE,"Adj";#N/A,#N/A,TRUE,"BS";#N/A,#N/A,TRUE,"CF";#N/A,#N/A,TRUE,"Debt";#N/A,#N/A,TRUE,"IRR"}</definedName>
    <definedName name="이창훈" localSheetId="1" hidden="1">{#N/A,#N/A,TRUE,"Summary";#N/A,#N/A,TRUE,"IS";#N/A,#N/A,TRUE,"Adj";#N/A,#N/A,TRUE,"BS";#N/A,#N/A,TRUE,"CF";#N/A,#N/A,TRUE,"Debt";#N/A,#N/A,TRUE,"IRR"}</definedName>
    <definedName name="이창훈" localSheetId="2" hidden="1">{#N/A,#N/A,TRUE,"Summary";#N/A,#N/A,TRUE,"IS";#N/A,#N/A,TRUE,"Adj";#N/A,#N/A,TRUE,"BS";#N/A,#N/A,TRUE,"CF";#N/A,#N/A,TRUE,"Debt";#N/A,#N/A,TRUE,"IRR"}</definedName>
    <definedName name="이창훈" localSheetId="12" hidden="1">{#N/A,#N/A,TRUE,"Summary";#N/A,#N/A,TRUE,"IS";#N/A,#N/A,TRUE,"Adj";#N/A,#N/A,TRUE,"BS";#N/A,#N/A,TRUE,"CF";#N/A,#N/A,TRUE,"Debt";#N/A,#N/A,TRUE,"IRR"}</definedName>
    <definedName name="이창훈" localSheetId="3" hidden="1">{#N/A,#N/A,TRUE,"Summary";#N/A,#N/A,TRUE,"IS";#N/A,#N/A,TRUE,"Adj";#N/A,#N/A,TRUE,"BS";#N/A,#N/A,TRUE,"CF";#N/A,#N/A,TRUE,"Debt";#N/A,#N/A,TRUE,"IRR"}</definedName>
    <definedName name="이창훈" localSheetId="6" hidden="1">{#N/A,#N/A,TRUE,"Summary";#N/A,#N/A,TRUE,"IS";#N/A,#N/A,TRUE,"Adj";#N/A,#N/A,TRUE,"BS";#N/A,#N/A,TRUE,"CF";#N/A,#N/A,TRUE,"Debt";#N/A,#N/A,TRUE,"IRR"}</definedName>
    <definedName name="이창훈" localSheetId="4" hidden="1">{#N/A,#N/A,TRUE,"Summary";#N/A,#N/A,TRUE,"IS";#N/A,#N/A,TRUE,"Adj";#N/A,#N/A,TRUE,"BS";#N/A,#N/A,TRUE,"CF";#N/A,#N/A,TRUE,"Debt";#N/A,#N/A,TRUE,"IRR"}</definedName>
    <definedName name="이창훈" hidden="1">{#N/A,#N/A,TRUE,"Summary";#N/A,#N/A,TRUE,"IS";#N/A,#N/A,TRUE,"Adj";#N/A,#N/A,TRUE,"BS";#N/A,#N/A,TRUE,"CF";#N/A,#N/A,TRUE,"Debt";#N/A,#N/A,TRUE,"IRR"}</definedName>
    <definedName name="인건비상승률" localSheetId="10">#REF!</definedName>
    <definedName name="인건비상승률" localSheetId="11">#REF!</definedName>
    <definedName name="인건비상승률" localSheetId="9">#REF!</definedName>
    <definedName name="인건비상승률" localSheetId="2">#REF!</definedName>
    <definedName name="인건비상승률" localSheetId="12">#REF!</definedName>
    <definedName name="인건비상승률" localSheetId="3">#REF!</definedName>
    <definedName name="인건비상승률" localSheetId="6">#REF!</definedName>
    <definedName name="인건비상승률" localSheetId="4">#REF!</definedName>
    <definedName name="인건비상승률">#REF!</definedName>
    <definedName name="인쇄BU" localSheetId="10" hidden="1">{#N/A,#N/A,FALSE,"지침";#N/A,#N/A,FALSE,"환경분석";#N/A,#N/A,FALSE,"Sheet16"}</definedName>
    <definedName name="인쇄BU" localSheetId="11" hidden="1">{#N/A,#N/A,FALSE,"지침";#N/A,#N/A,FALSE,"환경분석";#N/A,#N/A,FALSE,"Sheet16"}</definedName>
    <definedName name="인쇄BU" localSheetId="9" hidden="1">{#N/A,#N/A,FALSE,"지침";#N/A,#N/A,FALSE,"환경분석";#N/A,#N/A,FALSE,"Sheet16"}</definedName>
    <definedName name="인쇄BU" localSheetId="1" hidden="1">{#N/A,#N/A,FALSE,"지침";#N/A,#N/A,FALSE,"환경분석";#N/A,#N/A,FALSE,"Sheet16"}</definedName>
    <definedName name="인쇄BU" localSheetId="2" hidden="1">{#N/A,#N/A,FALSE,"지침";#N/A,#N/A,FALSE,"환경분석";#N/A,#N/A,FALSE,"Sheet16"}</definedName>
    <definedName name="인쇄BU" localSheetId="12" hidden="1">{#N/A,#N/A,FALSE,"지침";#N/A,#N/A,FALSE,"환경분석";#N/A,#N/A,FALSE,"Sheet16"}</definedName>
    <definedName name="인쇄BU" localSheetId="3" hidden="1">{#N/A,#N/A,FALSE,"지침";#N/A,#N/A,FALSE,"환경분석";#N/A,#N/A,FALSE,"Sheet16"}</definedName>
    <definedName name="인쇄BU" localSheetId="6" hidden="1">{#N/A,#N/A,FALSE,"지침";#N/A,#N/A,FALSE,"환경분석";#N/A,#N/A,FALSE,"Sheet16"}</definedName>
    <definedName name="인쇄BU" localSheetId="4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원현황" localSheetId="10">#REF!</definedName>
    <definedName name="인원현황" localSheetId="11">#REF!</definedName>
    <definedName name="인원현황" localSheetId="9">#REF!</definedName>
    <definedName name="인원현황" localSheetId="2">#REF!</definedName>
    <definedName name="인원현황" localSheetId="12">#REF!</definedName>
    <definedName name="인원현황" localSheetId="3">#REF!</definedName>
    <definedName name="인원현황" localSheetId="6">#REF!</definedName>
    <definedName name="인원현황" localSheetId="4">#REF!</definedName>
    <definedName name="인원현황">#REF!</definedName>
    <definedName name="일" localSheetId="10">#REF!</definedName>
    <definedName name="일" localSheetId="11">#REF!</definedName>
    <definedName name="일" localSheetId="4">#REF!</definedName>
    <definedName name="일괄" localSheetId="10">#REF!</definedName>
    <definedName name="일괄" localSheetId="11">#REF!</definedName>
    <definedName name="일괄" localSheetId="9">#REF!</definedName>
    <definedName name="일괄" localSheetId="2">#REF!</definedName>
    <definedName name="일괄" localSheetId="12">#REF!</definedName>
    <definedName name="일괄" localSheetId="3">#REF!</definedName>
    <definedName name="일괄" localSheetId="6">#REF!</definedName>
    <definedName name="일괄" localSheetId="4">#REF!</definedName>
    <definedName name="일괄">#REF!</definedName>
    <definedName name="일수" localSheetId="10">#REF!</definedName>
    <definedName name="일수" localSheetId="11">#REF!</definedName>
    <definedName name="일수" localSheetId="9">#REF!</definedName>
    <definedName name="일수" localSheetId="2">#REF!</definedName>
    <definedName name="일수" localSheetId="12">#REF!</definedName>
    <definedName name="일수" localSheetId="3">#REF!</definedName>
    <definedName name="일수" localSheetId="6">#REF!</definedName>
    <definedName name="일수" localSheetId="4">#REF!</definedName>
    <definedName name="일수">#REF!</definedName>
    <definedName name="임" localSheetId="10">#REF!</definedName>
    <definedName name="임" localSheetId="11">#REF!</definedName>
    <definedName name="임" localSheetId="4">#REF!</definedName>
    <definedName name="임시" localSheetId="10">#REF!</definedName>
    <definedName name="임시" localSheetId="11">#REF!</definedName>
    <definedName name="임시" localSheetId="9">#REF!</definedName>
    <definedName name="임시" localSheetId="2">#REF!</definedName>
    <definedName name="임시" localSheetId="12">#REF!</definedName>
    <definedName name="임시" localSheetId="3">#REF!</definedName>
    <definedName name="임시" localSheetId="6">#REF!</definedName>
    <definedName name="임시" localSheetId="4">#REF!</definedName>
    <definedName name="임시">#REF!</definedName>
    <definedName name="임시파일" localSheetId="10">BlankMacro1</definedName>
    <definedName name="임시파일" localSheetId="11">BlankMacro1</definedName>
    <definedName name="임시파일" localSheetId="9">BlankMacro1</definedName>
    <definedName name="임시파일" localSheetId="2">BlankMacro1</definedName>
    <definedName name="임시파일" localSheetId="12">BlankMacro1</definedName>
    <definedName name="임시파일" localSheetId="3">BlankMacro1</definedName>
    <definedName name="임시파일" localSheetId="6">BlankMacro1</definedName>
    <definedName name="임시파일" localSheetId="4">BlankMacro1</definedName>
    <definedName name="임시파일">BlankMacro1</definedName>
    <definedName name="입력">#N/A</definedName>
    <definedName name="입력1" localSheetId="10">#REF!</definedName>
    <definedName name="입력1" localSheetId="11">#REF!</definedName>
    <definedName name="입력1" localSheetId="9">#REF!</definedName>
    <definedName name="입력1" localSheetId="2">#REF!</definedName>
    <definedName name="입력1" localSheetId="12">#REF!</definedName>
    <definedName name="입력1" localSheetId="3">#REF!</definedName>
    <definedName name="입력1" localSheetId="6">#REF!</definedName>
    <definedName name="입력1" localSheetId="4">#REF!</definedName>
    <definedName name="입력1">#REF!</definedName>
    <definedName name="입력2" localSheetId="10">#REF!</definedName>
    <definedName name="입력2" localSheetId="11">#REF!</definedName>
    <definedName name="입력2" localSheetId="9">#REF!</definedName>
    <definedName name="입력2" localSheetId="2">#REF!</definedName>
    <definedName name="입력2" localSheetId="12">#REF!</definedName>
    <definedName name="입력2" localSheetId="3">#REF!</definedName>
    <definedName name="입력2" localSheetId="6">#REF!</definedName>
    <definedName name="입력2" localSheetId="4">#REF!</definedName>
    <definedName name="입력2">#REF!</definedName>
    <definedName name="ㅈ35454345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ㄷ" hidden="1">{#N/A,#N/A,FALSE,"PART-1234-8-12-9(41)";#N/A,#N/A,FALSE,"PARTS-2(3)";#N/A,#N/A,FALSE,"VAN SYSTEM";#N/A,#N/A,FALSE,"PARTS-10(26)";#N/A,#N/A,FALSE,"PART-5-6-7-11(14)";#N/A,#N/A,FALSE,"PARTS-4(3)";#N/A,#N/A,FALSE,"PCLASS"}</definedName>
    <definedName name="ㅈㄷㄱㅁㅈㄷㄷㅈ" localSheetId="10">#REF!</definedName>
    <definedName name="ㅈㄷㄱㅁㅈㄷㄷㅈ" localSheetId="11">#REF!</definedName>
    <definedName name="ㅈㄷㄱㅁㅈㄷㄷㅈ" localSheetId="9">#REF!</definedName>
    <definedName name="ㅈㄷㄱㅁㅈㄷㄷㅈ" localSheetId="2">#REF!</definedName>
    <definedName name="ㅈㄷㄱㅁㅈㄷㄷㅈ" localSheetId="12">#REF!</definedName>
    <definedName name="ㅈㄷㄱㅁㅈㄷㄷㅈ" localSheetId="3">#REF!</definedName>
    <definedName name="ㅈㄷㄱㅁㅈㄷㄷㅈ" localSheetId="6">#REF!</definedName>
    <definedName name="ㅈㄷㄱㅁㅈㄷㄷㅈ" localSheetId="4">#REF!</definedName>
    <definedName name="ㅈㄷㄱㅁㅈㄷㄷㅈ">#REF!</definedName>
    <definedName name="ㅈㄷㄹ" localSheetId="10">#REF!</definedName>
    <definedName name="ㅈㄷㄹ" localSheetId="11">#REF!</definedName>
    <definedName name="ㅈㄷㄹ" localSheetId="9">#REF!</definedName>
    <definedName name="ㅈㄷㄹ" localSheetId="2">#REF!</definedName>
    <definedName name="ㅈㄷㄹ" localSheetId="12">#REF!</definedName>
    <definedName name="ㅈㄷㄹ" localSheetId="3">#REF!</definedName>
    <definedName name="ㅈㄷㄹ" localSheetId="6">#REF!</definedName>
    <definedName name="ㅈㄷㄹ" localSheetId="4">#REF!</definedName>
    <definedName name="ㅈㄷㄹ">#REF!</definedName>
    <definedName name="ㅈㄹㄹㄹ" localSheetId="10">'2.추정(긍정)'!ㅈㄹㄹㄹ</definedName>
    <definedName name="ㅈㄹㄹㄹ" localSheetId="11">'2.추정(부정)'!ㅈㄹㄹㄹ</definedName>
    <definedName name="ㅈㄹㄹㄹ" localSheetId="9">구NCP!ㅈㄹㄹㄹ</definedName>
    <definedName name="ㅈㄹㄹㄹ" localSheetId="2">추정!ㅈㄹㄹㄹ</definedName>
    <definedName name="ㅈㄹㄹㄹ" localSheetId="12">#N/A</definedName>
    <definedName name="ㅈㄹㄹㄹ" localSheetId="3">#N/A</definedName>
    <definedName name="ㅈㄹㄹㄹ" localSheetId="6">평정!ㅈㄹㄹㄹ</definedName>
    <definedName name="ㅈㄹㄹㄹ" localSheetId="4">NCP!ㅈㄹㄹㄹ</definedName>
    <definedName name="ㅈㄹㄹㄹ">'2.추정(긍정)'!ㅈㄹㄹㄹ</definedName>
    <definedName name="ㅈㅂㅂㅈ" localSheetId="10">'2.추정(긍정)'!ㅈㅂㅂㅈ</definedName>
    <definedName name="ㅈㅂㅂㅈ" localSheetId="11">'2.추정(부정)'!ㅈㅂㅂㅈ</definedName>
    <definedName name="ㅈㅂㅂㅈ" localSheetId="9">구NCP!ㅈㅂㅂㅈ</definedName>
    <definedName name="ㅈㅂㅂㅈ" localSheetId="2">추정!ㅈㅂㅂㅈ</definedName>
    <definedName name="ㅈㅂㅂㅈ" localSheetId="12">#N/A</definedName>
    <definedName name="ㅈㅂㅂㅈ" localSheetId="3">#N/A</definedName>
    <definedName name="ㅈㅂㅂㅈ" localSheetId="6">평정!ㅈㅂㅂㅈ</definedName>
    <definedName name="ㅈㅂㅂㅈ" localSheetId="4">NCP!ㅈㅂㅂㅈ</definedName>
    <definedName name="ㅈㅂㅂㅈ">'2.추정(긍정)'!ㅈㅂㅂㅈ</definedName>
    <definedName name="ㅈㅇ" localSheetId="10">BlankMacro1</definedName>
    <definedName name="ㅈㅇ" localSheetId="11">BlankMacro1</definedName>
    <definedName name="ㅈㅇ" localSheetId="9">BlankMacro1</definedName>
    <definedName name="ㅈㅇ" localSheetId="2">BlankMacro1</definedName>
    <definedName name="ㅈㅇ" localSheetId="12">BlankMacro1</definedName>
    <definedName name="ㅈㅇ" localSheetId="3">BlankMacro1</definedName>
    <definedName name="ㅈㅇ" localSheetId="6">BlankMacro1</definedName>
    <definedName name="ㅈㅇ" localSheetId="4">BlankMacro1</definedName>
    <definedName name="ㅈㅇ">BlankMacro1</definedName>
    <definedName name="ㅈㅈㅈ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hidden="1">{#N/A,#N/A,FALSE,"PART-1234-8-12-9(41)";#N/A,#N/A,FALSE,"PARTS-2(3)";#N/A,#N/A,FALSE,"VAN SYSTEM";#N/A,#N/A,FALSE,"PARTS-10(26)";#N/A,#N/A,FALSE,"PART-5-6-7-11(14)";#N/A,#N/A,FALSE,"PARTS-4(3)";#N/A,#N/A,FALSE,"PCLASS"}</definedName>
    <definedName name="ㅈㅈㅈㅈㄱㄷㄱㄱㄱ444" localSheetId="10">#REF!</definedName>
    <definedName name="ㅈㅈㅈㅈㄱㄷㄱㄱㄱ444" localSheetId="11">#REF!</definedName>
    <definedName name="ㅈㅈㅈㅈㄱㄷㄱㄱㄱ444" localSheetId="9">#REF!</definedName>
    <definedName name="ㅈㅈㅈㅈㄱㄷㄱㄱㄱ444" localSheetId="2">#REF!</definedName>
    <definedName name="ㅈㅈㅈㅈㄱㄷㄱㄱㄱ444" localSheetId="12">#REF!</definedName>
    <definedName name="ㅈㅈㅈㅈㄱㄷㄱㄱㄱ444" localSheetId="3">#REF!</definedName>
    <definedName name="ㅈㅈㅈㅈㄱㄷㄱㄱㄱ444" localSheetId="6">#REF!</definedName>
    <definedName name="ㅈㅈㅈㅈㄱㄷㄱㄱㄱ444" localSheetId="4">#REF!</definedName>
    <definedName name="ㅈㅈㅈㅈㄱㄷㄱㄱㄱ444">#REF!</definedName>
    <definedName name="작성자" localSheetId="10">#REF!</definedName>
    <definedName name="작성자" localSheetId="11">#REF!</definedName>
    <definedName name="작성자" localSheetId="9">#REF!</definedName>
    <definedName name="작성자" localSheetId="2">#REF!</definedName>
    <definedName name="작성자" localSheetId="12">#REF!</definedName>
    <definedName name="작성자" localSheetId="3">#REF!</definedName>
    <definedName name="작성자" localSheetId="6">#REF!</definedName>
    <definedName name="작성자" localSheetId="4">#REF!</definedName>
    <definedName name="작성자">#REF!</definedName>
    <definedName name="장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" hidden="1">{#N/A,#N/A,FALSE,"PART-1234-8-12-9(41)";#N/A,#N/A,FALSE,"PARTS-2(3)";#N/A,#N/A,FALSE,"VAN SYSTEM";#N/A,#N/A,FALSE,"PARTS-10(26)";#N/A,#N/A,FALSE,"PART-5-6-7-11(14)";#N/A,#N/A,FALSE,"PARTS-4(3)";#N/A,#N/A,FALSE,"PCLASS"}</definedName>
    <definedName name="자기자본비용_인정이자" localSheetId="10">#REF!</definedName>
    <definedName name="자기자본비용_인정이자" localSheetId="11">#REF!</definedName>
    <definedName name="자기자본비용_인정이자" localSheetId="9">#REF!</definedName>
    <definedName name="자기자본비용_인정이자" localSheetId="2">#REF!</definedName>
    <definedName name="자기자본비용_인정이자" localSheetId="12">#REF!</definedName>
    <definedName name="자기자본비용_인정이자" localSheetId="3">#REF!</definedName>
    <definedName name="자기자본비용_인정이자" localSheetId="6">#REF!</definedName>
    <definedName name="자기자본비용_인정이자" localSheetId="4">#REF!</definedName>
    <definedName name="자기자본비용_인정이자">#REF!</definedName>
    <definedName name="자료받기" localSheetId="10">'2.추정(긍정)'!자료받기</definedName>
    <definedName name="자료받기" localSheetId="11">'2.추정(부정)'!자료받기</definedName>
    <definedName name="자료받기" localSheetId="9">구NCP!자료받기</definedName>
    <definedName name="자료받기" localSheetId="2">추정!자료받기</definedName>
    <definedName name="자료받기" localSheetId="12">#N/A</definedName>
    <definedName name="자료받기" localSheetId="3">#N/A</definedName>
    <definedName name="자료받기" localSheetId="6">평정!자료받기</definedName>
    <definedName name="자료받기" localSheetId="4">NCP!자료받기</definedName>
    <definedName name="자료받기">'2.추정(긍정)'!자료받기</definedName>
    <definedName name="장기생산성" localSheetId="10">#REF!</definedName>
    <definedName name="장기생산성" localSheetId="11">#REF!</definedName>
    <definedName name="장기생산성" localSheetId="9">#REF!</definedName>
    <definedName name="장기생산성" localSheetId="2">#REF!</definedName>
    <definedName name="장기생산성" localSheetId="12">#REF!</definedName>
    <definedName name="장기생산성" localSheetId="3">#REF!</definedName>
    <definedName name="장기생산성" localSheetId="6">#REF!</definedName>
    <definedName name="장기생산성" localSheetId="4">#REF!</definedName>
    <definedName name="장기생산성">#REF!</definedName>
    <definedName name="장호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ㅁㅁ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재무비율" localSheetId="10">#REF!</definedName>
    <definedName name="재무비율" localSheetId="11">#REF!</definedName>
    <definedName name="재무비율" localSheetId="9">#REF!</definedName>
    <definedName name="재무비율" localSheetId="2">#REF!</definedName>
    <definedName name="재무비율" localSheetId="12">#REF!</definedName>
    <definedName name="재무비율" localSheetId="3">#REF!</definedName>
    <definedName name="재무비율" localSheetId="6">#REF!</definedName>
    <definedName name="재무비율" localSheetId="4">#REF!</definedName>
    <definedName name="재무비율">#REF!</definedName>
    <definedName name="저장" localSheetId="10">'2.추정(긍정)'!저장</definedName>
    <definedName name="저장" localSheetId="11">'2.추정(부정)'!저장</definedName>
    <definedName name="저장" localSheetId="9">구NCP!저장</definedName>
    <definedName name="저장" localSheetId="2">추정!저장</definedName>
    <definedName name="저장" localSheetId="12">#N/A</definedName>
    <definedName name="저장" localSheetId="3">#N/A</definedName>
    <definedName name="저장" localSheetId="6">평정!저장</definedName>
    <definedName name="저장" localSheetId="4">NCP!저장</definedName>
    <definedName name="저장">'2.추정(긍정)'!저장</definedName>
    <definedName name="전남" localSheetId="10">#REF!</definedName>
    <definedName name="전남" localSheetId="11">#REF!</definedName>
    <definedName name="전남" localSheetId="9">#REF!</definedName>
    <definedName name="전남" localSheetId="2">#REF!</definedName>
    <definedName name="전남" localSheetId="12">#REF!</definedName>
    <definedName name="전남" localSheetId="3">#REF!</definedName>
    <definedName name="전남" localSheetId="6">#REF!</definedName>
    <definedName name="전남" localSheetId="4">#REF!</definedName>
    <definedName name="전남">#REF!</definedName>
    <definedName name="전남1" localSheetId="10">#REF!</definedName>
    <definedName name="전남1" localSheetId="11">#REF!</definedName>
    <definedName name="전남1" localSheetId="9">#REF!</definedName>
    <definedName name="전남1" localSheetId="2">#REF!</definedName>
    <definedName name="전남1" localSheetId="12">#REF!</definedName>
    <definedName name="전남1" localSheetId="3">#REF!</definedName>
    <definedName name="전남1" localSheetId="6">#REF!</definedName>
    <definedName name="전남1" localSheetId="4">#REF!</definedName>
    <definedName name="전남1">#REF!</definedName>
    <definedName name="전입액" localSheetId="10">#REF!</definedName>
    <definedName name="전입액" localSheetId="11">#REF!</definedName>
    <definedName name="전입액" localSheetId="9">#REF!</definedName>
    <definedName name="전입액" localSheetId="2">#REF!</definedName>
    <definedName name="전입액" localSheetId="12">#REF!</definedName>
    <definedName name="전입액" localSheetId="3">#REF!</definedName>
    <definedName name="전입액" localSheetId="6">#REF!</definedName>
    <definedName name="전입액" localSheetId="4">#REF!</definedName>
    <definedName name="전입액">#REF!</definedName>
    <definedName name="전자CF" localSheetId="10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localSheetId="9" hidden="1">{#N/A,#N/A,FALSE,"지침";#N/A,#N/A,FALSE,"환경분석";#N/A,#N/A,FALSE,"Sheet16"}</definedName>
    <definedName name="전자CF" localSheetId="1" hidden="1">{#N/A,#N/A,FALSE,"지침";#N/A,#N/A,FALSE,"환경분석";#N/A,#N/A,FALSE,"Sheet16"}</definedName>
    <definedName name="전자CF" localSheetId="2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3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localSheetId="4" hidden="1">{#N/A,#N/A,FALSE,"지침";#N/A,#N/A,FALSE,"환경분석";#N/A,#N/A,FALSE,"Sheet16"}</definedName>
    <definedName name="전자CF" hidden="1">{#N/A,#N/A,FALSE,"지침";#N/A,#N/A,FALSE,"환경분석";#N/A,#N/A,FALSE,"Sheet16"}</definedName>
    <definedName name="점소">#N/A</definedName>
    <definedName name="정비대수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제시용작성" localSheetId="10">'2.추정(긍정)'!제시용작성</definedName>
    <definedName name="제시용작성" localSheetId="11">'2.추정(부정)'!제시용작성</definedName>
    <definedName name="제시용작성" localSheetId="9">구NCP!제시용작성</definedName>
    <definedName name="제시용작성" localSheetId="2">추정!제시용작성</definedName>
    <definedName name="제시용작성" localSheetId="12">#N/A</definedName>
    <definedName name="제시용작성" localSheetId="3">#N/A</definedName>
    <definedName name="제시용작성" localSheetId="6">평정!제시용작성</definedName>
    <definedName name="제시용작성" localSheetId="4">NCP!제시용작성</definedName>
    <definedName name="제시용작성">'2.추정(긍정)'!제시용작성</definedName>
    <definedName name="제조원가명세_pjt별" localSheetId="10">#REF!</definedName>
    <definedName name="제조원가명세_pjt별" localSheetId="11">#REF!</definedName>
    <definedName name="제조원가명세_pjt별" localSheetId="9">#REF!</definedName>
    <definedName name="제조원가명세_pjt별" localSheetId="2">#REF!</definedName>
    <definedName name="제조원가명세_pjt별" localSheetId="12">#REF!</definedName>
    <definedName name="제조원가명세_pjt별" localSheetId="3">#REF!</definedName>
    <definedName name="제조원가명세_pjt별" localSheetId="6">#REF!</definedName>
    <definedName name="제조원가명세_pjt별" localSheetId="4">#REF!</definedName>
    <definedName name="제조원가명세_pjt별">#REF!</definedName>
    <definedName name="제주" localSheetId="10">#REF!</definedName>
    <definedName name="제주" localSheetId="11">#REF!</definedName>
    <definedName name="제주" localSheetId="9">#REF!</definedName>
    <definedName name="제주" localSheetId="2">#REF!</definedName>
    <definedName name="제주" localSheetId="12">#REF!</definedName>
    <definedName name="제주" localSheetId="3">#REF!</definedName>
    <definedName name="제주" localSheetId="6">#REF!</definedName>
    <definedName name="제주" localSheetId="4">#REF!</definedName>
    <definedName name="제주">#REF!</definedName>
    <definedName name="제주1" localSheetId="10">#REF!</definedName>
    <definedName name="제주1" localSheetId="11">#REF!</definedName>
    <definedName name="제주1" localSheetId="9">#REF!</definedName>
    <definedName name="제주1" localSheetId="2">#REF!</definedName>
    <definedName name="제주1" localSheetId="12">#REF!</definedName>
    <definedName name="제주1" localSheetId="3">#REF!</definedName>
    <definedName name="제주1" localSheetId="6">#REF!</definedName>
    <definedName name="제주1" localSheetId="4">#REF!</definedName>
    <definedName name="제주1">#REF!</definedName>
    <definedName name="조사" localSheetId="10">#REF!</definedName>
    <definedName name="조사" localSheetId="11">#REF!</definedName>
    <definedName name="조사" localSheetId="9">#REF!</definedName>
    <definedName name="조사" localSheetId="2">#REF!</definedName>
    <definedName name="조사" localSheetId="12">#REF!</definedName>
    <definedName name="조사" localSheetId="3">#REF!</definedName>
    <definedName name="조사" localSheetId="6">#REF!</definedName>
    <definedName name="조사" localSheetId="4">#REF!</definedName>
    <definedName name="조사">#REF!</definedName>
    <definedName name="조순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hidden="1">{#N/A,#N/A,FALSE,"PART-1234-8-12-9(41)";#N/A,#N/A,FALSE,"PARTS-2(3)";#N/A,#N/A,FALSE,"VAN SYSTEM";#N/A,#N/A,FALSE,"PARTS-10(26)";#N/A,#N/A,FALSE,"PART-5-6-7-11(14)";#N/A,#N/A,FALSE,"PARTS-4(3)";#N/A,#N/A,FALSE,"PCLASS"}</definedName>
    <definedName name="조영범" localSheetId="10" hidden="1">{#N/A,#N/A,FALSE,"지침";#N/A,#N/A,FALSE,"환경분석";#N/A,#N/A,FALSE,"Sheet16"}</definedName>
    <definedName name="조영범" localSheetId="11" hidden="1">{#N/A,#N/A,FALSE,"지침";#N/A,#N/A,FALSE,"환경분석";#N/A,#N/A,FALSE,"Sheet16"}</definedName>
    <definedName name="조영범" localSheetId="9" hidden="1">{#N/A,#N/A,FALSE,"지침";#N/A,#N/A,FALSE,"환경분석";#N/A,#N/A,FALSE,"Sheet16"}</definedName>
    <definedName name="조영범" localSheetId="1" hidden="1">{#N/A,#N/A,FALSE,"지침";#N/A,#N/A,FALSE,"환경분석";#N/A,#N/A,FALSE,"Sheet16"}</definedName>
    <definedName name="조영범" localSheetId="2" hidden="1">{#N/A,#N/A,FALSE,"지침";#N/A,#N/A,FALSE,"환경분석";#N/A,#N/A,FALSE,"Sheet16"}</definedName>
    <definedName name="조영범" localSheetId="12" hidden="1">{#N/A,#N/A,FALSE,"지침";#N/A,#N/A,FALSE,"환경분석";#N/A,#N/A,FALSE,"Sheet16"}</definedName>
    <definedName name="조영범" localSheetId="3" hidden="1">{#N/A,#N/A,FALSE,"지침";#N/A,#N/A,FALSE,"환경분석";#N/A,#N/A,FALSE,"Sheet16"}</definedName>
    <definedName name="조영범" localSheetId="6" hidden="1">{#N/A,#N/A,FALSE,"지침";#N/A,#N/A,FALSE,"환경분석";#N/A,#N/A,FALSE,"Sheet16"}</definedName>
    <definedName name="조영범" localSheetId="4" hidden="1">{#N/A,#N/A,FALSE,"지침";#N/A,#N/A,FALSE,"환경분석";#N/A,#N/A,FALSE,"Sheet16"}</definedName>
    <definedName name="조영범" hidden="1">{#N/A,#N/A,FALSE,"지침";#N/A,#N/A,FALSE,"환경분석";#N/A,#N/A,FALSE,"Sheet16"}</definedName>
    <definedName name="조영호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hidden="1">{#N/A,#N/A,FALSE,"PART-1234-8-12-9(41)";#N/A,#N/A,FALSE,"PARTS-2(3)";#N/A,#N/A,FALSE,"VAN SYSTEM";#N/A,#N/A,FALSE,"PARTS-10(26)";#N/A,#N/A,FALSE,"PART-5-6-7-11(14)";#N/A,#N/A,FALSE,"PARTS-4(3)";#N/A,#N/A,FALSE,"PCLASS"}</definedName>
    <definedName name="조정근거분류" localSheetId="10">#REF!</definedName>
    <definedName name="조정근거분류" localSheetId="11">#REF!</definedName>
    <definedName name="조정근거분류" localSheetId="9">구NCP!$B$71:$B$79</definedName>
    <definedName name="조정근거분류" localSheetId="2">#REF!</definedName>
    <definedName name="조정근거분류" localSheetId="12">#REF!</definedName>
    <definedName name="조정근거분류" localSheetId="3">#REF!</definedName>
    <definedName name="조정근거분류" localSheetId="6">#REF!</definedName>
    <definedName name="조정근거분류" localSheetId="4">NCP!$B$71:$B$79</definedName>
    <definedName name="조정근거분류">#REF!</definedName>
    <definedName name="종규님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hidden="1">{#N/A,#N/A,FALSE,"PART-1234-8-12-9(41)";#N/A,#N/A,FALSE,"PARTS-2(3)";#N/A,#N/A,FALSE,"VAN SYSTEM";#N/A,#N/A,FALSE,"PARTS-10(26)";#N/A,#N/A,FALSE,"PART-5-6-7-11(14)";#N/A,#N/A,FALSE,"PARTS-4(3)";#N/A,#N/A,FALSE,"PCLASS"}</definedName>
    <definedName name="종료" localSheetId="10">'2.추정(긍정)'!종료</definedName>
    <definedName name="종료" localSheetId="11">'2.추정(부정)'!종료</definedName>
    <definedName name="종료" localSheetId="9">구NCP!종료</definedName>
    <definedName name="종료" localSheetId="2">추정!종료</definedName>
    <definedName name="종료" localSheetId="12">#N/A</definedName>
    <definedName name="종료" localSheetId="3">#N/A</definedName>
    <definedName name="종료" localSheetId="6">평정!종료</definedName>
    <definedName name="종료" localSheetId="4">NCP!종료</definedName>
    <definedName name="종료">'2.추정(긍정)'!종료</definedName>
    <definedName name="종화" localSheetId="10" hidden="1">{#N/A,#N/A,FALSE,"지침";#N/A,#N/A,FALSE,"환경분석";#N/A,#N/A,FALSE,"Sheet16"}</definedName>
    <definedName name="종화" localSheetId="11" hidden="1">{#N/A,#N/A,FALSE,"지침";#N/A,#N/A,FALSE,"환경분석";#N/A,#N/A,FALSE,"Sheet16"}</definedName>
    <definedName name="종화" localSheetId="9" hidden="1">{#N/A,#N/A,FALSE,"지침";#N/A,#N/A,FALSE,"환경분석";#N/A,#N/A,FALSE,"Sheet16"}</definedName>
    <definedName name="종화" localSheetId="1" hidden="1">{#N/A,#N/A,FALSE,"지침";#N/A,#N/A,FALSE,"환경분석";#N/A,#N/A,FALSE,"Sheet16"}</definedName>
    <definedName name="종화" localSheetId="2" hidden="1">{#N/A,#N/A,FALSE,"지침";#N/A,#N/A,FALSE,"환경분석";#N/A,#N/A,FALSE,"Sheet16"}</definedName>
    <definedName name="종화" localSheetId="12" hidden="1">{#N/A,#N/A,FALSE,"지침";#N/A,#N/A,FALSE,"환경분석";#N/A,#N/A,FALSE,"Sheet16"}</definedName>
    <definedName name="종화" localSheetId="3" hidden="1">{#N/A,#N/A,FALSE,"지침";#N/A,#N/A,FALSE,"환경분석";#N/A,#N/A,FALSE,"Sheet16"}</definedName>
    <definedName name="종화" localSheetId="6" hidden="1">{#N/A,#N/A,FALSE,"지침";#N/A,#N/A,FALSE,"환경분석";#N/A,#N/A,FALSE,"Sheet16"}</definedName>
    <definedName name="종화" localSheetId="4" hidden="1">{#N/A,#N/A,FALSE,"지침";#N/A,#N/A,FALSE,"환경분석";#N/A,#N/A,FALSE,"Sheet16"}</definedName>
    <definedName name="종화" hidden="1">{#N/A,#N/A,FALSE,"지침";#N/A,#N/A,FALSE,"환경분석";#N/A,#N/A,FALSE,"Sheet16"}</definedName>
    <definedName name="주" localSheetId="10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localSheetId="9" hidden="1">{#N/A,#N/A,FALSE,"지침";#N/A,#N/A,FALSE,"환경분석";#N/A,#N/A,FALSE,"Sheet16"}</definedName>
    <definedName name="주" localSheetId="1" hidden="1">{#N/A,#N/A,FALSE,"지침";#N/A,#N/A,FALSE,"환경분석";#N/A,#N/A,FALSE,"Sheet16"}</definedName>
    <definedName name="주" localSheetId="2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3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localSheetId="4" hidden="1">{#N/A,#N/A,FALSE,"지침";#N/A,#N/A,FALSE,"환경분석";#N/A,#N/A,FALSE,"Sheet16"}</definedName>
    <definedName name="주" hidden="1">{#N/A,#N/A,FALSE,"지침";#N/A,#N/A,FALSE,"환경분석";#N/A,#N/A,FALSE,"Sheet16"}</definedName>
    <definedName name="주란" localSheetId="10" hidden="1">{#N/A,#N/A,FALSE,"지침";#N/A,#N/A,FALSE,"환경분석";#N/A,#N/A,FALSE,"Sheet16"}</definedName>
    <definedName name="주란" localSheetId="11" hidden="1">{#N/A,#N/A,FALSE,"지침";#N/A,#N/A,FALSE,"환경분석";#N/A,#N/A,FALSE,"Sheet16"}</definedName>
    <definedName name="주란" localSheetId="9" hidden="1">{#N/A,#N/A,FALSE,"지침";#N/A,#N/A,FALSE,"환경분석";#N/A,#N/A,FALSE,"Sheet16"}</definedName>
    <definedName name="주란" localSheetId="1" hidden="1">{#N/A,#N/A,FALSE,"지침";#N/A,#N/A,FALSE,"환경분석";#N/A,#N/A,FALSE,"Sheet16"}</definedName>
    <definedName name="주란" localSheetId="2" hidden="1">{#N/A,#N/A,FALSE,"지침";#N/A,#N/A,FALSE,"환경분석";#N/A,#N/A,FALSE,"Sheet16"}</definedName>
    <definedName name="주란" localSheetId="12" hidden="1">{#N/A,#N/A,FALSE,"지침";#N/A,#N/A,FALSE,"환경분석";#N/A,#N/A,FALSE,"Sheet16"}</definedName>
    <definedName name="주란" localSheetId="3" hidden="1">{#N/A,#N/A,FALSE,"지침";#N/A,#N/A,FALSE,"환경분석";#N/A,#N/A,FALSE,"Sheet16"}</definedName>
    <definedName name="주란" localSheetId="6" hidden="1">{#N/A,#N/A,FALSE,"지침";#N/A,#N/A,FALSE,"환경분석";#N/A,#N/A,FALSE,"Sheet16"}</definedName>
    <definedName name="주란" localSheetId="4" hidden="1">{#N/A,#N/A,FALSE,"지침";#N/A,#N/A,FALSE,"환경분석";#N/A,#N/A,FALSE,"Sheet16"}</definedName>
    <definedName name="주란" hidden="1">{#N/A,#N/A,FALSE,"지침";#N/A,#N/A,FALSE,"환경분석";#N/A,#N/A,FALSE,"Sheet16"}</definedName>
    <definedName name="주민세율" localSheetId="10">#REF!</definedName>
    <definedName name="주민세율" localSheetId="11">#REF!</definedName>
    <definedName name="주민세율" localSheetId="9">#REF!</definedName>
    <definedName name="주민세율" localSheetId="2">#REF!</definedName>
    <definedName name="주민세율" localSheetId="12">#REF!</definedName>
    <definedName name="주민세율" localSheetId="3">#REF!</definedName>
    <definedName name="주민세율" localSheetId="6">#REF!</definedName>
    <definedName name="주민세율" localSheetId="4">#REF!</definedName>
    <definedName name="주민세율">#REF!</definedName>
    <definedName name="주요매출증감" localSheetId="10" hidden="1">{#N/A,#N/A,FALSE,"지침";#N/A,#N/A,FALSE,"환경분석";#N/A,#N/A,FALSE,"Sheet16"}</definedName>
    <definedName name="주요매출증감" localSheetId="11" hidden="1">{#N/A,#N/A,FALSE,"지침";#N/A,#N/A,FALSE,"환경분석";#N/A,#N/A,FALSE,"Sheet16"}</definedName>
    <definedName name="주요매출증감" localSheetId="9" hidden="1">{#N/A,#N/A,FALSE,"지침";#N/A,#N/A,FALSE,"환경분석";#N/A,#N/A,FALSE,"Sheet16"}</definedName>
    <definedName name="주요매출증감" localSheetId="1" hidden="1">{#N/A,#N/A,FALSE,"지침";#N/A,#N/A,FALSE,"환경분석";#N/A,#N/A,FALSE,"Sheet16"}</definedName>
    <definedName name="주요매출증감" localSheetId="2" hidden="1">{#N/A,#N/A,FALSE,"지침";#N/A,#N/A,FALSE,"환경분석";#N/A,#N/A,FALSE,"Sheet16"}</definedName>
    <definedName name="주요매출증감" localSheetId="12" hidden="1">{#N/A,#N/A,FALSE,"지침";#N/A,#N/A,FALSE,"환경분석";#N/A,#N/A,FALSE,"Sheet16"}</definedName>
    <definedName name="주요매출증감" localSheetId="3" hidden="1">{#N/A,#N/A,FALSE,"지침";#N/A,#N/A,FALSE,"환경분석";#N/A,#N/A,FALSE,"Sheet16"}</definedName>
    <definedName name="주요매출증감" localSheetId="6" hidden="1">{#N/A,#N/A,FALSE,"지침";#N/A,#N/A,FALSE,"환경분석";#N/A,#N/A,FALSE,"Sheet16"}</definedName>
    <definedName name="주요매출증감" localSheetId="4" hidden="1">{#N/A,#N/A,FALSE,"지침";#N/A,#N/A,FALSE,"환경분석";#N/A,#N/A,FALSE,"Sheet16"}</definedName>
    <definedName name="주요매출증감" hidden="1">{#N/A,#N/A,FALSE,"지침";#N/A,#N/A,FALSE,"환경분석";#N/A,#N/A,FALSE,"Sheet16"}</definedName>
    <definedName name="주요현안문제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hidden="1">{#N/A,#N/A,FALSE,"PART-1234-8-12-9(41)";#N/A,#N/A,FALSE,"PARTS-2(3)";#N/A,#N/A,FALSE,"VAN SYSTEM";#N/A,#N/A,FALSE,"PARTS-10(26)";#N/A,#N/A,FALSE,"PART-5-6-7-11(14)";#N/A,#N/A,FALSE,"PARTS-4(3)";#N/A,#N/A,FALSE,"PCLASS"}</definedName>
    <definedName name="주택매출" localSheetId="10">#REF!</definedName>
    <definedName name="주택매출" localSheetId="11">#REF!</definedName>
    <definedName name="주택매출" localSheetId="9">#REF!</definedName>
    <definedName name="주택매출" localSheetId="2">#REF!</definedName>
    <definedName name="주택매출" localSheetId="12">#REF!</definedName>
    <definedName name="주택매출" localSheetId="3">#REF!</definedName>
    <definedName name="주택매출" localSheetId="6">#REF!</definedName>
    <definedName name="주택매출" localSheetId="4">#REF!</definedName>
    <definedName name="주택매출">#REF!</definedName>
    <definedName name="주택원가" localSheetId="10">#REF!</definedName>
    <definedName name="주택원가" localSheetId="11">#REF!</definedName>
    <definedName name="주택원가" localSheetId="9">#REF!</definedName>
    <definedName name="주택원가" localSheetId="2">#REF!</definedName>
    <definedName name="주택원가" localSheetId="12">#REF!</definedName>
    <definedName name="주택원가" localSheetId="3">#REF!</definedName>
    <definedName name="주택원가" localSheetId="6">#REF!</definedName>
    <definedName name="주택원가" localSheetId="4">#REF!</definedName>
    <definedName name="주택원가">#REF!</definedName>
    <definedName name="주택최종" localSheetId="10">#REF!</definedName>
    <definedName name="주택최종" localSheetId="11">#REF!</definedName>
    <definedName name="주택최종" localSheetId="9">#REF!</definedName>
    <definedName name="주택최종" localSheetId="2">#REF!</definedName>
    <definedName name="주택최종" localSheetId="12">#REF!</definedName>
    <definedName name="주택최종" localSheetId="3">#REF!</definedName>
    <definedName name="주택최종" localSheetId="6">#REF!</definedName>
    <definedName name="주택최종" localSheetId="4">#REF!</definedName>
    <definedName name="주택최종">#REF!</definedName>
    <definedName name="중간요약" localSheetId="12" hidden="1">{#N/A,#N/A,FALSE,"BS";#N/A,#N/A,FALSE,"PL";#N/A,#N/A,FALSE,"처분";#N/A,#N/A,FALSE,"현금";#N/A,#N/A,FALSE,"매출";#N/A,#N/A,FALSE,"원가";#N/A,#N/A,FALSE,"경영"}</definedName>
    <definedName name="중간요약" localSheetId="3" hidden="1">{#N/A,#N/A,FALSE,"BS";#N/A,#N/A,FALSE,"PL";#N/A,#N/A,FALSE,"처분";#N/A,#N/A,FALSE,"현금";#N/A,#N/A,FALSE,"매출";#N/A,#N/A,FALSE,"원가";#N/A,#N/A,FALSE,"경영"}</definedName>
    <definedName name="중간요약" localSheetId="4" hidden="1">{#N/A,#N/A,FALSE,"BS";#N/A,#N/A,FALSE,"PL";#N/A,#N/A,FALSE,"처분";#N/A,#N/A,FALSE,"현금";#N/A,#N/A,FALSE,"매출";#N/A,#N/A,FALSE,"원가";#N/A,#N/A,FALSE,"경영"}</definedName>
    <definedName name="중간요약" hidden="1">{#N/A,#N/A,FALSE,"BS";#N/A,#N/A,FALSE,"PL";#N/A,#N/A,FALSE,"처분";#N/A,#N/A,FALSE,"현금";#N/A,#N/A,FALSE,"매출";#N/A,#N/A,FALSE,"원가";#N/A,#N/A,FALSE,"경영"}</definedName>
    <definedName name="중심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중심" hidden="1">{#N/A,#N/A,FALSE,"PART-1234-8-12-9(41)";#N/A,#N/A,FALSE,"PARTS-2(3)";#N/A,#N/A,FALSE,"VAN SYSTEM";#N/A,#N/A,FALSE,"PARTS-10(26)";#N/A,#N/A,FALSE,"PART-5-6-7-11(14)";#N/A,#N/A,FALSE,"PARTS-4(3)";#N/A,#N/A,FALSE,"PCLASS"}</definedName>
    <definedName name="중점관리1" localSheetId="10" hidden="1">{#N/A,#N/A,FALSE,"지침";#N/A,#N/A,FALSE,"환경분석";#N/A,#N/A,FALSE,"Sheet16"}</definedName>
    <definedName name="중점관리1" localSheetId="11" hidden="1">{#N/A,#N/A,FALSE,"지침";#N/A,#N/A,FALSE,"환경분석";#N/A,#N/A,FALSE,"Sheet16"}</definedName>
    <definedName name="중점관리1" localSheetId="9" hidden="1">{#N/A,#N/A,FALSE,"지침";#N/A,#N/A,FALSE,"환경분석";#N/A,#N/A,FALSE,"Sheet16"}</definedName>
    <definedName name="중점관리1" localSheetId="1" hidden="1">{#N/A,#N/A,FALSE,"지침";#N/A,#N/A,FALSE,"환경분석";#N/A,#N/A,FALSE,"Sheet16"}</definedName>
    <definedName name="중점관리1" localSheetId="2" hidden="1">{#N/A,#N/A,FALSE,"지침";#N/A,#N/A,FALSE,"환경분석";#N/A,#N/A,FALSE,"Sheet16"}</definedName>
    <definedName name="중점관리1" localSheetId="12" hidden="1">{#N/A,#N/A,FALSE,"지침";#N/A,#N/A,FALSE,"환경분석";#N/A,#N/A,FALSE,"Sheet16"}</definedName>
    <definedName name="중점관리1" localSheetId="3" hidden="1">{#N/A,#N/A,FALSE,"지침";#N/A,#N/A,FALSE,"환경분석";#N/A,#N/A,FALSE,"Sheet16"}</definedName>
    <definedName name="중점관리1" localSheetId="6" hidden="1">{#N/A,#N/A,FALSE,"지침";#N/A,#N/A,FALSE,"환경분석";#N/A,#N/A,FALSE,"Sheet16"}</definedName>
    <definedName name="중점관리1" localSheetId="4" hidden="1">{#N/A,#N/A,FALSE,"지침";#N/A,#N/A,FALSE,"환경분석";#N/A,#N/A,FALSE,"Sheet16"}</definedName>
    <definedName name="중점관리1" hidden="1">{#N/A,#N/A,FALSE,"지침";#N/A,#N/A,FALSE,"환경분석";#N/A,#N/A,FALSE,"Sheet16"}</definedName>
    <definedName name="증감" localSheetId="10" hidden="1">{#N/A,#N/A,FALSE,"지침";#N/A,#N/A,FALSE,"환경분석";#N/A,#N/A,FALSE,"Sheet16"}</definedName>
    <definedName name="증감" localSheetId="11" hidden="1">{#N/A,#N/A,FALSE,"지침";#N/A,#N/A,FALSE,"환경분석";#N/A,#N/A,FALSE,"Sheet16"}</definedName>
    <definedName name="증감" localSheetId="9" hidden="1">{#N/A,#N/A,FALSE,"지침";#N/A,#N/A,FALSE,"환경분석";#N/A,#N/A,FALSE,"Sheet16"}</definedName>
    <definedName name="증감" localSheetId="1" hidden="1">{#N/A,#N/A,FALSE,"지침";#N/A,#N/A,FALSE,"환경분석";#N/A,#N/A,FALSE,"Sheet16"}</definedName>
    <definedName name="증감" localSheetId="2" hidden="1">{#N/A,#N/A,FALSE,"지침";#N/A,#N/A,FALSE,"환경분석";#N/A,#N/A,FALSE,"Sheet16"}</definedName>
    <definedName name="증감" localSheetId="12" hidden="1">{#N/A,#N/A,FALSE,"지침";#N/A,#N/A,FALSE,"환경분석";#N/A,#N/A,FALSE,"Sheet16"}</definedName>
    <definedName name="증감" localSheetId="3" hidden="1">{#N/A,#N/A,FALSE,"지침";#N/A,#N/A,FALSE,"환경분석";#N/A,#N/A,FALSE,"Sheet16"}</definedName>
    <definedName name="증감" localSheetId="6" hidden="1">{#N/A,#N/A,FALSE,"지침";#N/A,#N/A,FALSE,"환경분석";#N/A,#N/A,FALSE,"Sheet16"}</definedName>
    <definedName name="증감" localSheetId="4" hidden="1">{#N/A,#N/A,FALSE,"지침";#N/A,#N/A,FALSE,"환경분석";#N/A,#N/A,FALSE,"Sheet16"}</definedName>
    <definedName name="증감" hidden="1">{#N/A,#N/A,FALSE,"지침";#N/A,#N/A,FALSE,"환경분석";#N/A,#N/A,FALSE,"Sheet16"}</definedName>
    <definedName name="증가율" localSheetId="10">'2.추정(긍정)'!증가율</definedName>
    <definedName name="증가율" localSheetId="11">'2.추정(부정)'!증가율</definedName>
    <definedName name="증가율" localSheetId="9">구NCP!증가율</definedName>
    <definedName name="증가율" localSheetId="2">추정!증가율</definedName>
    <definedName name="증가율" localSheetId="12">#N/A</definedName>
    <definedName name="증가율" localSheetId="3">#N/A</definedName>
    <definedName name="증가율" localSheetId="6">평정!증가율</definedName>
    <definedName name="증가율" localSheetId="4">NCP!증가율</definedName>
    <definedName name="증가율">'2.추정(긍정)'!증가율</definedName>
    <definedName name="증빙" localSheetId="10">'2.추정(긍정)'!증빙</definedName>
    <definedName name="증빙" localSheetId="11">'2.추정(부정)'!증빙</definedName>
    <definedName name="증빙" localSheetId="9">구NCP!증빙</definedName>
    <definedName name="증빙" localSheetId="2">추정!증빙</definedName>
    <definedName name="증빙" localSheetId="12">#N/A</definedName>
    <definedName name="증빙" localSheetId="3">#N/A</definedName>
    <definedName name="증빙" localSheetId="6">평정!증빙</definedName>
    <definedName name="증빙" localSheetId="4">NCP!증빙</definedName>
    <definedName name="증빙">'2.추정(긍정)'!증빙</definedName>
    <definedName name="지급보증받은사항" localSheetId="10">#REF!</definedName>
    <definedName name="지급보증받은사항" localSheetId="11">#REF!</definedName>
    <definedName name="지급보증받은사항" localSheetId="9">#REF!</definedName>
    <definedName name="지급보증받은사항" localSheetId="2">#REF!</definedName>
    <definedName name="지급보증받은사항" localSheetId="12">#REF!</definedName>
    <definedName name="지급보증받은사항" localSheetId="3">#REF!</definedName>
    <definedName name="지급보증받은사항" localSheetId="6">#REF!</definedName>
    <definedName name="지급보증받은사항" localSheetId="4">#REF!</definedName>
    <definedName name="지급보증받은사항">#REF!</definedName>
    <definedName name="지배구조1" localSheetId="10" hidden="1">{#N/A,#N/A,FALSE,"지침";#N/A,#N/A,FALSE,"환경분석";#N/A,#N/A,FALSE,"Sheet16"}</definedName>
    <definedName name="지배구조1" localSheetId="11" hidden="1">{#N/A,#N/A,FALSE,"지침";#N/A,#N/A,FALSE,"환경분석";#N/A,#N/A,FALSE,"Sheet16"}</definedName>
    <definedName name="지배구조1" localSheetId="9" hidden="1">{#N/A,#N/A,FALSE,"지침";#N/A,#N/A,FALSE,"환경분석";#N/A,#N/A,FALSE,"Sheet16"}</definedName>
    <definedName name="지배구조1" localSheetId="1" hidden="1">{#N/A,#N/A,FALSE,"지침";#N/A,#N/A,FALSE,"환경분석";#N/A,#N/A,FALSE,"Sheet16"}</definedName>
    <definedName name="지배구조1" localSheetId="2" hidden="1">{#N/A,#N/A,FALSE,"지침";#N/A,#N/A,FALSE,"환경분석";#N/A,#N/A,FALSE,"Sheet16"}</definedName>
    <definedName name="지배구조1" localSheetId="12" hidden="1">{#N/A,#N/A,FALSE,"지침";#N/A,#N/A,FALSE,"환경분석";#N/A,#N/A,FALSE,"Sheet16"}</definedName>
    <definedName name="지배구조1" localSheetId="3" hidden="1">{#N/A,#N/A,FALSE,"지침";#N/A,#N/A,FALSE,"환경분석";#N/A,#N/A,FALSE,"Sheet16"}</definedName>
    <definedName name="지배구조1" localSheetId="6" hidden="1">{#N/A,#N/A,FALSE,"지침";#N/A,#N/A,FALSE,"환경분석";#N/A,#N/A,FALSE,"Sheet16"}</definedName>
    <definedName name="지배구조1" localSheetId="4" hidden="1">{#N/A,#N/A,FALSE,"지침";#N/A,#N/A,FALSE,"환경분석";#N/A,#N/A,FALSE,"Sheet16"}</definedName>
    <definedName name="지배구조1" hidden="1">{#N/A,#N/A,FALSE,"지침";#N/A,#N/A,FALSE,"환경분석";#N/A,#N/A,FALSE,"Sheet16"}</definedName>
    <definedName name="지사순2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hidden="1">{#N/A,#N/A,FALSE,"PART-1234-8-12-9(41)";#N/A,#N/A,FALSE,"PARTS-2(3)";#N/A,#N/A,FALSE,"VAN SYSTEM";#N/A,#N/A,FALSE,"PARTS-10(26)";#N/A,#N/A,FALSE,"PART-5-6-7-11(14)";#N/A,#N/A,FALSE,"PARTS-4(3)";#N/A,#N/A,FALSE,"PCLASS"}</definedName>
    <definedName name="지역별수출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집계" localSheetId="10">#REF!</definedName>
    <definedName name="집계" localSheetId="11">#REF!</definedName>
    <definedName name="집계" localSheetId="9">#REF!</definedName>
    <definedName name="집계" localSheetId="2">#REF!</definedName>
    <definedName name="집계" localSheetId="12">#REF!</definedName>
    <definedName name="집계" localSheetId="3">#REF!</definedName>
    <definedName name="집계" localSheetId="6">#REF!</definedName>
    <definedName name="집계" localSheetId="4">#REF!</definedName>
    <definedName name="집계">#REF!</definedName>
    <definedName name="ㅊ" localSheetId="10">#REF!</definedName>
    <definedName name="ㅊ" localSheetId="11">#REF!</definedName>
    <definedName name="ㅊ" localSheetId="9">#REF!</definedName>
    <definedName name="ㅊ" localSheetId="2">#REF!</definedName>
    <definedName name="ㅊ" localSheetId="12">#REF!</definedName>
    <definedName name="ㅊ" localSheetId="3">#REF!</definedName>
    <definedName name="ㅊ" localSheetId="6">#REF!</definedName>
    <definedName name="ㅊ" localSheetId="4">#REF!</definedName>
    <definedName name="ㅊ">#REF!</definedName>
    <definedName name="ㅊㅊ" localSheetId="10">#REF!</definedName>
    <definedName name="ㅊㅊ" localSheetId="11">#REF!</definedName>
    <definedName name="ㅊㅊ" localSheetId="9">#REF!</definedName>
    <definedName name="ㅊㅊ" localSheetId="2">#REF!</definedName>
    <definedName name="ㅊㅊ" localSheetId="12">#REF!</definedName>
    <definedName name="ㅊㅊ" localSheetId="3">#REF!</definedName>
    <definedName name="ㅊㅊ" localSheetId="6">#REF!</definedName>
    <definedName name="ㅊㅊ" localSheetId="4">#REF!</definedName>
    <definedName name="ㅊㅊ">#REF!</definedName>
    <definedName name="차량용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hidden="1">{#N/A,#N/A,FALSE,"PART-1234-8-12-9(41)";#N/A,#N/A,FALSE,"PARTS-2(3)";#N/A,#N/A,FALSE,"VAN SYSTEM";#N/A,#N/A,FALSE,"PARTS-10(26)";#N/A,#N/A,FALSE,"PART-5-6-7-11(14)";#N/A,#N/A,FALSE,"PARTS-4(3)";#N/A,#N/A,FALSE,"PCLASS"}</definedName>
    <definedName name="차순창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참고표" localSheetId="10" hidden="1">{#N/A,#N/A,TRUE,"Summary";#N/A,#N/A,TRUE,"IS";#N/A,#N/A,TRUE,"Adj";#N/A,#N/A,TRUE,"BS";#N/A,#N/A,TRUE,"CF";#N/A,#N/A,TRUE,"Debt";#N/A,#N/A,TRUE,"IRR"}</definedName>
    <definedName name="참고표" localSheetId="11" hidden="1">{#N/A,#N/A,TRUE,"Summary";#N/A,#N/A,TRUE,"IS";#N/A,#N/A,TRUE,"Adj";#N/A,#N/A,TRUE,"BS";#N/A,#N/A,TRUE,"CF";#N/A,#N/A,TRUE,"Debt";#N/A,#N/A,TRUE,"IRR"}</definedName>
    <definedName name="참고표" localSheetId="9" hidden="1">{#N/A,#N/A,TRUE,"Summary";#N/A,#N/A,TRUE,"IS";#N/A,#N/A,TRUE,"Adj";#N/A,#N/A,TRUE,"BS";#N/A,#N/A,TRUE,"CF";#N/A,#N/A,TRUE,"Debt";#N/A,#N/A,TRUE,"IRR"}</definedName>
    <definedName name="참고표" localSheetId="1" hidden="1">{#N/A,#N/A,TRUE,"Summary";#N/A,#N/A,TRUE,"IS";#N/A,#N/A,TRUE,"Adj";#N/A,#N/A,TRUE,"BS";#N/A,#N/A,TRUE,"CF";#N/A,#N/A,TRUE,"Debt";#N/A,#N/A,TRUE,"IRR"}</definedName>
    <definedName name="참고표" localSheetId="2" hidden="1">{#N/A,#N/A,TRUE,"Summary";#N/A,#N/A,TRUE,"IS";#N/A,#N/A,TRUE,"Adj";#N/A,#N/A,TRUE,"BS";#N/A,#N/A,TRUE,"CF";#N/A,#N/A,TRUE,"Debt";#N/A,#N/A,TRUE,"IRR"}</definedName>
    <definedName name="참고표" localSheetId="12" hidden="1">{#N/A,#N/A,TRUE,"Summary";#N/A,#N/A,TRUE,"IS";#N/A,#N/A,TRUE,"Adj";#N/A,#N/A,TRUE,"BS";#N/A,#N/A,TRUE,"CF";#N/A,#N/A,TRUE,"Debt";#N/A,#N/A,TRUE,"IRR"}</definedName>
    <definedName name="참고표" localSheetId="3" hidden="1">{#N/A,#N/A,TRUE,"Summary";#N/A,#N/A,TRUE,"IS";#N/A,#N/A,TRUE,"Adj";#N/A,#N/A,TRUE,"BS";#N/A,#N/A,TRUE,"CF";#N/A,#N/A,TRUE,"Debt";#N/A,#N/A,TRUE,"IRR"}</definedName>
    <definedName name="참고표" localSheetId="6" hidden="1">{#N/A,#N/A,TRUE,"Summary";#N/A,#N/A,TRUE,"IS";#N/A,#N/A,TRUE,"Adj";#N/A,#N/A,TRUE,"BS";#N/A,#N/A,TRUE,"CF";#N/A,#N/A,TRUE,"Debt";#N/A,#N/A,TRUE,"IRR"}</definedName>
    <definedName name="참고표" localSheetId="4" hidden="1">{#N/A,#N/A,TRUE,"Summary";#N/A,#N/A,TRUE,"IS";#N/A,#N/A,TRUE,"Adj";#N/A,#N/A,TRUE,"BS";#N/A,#N/A,TRUE,"CF";#N/A,#N/A,TRUE,"Debt";#N/A,#N/A,TRUE,"IRR"}</definedName>
    <definedName name="참고표" hidden="1">{#N/A,#N/A,TRUE,"Summary";#N/A,#N/A,TRUE,"IS";#N/A,#N/A,TRUE,"Adj";#N/A,#N/A,TRUE,"BS";#N/A,#N/A,TRUE,"CF";#N/A,#N/A,TRUE,"Debt";#N/A,#N/A,TRUE,"IRR"}</definedName>
    <definedName name="책임자별활동원가" localSheetId="10">#REF!</definedName>
    <definedName name="책임자별활동원가" localSheetId="11">#REF!</definedName>
    <definedName name="책임자별활동원가" localSheetId="9">#REF!</definedName>
    <definedName name="책임자별활동원가" localSheetId="2">#REF!</definedName>
    <definedName name="책임자별활동원가" localSheetId="12">#REF!</definedName>
    <definedName name="책임자별활동원가" localSheetId="3">#REF!</definedName>
    <definedName name="책임자별활동원가" localSheetId="6">#REF!</definedName>
    <definedName name="책임자별활동원가" localSheetId="4">#REF!</definedName>
    <definedName name="책임자별활동원가">#REF!</definedName>
    <definedName name="초일" localSheetId="10">#REF!</definedName>
    <definedName name="초일" localSheetId="11">#REF!</definedName>
    <definedName name="초일" localSheetId="9">#REF!</definedName>
    <definedName name="초일" localSheetId="2">#REF!</definedName>
    <definedName name="초일" localSheetId="12">#REF!</definedName>
    <definedName name="초일" localSheetId="3">#REF!</definedName>
    <definedName name="초일" localSheetId="6">#REF!</definedName>
    <definedName name="초일" localSheetId="4">#REF!</definedName>
    <definedName name="초일">#REF!</definedName>
    <definedName name="총괄" localSheetId="10">[20]!매크로4</definedName>
    <definedName name="총괄" localSheetId="11">[20]!매크로4</definedName>
    <definedName name="총괄" localSheetId="9">[20]!매크로4</definedName>
    <definedName name="총괄" localSheetId="3">[20]!매크로4</definedName>
    <definedName name="총괄" localSheetId="6">[20]!매크로4</definedName>
    <definedName name="총괄" localSheetId="4">[20]!매크로4</definedName>
    <definedName name="총괄">[20]!매크로4</definedName>
    <definedName name="총괄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사업비분석" localSheetId="10">#REF!</definedName>
    <definedName name="총사업비분석" localSheetId="11">#REF!</definedName>
    <definedName name="총사업비분석" localSheetId="9">#REF!</definedName>
    <definedName name="총사업비분석" localSheetId="2">#REF!</definedName>
    <definedName name="총사업비분석" localSheetId="12">#REF!</definedName>
    <definedName name="총사업비분석" localSheetId="3">#REF!</definedName>
    <definedName name="총사업비분석" localSheetId="6">#REF!</definedName>
    <definedName name="총사업비분석" localSheetId="4">#REF!</definedName>
    <definedName name="총사업비분석">#REF!</definedName>
    <definedName name="총사업비추정" localSheetId="10">#REF!</definedName>
    <definedName name="총사업비추정" localSheetId="11">#REF!</definedName>
    <definedName name="총사업비추정" localSheetId="9">#REF!</definedName>
    <definedName name="총사업비추정" localSheetId="2">#REF!</definedName>
    <definedName name="총사업비추정" localSheetId="12">#REF!</definedName>
    <definedName name="총사업비추정" localSheetId="3">#REF!</definedName>
    <definedName name="총사업비추정" localSheetId="6">#REF!</definedName>
    <definedName name="총사업비추정" localSheetId="4">#REF!</definedName>
    <definedName name="총사업비추정">#REF!</definedName>
    <definedName name="총손익" localSheetId="10">#REF!</definedName>
    <definedName name="총손익" localSheetId="11">#REF!</definedName>
    <definedName name="총손익" localSheetId="9">#REF!</definedName>
    <definedName name="총손익" localSheetId="2">#REF!</definedName>
    <definedName name="총손익" localSheetId="12">#REF!</definedName>
    <definedName name="총손익" localSheetId="3">#REF!</definedName>
    <definedName name="총손익" localSheetId="6">#REF!</definedName>
    <definedName name="총손익" localSheetId="4">#REF!</definedName>
    <definedName name="총손익">#REF!</definedName>
    <definedName name="총원가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최윤" hidden="1">{#N/A,#N/A,FALSE,"PART-1234-8-12-9(41)";#N/A,#N/A,FALSE,"PARTS-2(3)";#N/A,#N/A,FALSE,"VAN SYSTEM";#N/A,#N/A,FALSE,"PARTS-10(26)";#N/A,#N/A,FALSE,"PART-5-6-7-11(14)";#N/A,#N/A,FALSE,"PARTS-4(3)";#N/A,#N/A,FALSE,"PCLASS"}</definedName>
    <definedName name="최준환" localSheetId="10" hidden="1">{#N/A,#N/A,TRUE,"Summary";#N/A,#N/A,TRUE,"IS";#N/A,#N/A,TRUE,"Adj";#N/A,#N/A,TRUE,"BS";#N/A,#N/A,TRUE,"CF";#N/A,#N/A,TRUE,"Debt";#N/A,#N/A,TRUE,"IRR"}</definedName>
    <definedName name="최준환" localSheetId="11" hidden="1">{#N/A,#N/A,TRUE,"Summary";#N/A,#N/A,TRUE,"IS";#N/A,#N/A,TRUE,"Adj";#N/A,#N/A,TRUE,"BS";#N/A,#N/A,TRUE,"CF";#N/A,#N/A,TRUE,"Debt";#N/A,#N/A,TRUE,"IRR"}</definedName>
    <definedName name="최준환" localSheetId="9" hidden="1">{#N/A,#N/A,TRUE,"Summary";#N/A,#N/A,TRUE,"IS";#N/A,#N/A,TRUE,"Adj";#N/A,#N/A,TRUE,"BS";#N/A,#N/A,TRUE,"CF";#N/A,#N/A,TRUE,"Debt";#N/A,#N/A,TRUE,"IRR"}</definedName>
    <definedName name="최준환" localSheetId="1" hidden="1">{#N/A,#N/A,TRUE,"Summary";#N/A,#N/A,TRUE,"IS";#N/A,#N/A,TRUE,"Adj";#N/A,#N/A,TRUE,"BS";#N/A,#N/A,TRUE,"CF";#N/A,#N/A,TRUE,"Debt";#N/A,#N/A,TRUE,"IRR"}</definedName>
    <definedName name="최준환" localSheetId="2" hidden="1">{#N/A,#N/A,TRUE,"Summary";#N/A,#N/A,TRUE,"IS";#N/A,#N/A,TRUE,"Adj";#N/A,#N/A,TRUE,"BS";#N/A,#N/A,TRUE,"CF";#N/A,#N/A,TRUE,"Debt";#N/A,#N/A,TRUE,"IRR"}</definedName>
    <definedName name="최준환" localSheetId="12" hidden="1">{#N/A,#N/A,TRUE,"Summary";#N/A,#N/A,TRUE,"IS";#N/A,#N/A,TRUE,"Adj";#N/A,#N/A,TRUE,"BS";#N/A,#N/A,TRUE,"CF";#N/A,#N/A,TRUE,"Debt";#N/A,#N/A,TRUE,"IRR"}</definedName>
    <definedName name="최준환" localSheetId="3" hidden="1">{#N/A,#N/A,TRUE,"Summary";#N/A,#N/A,TRUE,"IS";#N/A,#N/A,TRUE,"Adj";#N/A,#N/A,TRUE,"BS";#N/A,#N/A,TRUE,"CF";#N/A,#N/A,TRUE,"Debt";#N/A,#N/A,TRUE,"IRR"}</definedName>
    <definedName name="최준환" localSheetId="6" hidden="1">{#N/A,#N/A,TRUE,"Summary";#N/A,#N/A,TRUE,"IS";#N/A,#N/A,TRUE,"Adj";#N/A,#N/A,TRUE,"BS";#N/A,#N/A,TRUE,"CF";#N/A,#N/A,TRUE,"Debt";#N/A,#N/A,TRUE,"IRR"}</definedName>
    <definedName name="최준환" localSheetId="4" hidden="1">{#N/A,#N/A,TRUE,"Summary";#N/A,#N/A,TRUE,"IS";#N/A,#N/A,TRUE,"Adj";#N/A,#N/A,TRUE,"BS";#N/A,#N/A,TRUE,"CF";#N/A,#N/A,TRUE,"Debt";#N/A,#N/A,TRUE,"IRR"}</definedName>
    <definedName name="최준환" hidden="1">{#N/A,#N/A,TRUE,"Summary";#N/A,#N/A,TRUE,"IS";#N/A,#N/A,TRUE,"Adj";#N/A,#N/A,TRUE,"BS";#N/A,#N/A,TRUE,"CF";#N/A,#N/A,TRUE,"Debt";#N/A,#N/A,TRUE,"IRR"}</definedName>
    <definedName name="추계합계" localSheetId="10">#REF!</definedName>
    <definedName name="추계합계" localSheetId="11">#REF!</definedName>
    <definedName name="추계합계" localSheetId="9">#REF!</definedName>
    <definedName name="추계합계" localSheetId="2">#REF!</definedName>
    <definedName name="추계합계" localSheetId="12">#REF!</definedName>
    <definedName name="추계합계" localSheetId="3">#REF!</definedName>
    <definedName name="추계합계" localSheetId="6">#REF!</definedName>
    <definedName name="추계합계" localSheetId="4">#REF!</definedName>
    <definedName name="추계합계">#REF!</definedName>
    <definedName name="추정_CASH_FLOW" localSheetId="10">#REF!</definedName>
    <definedName name="추정_CASH_FLOW" localSheetId="11">#REF!</definedName>
    <definedName name="추정_CASH_FLOW" localSheetId="9">#REF!</definedName>
    <definedName name="추정_CASH_FLOW" localSheetId="2">#REF!</definedName>
    <definedName name="추정_CASH_FLOW" localSheetId="12">#REF!</definedName>
    <definedName name="추정_CASH_FLOW" localSheetId="3">#REF!</definedName>
    <definedName name="추정_CASH_FLOW" localSheetId="6">#REF!</definedName>
    <definedName name="추정_CASH_FLOW" localSheetId="4">#REF!</definedName>
    <definedName name="추정_CASH_FLOW">#REF!</definedName>
    <definedName name="추정대차대조표" localSheetId="10">#REF!</definedName>
    <definedName name="추정대차대조표" localSheetId="11">#REF!</definedName>
    <definedName name="추정대차대조표" localSheetId="9">#REF!</definedName>
    <definedName name="추정대차대조표" localSheetId="2">#REF!</definedName>
    <definedName name="추정대차대조표" localSheetId="12">#REF!</definedName>
    <definedName name="추정대차대조표" localSheetId="3">#REF!</definedName>
    <definedName name="추정대차대조표" localSheetId="6">#REF!</definedName>
    <definedName name="추정대차대조표" localSheetId="4">#REF!</definedName>
    <definedName name="추정대차대조표">#REF!</definedName>
    <definedName name="추정손익계산서" localSheetId="10">#REF!</definedName>
    <definedName name="추정손익계산서" localSheetId="11">#REF!</definedName>
    <definedName name="추정손익계산서" localSheetId="9">#REF!</definedName>
    <definedName name="추정손익계산서" localSheetId="2">#REF!</definedName>
    <definedName name="추정손익계산서" localSheetId="12">#REF!</definedName>
    <definedName name="추정손익계산서" localSheetId="3">#REF!</definedName>
    <definedName name="추정손익계산서" localSheetId="6">#REF!</definedName>
    <definedName name="추정손익계산서" localSheetId="4">#REF!</definedName>
    <definedName name="추정손익계산서">#REF!</definedName>
    <definedName name="추정CASH_FLOW" localSheetId="10">#REF!</definedName>
    <definedName name="추정CASH_FLOW" localSheetId="11">#REF!</definedName>
    <definedName name="추정CASH_FLOW" localSheetId="9">#REF!</definedName>
    <definedName name="추정CASH_FLOW" localSheetId="2">#REF!</definedName>
    <definedName name="추정CASH_FLOW" localSheetId="12">#REF!</definedName>
    <definedName name="추정CASH_FLOW" localSheetId="3">#REF!</definedName>
    <definedName name="추정CASH_FLOW" localSheetId="6">#REF!</definedName>
    <definedName name="추정CASH_FLOW" localSheetId="4">#REF!</definedName>
    <definedName name="추정CASH_FLOW">#REF!</definedName>
    <definedName name="추진활동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출력" localSheetId="10">'2.추정(긍정)'!출력</definedName>
    <definedName name="출력" localSheetId="11">'2.추정(부정)'!출력</definedName>
    <definedName name="출력" localSheetId="9">구NCP!출력</definedName>
    <definedName name="출력" localSheetId="2">추정!출력</definedName>
    <definedName name="출력" localSheetId="12">#N/A</definedName>
    <definedName name="출력" localSheetId="3">#N/A</definedName>
    <definedName name="출력" localSheetId="6">평정!출력</definedName>
    <definedName name="출력" localSheetId="4">NCP!출력</definedName>
    <definedName name="출력">'2.추정(긍정)'!출력</definedName>
    <definedName name="출력업체" localSheetId="10">'2.추정(긍정)'!출력업체</definedName>
    <definedName name="출력업체" localSheetId="11">'2.추정(부정)'!출력업체</definedName>
    <definedName name="출력업체" localSheetId="9">구NCP!출력업체</definedName>
    <definedName name="출력업체" localSheetId="2">추정!출력업체</definedName>
    <definedName name="출력업체" localSheetId="12">#N/A</definedName>
    <definedName name="출력업체" localSheetId="3">#N/A</definedName>
    <definedName name="출력업체" localSheetId="6">평정!출력업체</definedName>
    <definedName name="출력업체" localSheetId="4">NCP!출력업체</definedName>
    <definedName name="출력업체">'2.추정(긍정)'!출력업체</definedName>
    <definedName name="출력취소" localSheetId="10">'2.추정(긍정)'!출력취소</definedName>
    <definedName name="출력취소" localSheetId="11">'2.추정(부정)'!출력취소</definedName>
    <definedName name="출력취소" localSheetId="9">구NCP!출력취소</definedName>
    <definedName name="출력취소" localSheetId="2">추정!출력취소</definedName>
    <definedName name="출력취소" localSheetId="12">#N/A</definedName>
    <definedName name="출력취소" localSheetId="3">#N/A</definedName>
    <definedName name="출력취소" localSheetId="6">평정!출력취소</definedName>
    <definedName name="출력취소" localSheetId="4">NCP!출력취소</definedName>
    <definedName name="출력취소">'2.추정(긍정)'!출력취소</definedName>
    <definedName name="출판" localSheetId="10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localSheetId="9" hidden="1">{#N/A,#N/A,FALSE,"지침";#N/A,#N/A,FALSE,"환경분석";#N/A,#N/A,FALSE,"Sheet16"}</definedName>
    <definedName name="출판" localSheetId="1" hidden="1">{#N/A,#N/A,FALSE,"지침";#N/A,#N/A,FALSE,"환경분석";#N/A,#N/A,FALSE,"Sheet16"}</definedName>
    <definedName name="출판" localSheetId="2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3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localSheetId="4" hidden="1">{#N/A,#N/A,FALSE,"지침";#N/A,#N/A,FALSE,"환경분석";#N/A,#N/A,FALSE,"Sheet16"}</definedName>
    <definedName name="출판" hidden="1">{#N/A,#N/A,FALSE,"지침";#N/A,#N/A,FALSE,"환경분석";#N/A,#N/A,FALSE,"Sheet16"}</definedName>
    <definedName name="출판차입" localSheetId="10">#REF!</definedName>
    <definedName name="출판차입" localSheetId="11">#REF!</definedName>
    <definedName name="출판차입" localSheetId="9">#REF!</definedName>
    <definedName name="출판차입" localSheetId="2">#REF!</definedName>
    <definedName name="출판차입" localSheetId="12">#REF!</definedName>
    <definedName name="출판차입" localSheetId="3">#REF!</definedName>
    <definedName name="출판차입" localSheetId="6">#REF!</definedName>
    <definedName name="출판차입" localSheetId="4">#REF!</definedName>
    <definedName name="출판차입">#REF!</definedName>
    <definedName name="출판C" localSheetId="10">#REF!</definedName>
    <definedName name="출판C" localSheetId="11">#REF!</definedName>
    <definedName name="출판C" localSheetId="9">#REF!</definedName>
    <definedName name="출판C" localSheetId="2">#REF!</definedName>
    <definedName name="출판C" localSheetId="12">#REF!</definedName>
    <definedName name="출판C" localSheetId="3">#REF!</definedName>
    <definedName name="출판C" localSheetId="6">#REF!</definedName>
    <definedName name="출판C" localSheetId="4">#REF!</definedName>
    <definedName name="출판C">#REF!</definedName>
    <definedName name="출판CF" localSheetId="10">#REF!</definedName>
    <definedName name="출판CF" localSheetId="11">#REF!</definedName>
    <definedName name="출판CF" localSheetId="9">#REF!</definedName>
    <definedName name="출판CF" localSheetId="2">#REF!</definedName>
    <definedName name="출판CF" localSheetId="12">#REF!</definedName>
    <definedName name="출판CF" localSheetId="3">#REF!</definedName>
    <definedName name="출판CF" localSheetId="6">#REF!</definedName>
    <definedName name="출판CF" localSheetId="4">#REF!</definedName>
    <definedName name="출판CF">#REF!</definedName>
    <definedName name="충남" localSheetId="10">#REF!</definedName>
    <definedName name="충남" localSheetId="11">#REF!</definedName>
    <definedName name="충남" localSheetId="9">#REF!</definedName>
    <definedName name="충남" localSheetId="2">#REF!</definedName>
    <definedName name="충남" localSheetId="12">#REF!</definedName>
    <definedName name="충남" localSheetId="3">#REF!</definedName>
    <definedName name="충남" localSheetId="6">#REF!</definedName>
    <definedName name="충남" localSheetId="4">#REF!</definedName>
    <definedName name="충남">#REF!</definedName>
    <definedName name="칠" localSheetId="10">#REF!</definedName>
    <definedName name="칠" localSheetId="11">#REF!</definedName>
    <definedName name="칠" localSheetId="9">#REF!</definedName>
    <definedName name="칠" localSheetId="2">#REF!</definedName>
    <definedName name="칠" localSheetId="12">#REF!</definedName>
    <definedName name="칠" localSheetId="3">#REF!</definedName>
    <definedName name="칠" localSheetId="6">#REF!</definedName>
    <definedName name="칠" localSheetId="4">#REF!</definedName>
    <definedName name="칠">#REF!</definedName>
    <definedName name="ㅋ" localSheetId="10">#REF!</definedName>
    <definedName name="ㅋ" localSheetId="11">#REF!</definedName>
    <definedName name="ㅋ" localSheetId="9">#REF!</definedName>
    <definedName name="ㅋ" localSheetId="2">#REF!</definedName>
    <definedName name="ㅋ" localSheetId="12">#REF!</definedName>
    <definedName name="ㅋ" localSheetId="3">#REF!</definedName>
    <definedName name="ㅋ" localSheetId="6">#REF!</definedName>
    <definedName name="ㅋ" localSheetId="4">#REF!</definedName>
    <definedName name="ㅋ">#REF!</definedName>
    <definedName name="ㅋ598" localSheetId="10">#REF!</definedName>
    <definedName name="ㅋ598" localSheetId="11">#REF!</definedName>
    <definedName name="ㅋ598" localSheetId="9">#REF!</definedName>
    <definedName name="ㅋ598" localSheetId="2">#REF!</definedName>
    <definedName name="ㅋ598" localSheetId="12">#REF!</definedName>
    <definedName name="ㅋ598" localSheetId="3">#REF!</definedName>
    <definedName name="ㅋ598" localSheetId="6">#REF!</definedName>
    <definedName name="ㅋ598" localSheetId="4">#REF!</definedName>
    <definedName name="ㅋ598">#REF!</definedName>
    <definedName name="ㅋㅇ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ㅋㅋ" localSheetId="10">#REF!</definedName>
    <definedName name="ㅋㅋㅋ" localSheetId="11">#REF!</definedName>
    <definedName name="ㅋㅋㅋ" localSheetId="9">#REF!</definedName>
    <definedName name="ㅋㅋㅋ" localSheetId="2">#REF!</definedName>
    <definedName name="ㅋㅋㅋ" localSheetId="12">#REF!</definedName>
    <definedName name="ㅋㅋㅋ" localSheetId="3">#REF!</definedName>
    <definedName name="ㅋㅋㅋ" localSheetId="6">#REF!</definedName>
    <definedName name="ㅋㅋㅋ" localSheetId="4">#REF!</definedName>
    <definedName name="ㅋㅋㅋ">#REF!</definedName>
    <definedName name="ㅋㅌㅊ" localSheetId="10" hidden="1">{#N/A,#N/A,FALSE,"지침";#N/A,#N/A,FALSE,"환경분석";#N/A,#N/A,FALSE,"Sheet16"}</definedName>
    <definedName name="ㅋㅌㅊ" localSheetId="11" hidden="1">{#N/A,#N/A,FALSE,"지침";#N/A,#N/A,FALSE,"환경분석";#N/A,#N/A,FALSE,"Sheet16"}</definedName>
    <definedName name="ㅋㅌㅊ" localSheetId="9" hidden="1">{#N/A,#N/A,FALSE,"지침";#N/A,#N/A,FALSE,"환경분석";#N/A,#N/A,FALSE,"Sheet16"}</definedName>
    <definedName name="ㅋㅌㅊ" localSheetId="1" hidden="1">{#N/A,#N/A,FALSE,"지침";#N/A,#N/A,FALSE,"환경분석";#N/A,#N/A,FALSE,"Sheet16"}</definedName>
    <definedName name="ㅋㅌㅊ" localSheetId="2" hidden="1">{#N/A,#N/A,FALSE,"지침";#N/A,#N/A,FALSE,"환경분석";#N/A,#N/A,FALSE,"Sheet16"}</definedName>
    <definedName name="ㅋㅌㅊ" localSheetId="12" hidden="1">{#N/A,#N/A,FALSE,"지침";#N/A,#N/A,FALSE,"환경분석";#N/A,#N/A,FALSE,"Sheet16"}</definedName>
    <definedName name="ㅋㅌㅊ" localSheetId="3" hidden="1">{#N/A,#N/A,FALSE,"지침";#N/A,#N/A,FALSE,"환경분석";#N/A,#N/A,FALSE,"Sheet16"}</definedName>
    <definedName name="ㅋㅌㅊ" localSheetId="6" hidden="1">{#N/A,#N/A,FALSE,"지침";#N/A,#N/A,FALSE,"환경분석";#N/A,#N/A,FALSE,"Sheet16"}</definedName>
    <definedName name="ㅋㅌㅊ" localSheetId="4" hidden="1">{#N/A,#N/A,FALSE,"지침";#N/A,#N/A,FALSE,"환경분석";#N/A,#N/A,FALSE,"Sheet16"}</definedName>
    <definedName name="ㅋㅌㅊ" hidden="1">{#N/A,#N/A,FALSE,"지침";#N/A,#N/A,FALSE,"환경분석";#N/A,#N/A,FALSE,"Sheet16"}</definedName>
    <definedName name="캐쉬" localSheetId="10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localSheetId="9" hidden="1">{#N/A,#N/A,FALSE,"지침";#N/A,#N/A,FALSE,"환경분석";#N/A,#N/A,FALSE,"Sheet16"}</definedName>
    <definedName name="캐쉬" localSheetId="1" hidden="1">{#N/A,#N/A,FALSE,"지침";#N/A,#N/A,FALSE,"환경분석";#N/A,#N/A,FALSE,"Sheet16"}</definedName>
    <definedName name="캐쉬" localSheetId="2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3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localSheetId="4" hidden="1">{#N/A,#N/A,FALSE,"지침";#N/A,#N/A,FALSE,"환경분석";#N/A,#N/A,FALSE,"Sheet16"}</definedName>
    <definedName name="캐쉬" hidden="1">{#N/A,#N/A,FALSE,"지침";#N/A,#N/A,FALSE,"환경분석";#N/A,#N/A,FALSE,"Sheet16"}</definedName>
    <definedName name="커버" localSheetId="10">[0]!_a1Z,[0]!_a2Z</definedName>
    <definedName name="커버" localSheetId="11">[0]!_a1Z,[0]!_a2Z</definedName>
    <definedName name="커버" localSheetId="9">[0]!_a1Z,[0]!_a2Z</definedName>
    <definedName name="커버" localSheetId="2">[0]!_a1Z,[0]!_a2Z</definedName>
    <definedName name="커버" localSheetId="12">[2]!_a1Z,[2]!_a2Z</definedName>
    <definedName name="커버" localSheetId="3">[2]!_a1Z,[2]!_a2Z</definedName>
    <definedName name="커버" localSheetId="6">[3]!_a1Z,[3]!_a2Z</definedName>
    <definedName name="커버" localSheetId="4">[0]!_a1Z,[0]!_a2Z</definedName>
    <definedName name="커버">[0]!_a1Z,[0]!_a2Z</definedName>
    <definedName name="코드삭제" localSheetId="10">'2.추정(긍정)'!코드삭제</definedName>
    <definedName name="코드삭제" localSheetId="11">'2.추정(부정)'!코드삭제</definedName>
    <definedName name="코드삭제" localSheetId="9">구NCP!코드삭제</definedName>
    <definedName name="코드삭제" localSheetId="2">추정!코드삭제</definedName>
    <definedName name="코드삭제" localSheetId="12">#N/A</definedName>
    <definedName name="코드삭제" localSheetId="3">#N/A</definedName>
    <definedName name="코드삭제" localSheetId="6">평정!코드삭제</definedName>
    <definedName name="코드삭제" localSheetId="4">NCP!코드삭제</definedName>
    <definedName name="코드삭제">'2.추정(긍정)'!코드삭제</definedName>
    <definedName name="코드표시" localSheetId="10">'2.추정(긍정)'!코드표시</definedName>
    <definedName name="코드표시" localSheetId="11">'2.추정(부정)'!코드표시</definedName>
    <definedName name="코드표시" localSheetId="9">구NCP!코드표시</definedName>
    <definedName name="코드표시" localSheetId="2">추정!코드표시</definedName>
    <definedName name="코드표시" localSheetId="12">#N/A</definedName>
    <definedName name="코드표시" localSheetId="3">#N/A</definedName>
    <definedName name="코드표시" localSheetId="6">평정!코드표시</definedName>
    <definedName name="코드표시" localSheetId="4">NCP!코드표시</definedName>
    <definedName name="코드표시">'2.추정(긍정)'!코드표시</definedName>
    <definedName name="ㅌㄴㅁ" localSheetId="10">'2.추정(긍정)'!ㅌㄴㅁ</definedName>
    <definedName name="ㅌㄴㅁ" localSheetId="11">'2.추정(부정)'!ㅌㄴㅁ</definedName>
    <definedName name="ㅌㄴㅁ" localSheetId="9">구NCP!ㅌㄴㅁ</definedName>
    <definedName name="ㅌㄴㅁ" localSheetId="2">추정!ㅌㄴㅁ</definedName>
    <definedName name="ㅌㄴㅁ" localSheetId="12">#N/A</definedName>
    <definedName name="ㅌㄴㅁ" localSheetId="3">#N/A</definedName>
    <definedName name="ㅌㄴㅁ" localSheetId="6">평정!ㅌㄴㅁ</definedName>
    <definedName name="ㅌㄴㅁ" localSheetId="4">NCP!ㅌㄴㅁ</definedName>
    <definedName name="ㅌㄴㅁ">'2.추정(긍정)'!ㅌㄴㅁ</definedName>
    <definedName name="ㅌㅁㄴㅌ" localSheetId="10">'2.추정(긍정)'!ㅌㅁㄴㅌ</definedName>
    <definedName name="ㅌㅁㄴㅌ" localSheetId="11">'2.추정(부정)'!ㅌㅁㄴㅌ</definedName>
    <definedName name="ㅌㅁㄴㅌ" localSheetId="9">구NCP!ㅌㅁㄴㅌ</definedName>
    <definedName name="ㅌㅁㄴㅌ" localSheetId="2">추정!ㅌㅁㄴㅌ</definedName>
    <definedName name="ㅌㅁㄴㅌ" localSheetId="12">#N/A</definedName>
    <definedName name="ㅌㅁㄴㅌ" localSheetId="3">#N/A</definedName>
    <definedName name="ㅌㅁㄴㅌ" localSheetId="6">평정!ㅌㅁㄴㅌ</definedName>
    <definedName name="ㅌㅁㄴㅌ" localSheetId="4">NCP!ㅌㅁㄴㅌ</definedName>
    <definedName name="ㅌㅁㄴㅌ">'2.추정(긍정)'!ㅌㅁㄴㅌ</definedName>
    <definedName name="ㅌㅊㅍ츄ㅌㅍㅊㅊ" localSheetId="10">#REF!</definedName>
    <definedName name="ㅌㅊㅍ츄ㅌㅍㅊㅊ" localSheetId="11">#REF!</definedName>
    <definedName name="ㅌㅊㅍ츄ㅌㅍㅊㅊ" localSheetId="9">#REF!</definedName>
    <definedName name="ㅌㅊㅍ츄ㅌㅍㅊㅊ" localSheetId="2">#REF!</definedName>
    <definedName name="ㅌㅊㅍ츄ㅌㅍㅊㅊ" localSheetId="12">#REF!</definedName>
    <definedName name="ㅌㅊㅍ츄ㅌㅍㅊㅊ" localSheetId="3">#REF!</definedName>
    <definedName name="ㅌㅊㅍ츄ㅌㅍㅊㅊ" localSheetId="6">#REF!</definedName>
    <definedName name="ㅌㅊㅍ츄ㅌㅍㅊㅊ" localSheetId="4">#REF!</definedName>
    <definedName name="ㅌㅊㅍ츄ㅌㅍㅊㅊ">#REF!</definedName>
    <definedName name="ㅌ츄츄ㅌㅊ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ㅍㅊ" localSheetId="10">#REF!</definedName>
    <definedName name="ㅌ츄츄ㅍㅊ" localSheetId="11">#REF!</definedName>
    <definedName name="ㅌ츄츄ㅍㅊ" localSheetId="9">#REF!</definedName>
    <definedName name="ㅌ츄츄ㅍㅊ" localSheetId="2">#REF!</definedName>
    <definedName name="ㅌ츄츄ㅍㅊ" localSheetId="12">#REF!</definedName>
    <definedName name="ㅌ츄츄ㅍㅊ" localSheetId="3">#REF!</definedName>
    <definedName name="ㅌ츄츄ㅍㅊ" localSheetId="6">#REF!</definedName>
    <definedName name="ㅌ츄츄ㅍㅊ" localSheetId="4">#REF!</definedName>
    <definedName name="ㅌ츄츄ㅍㅊ">#REF!</definedName>
    <definedName name="ㅌ츄ㅍㅊㅊㅊㅊㅎㅎㄹ" localSheetId="10">#REF!</definedName>
    <definedName name="ㅌ츄ㅍㅊㅊㅊㅊㅎㅎㄹ" localSheetId="11">#REF!</definedName>
    <definedName name="ㅌ츄ㅍㅊㅊㅊㅊㅎㅎㄹ" localSheetId="9">#REF!</definedName>
    <definedName name="ㅌ츄ㅍㅊㅊㅊㅊㅎㅎㄹ" localSheetId="2">#REF!</definedName>
    <definedName name="ㅌ츄ㅍㅊㅊㅊㅊㅎㅎㄹ" localSheetId="12">#REF!</definedName>
    <definedName name="ㅌ츄ㅍㅊㅊㅊㅊㅎㅎㄹ" localSheetId="3">#REF!</definedName>
    <definedName name="ㅌ츄ㅍㅊㅊㅊㅊㅎㅎㄹ" localSheetId="6">#REF!</definedName>
    <definedName name="ㅌ츄ㅍㅊㅊㅊㅊㅎㅎㄹ" localSheetId="4">#REF!</definedName>
    <definedName name="ㅌ츄ㅍㅊㅊㅊㅊㅎㅎㄹ">#REF!</definedName>
    <definedName name="ㅌ츄ㅍㅊ퓨ㅠㅊ" localSheetId="10">#REF!</definedName>
    <definedName name="ㅌ츄ㅍㅊ퓨ㅠㅊ" localSheetId="11">#REF!</definedName>
    <definedName name="ㅌ츄ㅍㅊ퓨ㅠㅊ" localSheetId="9">#REF!</definedName>
    <definedName name="ㅌ츄ㅍㅊ퓨ㅠㅊ" localSheetId="2">#REF!</definedName>
    <definedName name="ㅌ츄ㅍㅊ퓨ㅠㅊ" localSheetId="12">#REF!</definedName>
    <definedName name="ㅌ츄ㅍㅊ퓨ㅠㅊ" localSheetId="3">#REF!</definedName>
    <definedName name="ㅌ츄ㅍㅊ퓨ㅠㅊ" localSheetId="6">#REF!</definedName>
    <definedName name="ㅌ츄ㅍㅊ퓨ㅠㅊ" localSheetId="4">#REF!</definedName>
    <definedName name="ㅌ츄ㅍㅊ퓨ㅠㅊ">#REF!</definedName>
    <definedName name="태우" localSheetId="10">BlankMacro1</definedName>
    <definedName name="태우" localSheetId="11">BlankMacro1</definedName>
    <definedName name="태우" localSheetId="9">BlankMacro1</definedName>
    <definedName name="태우" localSheetId="2">BlankMacro1</definedName>
    <definedName name="태우" localSheetId="12">BlankMacro1</definedName>
    <definedName name="태우" localSheetId="3">BlankMacro1</definedName>
    <definedName name="태우" localSheetId="6">BlankMacro1</definedName>
    <definedName name="태우" localSheetId="4">BlankMacro1</definedName>
    <definedName name="태우">BlankMacro1</definedName>
    <definedName name="템플리트모듈1" localSheetId="10">BlankMacro1</definedName>
    <definedName name="템플리트모듈1" localSheetId="11">BlankMacro1</definedName>
    <definedName name="템플리트모듈1" localSheetId="9">BlankMacro1</definedName>
    <definedName name="템플리트모듈1" localSheetId="2">BlankMacro1</definedName>
    <definedName name="템플리트모듈1" localSheetId="12">BlankMacro1</definedName>
    <definedName name="템플리트모듈1" localSheetId="3">BlankMacro1</definedName>
    <definedName name="템플리트모듈1" localSheetId="6">BlankMacro1</definedName>
    <definedName name="템플리트모듈1" localSheetId="4">BlankMacro1</definedName>
    <definedName name="템플리트모듈1">BlankMacro1</definedName>
    <definedName name="템플리트모듈2" localSheetId="10">BlankMacro1</definedName>
    <definedName name="템플리트모듈2" localSheetId="11">BlankMacro1</definedName>
    <definedName name="템플리트모듈2" localSheetId="9">BlankMacro1</definedName>
    <definedName name="템플리트모듈2" localSheetId="2">BlankMacro1</definedName>
    <definedName name="템플리트모듈2" localSheetId="12">BlankMacro1</definedName>
    <definedName name="템플리트모듈2" localSheetId="3">BlankMacro1</definedName>
    <definedName name="템플리트모듈2" localSheetId="6">BlankMacro1</definedName>
    <definedName name="템플리트모듈2" localSheetId="4">BlankMacro1</definedName>
    <definedName name="템플리트모듈2">BlankMacro1</definedName>
    <definedName name="템플리트모듈3" localSheetId="10">BlankMacro1</definedName>
    <definedName name="템플리트모듈3" localSheetId="11">BlankMacro1</definedName>
    <definedName name="템플리트모듈3" localSheetId="9">BlankMacro1</definedName>
    <definedName name="템플리트모듈3" localSheetId="2">BlankMacro1</definedName>
    <definedName name="템플리트모듈3" localSheetId="12">BlankMacro1</definedName>
    <definedName name="템플리트모듈3" localSheetId="3">BlankMacro1</definedName>
    <definedName name="템플리트모듈3" localSheetId="6">BlankMacro1</definedName>
    <definedName name="템플리트모듈3" localSheetId="4">BlankMacro1</definedName>
    <definedName name="템플리트모듈3">BlankMacro1</definedName>
    <definedName name="템플리트모듈4" localSheetId="10">BlankMacro1</definedName>
    <definedName name="템플리트모듈4" localSheetId="11">BlankMacro1</definedName>
    <definedName name="템플리트모듈4" localSheetId="9">BlankMacro1</definedName>
    <definedName name="템플리트모듈4" localSheetId="2">BlankMacro1</definedName>
    <definedName name="템플리트모듈4" localSheetId="12">BlankMacro1</definedName>
    <definedName name="템플리트모듈4" localSheetId="3">BlankMacro1</definedName>
    <definedName name="템플리트모듈4" localSheetId="6">BlankMacro1</definedName>
    <definedName name="템플리트모듈4" localSheetId="4">BlankMacro1</definedName>
    <definedName name="템플리트모듈4">BlankMacro1</definedName>
    <definedName name="템플리트모듈5" localSheetId="10">BlankMacro1</definedName>
    <definedName name="템플리트모듈5" localSheetId="11">BlankMacro1</definedName>
    <definedName name="템플리트모듈5" localSheetId="9">BlankMacro1</definedName>
    <definedName name="템플리트모듈5" localSheetId="2">BlankMacro1</definedName>
    <definedName name="템플리트모듈5" localSheetId="12">BlankMacro1</definedName>
    <definedName name="템플리트모듈5" localSheetId="3">BlankMacro1</definedName>
    <definedName name="템플리트모듈5" localSheetId="6">BlankMacro1</definedName>
    <definedName name="템플리트모듈5" localSheetId="4">BlankMacro1</definedName>
    <definedName name="템플리트모듈5">BlankMacro1</definedName>
    <definedName name="템플리트모듈6" localSheetId="10">BlankMacro1</definedName>
    <definedName name="템플리트모듈6" localSheetId="11">BlankMacro1</definedName>
    <definedName name="템플리트모듈6" localSheetId="9">BlankMacro1</definedName>
    <definedName name="템플리트모듈6" localSheetId="2">BlankMacro1</definedName>
    <definedName name="템플리트모듈6" localSheetId="12">BlankMacro1</definedName>
    <definedName name="템플리트모듈6" localSheetId="3">BlankMacro1</definedName>
    <definedName name="템플리트모듈6" localSheetId="6">BlankMacro1</definedName>
    <definedName name="템플리트모듈6" localSheetId="4">BlankMacro1</definedName>
    <definedName name="템플리트모듈6">BlankMacro1</definedName>
    <definedName name="토목" localSheetId="10">#REF!</definedName>
    <definedName name="토목" localSheetId="11">#REF!</definedName>
    <definedName name="토목" localSheetId="9">#REF!</definedName>
    <definedName name="토목" localSheetId="2">#REF!</definedName>
    <definedName name="토목" localSheetId="12">#REF!</definedName>
    <definedName name="토목" localSheetId="3">#REF!</definedName>
    <definedName name="토목" localSheetId="6">#REF!</definedName>
    <definedName name="토목" localSheetId="4">#REF!</definedName>
    <definedName name="토목">#REF!</definedName>
    <definedName name="통행량" localSheetId="10">#REF!</definedName>
    <definedName name="통행량" localSheetId="11">#REF!</definedName>
    <definedName name="통행량" localSheetId="9">#REF!</definedName>
    <definedName name="통행량" localSheetId="2">#REF!</definedName>
    <definedName name="통행량" localSheetId="12">#REF!</definedName>
    <definedName name="통행량" localSheetId="3">#REF!</definedName>
    <definedName name="통행량" localSheetId="6">#REF!</definedName>
    <definedName name="통행량" localSheetId="4">#REF!</definedName>
    <definedName name="통행량">#REF!</definedName>
    <definedName name="통행량분석" localSheetId="10">#REF!</definedName>
    <definedName name="통행량분석" localSheetId="11">#REF!</definedName>
    <definedName name="통행량분석" localSheetId="9">#REF!</definedName>
    <definedName name="통행량분석" localSheetId="2">#REF!</definedName>
    <definedName name="통행량분석" localSheetId="12">#REF!</definedName>
    <definedName name="통행량분석" localSheetId="3">#REF!</definedName>
    <definedName name="통행량분석" localSheetId="6">#REF!</definedName>
    <definedName name="통행량분석" localSheetId="4">#REF!</definedName>
    <definedName name="통행량분석">#REF!</definedName>
    <definedName name="통행료" localSheetId="10">#REF!</definedName>
    <definedName name="통행료" localSheetId="11">#REF!</definedName>
    <definedName name="통행료" localSheetId="9">#REF!</definedName>
    <definedName name="통행료" localSheetId="2">#REF!</definedName>
    <definedName name="통행료" localSheetId="12">#REF!</definedName>
    <definedName name="통행료" localSheetId="3">#REF!</definedName>
    <definedName name="통행료" localSheetId="6">#REF!</definedName>
    <definedName name="통행료" localSheetId="4">#REF!</definedName>
    <definedName name="통행료">#REF!</definedName>
    <definedName name="통행료산정" localSheetId="10">#REF!</definedName>
    <definedName name="통행료산정" localSheetId="11">#REF!</definedName>
    <definedName name="통행료산정" localSheetId="9">#REF!</definedName>
    <definedName name="통행료산정" localSheetId="2">#REF!</definedName>
    <definedName name="통행료산정" localSheetId="12">#REF!</definedName>
    <definedName name="통행료산정" localSheetId="3">#REF!</definedName>
    <definedName name="통행료산정" localSheetId="6">#REF!</definedName>
    <definedName name="통행료산정" localSheetId="4">#REF!</definedName>
    <definedName name="통행료산정">#REF!</definedName>
    <definedName name="통행료수입추정" localSheetId="10">#REF!</definedName>
    <definedName name="통행료수입추정" localSheetId="11">#REF!</definedName>
    <definedName name="통행료수입추정" localSheetId="9">#REF!</definedName>
    <definedName name="통행료수입추정" localSheetId="2">#REF!</definedName>
    <definedName name="통행료수입추정" localSheetId="12">#REF!</definedName>
    <definedName name="통행료수입추정" localSheetId="3">#REF!</definedName>
    <definedName name="통행료수입추정" localSheetId="6">#REF!</definedName>
    <definedName name="통행료수입추정" localSheetId="4">#REF!</definedName>
    <definedName name="통행료수입추정">#REF!</definedName>
    <definedName name="투" localSheetId="10" hidden="1">{#N/A,#N/A,FALSE,"지침";#N/A,#N/A,FALSE,"환경분석";#N/A,#N/A,FALSE,"Sheet16"}</definedName>
    <definedName name="투" localSheetId="11" hidden="1">{#N/A,#N/A,FALSE,"지침";#N/A,#N/A,FALSE,"환경분석";#N/A,#N/A,FALSE,"Sheet16"}</definedName>
    <definedName name="투" localSheetId="9" hidden="1">{#N/A,#N/A,FALSE,"지침";#N/A,#N/A,FALSE,"환경분석";#N/A,#N/A,FALSE,"Sheet16"}</definedName>
    <definedName name="투" localSheetId="1" hidden="1">{#N/A,#N/A,FALSE,"지침";#N/A,#N/A,FALSE,"환경분석";#N/A,#N/A,FALSE,"Sheet16"}</definedName>
    <definedName name="투" localSheetId="2" hidden="1">{#N/A,#N/A,FALSE,"지침";#N/A,#N/A,FALSE,"환경분석";#N/A,#N/A,FALSE,"Sheet16"}</definedName>
    <definedName name="투" localSheetId="12" hidden="1">{#N/A,#N/A,FALSE,"지침";#N/A,#N/A,FALSE,"환경분석";#N/A,#N/A,FALSE,"Sheet16"}</definedName>
    <definedName name="투" localSheetId="3" hidden="1">{#N/A,#N/A,FALSE,"지침";#N/A,#N/A,FALSE,"환경분석";#N/A,#N/A,FALSE,"Sheet16"}</definedName>
    <definedName name="투" localSheetId="6" hidden="1">{#N/A,#N/A,FALSE,"지침";#N/A,#N/A,FALSE,"환경분석";#N/A,#N/A,FALSE,"Sheet16"}</definedName>
    <definedName name="투" localSheetId="4" hidden="1">{#N/A,#N/A,FALSE,"지침";#N/A,#N/A,FALSE,"환경분석";#N/A,#N/A,FALSE,"Sheet16"}</definedName>
    <definedName name="투" hidden="1">{#N/A,#N/A,FALSE,"지침";#N/A,#N/A,FALSE,"환경분석";#N/A,#N/A,FALSE,"Sheet16"}</definedName>
    <definedName name="투입" localSheetId="10">#REF!</definedName>
    <definedName name="투입" localSheetId="11">#REF!</definedName>
    <definedName name="투입" localSheetId="9">#REF!</definedName>
    <definedName name="투입" localSheetId="2">#REF!</definedName>
    <definedName name="투입" localSheetId="12">#REF!</definedName>
    <definedName name="투입" localSheetId="3">#REF!</definedName>
    <definedName name="투입" localSheetId="6">#REF!</definedName>
    <definedName name="투입" localSheetId="4">#REF!</definedName>
    <definedName name="투입">#REF!</definedName>
    <definedName name="투자" localSheetId="10" hidden="1">{#N/A,#N/A,FALSE,"지침";#N/A,#N/A,FALSE,"환경분석";#N/A,#N/A,FALSE,"Sheet16"}</definedName>
    <definedName name="투자" localSheetId="11" hidden="1">{#N/A,#N/A,FALSE,"지침";#N/A,#N/A,FALSE,"환경분석";#N/A,#N/A,FALSE,"Sheet16"}</definedName>
    <definedName name="투자" localSheetId="9" hidden="1">{#N/A,#N/A,FALSE,"지침";#N/A,#N/A,FALSE,"환경분석";#N/A,#N/A,FALSE,"Sheet16"}</definedName>
    <definedName name="투자" localSheetId="1" hidden="1">{#N/A,#N/A,FALSE,"지침";#N/A,#N/A,FALSE,"환경분석";#N/A,#N/A,FALSE,"Sheet16"}</definedName>
    <definedName name="투자" localSheetId="2" hidden="1">{#N/A,#N/A,FALSE,"지침";#N/A,#N/A,FALSE,"환경분석";#N/A,#N/A,FALSE,"Sheet16"}</definedName>
    <definedName name="투자" localSheetId="12" hidden="1">{#N/A,#N/A,FALSE,"지침";#N/A,#N/A,FALSE,"환경분석";#N/A,#N/A,FALSE,"Sheet16"}</definedName>
    <definedName name="투자" localSheetId="3" hidden="1">{#N/A,#N/A,FALSE,"지침";#N/A,#N/A,FALSE,"환경분석";#N/A,#N/A,FALSE,"Sheet16"}</definedName>
    <definedName name="투자" localSheetId="6" hidden="1">{#N/A,#N/A,FALSE,"지침";#N/A,#N/A,FALSE,"환경분석";#N/A,#N/A,FALSE,"Sheet16"}</definedName>
    <definedName name="투자" localSheetId="4" hidden="1">{#N/A,#N/A,FALSE,"지침";#N/A,#N/A,FALSE,"환경분석";#N/A,#N/A,FALSE,"Sheet16"}</definedName>
    <definedName name="투자" hidden="1">{#N/A,#N/A,FALSE,"지침";#N/A,#N/A,FALSE,"환경분석";#N/A,#N/A,FALSE,"Sheet16"}</definedName>
    <definedName name="투자계획" localSheetId="10" hidden="1">{#N/A,#N/A,FALSE,"지침";#N/A,#N/A,FALSE,"환경분석";#N/A,#N/A,FALSE,"Sheet16"}</definedName>
    <definedName name="투자계획" localSheetId="11" hidden="1">{#N/A,#N/A,FALSE,"지침";#N/A,#N/A,FALSE,"환경분석";#N/A,#N/A,FALSE,"Sheet16"}</definedName>
    <definedName name="투자계획" localSheetId="9" hidden="1">{#N/A,#N/A,FALSE,"지침";#N/A,#N/A,FALSE,"환경분석";#N/A,#N/A,FALSE,"Sheet16"}</definedName>
    <definedName name="투자계획" localSheetId="1" hidden="1">{#N/A,#N/A,FALSE,"지침";#N/A,#N/A,FALSE,"환경분석";#N/A,#N/A,FALSE,"Sheet16"}</definedName>
    <definedName name="투자계획" localSheetId="2" hidden="1">{#N/A,#N/A,FALSE,"지침";#N/A,#N/A,FALSE,"환경분석";#N/A,#N/A,FALSE,"Sheet16"}</definedName>
    <definedName name="투자계획" localSheetId="12" hidden="1">{#N/A,#N/A,FALSE,"지침";#N/A,#N/A,FALSE,"환경분석";#N/A,#N/A,FALSE,"Sheet16"}</definedName>
    <definedName name="투자계획" localSheetId="3" hidden="1">{#N/A,#N/A,FALSE,"지침";#N/A,#N/A,FALSE,"환경분석";#N/A,#N/A,FALSE,"Sheet16"}</definedName>
    <definedName name="투자계획" localSheetId="6" hidden="1">{#N/A,#N/A,FALSE,"지침";#N/A,#N/A,FALSE,"환경분석";#N/A,#N/A,FALSE,"Sheet16"}</definedName>
    <definedName name="투자계획" localSheetId="4" hidden="1">{#N/A,#N/A,FALSE,"지침";#N/A,#N/A,FALSE,"환경분석";#N/A,#N/A,FALSE,"Sheet16"}</definedName>
    <definedName name="투자계획" hidden="1">{#N/A,#N/A,FALSE,"지침";#N/A,#N/A,FALSE,"환경분석";#N/A,#N/A,FALSE,"Sheet16"}</definedName>
    <definedName name="튜ㅍㅊㅊㅎㅎㄹㅊㅊ" localSheetId="10">#REF!</definedName>
    <definedName name="튜ㅍㅊㅊㅎㅎㄹㅊㅊ" localSheetId="11">#REF!</definedName>
    <definedName name="튜ㅍㅊㅊㅎㅎㄹㅊㅊ" localSheetId="9">#REF!</definedName>
    <definedName name="튜ㅍㅊㅊㅎㅎㄹㅊㅊ" localSheetId="2">#REF!</definedName>
    <definedName name="튜ㅍㅊㅊㅎㅎㄹㅊㅊ" localSheetId="12">#REF!</definedName>
    <definedName name="튜ㅍㅊㅊㅎㅎㄹㅊㅊ" localSheetId="3">#REF!</definedName>
    <definedName name="튜ㅍㅊㅊㅎㅎㄹㅊㅊ" localSheetId="6">#REF!</definedName>
    <definedName name="튜ㅍㅊㅊㅎㅎㄹㅊㅊ" localSheetId="4">#REF!</definedName>
    <definedName name="튜ㅍㅊㅊㅎㅎㄹㅊㅊ">#REF!</definedName>
    <definedName name="튜ㅍㅍㅊㅊㅎㅍ" localSheetId="10">#REF!</definedName>
    <definedName name="튜ㅍㅍㅊㅊㅎㅍ" localSheetId="11">#REF!</definedName>
    <definedName name="튜ㅍㅍㅊㅊㅎㅍ" localSheetId="9">#REF!</definedName>
    <definedName name="튜ㅍㅍㅊㅊㅎㅍ" localSheetId="2">#REF!</definedName>
    <definedName name="튜ㅍㅍㅊㅊㅎㅍ" localSheetId="12">#REF!</definedName>
    <definedName name="튜ㅍㅍㅊㅊㅎㅍ" localSheetId="3">#REF!</definedName>
    <definedName name="튜ㅍㅍㅊㅊㅎㅍ" localSheetId="6">#REF!</definedName>
    <definedName name="튜ㅍㅍㅊㅊㅎㅍ" localSheetId="4">#REF!</definedName>
    <definedName name="튜ㅍㅍㅊㅊㅎㅍ">#REF!</definedName>
    <definedName name="ㅍㅊ튜ㅊ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hidden="1">{#N/A,#N/A,FALSE,"PART-1234-8-12-9(41)";#N/A,#N/A,FALSE,"PARTS-2(3)";#N/A,#N/A,FALSE,"VAN SYSTEM";#N/A,#N/A,FALSE,"PARTS-10(26)";#N/A,#N/A,FALSE,"PART-5-6-7-11(14)";#N/A,#N/A,FALSE,"PARTS-4(3)";#N/A,#N/A,FALSE,"PCLASS"}</definedName>
    <definedName name="판매가" localSheetId="10">#REF!</definedName>
    <definedName name="판매가" localSheetId="11">#REF!</definedName>
    <definedName name="판매가" localSheetId="9">#REF!</definedName>
    <definedName name="판매가" localSheetId="2">#REF!</definedName>
    <definedName name="판매가" localSheetId="12">#REF!</definedName>
    <definedName name="판매가" localSheetId="3">#REF!</definedName>
    <definedName name="판매가" localSheetId="6">#REF!</definedName>
    <definedName name="판매가" localSheetId="4">#REF!</definedName>
    <definedName name="판매가">#REF!</definedName>
    <definedName name="판매보증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팔" localSheetId="10">#REF!</definedName>
    <definedName name="팔" localSheetId="11">#REF!</definedName>
    <definedName name="팔" localSheetId="9">#REF!</definedName>
    <definedName name="팔" localSheetId="2">#REF!</definedName>
    <definedName name="팔" localSheetId="12">#REF!</definedName>
    <definedName name="팔" localSheetId="3">#REF!</definedName>
    <definedName name="팔" localSheetId="6">#REF!</definedName>
    <definedName name="팔" localSheetId="4">#REF!</definedName>
    <definedName name="팔">#REF!</definedName>
    <definedName name="평">#REF!</definedName>
    <definedName name="평정" localSheetId="10">#REF!</definedName>
    <definedName name="평정" localSheetId="11">#REF!</definedName>
    <definedName name="평정" localSheetId="9">#REF!</definedName>
    <definedName name="평정" localSheetId="2">#REF!</definedName>
    <definedName name="평정" localSheetId="12">#REF!</definedName>
    <definedName name="평정" localSheetId="3">#REF!</definedName>
    <definedName name="평정" localSheetId="6">#REF!</definedName>
    <definedName name="평정" localSheetId="4">#REF!</definedName>
    <definedName name="평정">#REF!</definedName>
    <definedName name="평형구분">#REF!</definedName>
    <definedName name="포장" localSheetId="10" hidden="1">{#N/A,#N/A,FALSE,"지침";#N/A,#N/A,FALSE,"환경분석";#N/A,#N/A,FALSE,"Sheet16"}</definedName>
    <definedName name="포장" localSheetId="11" hidden="1">{#N/A,#N/A,FALSE,"지침";#N/A,#N/A,FALSE,"환경분석";#N/A,#N/A,FALSE,"Sheet16"}</definedName>
    <definedName name="포장" localSheetId="9" hidden="1">{#N/A,#N/A,FALSE,"지침";#N/A,#N/A,FALSE,"환경분석";#N/A,#N/A,FALSE,"Sheet16"}</definedName>
    <definedName name="포장" localSheetId="1" hidden="1">{#N/A,#N/A,FALSE,"지침";#N/A,#N/A,FALSE,"환경분석";#N/A,#N/A,FALSE,"Sheet16"}</definedName>
    <definedName name="포장" localSheetId="2" hidden="1">{#N/A,#N/A,FALSE,"지침";#N/A,#N/A,FALSE,"환경분석";#N/A,#N/A,FALSE,"Sheet16"}</definedName>
    <definedName name="포장" localSheetId="12" hidden="1">{#N/A,#N/A,FALSE,"지침";#N/A,#N/A,FALSE,"환경분석";#N/A,#N/A,FALSE,"Sheet16"}</definedName>
    <definedName name="포장" localSheetId="3" hidden="1">{#N/A,#N/A,FALSE,"지침";#N/A,#N/A,FALSE,"환경분석";#N/A,#N/A,FALSE,"Sheet16"}</definedName>
    <definedName name="포장" localSheetId="6" hidden="1">{#N/A,#N/A,FALSE,"지침";#N/A,#N/A,FALSE,"환경분석";#N/A,#N/A,FALSE,"Sheet16"}</definedName>
    <definedName name="포장" localSheetId="4" hidden="1">{#N/A,#N/A,FALSE,"지침";#N/A,#N/A,FALSE,"환경분석";#N/A,#N/A,FALSE,"Sheet16"}</definedName>
    <definedName name="포장" hidden="1">{#N/A,#N/A,FALSE,"지침";#N/A,#N/A,FALSE,"환경분석";#N/A,#N/A,FALSE,"Sheet16"}</definedName>
    <definedName name="포장2월ocf" localSheetId="10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localSheetId="9" hidden="1">{#N/A,#N/A,FALSE,"지침";#N/A,#N/A,FALSE,"환경분석";#N/A,#N/A,FALSE,"Sheet16"}</definedName>
    <definedName name="포장2월ocf" localSheetId="1" hidden="1">{#N/A,#N/A,FALSE,"지침";#N/A,#N/A,FALSE,"환경분석";#N/A,#N/A,FALSE,"Sheet16"}</definedName>
    <definedName name="포장2월ocf" localSheetId="2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3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localSheetId="4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BS" localSheetId="10" hidden="1">{#N/A,#N/A,FALSE,"지침";#N/A,#N/A,FALSE,"환경분석";#N/A,#N/A,FALSE,"Sheet16"}</definedName>
    <definedName name="포장BS" localSheetId="11" hidden="1">{#N/A,#N/A,FALSE,"지침";#N/A,#N/A,FALSE,"환경분석";#N/A,#N/A,FALSE,"Sheet16"}</definedName>
    <definedName name="포장BS" localSheetId="9" hidden="1">{#N/A,#N/A,FALSE,"지침";#N/A,#N/A,FALSE,"환경분석";#N/A,#N/A,FALSE,"Sheet16"}</definedName>
    <definedName name="포장BS" localSheetId="1" hidden="1">{#N/A,#N/A,FALSE,"지침";#N/A,#N/A,FALSE,"환경분석";#N/A,#N/A,FALSE,"Sheet16"}</definedName>
    <definedName name="포장BS" localSheetId="2" hidden="1">{#N/A,#N/A,FALSE,"지침";#N/A,#N/A,FALSE,"환경분석";#N/A,#N/A,FALSE,"Sheet16"}</definedName>
    <definedName name="포장BS" localSheetId="12" hidden="1">{#N/A,#N/A,FALSE,"지침";#N/A,#N/A,FALSE,"환경분석";#N/A,#N/A,FALSE,"Sheet16"}</definedName>
    <definedName name="포장BS" localSheetId="3" hidden="1">{#N/A,#N/A,FALSE,"지침";#N/A,#N/A,FALSE,"환경분석";#N/A,#N/A,FALSE,"Sheet16"}</definedName>
    <definedName name="포장BS" localSheetId="6" hidden="1">{#N/A,#N/A,FALSE,"지침";#N/A,#N/A,FALSE,"환경분석";#N/A,#N/A,FALSE,"Sheet16"}</definedName>
    <definedName name="포장BS" localSheetId="4" hidden="1">{#N/A,#N/A,FALSE,"지침";#N/A,#N/A,FALSE,"환경분석";#N/A,#N/A,FALSE,"Sheet16"}</definedName>
    <definedName name="포장BS" hidden="1">{#N/A,#N/A,FALSE,"지침";#N/A,#N/A,FALSE,"환경분석";#N/A,#N/A,FALSE,"Sheet16"}</definedName>
    <definedName name="포장ocf" localSheetId="10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localSheetId="9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2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3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localSheetId="4" hidden="1">{#N/A,#N/A,FALSE,"지침";#N/A,#N/A,FALSE,"환경분석";#N/A,#N/A,FALSE,"Sheet16"}</definedName>
    <definedName name="포장ocf" hidden="1">{#N/A,#N/A,FALSE,"지침";#N/A,#N/A,FALSE,"환경분석";#N/A,#N/A,FALSE,"Sheet16"}</definedName>
    <definedName name="표지" localSheetId="10">[17]출금실적!#REF!</definedName>
    <definedName name="표지" localSheetId="11">[17]출금실적!#REF!</definedName>
    <definedName name="표지" localSheetId="9">[17]출금실적!#REF!</definedName>
    <definedName name="표지" localSheetId="2">[17]출금실적!#REF!</definedName>
    <definedName name="표지" localSheetId="12">[17]출금실적!#REF!</definedName>
    <definedName name="표지" localSheetId="3">[17]출금실적!#REF!</definedName>
    <definedName name="표지" localSheetId="6">[17]출금실적!#REF!</definedName>
    <definedName name="표지" localSheetId="4">[17]출금실적!#REF!</definedName>
    <definedName name="표지">[17]출금실적!#REF!</definedName>
    <definedName name="표지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프로그램.신규업체" localSheetId="10">'2.추정(긍정)'!프로그램.신규업체</definedName>
    <definedName name="프로그램.신규업체" localSheetId="11">'2.추정(부정)'!프로그램.신규업체</definedName>
    <definedName name="프로그램.신규업체" localSheetId="9">구NCP!프로그램.신규업체</definedName>
    <definedName name="프로그램.신규업체" localSheetId="2">추정!프로그램.신규업체</definedName>
    <definedName name="프로그램.신규업체" localSheetId="12">#N/A</definedName>
    <definedName name="프로그램.신규업체" localSheetId="3">#N/A</definedName>
    <definedName name="프로그램.신규업체" localSheetId="6">평정!프로그램.신규업체</definedName>
    <definedName name="프로그램.신규업체" localSheetId="4">NCP!프로그램.신규업체</definedName>
    <definedName name="프로그램.신규업체">'2.추정(긍정)'!프로그램.신규업체</definedName>
    <definedName name="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" hidden="1">{#N/A,#N/A,FALSE,"PART-1234-8-12-9(41)";#N/A,#N/A,FALSE,"PARTS-2(3)";#N/A,#N/A,FALSE,"VAN SYSTEM";#N/A,#N/A,FALSE,"PARTS-10(26)";#N/A,#N/A,FALSE,"PART-5-6-7-11(14)";#N/A,#N/A,FALSE,"PARTS-4(3)";#N/A,#N/A,FALSE,"PCLASS"}</definedName>
    <definedName name="ㅎㄴㄴ" localSheetId="10">#REF!,#REF!,#REF!,#REF!,#REF!,#REF!</definedName>
    <definedName name="ㅎㄴㄴ" localSheetId="11">#REF!,#REF!,#REF!,#REF!,#REF!,#REF!</definedName>
    <definedName name="ㅎㄴㄴ" localSheetId="9">#REF!,#REF!,#REF!,#REF!,#REF!,#REF!</definedName>
    <definedName name="ㅎㄴㄴ" localSheetId="2">#REF!,#REF!,#REF!,#REF!,#REF!,#REF!</definedName>
    <definedName name="ㅎㄴㄴ" localSheetId="12">#REF!,#REF!,#REF!,#REF!,#REF!,#REF!</definedName>
    <definedName name="ㅎㄴㄴ" localSheetId="3">#REF!,#REF!,#REF!,#REF!,#REF!,#REF!</definedName>
    <definedName name="ㅎㄴㄴ" localSheetId="6">#REF!,#REF!,#REF!,#REF!,#REF!,#REF!</definedName>
    <definedName name="ㅎㄴㄴ" localSheetId="4">#REF!,#REF!,#REF!,#REF!,#REF!,#REF!</definedName>
    <definedName name="ㅎㄴㄴ">#REF!,#REF!,#REF!,#REF!,#REF!,#REF!</definedName>
    <definedName name="ㅎㄴㄴㄴㄴㄴㄱㄷㄷ" localSheetId="10">#REF!</definedName>
    <definedName name="ㅎㄴㄴㄴㄴㄴㄱㄷㄷ" localSheetId="11">#REF!</definedName>
    <definedName name="ㅎㄴㄴㄴㄴㄴㄱㄷㄷ" localSheetId="9">#REF!</definedName>
    <definedName name="ㅎㄴㄴㄴㄴㄴㄱㄷㄷ" localSheetId="2">#REF!</definedName>
    <definedName name="ㅎㄴㄴㄴㄴㄴㄱㄷㄷ" localSheetId="12">#REF!</definedName>
    <definedName name="ㅎㄴㄴㄴㄴㄴㄱㄷㄷ" localSheetId="3">#REF!</definedName>
    <definedName name="ㅎㄴㄴㄴㄴㄴㄱㄷㄷ" localSheetId="6">#REF!</definedName>
    <definedName name="ㅎㄴㄴㄴㄴㄴㄱㄷㄷ" localSheetId="4">#REF!</definedName>
    <definedName name="ㅎㄴㄴㄴㄴㄴㄱㄷㄷ">#REF!</definedName>
    <definedName name="ㅎㄴㄴㄴㄴㅀㅇㄱㄷ" localSheetId="10">#REF!</definedName>
    <definedName name="ㅎㄴㄴㄴㄴㅀㅇㄱㄷ" localSheetId="11">#REF!</definedName>
    <definedName name="ㅎㄴㄴㄴㄴㅀㅇㄱㄷ" localSheetId="9">#REF!</definedName>
    <definedName name="ㅎㄴㄴㄴㄴㅀㅇㄱㄷ" localSheetId="2">#REF!</definedName>
    <definedName name="ㅎㄴㄴㄴㄴㅀㅇㄱㄷ" localSheetId="12">#REF!</definedName>
    <definedName name="ㅎㄴㄴㄴㄴㅀㅇㄱㄷ" localSheetId="3">#REF!</definedName>
    <definedName name="ㅎㄴㄴㄴㄴㅀㅇㄱㄷ" localSheetId="6">#REF!</definedName>
    <definedName name="ㅎㄴㄴㄴㄴㅀㅇㄱㄷ" localSheetId="4">#REF!</definedName>
    <definedName name="ㅎㄴㄴㄴㄴㅀㅇㄱㄷ">#REF!</definedName>
    <definedName name="ㅎㄴㄴㅇㅅㄱㄷ" localSheetId="10">#REF!,#REF!,#REF!,#REF!,#REF!,#REF!</definedName>
    <definedName name="ㅎㄴㄴㅇㅅㄱㄷ" localSheetId="11">#REF!,#REF!,#REF!,#REF!,#REF!,#REF!</definedName>
    <definedName name="ㅎㄴㄴㅇㅅㄱㄷ" localSheetId="9">#REF!,#REF!,#REF!,#REF!,#REF!,#REF!</definedName>
    <definedName name="ㅎㄴㄴㅇㅅㄱㄷ" localSheetId="2">#REF!,#REF!,#REF!,#REF!,#REF!,#REF!</definedName>
    <definedName name="ㅎㄴㄴㅇㅅㄱㄷ" localSheetId="12">#REF!,#REF!,#REF!,#REF!,#REF!,#REF!</definedName>
    <definedName name="ㅎㄴㄴㅇㅅㄱㄷ" localSheetId="3">#REF!,#REF!,#REF!,#REF!,#REF!,#REF!</definedName>
    <definedName name="ㅎㄴㄴㅇㅅㄱㄷ" localSheetId="6">#REF!,#REF!,#REF!,#REF!,#REF!,#REF!</definedName>
    <definedName name="ㅎㄴㄴㅇㅅㄱㄷ" localSheetId="4">#REF!,#REF!,#REF!,#REF!,#REF!,#REF!</definedName>
    <definedName name="ㅎㄴㄴㅇㅅㄱㄷ">#REF!,#REF!,#REF!,#REF!,#REF!,#REF!</definedName>
    <definedName name="ㅎㄴㄹ홀고" localSheetId="10">#REF!</definedName>
    <definedName name="ㅎㄴㄹ홀고" localSheetId="11">#REF!</definedName>
    <definedName name="ㅎㄴㄹ홀고" localSheetId="9">#REF!</definedName>
    <definedName name="ㅎㄴㄹ홀고" localSheetId="2">#REF!</definedName>
    <definedName name="ㅎㄴㄹ홀고" localSheetId="12">#REF!</definedName>
    <definedName name="ㅎㄴㄹ홀고" localSheetId="3">#REF!</definedName>
    <definedName name="ㅎㄴㄹ홀고" localSheetId="6">#REF!</definedName>
    <definedName name="ㅎㄴㄹ홀고" localSheetId="4">#REF!</definedName>
    <definedName name="ㅎㄴㄹ홀고">#REF!</definedName>
    <definedName name="ㅎㄴㄶㄷㄱ" localSheetId="10">#REF!</definedName>
    <definedName name="ㅎㄴㄶㄷㄱ" localSheetId="11">#REF!</definedName>
    <definedName name="ㅎㄴㄶㄷㄱ" localSheetId="9">#REF!</definedName>
    <definedName name="ㅎㄴㄶㄷㄱ" localSheetId="2">#REF!</definedName>
    <definedName name="ㅎㄴㄶㄷㄱ" localSheetId="12">#REF!</definedName>
    <definedName name="ㅎㄴㄶㄷㄱ" localSheetId="3">#REF!</definedName>
    <definedName name="ㅎㄴㄶㄷㄱ" localSheetId="6">#REF!</definedName>
    <definedName name="ㅎㄴㄶㄷㄱ" localSheetId="4">#REF!</definedName>
    <definedName name="ㅎㄴㄶㄷㄱ">#REF!</definedName>
    <definedName name="ㅎㄴㄶㄹㅇㅎㄴㄷㄱ" localSheetId="10">#REF!,#REF!,#REF!,#REF!</definedName>
    <definedName name="ㅎㄴㄶㄹㅇㅎㄴㄷㄱ" localSheetId="11">#REF!,#REF!,#REF!,#REF!</definedName>
    <definedName name="ㅎㄴㄶㄹㅇㅎㄴㄷㄱ" localSheetId="9">#REF!,#REF!,#REF!,#REF!</definedName>
    <definedName name="ㅎㄴㄶㄹㅇㅎㄴㄷㄱ" localSheetId="2">#REF!,#REF!,#REF!,#REF!</definedName>
    <definedName name="ㅎㄴㄶㄹㅇㅎㄴㄷㄱ" localSheetId="12">#REF!,#REF!,#REF!,#REF!</definedName>
    <definedName name="ㅎㄴㄶㄹㅇㅎㄴㄷㄱ" localSheetId="3">#REF!,#REF!,#REF!,#REF!</definedName>
    <definedName name="ㅎㄴㄶㄹㅇㅎㄴㄷㄱ" localSheetId="6">#REF!,#REF!,#REF!,#REF!</definedName>
    <definedName name="ㅎㄴㄶㄹㅇㅎㄴㄷㄱ" localSheetId="4">#REF!,#REF!,#REF!,#REF!</definedName>
    <definedName name="ㅎㄴㄶㄹㅇㅎㄴㄷㄱ">#REF!,#REF!,#REF!,#REF!</definedName>
    <definedName name="ㅎㄴㄶㄹㅀ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ㄹ" localSheetId="10" hidden="1">{#N/A,#N/A,FALSE,"지침";#N/A,#N/A,FALSE,"환경분석";#N/A,#N/A,FALSE,"Sheet16"}</definedName>
    <definedName name="ㅎㄹ" localSheetId="11" hidden="1">{#N/A,#N/A,FALSE,"지침";#N/A,#N/A,FALSE,"환경분석";#N/A,#N/A,FALSE,"Sheet16"}</definedName>
    <definedName name="ㅎㄹ" localSheetId="9" hidden="1">{#N/A,#N/A,FALSE,"지침";#N/A,#N/A,FALSE,"환경분석";#N/A,#N/A,FALSE,"Sheet16"}</definedName>
    <definedName name="ㅎㄹ" localSheetId="1" hidden="1">{#N/A,#N/A,FALSE,"지침";#N/A,#N/A,FALSE,"환경분석";#N/A,#N/A,FALSE,"Sheet16"}</definedName>
    <definedName name="ㅎㄹ" localSheetId="2" hidden="1">{#N/A,#N/A,FALSE,"지침";#N/A,#N/A,FALSE,"환경분석";#N/A,#N/A,FALSE,"Sheet16"}</definedName>
    <definedName name="ㅎㄹ" localSheetId="12" hidden="1">{#N/A,#N/A,FALSE,"지침";#N/A,#N/A,FALSE,"환경분석";#N/A,#N/A,FALSE,"Sheet16"}</definedName>
    <definedName name="ㅎㄹ" localSheetId="3" hidden="1">{#N/A,#N/A,FALSE,"지침";#N/A,#N/A,FALSE,"환경분석";#N/A,#N/A,FALSE,"Sheet16"}</definedName>
    <definedName name="ㅎㄹ" localSheetId="6" hidden="1">{#N/A,#N/A,FALSE,"지침";#N/A,#N/A,FALSE,"환경분석";#N/A,#N/A,FALSE,"Sheet16"}</definedName>
    <definedName name="ㅎㄹ" localSheetId="4" hidden="1">{#N/A,#N/A,FALSE,"지침";#N/A,#N/A,FALSE,"환경분석";#N/A,#N/A,FALSE,"Sheet16"}</definedName>
    <definedName name="ㅎㄹ" hidden="1">{#N/A,#N/A,FALSE,"지침";#N/A,#N/A,FALSE,"환경분석";#N/A,#N/A,FALSE,"Sheet16"}</definedName>
    <definedName name="ㅎㄹㅇㄶㅎㅎ" localSheetId="10">#REF!</definedName>
    <definedName name="ㅎㄹㅇㄶㅎㅎ" localSheetId="11">#REF!</definedName>
    <definedName name="ㅎㄹㅇㄶㅎㅎ" localSheetId="9">#REF!</definedName>
    <definedName name="ㅎㄹㅇㄶㅎㅎ" localSheetId="2">#REF!</definedName>
    <definedName name="ㅎㄹㅇㄶㅎㅎ" localSheetId="12">#REF!</definedName>
    <definedName name="ㅎㄹㅇㄶㅎㅎ" localSheetId="3">#REF!</definedName>
    <definedName name="ㅎㄹㅇㄶㅎㅎ" localSheetId="6">#REF!</definedName>
    <definedName name="ㅎㄹㅇㄶㅎㅎ" localSheetId="4">#REF!</definedName>
    <definedName name="ㅎㄹㅇㄶㅎㅎ">#REF!</definedName>
    <definedName name="ㅎㅎㅎㅎㄹ" localSheetId="10">#REF!</definedName>
    <definedName name="ㅎㅎㅎㅎㄹ" localSheetId="11">#REF!</definedName>
    <definedName name="ㅎㅎㅎㅎㄹ" localSheetId="9">#REF!</definedName>
    <definedName name="ㅎㅎㅎㅎㄹ" localSheetId="2">#REF!</definedName>
    <definedName name="ㅎㅎㅎㅎㄹ" localSheetId="12">#REF!</definedName>
    <definedName name="ㅎㅎㅎㅎㄹ" localSheetId="3">#REF!</definedName>
    <definedName name="ㅎㅎㅎㅎㄹ" localSheetId="6">#REF!</definedName>
    <definedName name="ㅎㅎㅎㅎㄹ" localSheetId="4">#REF!</definedName>
    <definedName name="ㅎㅎㅎㅎㄹ">#REF!</definedName>
    <definedName name="ㅎㅎㅎㄶㄹㄴㄴ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도현황" localSheetId="10">#REF!</definedName>
    <definedName name="하도현황" localSheetId="11">#REF!</definedName>
    <definedName name="하도현황" localSheetId="9">#REF!</definedName>
    <definedName name="하도현황" localSheetId="2">#REF!</definedName>
    <definedName name="하도현황" localSheetId="12">#REF!</definedName>
    <definedName name="하도현황" localSheetId="3">#REF!</definedName>
    <definedName name="하도현황" localSheetId="6">#REF!</definedName>
    <definedName name="하도현황" localSheetId="4">#REF!</definedName>
    <definedName name="하도현황">#REF!</definedName>
    <definedName name="하자보수비_pjt별" localSheetId="10">#REF!</definedName>
    <definedName name="하자보수비_pjt별" localSheetId="11">#REF!</definedName>
    <definedName name="하자보수비_pjt별" localSheetId="9">#REF!</definedName>
    <definedName name="하자보수비_pjt별" localSheetId="2">#REF!</definedName>
    <definedName name="하자보수비_pjt별" localSheetId="12">#REF!</definedName>
    <definedName name="하자보수비_pjt별" localSheetId="3">#REF!</definedName>
    <definedName name="하자보수비_pjt별" localSheetId="6">#REF!</definedName>
    <definedName name="하자보수비_pjt별" localSheetId="4">#REF!</definedName>
    <definedName name="하자보수비_pjt별">#REF!</definedName>
    <definedName name="혀ㅑ" localSheetId="10">'2.추정(긍정)'!혀ㅑ</definedName>
    <definedName name="혀ㅑ" localSheetId="11">'2.추정(부정)'!혀ㅑ</definedName>
    <definedName name="혀ㅑ" localSheetId="9">구NCP!혀ㅑ</definedName>
    <definedName name="혀ㅑ" localSheetId="2">추정!혀ㅑ</definedName>
    <definedName name="혀ㅑ" localSheetId="12">#N/A</definedName>
    <definedName name="혀ㅑ" localSheetId="3">#N/A</definedName>
    <definedName name="혀ㅑ" localSheetId="6">평정!혀ㅑ</definedName>
    <definedName name="혀ㅑ" localSheetId="4">NCP!혀ㅑ</definedName>
    <definedName name="혀ㅑ">'2.추정(긍정)'!혀ㅑ</definedName>
    <definedName name="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흐름표" localSheetId="10">#REF!</definedName>
    <definedName name="현금흐름표" localSheetId="11">#REF!</definedName>
    <definedName name="현금흐름표" localSheetId="9">#REF!</definedName>
    <definedName name="현금흐름표" localSheetId="2">#REF!</definedName>
    <definedName name="현금흐름표" localSheetId="12">#REF!</definedName>
    <definedName name="현금흐름표" localSheetId="3">#REF!</definedName>
    <definedName name="현금흐름표" localSheetId="6">#REF!</definedName>
    <definedName name="현금흐름표" localSheetId="4">#REF!</definedName>
    <definedName name="현금흐름표">#REF!</definedName>
    <definedName name="현대리바트" localSheetId="10">[21]수입!#REF!</definedName>
    <definedName name="현대리바트" localSheetId="11">[21]수입!#REF!</definedName>
    <definedName name="현대리바트" localSheetId="9">[21]수입!#REF!</definedName>
    <definedName name="현대리바트" localSheetId="2">[21]수입!#REF!</definedName>
    <definedName name="현대리바트" localSheetId="12">[22]수입!#REF!</definedName>
    <definedName name="현대리바트" localSheetId="3">[22]수입!#REF!</definedName>
    <definedName name="현대리바트" localSheetId="6">[21]수입!#REF!</definedName>
    <definedName name="현대리바트" localSheetId="4">[21]수입!#REF!</definedName>
    <definedName name="현대리바트">[21]수입!#REF!</definedName>
    <definedName name="現代綜合商事經由分" localSheetId="10">[23]월별수입!#REF!</definedName>
    <definedName name="現代綜合商事經由分" localSheetId="11">[23]월별수입!#REF!</definedName>
    <definedName name="現代綜合商事經由分" localSheetId="9">[23]월별수입!#REF!</definedName>
    <definedName name="現代綜合商事經由分" localSheetId="2">[23]월별수입!#REF!</definedName>
    <definedName name="現代綜合商事經由分" localSheetId="12">[23]월별수입!#REF!</definedName>
    <definedName name="現代綜合商事經由分" localSheetId="3">[23]월별수입!#REF!</definedName>
    <definedName name="現代綜合商事經由分" localSheetId="6">[23]월별수입!#REF!</definedName>
    <definedName name="現代綜合商事經由分" localSheetId="4">[23]월별수입!#REF!</definedName>
    <definedName name="現代綜合商事經由分">[23]월별수입!#REF!</definedName>
    <definedName name="현안" localSheetId="10">#REF!</definedName>
    <definedName name="현안" localSheetId="11">#REF!</definedName>
    <definedName name="현안" localSheetId="9">#REF!</definedName>
    <definedName name="현안" localSheetId="2">#REF!</definedName>
    <definedName name="현안" localSheetId="12">#REF!</definedName>
    <definedName name="현안" localSheetId="3">#REF!</definedName>
    <definedName name="현안" localSheetId="6">#REF!</definedName>
    <definedName name="현안" localSheetId="4">#REF!</definedName>
    <definedName name="현안">#REF!</definedName>
    <definedName name="호알ㅇ나비" localSheetId="10">BlankMacro1</definedName>
    <definedName name="호알ㅇ나비" localSheetId="11">BlankMacro1</definedName>
    <definedName name="호알ㅇ나비" localSheetId="9">BlankMacro1</definedName>
    <definedName name="호알ㅇ나비" localSheetId="2">BlankMacro1</definedName>
    <definedName name="호알ㅇ나비" localSheetId="12">BlankMacro1</definedName>
    <definedName name="호알ㅇ나비" localSheetId="3">BlankMacro1</definedName>
    <definedName name="호알ㅇ나비" localSheetId="6">BlankMacro1</definedName>
    <definedName name="호알ㅇ나비" localSheetId="4">BlankMacro1</definedName>
    <definedName name="호알ㅇ나비">BlankMacro1</definedName>
    <definedName name="환경분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청주" localSheetId="10" hidden="1">{#N/A,#N/A,FALSE,"지침";#N/A,#N/A,FALSE,"환경분석";#N/A,#N/A,FALSE,"Sheet16"}</definedName>
    <definedName name="환경분석청주" localSheetId="11" hidden="1">{#N/A,#N/A,FALSE,"지침";#N/A,#N/A,FALSE,"환경분석";#N/A,#N/A,FALSE,"Sheet16"}</definedName>
    <definedName name="환경분석청주" localSheetId="9" hidden="1">{#N/A,#N/A,FALSE,"지침";#N/A,#N/A,FALSE,"환경분석";#N/A,#N/A,FALSE,"Sheet16"}</definedName>
    <definedName name="환경분석청주" localSheetId="1" hidden="1">{#N/A,#N/A,FALSE,"지침";#N/A,#N/A,FALSE,"환경분석";#N/A,#N/A,FALSE,"Sheet16"}</definedName>
    <definedName name="환경분석청주" localSheetId="2" hidden="1">{#N/A,#N/A,FALSE,"지침";#N/A,#N/A,FALSE,"환경분석";#N/A,#N/A,FALSE,"Sheet16"}</definedName>
    <definedName name="환경분석청주" localSheetId="12" hidden="1">{#N/A,#N/A,FALSE,"지침";#N/A,#N/A,FALSE,"환경분석";#N/A,#N/A,FALSE,"Sheet16"}</definedName>
    <definedName name="환경분석청주" localSheetId="3" hidden="1">{#N/A,#N/A,FALSE,"지침";#N/A,#N/A,FALSE,"환경분석";#N/A,#N/A,FALSE,"Sheet16"}</definedName>
    <definedName name="환경분석청주" localSheetId="6" hidden="1">{#N/A,#N/A,FALSE,"지침";#N/A,#N/A,FALSE,"환경분석";#N/A,#N/A,FALSE,"Sheet16"}</definedName>
    <definedName name="환경분석청주" localSheetId="4" hidden="1">{#N/A,#N/A,FALSE,"지침";#N/A,#N/A,FALSE,"환경분석";#N/A,#N/A,FALSE,"Sheet16"}</definedName>
    <definedName name="환경분석청주" hidden="1">{#N/A,#N/A,FALSE,"지침";#N/A,#N/A,FALSE,"환경분석";#N/A,#N/A,FALSE,"Sheet16"}</definedName>
    <definedName name="환경소주2" localSheetId="10" hidden="1">{#N/A,#N/A,FALSE,"지침";#N/A,#N/A,FALSE,"환경분석";#N/A,#N/A,FALSE,"Sheet16"}</definedName>
    <definedName name="환경소주2" localSheetId="11" hidden="1">{#N/A,#N/A,FALSE,"지침";#N/A,#N/A,FALSE,"환경분석";#N/A,#N/A,FALSE,"Sheet16"}</definedName>
    <definedName name="환경소주2" localSheetId="9" hidden="1">{#N/A,#N/A,FALSE,"지침";#N/A,#N/A,FALSE,"환경분석";#N/A,#N/A,FALSE,"Sheet16"}</definedName>
    <definedName name="환경소주2" localSheetId="1" hidden="1">{#N/A,#N/A,FALSE,"지침";#N/A,#N/A,FALSE,"환경분석";#N/A,#N/A,FALSE,"Sheet16"}</definedName>
    <definedName name="환경소주2" localSheetId="2" hidden="1">{#N/A,#N/A,FALSE,"지침";#N/A,#N/A,FALSE,"환경분석";#N/A,#N/A,FALSE,"Sheet16"}</definedName>
    <definedName name="환경소주2" localSheetId="12" hidden="1">{#N/A,#N/A,FALSE,"지침";#N/A,#N/A,FALSE,"환경분석";#N/A,#N/A,FALSE,"Sheet16"}</definedName>
    <definedName name="환경소주2" localSheetId="3" hidden="1">{#N/A,#N/A,FALSE,"지침";#N/A,#N/A,FALSE,"환경분석";#N/A,#N/A,FALSE,"Sheet16"}</definedName>
    <definedName name="환경소주2" localSheetId="6" hidden="1">{#N/A,#N/A,FALSE,"지침";#N/A,#N/A,FALSE,"환경분석";#N/A,#N/A,FALSE,"Sheet16"}</definedName>
    <definedName name="환경소주2" localSheetId="4" hidden="1">{#N/A,#N/A,FALSE,"지침";#N/A,#N/A,FALSE,"환경분석";#N/A,#N/A,FALSE,"Sheet16"}</definedName>
    <definedName name="환경소주2" hidden="1">{#N/A,#N/A,FALSE,"지침";#N/A,#N/A,FALSE,"환경분석";#N/A,#N/A,FALSE,"Sheet16"}</definedName>
    <definedName name="환산율" localSheetId="10">#REF!</definedName>
    <definedName name="환산율" localSheetId="11">#REF!</definedName>
    <definedName name="환산율" localSheetId="9">#REF!</definedName>
    <definedName name="환산율" localSheetId="2">#REF!</definedName>
    <definedName name="환산율" localSheetId="12">#REF!</definedName>
    <definedName name="환산율" localSheetId="3">#REF!</definedName>
    <definedName name="환산율" localSheetId="6">#REF!</definedName>
    <definedName name="환산율" localSheetId="4">#REF!</definedName>
    <definedName name="환산율">#REF!</definedName>
    <definedName name="환율" localSheetId="10">#REF!</definedName>
    <definedName name="환율" localSheetId="11">#REF!</definedName>
    <definedName name="환율" localSheetId="9">#REF!</definedName>
    <definedName name="환율" localSheetId="2">#REF!</definedName>
    <definedName name="환율" localSheetId="12">#REF!</definedName>
    <definedName name="환율" localSheetId="3">#REF!</definedName>
    <definedName name="환율" localSheetId="6">#REF!</definedName>
    <definedName name="환율" localSheetId="4">#REF!</definedName>
    <definedName name="환율">#REF!</definedName>
    <definedName name="환율1" localSheetId="10">#REF!</definedName>
    <definedName name="환율1" localSheetId="11">#REF!</definedName>
    <definedName name="환율1" localSheetId="9">#REF!</definedName>
    <definedName name="환율1" localSheetId="2">#REF!</definedName>
    <definedName name="환율1" localSheetId="12">#REF!</definedName>
    <definedName name="환율1" localSheetId="3">#REF!</definedName>
    <definedName name="환율1" localSheetId="6">#REF!</definedName>
    <definedName name="환율1" localSheetId="4">#REF!</definedName>
    <definedName name="환율1">#REF!</definedName>
    <definedName name="황" localSheetId="10">#REF!,#REF!,#REF!,#REF!,#REF!</definedName>
    <definedName name="황" localSheetId="11">#REF!,#REF!,#REF!,#REF!,#REF!</definedName>
    <definedName name="황" localSheetId="3">#REF!,#REF!,#REF!,#REF!,#REF!</definedName>
    <definedName name="황" localSheetId="4">#REF!,#REF!,#REF!,#REF!,#REF!</definedName>
    <definedName name="황">#REF!,#REF!,#REF!,#REF!,#REF!</definedName>
    <definedName name="회사채2년" localSheetId="10">#REF!</definedName>
    <definedName name="회사채2년" localSheetId="11">#REF!</definedName>
    <definedName name="회사채2년" localSheetId="9">#REF!</definedName>
    <definedName name="회사채2년" localSheetId="2">#REF!</definedName>
    <definedName name="회사채2년" localSheetId="12">#REF!</definedName>
    <definedName name="회사채2년" localSheetId="3">#REF!</definedName>
    <definedName name="회사채2년" localSheetId="6">#REF!</definedName>
    <definedName name="회사채2년" localSheetId="4">#REF!</definedName>
    <definedName name="회사채2년">#REF!</definedName>
    <definedName name="회사채3년" localSheetId="10">#REF!</definedName>
    <definedName name="회사채3년" localSheetId="11">#REF!</definedName>
    <definedName name="회사채3년" localSheetId="9">#REF!</definedName>
    <definedName name="회사채3년" localSheetId="2">#REF!</definedName>
    <definedName name="회사채3년" localSheetId="12">#REF!</definedName>
    <definedName name="회사채3년" localSheetId="3">#REF!</definedName>
    <definedName name="회사채3년" localSheetId="6">#REF!</definedName>
    <definedName name="회사채3년" localSheetId="4">#REF!</definedName>
    <definedName name="회사채3년">#REF!</definedName>
    <definedName name="회의록4" localSheetId="10">BlankMacro1</definedName>
    <definedName name="회의록4" localSheetId="11">BlankMacro1</definedName>
    <definedName name="회의록4" localSheetId="9">BlankMacro1</definedName>
    <definedName name="회의록4" localSheetId="2">BlankMacro1</definedName>
    <definedName name="회의록4" localSheetId="12">BlankMacro1</definedName>
    <definedName name="회의록4" localSheetId="3">BlankMacro1</definedName>
    <definedName name="회의록4" localSheetId="6">BlankMacro1</definedName>
    <definedName name="회의록4" localSheetId="4">BlankMacro1</definedName>
    <definedName name="회의록4">BlankMacro1</definedName>
    <definedName name="훈" hidden="1">255</definedName>
    <definedName name="후랄ㄹ라라" localSheetId="10">BlankMacro1</definedName>
    <definedName name="후랄ㄹ라라" localSheetId="11">BlankMacro1</definedName>
    <definedName name="후랄ㄹ라라" localSheetId="9">BlankMacro1</definedName>
    <definedName name="후랄ㄹ라라" localSheetId="2">BlankMacro1</definedName>
    <definedName name="후랄ㄹ라라" localSheetId="12">BlankMacro1</definedName>
    <definedName name="후랄ㄹ라라" localSheetId="3">BlankMacro1</definedName>
    <definedName name="후랄ㄹ라라" localSheetId="6">BlankMacro1</definedName>
    <definedName name="후랄ㄹ라라" localSheetId="4">BlankMacro1</definedName>
    <definedName name="후랄ㄹ라라">BlankMacro1</definedName>
    <definedName name="히" localSheetId="10">'2.추정(긍정)'!히</definedName>
    <definedName name="히" localSheetId="11">'2.추정(부정)'!히</definedName>
    <definedName name="히" localSheetId="9">구NCP!히</definedName>
    <definedName name="히" localSheetId="2">추정!히</definedName>
    <definedName name="히" localSheetId="12">#N/A</definedName>
    <definedName name="히" localSheetId="3">#N/A</definedName>
    <definedName name="히" localSheetId="6">평정!히</definedName>
    <definedName name="히" localSheetId="4">NCP!히</definedName>
    <definedName name="히">'2.추정(긍정)'!히</definedName>
    <definedName name="ㅎㄶㅎㅎㅇㅎㄶ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hidden="1">{#N/A,#N/A,FALSE,"PART-1234-8-12-9(41)";#N/A,#N/A,FALSE,"PARTS-2(3)";#N/A,#N/A,FALSE,"VAN SYSTEM";#N/A,#N/A,FALSE,"PARTS-10(26)";#N/A,#N/A,FALSE,"PART-5-6-7-11(14)";#N/A,#N/A,FALSE,"PARTS-4(3)";#N/A,#N/A,FALSE,"PCLASS"}</definedName>
    <definedName name="ㅎㄶㅀㄹ" localSheetId="10">#REF!</definedName>
    <definedName name="ㅎㄶㅀㄹ" localSheetId="11">#REF!</definedName>
    <definedName name="ㅎㄶㅀㄹ" localSheetId="9">#REF!</definedName>
    <definedName name="ㅎㄶㅀㄹ" localSheetId="2">#REF!</definedName>
    <definedName name="ㅎㄶㅀㄹ" localSheetId="12">#REF!</definedName>
    <definedName name="ㅎㄶㅀㄹ" localSheetId="3">#REF!</definedName>
    <definedName name="ㅎㄶㅀㄹ" localSheetId="6">#REF!</definedName>
    <definedName name="ㅎㄶㅀㄹ" localSheetId="4">#REF!</definedName>
    <definedName name="ㅎㄶㅀㄹ">#REF!</definedName>
    <definedName name="ㅀ" localSheetId="10">BlankMacro1</definedName>
    <definedName name="ㅀ" localSheetId="11">BlankMacro1</definedName>
    <definedName name="ㅀ" localSheetId="9">BlankMacro1</definedName>
    <definedName name="ㅀ" localSheetId="2">BlankMacro1</definedName>
    <definedName name="ㅀ" localSheetId="12">BlankMacro1</definedName>
    <definedName name="ㅀ" localSheetId="3">BlankMacro1</definedName>
    <definedName name="ㅀ" localSheetId="6">BlankMacro1</definedName>
    <definedName name="ㅀ" localSheetId="4">BlankMacro1</definedName>
    <definedName name="ㅀ">BlankMacro1</definedName>
    <definedName name="ㅀㅀㅀㅀㅀ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hidden="1">{#N/A,#N/A,FALSE,"PART-1234-8-12-9(41)";#N/A,#N/A,FALSE,"PARTS-2(3)";#N/A,#N/A,FALSE,"VAN SYSTEM";#N/A,#N/A,FALSE,"PARTS-10(26)";#N/A,#N/A,FALSE,"PART-5-6-7-11(14)";#N/A,#N/A,FALSE,"PARTS-4(3)";#N/A,#N/A,FALSE,"PCLASS"}</definedName>
    <definedName name="ㅏ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ㅐㅐ" localSheetId="10" hidden="1">{#N/A,#N/A,FALSE,"지침";#N/A,#N/A,FALSE,"환경분석";#N/A,#N/A,FALSE,"Sheet16"}</definedName>
    <definedName name="ㅐㅐㅐ" localSheetId="11" hidden="1">{#N/A,#N/A,FALSE,"지침";#N/A,#N/A,FALSE,"환경분석";#N/A,#N/A,FALSE,"Sheet16"}</definedName>
    <definedName name="ㅐㅐㅐ" localSheetId="9" hidden="1">{#N/A,#N/A,FALSE,"지침";#N/A,#N/A,FALSE,"환경분석";#N/A,#N/A,FALSE,"Sheet16"}</definedName>
    <definedName name="ㅐㅐㅐ" localSheetId="1" hidden="1">{#N/A,#N/A,FALSE,"지침";#N/A,#N/A,FALSE,"환경분석";#N/A,#N/A,FALSE,"Sheet16"}</definedName>
    <definedName name="ㅐㅐㅐ" localSheetId="2" hidden="1">{#N/A,#N/A,FALSE,"지침";#N/A,#N/A,FALSE,"환경분석";#N/A,#N/A,FALSE,"Sheet16"}</definedName>
    <definedName name="ㅐㅐㅐ" localSheetId="12" hidden="1">{#N/A,#N/A,FALSE,"지침";#N/A,#N/A,FALSE,"환경분석";#N/A,#N/A,FALSE,"Sheet16"}</definedName>
    <definedName name="ㅐㅐㅐ" localSheetId="3" hidden="1">{#N/A,#N/A,FALSE,"지침";#N/A,#N/A,FALSE,"환경분석";#N/A,#N/A,FALSE,"Sheet16"}</definedName>
    <definedName name="ㅐㅐㅐ" localSheetId="6" hidden="1">{#N/A,#N/A,FALSE,"지침";#N/A,#N/A,FALSE,"환경분석";#N/A,#N/A,FALSE,"Sheet16"}</definedName>
    <definedName name="ㅐㅐㅐ" localSheetId="4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ㅑㅐㅔ" localSheetId="10">#REF!</definedName>
    <definedName name="ㅐㅑㅐㅔ" localSheetId="11">#REF!</definedName>
    <definedName name="ㅐㅑㅐㅔ" localSheetId="9">#REF!</definedName>
    <definedName name="ㅐㅑㅐㅔ" localSheetId="2">#REF!</definedName>
    <definedName name="ㅐㅑㅐㅔ" localSheetId="12">#REF!</definedName>
    <definedName name="ㅐㅑㅐㅔ" localSheetId="3">#REF!</definedName>
    <definedName name="ㅐㅑㅐㅔ" localSheetId="6">#REF!</definedName>
    <definedName name="ㅐㅑㅐㅔ" localSheetId="4">#REF!</definedName>
    <definedName name="ㅐㅑㅐㅔ">#REF!</definedName>
    <definedName name="ㅑ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ㅕㅣ" localSheetId="10">'2.추정(긍정)'!ㅑㅕㅣ</definedName>
    <definedName name="ㅑㅕㅣ" localSheetId="11">'2.추정(부정)'!ㅑㅕㅣ</definedName>
    <definedName name="ㅑㅕㅣ" localSheetId="9">구NCP!ㅑㅕㅣ</definedName>
    <definedName name="ㅑㅕㅣ" localSheetId="2">추정!ㅑㅕㅣ</definedName>
    <definedName name="ㅑㅕㅣ" localSheetId="12">#N/A</definedName>
    <definedName name="ㅑㅕㅣ" localSheetId="3">#N/A</definedName>
    <definedName name="ㅑㅕㅣ" localSheetId="6">평정!ㅑㅕㅣ</definedName>
    <definedName name="ㅑㅕㅣ" localSheetId="4">NCP!ㅑㅕㅣ</definedName>
    <definedName name="ㅑㅕㅣ">'2.추정(긍정)'!ㅑㅕㅣ</definedName>
    <definedName name="ㅓ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ㄱ묘" localSheetId="10">'2.추정(긍정)'!ㅓㄱ묘</definedName>
    <definedName name="ㅓㄱ묘" localSheetId="11">'2.추정(부정)'!ㅓㄱ묘</definedName>
    <definedName name="ㅓㄱ묘" localSheetId="9">구NCP!ㅓㄱ묘</definedName>
    <definedName name="ㅓㄱ묘" localSheetId="2">추정!ㅓㄱ묘</definedName>
    <definedName name="ㅓㄱ묘" localSheetId="12">#N/A</definedName>
    <definedName name="ㅓㄱ묘" localSheetId="3">#N/A</definedName>
    <definedName name="ㅓㄱ묘" localSheetId="6">평정!ㅓㄱ묘</definedName>
    <definedName name="ㅓㄱ묘" localSheetId="4">NCP!ㅓㄱ묘</definedName>
    <definedName name="ㅓㄱ묘">'2.추정(긍정)'!ㅓㄱ묘</definedName>
    <definedName name="ㅓㅁㅎ퍅ㅇ노ㅓ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hidden="1">{#N/A,#N/A,FALSE,"PART-1234-8-12-9(41)";#N/A,#N/A,FALSE,"PARTS-2(3)";#N/A,#N/A,FALSE,"VAN SYSTEM";#N/A,#N/A,FALSE,"PARTS-10(26)";#N/A,#N/A,FALSE,"PART-5-6-7-11(14)";#N/A,#N/A,FALSE,"PARTS-4(3)";#N/A,#N/A,FALSE,"PCLASS"}</definedName>
    <definedName name="ㅓㅏㅏ" localSheetId="10">#REF!</definedName>
    <definedName name="ㅓㅏㅏ" localSheetId="11">#REF!</definedName>
    <definedName name="ㅓㅏㅏ" localSheetId="9">#REF!</definedName>
    <definedName name="ㅓㅏㅏ" localSheetId="2">#REF!</definedName>
    <definedName name="ㅓㅏㅏ" localSheetId="12">#REF!</definedName>
    <definedName name="ㅓㅏㅏ" localSheetId="3">#REF!</definedName>
    <definedName name="ㅓㅏㅏ" localSheetId="6">#REF!</definedName>
    <definedName name="ㅓㅏㅏ" localSheetId="4">#REF!</definedName>
    <definedName name="ㅓㅏㅏ">#REF!</definedName>
    <definedName name="ㅓㅏㅣ" localSheetId="10">#REF!</definedName>
    <definedName name="ㅓㅏㅣ" localSheetId="11">#REF!</definedName>
    <definedName name="ㅓㅏㅣ" localSheetId="9">#REF!</definedName>
    <definedName name="ㅓㅏㅣ" localSheetId="2">#REF!</definedName>
    <definedName name="ㅓㅏㅣ" localSheetId="12">#REF!</definedName>
    <definedName name="ㅓㅏㅣ" localSheetId="3">#REF!</definedName>
    <definedName name="ㅓㅏㅣ" localSheetId="6">#REF!</definedName>
    <definedName name="ㅓㅏㅣ" localSheetId="4">#REF!</definedName>
    <definedName name="ㅓㅏㅣ">#REF!</definedName>
    <definedName name="ㅓㅏㅣㅓ" localSheetId="10">#REF!</definedName>
    <definedName name="ㅓㅏㅣㅓ" localSheetId="11">#REF!</definedName>
    <definedName name="ㅓㅏㅣㅓ" localSheetId="9">#REF!</definedName>
    <definedName name="ㅓㅏㅣㅓ" localSheetId="2">#REF!</definedName>
    <definedName name="ㅓㅏㅣㅓ" localSheetId="12">#REF!</definedName>
    <definedName name="ㅓㅏㅣㅓ" localSheetId="3">#REF!</definedName>
    <definedName name="ㅓㅏㅣㅓ" localSheetId="6">#REF!</definedName>
    <definedName name="ㅓㅏㅣㅓ" localSheetId="4">#REF!</definedName>
    <definedName name="ㅓㅏㅣㅓ">#REF!</definedName>
    <definedName name="ㅓㅓㅓ">[0]!ㅓㅓㅓ</definedName>
    <definedName name="ㅓㅛㄱ" localSheetId="10">'2.추정(긍정)'!ㅓㅛㄱ</definedName>
    <definedName name="ㅓㅛㄱ" localSheetId="11">'2.추정(부정)'!ㅓㅛㄱ</definedName>
    <definedName name="ㅓㅛㄱ" localSheetId="9">구NCP!ㅓㅛㄱ</definedName>
    <definedName name="ㅓㅛㄱ" localSheetId="2">추정!ㅓㅛㄱ</definedName>
    <definedName name="ㅓㅛㄱ" localSheetId="12">#N/A</definedName>
    <definedName name="ㅓㅛㄱ" localSheetId="3">#N/A</definedName>
    <definedName name="ㅓㅛㄱ" localSheetId="6">평정!ㅓㅛㄱ</definedName>
    <definedName name="ㅓㅛㄱ" localSheetId="4">NCP!ㅓㅛㄱ</definedName>
    <definedName name="ㅓㅛㄱ">'2.추정(긍정)'!ㅓㅛㄱ</definedName>
    <definedName name="ㅓㅛㄱ너" localSheetId="10">'2.추정(긍정)'!ㅓㅛㄱ너</definedName>
    <definedName name="ㅓㅛㄱ너" localSheetId="11">'2.추정(부정)'!ㅓㅛㄱ너</definedName>
    <definedName name="ㅓㅛㄱ너" localSheetId="9">구NCP!ㅓㅛㄱ너</definedName>
    <definedName name="ㅓㅛㄱ너" localSheetId="2">추정!ㅓㅛㄱ너</definedName>
    <definedName name="ㅓㅛㄱ너" localSheetId="12">#N/A</definedName>
    <definedName name="ㅓㅛㄱ너" localSheetId="3">#N/A</definedName>
    <definedName name="ㅓㅛㄱ너" localSheetId="6">평정!ㅓㅛㄱ너</definedName>
    <definedName name="ㅓㅛㄱ너" localSheetId="4">NCP!ㅓㅛㄱ너</definedName>
    <definedName name="ㅓㅛㄱ너">'2.추정(긍정)'!ㅓㅛㄱ너</definedName>
    <definedName name="ㅔ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ㅔ" hidden="1">{#N/A,#N/A,FALSE,"PART-1234-8-12-9(41)";#N/A,#N/A,FALSE,"PARTS-2(3)";#N/A,#N/A,FALSE,"VAN SYSTEM";#N/A,#N/A,FALSE,"PARTS-10(26)";#N/A,#N/A,FALSE,"PART-5-6-7-11(14)";#N/A,#N/A,FALSE,"PARTS-4(3)";#N/A,#N/A,FALSE,"PCLASS"}</definedName>
    <definedName name="ㅔㅔㅔ" localSheetId="10" hidden="1">{#N/A,#N/A,FALSE,"지침";#N/A,#N/A,FALSE,"환경분석";#N/A,#N/A,FALSE,"Sheet16"}</definedName>
    <definedName name="ㅔㅔㅔ" localSheetId="11" hidden="1">{#N/A,#N/A,FALSE,"지침";#N/A,#N/A,FALSE,"환경분석";#N/A,#N/A,FALSE,"Sheet16"}</definedName>
    <definedName name="ㅔㅔㅔ" localSheetId="9" hidden="1">{#N/A,#N/A,FALSE,"지침";#N/A,#N/A,FALSE,"환경분석";#N/A,#N/A,FALSE,"Sheet16"}</definedName>
    <definedName name="ㅔㅔㅔ" localSheetId="1" hidden="1">{#N/A,#N/A,FALSE,"지침";#N/A,#N/A,FALSE,"환경분석";#N/A,#N/A,FALSE,"Sheet16"}</definedName>
    <definedName name="ㅔㅔㅔ" localSheetId="2" hidden="1">{#N/A,#N/A,FALSE,"지침";#N/A,#N/A,FALSE,"환경분석";#N/A,#N/A,FALSE,"Sheet16"}</definedName>
    <definedName name="ㅔㅔㅔ" localSheetId="12" hidden="1">{#N/A,#N/A,FALSE,"지침";#N/A,#N/A,FALSE,"환경분석";#N/A,#N/A,FALSE,"Sheet16"}</definedName>
    <definedName name="ㅔㅔㅔ" localSheetId="3" hidden="1">{#N/A,#N/A,FALSE,"지침";#N/A,#N/A,FALSE,"환경분석";#N/A,#N/A,FALSE,"Sheet16"}</definedName>
    <definedName name="ㅔㅔㅔ" localSheetId="6" hidden="1">{#N/A,#N/A,FALSE,"지침";#N/A,#N/A,FALSE,"환경분석";#N/A,#N/A,FALSE,"Sheet16"}</definedName>
    <definedName name="ㅔㅔㅔ" localSheetId="4" hidden="1">{#N/A,#N/A,FALSE,"지침";#N/A,#N/A,FALSE,"환경분석";#N/A,#N/A,FALSE,"Sheet16"}</definedName>
    <definedName name="ㅔㅔㅔ" hidden="1">{#N/A,#N/A,FALSE,"지침";#N/A,#N/A,FALSE,"환경분석";#N/A,#N/A,FALSE,"Sheet16"}</definedName>
    <definedName name="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" hidden="1">{#N/A,#N/A,FALSE,"PART-1234-8-12-9(41)";#N/A,#N/A,FALSE,"PARTS-2(3)";#N/A,#N/A,FALSE,"VAN SYSTEM";#N/A,#N/A,FALSE,"PARTS-10(26)";#N/A,#N/A,FALSE,"PART-5-6-7-11(14)";#N/A,#N/A,FALSE,"PARTS-4(3)";#N/A,#N/A,FALSE,"PCLASS"}</definedName>
    <definedName name="ㅕ해" localSheetId="10" hidden="1">{#N/A,#N/A,FALSE,"지침";#N/A,#N/A,FALSE,"환경분석";#N/A,#N/A,FALSE,"Sheet16"}</definedName>
    <definedName name="ㅕ해" localSheetId="11" hidden="1">{#N/A,#N/A,FALSE,"지침";#N/A,#N/A,FALSE,"환경분석";#N/A,#N/A,FALSE,"Sheet16"}</definedName>
    <definedName name="ㅕ해" localSheetId="9" hidden="1">{#N/A,#N/A,FALSE,"지침";#N/A,#N/A,FALSE,"환경분석";#N/A,#N/A,FALSE,"Sheet16"}</definedName>
    <definedName name="ㅕ해" localSheetId="1" hidden="1">{#N/A,#N/A,FALSE,"지침";#N/A,#N/A,FALSE,"환경분석";#N/A,#N/A,FALSE,"Sheet16"}</definedName>
    <definedName name="ㅕ해" localSheetId="2" hidden="1">{#N/A,#N/A,FALSE,"지침";#N/A,#N/A,FALSE,"환경분석";#N/A,#N/A,FALSE,"Sheet16"}</definedName>
    <definedName name="ㅕ해" localSheetId="12" hidden="1">{#N/A,#N/A,FALSE,"지침";#N/A,#N/A,FALSE,"환경분석";#N/A,#N/A,FALSE,"Sheet16"}</definedName>
    <definedName name="ㅕ해" localSheetId="3" hidden="1">{#N/A,#N/A,FALSE,"지침";#N/A,#N/A,FALSE,"환경분석";#N/A,#N/A,FALSE,"Sheet16"}</definedName>
    <definedName name="ㅕ해" localSheetId="6" hidden="1">{#N/A,#N/A,FALSE,"지침";#N/A,#N/A,FALSE,"환경분석";#N/A,#N/A,FALSE,"Sheet16"}</definedName>
    <definedName name="ㅕ해" localSheetId="4" hidden="1">{#N/A,#N/A,FALSE,"지침";#N/A,#N/A,FALSE,"환경분석";#N/A,#N/A,FALSE,"Sheet16"}</definedName>
    <definedName name="ㅕ해" hidden="1">{#N/A,#N/A,FALSE,"지침";#N/A,#N/A,FALSE,"환경분석";#N/A,#N/A,FALSE,"Sheet16"}</definedName>
    <definedName name="ㅕㅕ" localSheetId="10">#REF!</definedName>
    <definedName name="ㅕㅕ" localSheetId="11">#REF!</definedName>
    <definedName name="ㅕㅕ" localSheetId="9">#REF!</definedName>
    <definedName name="ㅕㅕ" localSheetId="2">#REF!</definedName>
    <definedName name="ㅕㅕ" localSheetId="12">#REF!</definedName>
    <definedName name="ㅕㅕ" localSheetId="3">#REF!</definedName>
    <definedName name="ㅕㅕ" localSheetId="6">#REF!</definedName>
    <definedName name="ㅕㅕ" localSheetId="4">#REF!</definedName>
    <definedName name="ㅕㅕ">#REF!</definedName>
    <definedName name="ㅕㅕ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hidden="1">{#N/A,#N/A,FALSE,"PART-1234-8-12-9(41)";#N/A,#N/A,FALSE,"PARTS-2(3)";#N/A,#N/A,FALSE,"VAN SYSTEM";#N/A,#N/A,FALSE,"PARTS-10(26)";#N/A,#N/A,FALSE,"PART-5-6-7-11(14)";#N/A,#N/A,FALSE,"PARTS-4(3)";#N/A,#N/A,FALSE,"PCLASS"}</definedName>
    <definedName name="ㅕㅛ" localSheetId="10" hidden="1">{#N/A,#N/A,FALSE,"지침";#N/A,#N/A,FALSE,"환경분석";#N/A,#N/A,FALSE,"Sheet16"}</definedName>
    <definedName name="ㅕㅛ" localSheetId="11" hidden="1">{#N/A,#N/A,FALSE,"지침";#N/A,#N/A,FALSE,"환경분석";#N/A,#N/A,FALSE,"Sheet16"}</definedName>
    <definedName name="ㅕㅛ" localSheetId="9" hidden="1">{#N/A,#N/A,FALSE,"지침";#N/A,#N/A,FALSE,"환경분석";#N/A,#N/A,FALSE,"Sheet16"}</definedName>
    <definedName name="ㅕㅛ" localSheetId="1" hidden="1">{#N/A,#N/A,FALSE,"지침";#N/A,#N/A,FALSE,"환경분석";#N/A,#N/A,FALSE,"Sheet16"}</definedName>
    <definedName name="ㅕㅛ" localSheetId="2" hidden="1">{#N/A,#N/A,FALSE,"지침";#N/A,#N/A,FALSE,"환경분석";#N/A,#N/A,FALSE,"Sheet16"}</definedName>
    <definedName name="ㅕㅛ" localSheetId="12" hidden="1">{#N/A,#N/A,FALSE,"지침";#N/A,#N/A,FALSE,"환경분석";#N/A,#N/A,FALSE,"Sheet16"}</definedName>
    <definedName name="ㅕㅛ" localSheetId="3" hidden="1">{#N/A,#N/A,FALSE,"지침";#N/A,#N/A,FALSE,"환경분석";#N/A,#N/A,FALSE,"Sheet16"}</definedName>
    <definedName name="ㅕㅛ" localSheetId="6" hidden="1">{#N/A,#N/A,FALSE,"지침";#N/A,#N/A,FALSE,"환경분석";#N/A,#N/A,FALSE,"Sheet16"}</definedName>
    <definedName name="ㅕㅛ" localSheetId="4" hidden="1">{#N/A,#N/A,FALSE,"지침";#N/A,#N/A,FALSE,"환경분석";#N/A,#N/A,FALSE,"Sheet16"}</definedName>
    <definedName name="ㅕㅛ" hidden="1">{#N/A,#N/A,FALSE,"지침";#N/A,#N/A,FALSE,"환경분석";#N/A,#N/A,FALSE,"Sheet16"}</definedName>
    <definedName name="ㅗ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ㄱㄷ고ㅗ" localSheetId="10">'2.추정(긍정)'!ㅗㄱㄷ고ㅗ</definedName>
    <definedName name="ㅗㄱㄷ고ㅗ" localSheetId="11">'2.추정(부정)'!ㅗㄱㄷ고ㅗ</definedName>
    <definedName name="ㅗㄱㄷ고ㅗ" localSheetId="9">구NCP!ㅗㄱㄷ고ㅗ</definedName>
    <definedName name="ㅗㄱㄷ고ㅗ" localSheetId="2">추정!ㅗㄱㄷ고ㅗ</definedName>
    <definedName name="ㅗㄱㄷ고ㅗ" localSheetId="12">#N/A</definedName>
    <definedName name="ㅗㄱㄷ고ㅗ" localSheetId="3">#N/A</definedName>
    <definedName name="ㅗㄱㄷ고ㅗ" localSheetId="6">평정!ㅗㄱㄷ고ㅗ</definedName>
    <definedName name="ㅗㄱㄷ고ㅗ" localSheetId="4">NCP!ㅗㄱㄷ고ㅗ</definedName>
    <definedName name="ㅗㄱㄷ고ㅗ">'2.추정(긍정)'!ㅗㄱㄷ고ㅗ</definedName>
    <definedName name="ㅗㅗㅇ" localSheetId="10">#REF!</definedName>
    <definedName name="ㅗㅗㅇ" localSheetId="11">#REF!</definedName>
    <definedName name="ㅗㅗㅇ" localSheetId="9">#REF!</definedName>
    <definedName name="ㅗㅗㅇ" localSheetId="2">#REF!</definedName>
    <definedName name="ㅗㅗㅇ" localSheetId="12">#REF!</definedName>
    <definedName name="ㅗㅗㅇ" localSheetId="3">#REF!</definedName>
    <definedName name="ㅗㅗㅇ" localSheetId="6">#REF!</definedName>
    <definedName name="ㅗㅗㅇ" localSheetId="4">#REF!</definedName>
    <definedName name="ㅗㅗㅇ">#REF!</definedName>
    <definedName name="ㅛ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선교ㅓ" localSheetId="10">'2.추정(긍정)'!ㅛ선교ㅓ</definedName>
    <definedName name="ㅛ선교ㅓ" localSheetId="11">'2.추정(부정)'!ㅛ선교ㅓ</definedName>
    <definedName name="ㅛ선교ㅓ" localSheetId="9">구NCP!ㅛ선교ㅓ</definedName>
    <definedName name="ㅛ선교ㅓ" localSheetId="2">추정!ㅛ선교ㅓ</definedName>
    <definedName name="ㅛ선교ㅓ" localSheetId="12">#N/A</definedName>
    <definedName name="ㅛ선교ㅓ" localSheetId="3">#N/A</definedName>
    <definedName name="ㅛ선교ㅓ" localSheetId="6">평정!ㅛ선교ㅓ</definedName>
    <definedName name="ㅛ선교ㅓ" localSheetId="4">NCP!ㅛ선교ㅓ</definedName>
    <definedName name="ㅛ선교ㅓ">'2.추정(긍정)'!ㅛ선교ㅓ</definedName>
    <definedName name="ㅜ" localSheetId="10">'[6]9-1차이내역'!#REF!</definedName>
    <definedName name="ㅜ" localSheetId="11">'[6]9-1차이내역'!#REF!</definedName>
    <definedName name="ㅜ" localSheetId="9">'[6]9-1차이내역'!#REF!</definedName>
    <definedName name="ㅜ" localSheetId="2">'[6]9-1차이내역'!#REF!</definedName>
    <definedName name="ㅜ" localSheetId="12">'[6]9-1차이내역'!#REF!</definedName>
    <definedName name="ㅜ" localSheetId="3">'[6]9-1차이내역'!#REF!</definedName>
    <definedName name="ㅜ" localSheetId="6">'[6]9-1차이내역'!#REF!</definedName>
    <definedName name="ㅜ" localSheetId="4">'[6]9-1차이내역'!#REF!</definedName>
    <definedName name="ㅜ">'[6]9-1차이내역'!#REF!</definedName>
    <definedName name="ㅜㅅ뇨ㅜㅋ" localSheetId="10">'2.추정(긍정)'!ㅜㅅ뇨ㅜㅋ</definedName>
    <definedName name="ㅜㅅ뇨ㅜㅋ" localSheetId="11">'2.추정(부정)'!ㅜㅅ뇨ㅜㅋ</definedName>
    <definedName name="ㅜㅅ뇨ㅜㅋ" localSheetId="9">구NCP!ㅜㅅ뇨ㅜㅋ</definedName>
    <definedName name="ㅜㅅ뇨ㅜㅋ" localSheetId="2">추정!ㅜㅅ뇨ㅜㅋ</definedName>
    <definedName name="ㅜㅅ뇨ㅜㅋ" localSheetId="12">#N/A</definedName>
    <definedName name="ㅜㅅ뇨ㅜㅋ" localSheetId="3">#N/A</definedName>
    <definedName name="ㅜㅅ뇨ㅜㅋ" localSheetId="6">평정!ㅜㅅ뇨ㅜㅋ</definedName>
    <definedName name="ㅜㅅ뇨ㅜㅋ" localSheetId="4">NCP!ㅜㅅ뇨ㅜㅋ</definedName>
    <definedName name="ㅜㅅ뇨ㅜㅋ">'2.추정(긍정)'!ㅜㅅ뇨ㅜㅋ</definedName>
    <definedName name="ㅜㅜㅍㅌㅌㅊ초ㅠ" localSheetId="10">#REF!</definedName>
    <definedName name="ㅜㅜㅍㅌㅌㅊ초ㅠ" localSheetId="11">#REF!</definedName>
    <definedName name="ㅜㅜㅍㅌㅌㅊ초ㅠ" localSheetId="9">#REF!</definedName>
    <definedName name="ㅜㅜㅍㅌㅌㅊ초ㅠ" localSheetId="2">#REF!</definedName>
    <definedName name="ㅜㅜㅍㅌㅌㅊ초ㅠ" localSheetId="12">#REF!</definedName>
    <definedName name="ㅜㅜㅍㅌㅌㅊ초ㅠ" localSheetId="3">#REF!</definedName>
    <definedName name="ㅜㅜㅍㅌㅌㅊ초ㅠ" localSheetId="6">#REF!</definedName>
    <definedName name="ㅜㅜㅍㅌㅌㅊ초ㅠ" localSheetId="4">#REF!</definedName>
    <definedName name="ㅜㅜㅍㅌㅌㅊ초ㅠ">#REF!</definedName>
    <definedName name="ㅠㄴ" localSheetId="10">#REF!</definedName>
    <definedName name="ㅠㄴ" localSheetId="11">#REF!</definedName>
    <definedName name="ㅠㄴ" localSheetId="9">#REF!</definedName>
    <definedName name="ㅠㄴ" localSheetId="2">#REF!</definedName>
    <definedName name="ㅠㄴ" localSheetId="12">#REF!</definedName>
    <definedName name="ㅠㄴ" localSheetId="3">#REF!</definedName>
    <definedName name="ㅠㄴ" localSheetId="6">#REF!</definedName>
    <definedName name="ㅠㄴ" localSheetId="4">#REF!</definedName>
    <definedName name="ㅠㄴ">#REF!</definedName>
    <definedName name="ㅠㅌㅍㅍ츄ㅠㅍㅊ" localSheetId="10">#REF!</definedName>
    <definedName name="ㅠㅌㅍㅍ츄ㅠㅍㅊ" localSheetId="11">#REF!</definedName>
    <definedName name="ㅠㅌㅍㅍ츄ㅠㅍㅊ" localSheetId="9">#REF!</definedName>
    <definedName name="ㅠㅌㅍㅍ츄ㅠㅍㅊ" localSheetId="2">#REF!</definedName>
    <definedName name="ㅠㅌㅍㅍ츄ㅠㅍㅊ" localSheetId="12">#REF!</definedName>
    <definedName name="ㅠㅌㅍㅍ츄ㅠㅍㅊ" localSheetId="3">#REF!</definedName>
    <definedName name="ㅠㅌㅍㅍ츄ㅠㅍㅊ" localSheetId="6">#REF!</definedName>
    <definedName name="ㅠㅌㅍㅍ츄ㅠㅍㅊ" localSheetId="4">#REF!</definedName>
    <definedName name="ㅠㅌㅍㅍ츄ㅠㅍㅊ">#REF!</definedName>
    <definedName name="ㅠㅍ튜ㅍㅊㅌ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hidden="1">{#N/A,#N/A,FALSE,"PART-1234-8-12-9(41)";#N/A,#N/A,FALSE,"PARTS-2(3)";#N/A,#N/A,FALSE,"VAN SYSTEM";#N/A,#N/A,FALSE,"PARTS-10(26)";#N/A,#N/A,FALSE,"PART-5-6-7-11(14)";#N/A,#N/A,FALSE,"PARTS-4(3)";#N/A,#N/A,FALSE,"PCLASS"}</definedName>
    <definedName name="ㅠㅠ" localSheetId="10">#REF!</definedName>
    <definedName name="ㅠㅠ" localSheetId="11">#REF!</definedName>
    <definedName name="ㅠㅠ" localSheetId="9">#REF!</definedName>
    <definedName name="ㅠㅠ" localSheetId="2">#REF!</definedName>
    <definedName name="ㅠㅠ" localSheetId="12">#REF!</definedName>
    <definedName name="ㅠㅠ" localSheetId="3">#REF!</definedName>
    <definedName name="ㅠㅠ" localSheetId="6">#REF!</definedName>
    <definedName name="ㅠㅠ" localSheetId="4">#REF!</definedName>
    <definedName name="ㅠㅠ">#REF!</definedName>
    <definedName name="ㅠㅠㅠ" localSheetId="10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localSheetId="9" hidden="1">{#N/A,#N/A,FALSE,"지침";#N/A,#N/A,FALSE,"환경분석";#N/A,#N/A,FALSE,"Sheet16"}</definedName>
    <definedName name="ㅠㅠㅠ" localSheetId="1" hidden="1">{#N/A,#N/A,FALSE,"지침";#N/A,#N/A,FALSE,"환경분석";#N/A,#N/A,FALSE,"Sheet16"}</definedName>
    <definedName name="ㅠㅠㅠ" localSheetId="2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3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localSheetId="4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ㅡㅡ" localSheetId="10" hidden="1">{#N/A,#N/A,FALSE,"지침";#N/A,#N/A,FALSE,"환경분석";#N/A,#N/A,FALSE,"Sheet16"}</definedName>
    <definedName name="ㅡㅡㅡ" localSheetId="11" hidden="1">{#N/A,#N/A,FALSE,"지침";#N/A,#N/A,FALSE,"환경분석";#N/A,#N/A,FALSE,"Sheet16"}</definedName>
    <definedName name="ㅡㅡㅡ" localSheetId="9" hidden="1">{#N/A,#N/A,FALSE,"지침";#N/A,#N/A,FALSE,"환경분석";#N/A,#N/A,FALSE,"Sheet16"}</definedName>
    <definedName name="ㅡㅡㅡ" localSheetId="1" hidden="1">{#N/A,#N/A,FALSE,"지침";#N/A,#N/A,FALSE,"환경분석";#N/A,#N/A,FALSE,"Sheet16"}</definedName>
    <definedName name="ㅡㅡㅡ" localSheetId="2" hidden="1">{#N/A,#N/A,FALSE,"지침";#N/A,#N/A,FALSE,"환경분석";#N/A,#N/A,FALSE,"Sheet16"}</definedName>
    <definedName name="ㅡㅡㅡ" localSheetId="12" hidden="1">{#N/A,#N/A,FALSE,"지침";#N/A,#N/A,FALSE,"환경분석";#N/A,#N/A,FALSE,"Sheet16"}</definedName>
    <definedName name="ㅡㅡㅡ" localSheetId="3" hidden="1">{#N/A,#N/A,FALSE,"지침";#N/A,#N/A,FALSE,"환경분석";#N/A,#N/A,FALSE,"Sheet16"}</definedName>
    <definedName name="ㅡㅡㅡ" localSheetId="6" hidden="1">{#N/A,#N/A,FALSE,"지침";#N/A,#N/A,FALSE,"환경분석";#N/A,#N/A,FALSE,"Sheet16"}</definedName>
    <definedName name="ㅡㅡㅡ" localSheetId="4" hidden="1">{#N/A,#N/A,FALSE,"지침";#N/A,#N/A,FALSE,"환경분석";#N/A,#N/A,FALSE,"Sheet16"}</definedName>
    <definedName name="ㅡㅡㅡ" hidden="1">{#N/A,#N/A,FALSE,"지침";#N/A,#N/A,FALSE,"환경분석";#N/A,#N/A,FALSE,"Sheet16"}</definedName>
    <definedName name="ㅣ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ㅣ" hidden="1">{#N/A,#N/A,FALSE,"PART-1234-8-12-9(41)";#N/A,#N/A,FALSE,"PARTS-2(3)";#N/A,#N/A,FALSE,"VAN SYSTEM";#N/A,#N/A,FALSE,"PARTS-10(26)";#N/A,#N/A,FALSE,"PART-5-6-7-11(14)";#N/A,#N/A,FALSE,"PARTS-4(3)";#N/A,#N/A,FALSE,"PCLASS"}</definedName>
    <definedName name="ㅣㅑㅛ" localSheetId="10">'2.추정(긍정)'!ㅣㅑㅛ</definedName>
    <definedName name="ㅣㅑㅛ" localSheetId="11">'2.추정(부정)'!ㅣㅑㅛ</definedName>
    <definedName name="ㅣㅑㅛ" localSheetId="9">구NCP!ㅣㅑㅛ</definedName>
    <definedName name="ㅣㅑㅛ" localSheetId="2">추정!ㅣㅑㅛ</definedName>
    <definedName name="ㅣㅑㅛ" localSheetId="12">#N/A</definedName>
    <definedName name="ㅣㅑㅛ" localSheetId="3">#N/A</definedName>
    <definedName name="ㅣㅑㅛ" localSheetId="6">평정!ㅣㅑㅛ</definedName>
    <definedName name="ㅣㅑㅛ" localSheetId="4">NCP!ㅣㅑㅛ</definedName>
    <definedName name="ㅣㅑㅛ">'2.추정(긍정)'!ㅣㅑㅛ</definedName>
    <definedName name="ㄶㄱㄷㄷㅅㄷㅇ" localSheetId="10">#REF!</definedName>
    <definedName name="ㄶㄱㄷㄷㅅㄷㅇ" localSheetId="11">#REF!</definedName>
    <definedName name="ㄶㄱㄷㄷㅅㄷㅇ" localSheetId="9">#REF!</definedName>
    <definedName name="ㄶㄱㄷㄷㅅㄷㅇ" localSheetId="2">#REF!</definedName>
    <definedName name="ㄶㄱㄷㄷㅅㄷㅇ" localSheetId="12">#REF!</definedName>
    <definedName name="ㄶㄱㄷㄷㅅㄷㅇ" localSheetId="3">#REF!</definedName>
    <definedName name="ㄶㄱㄷㄷㅅㄷㅇ" localSheetId="6">#REF!</definedName>
    <definedName name="ㄶㄱㄷㄷㅅㄷㅇ" localSheetId="4">#REF!</definedName>
    <definedName name="ㄶㄱㄷㄷㅅㄷㅇ">#REF!</definedName>
    <definedName name="ㄶㄹㄶㅎㅎ" localSheetId="10">#REF!</definedName>
    <definedName name="ㄶㄹㄶㅎㅎ" localSheetId="11">#REF!</definedName>
    <definedName name="ㄶㄹㄶㅎㅎ" localSheetId="9">#REF!</definedName>
    <definedName name="ㄶㄹㄶㅎㅎ" localSheetId="2">#REF!</definedName>
    <definedName name="ㄶㄹㄶㅎㅎ" localSheetId="12">#REF!</definedName>
    <definedName name="ㄶㄹㄶㅎㅎ" localSheetId="3">#REF!</definedName>
    <definedName name="ㄶㄹㄶㅎㅎ" localSheetId="6">#REF!</definedName>
    <definedName name="ㄶㄹㄶㅎㅎ" localSheetId="4">#REF!</definedName>
    <definedName name="ㄶㄹㄶㅎㅎ">#REF!</definedName>
    <definedName name="ㄶㅇㅅㄷ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hidden="1">{#N/A,#N/A,FALSE,"PART-1234-8-12-9(41)";#N/A,#N/A,FALSE,"PARTS-2(3)";#N/A,#N/A,FALSE,"VAN SYSTEM";#N/A,#N/A,FALSE,"PARTS-10(26)";#N/A,#N/A,FALSE,"PART-5-6-7-11(14)";#N/A,#N/A,FALSE,"PARTS-4(3)";#N/A,#N/A,FALSE,"PCLASS"}</definedName>
    <definedName name="ㄶㅇㅎㄹㅇ" localSheetId="10">#REF!</definedName>
    <definedName name="ㄶㅇㅎㄹㅇ" localSheetId="11">#REF!</definedName>
    <definedName name="ㄶㅇㅎㄹㅇ" localSheetId="9">#REF!</definedName>
    <definedName name="ㄶㅇㅎㄹㅇ" localSheetId="2">#REF!</definedName>
    <definedName name="ㄶㅇㅎㄹㅇ" localSheetId="12">#REF!</definedName>
    <definedName name="ㄶㅇㅎㄹㅇ" localSheetId="3">#REF!</definedName>
    <definedName name="ㄶㅇㅎㄹㅇ" localSheetId="6">#REF!</definedName>
    <definedName name="ㄶㅇㅎㄹㅇ" localSheetId="4">#REF!</definedName>
    <definedName name="ㄶㅇㅎㄹㅇ">#REF!</definedName>
    <definedName name="ㄶㅎㄹㅇㅇㄴ" localSheetId="10">#REF!</definedName>
    <definedName name="ㄶㅎㄹㅇㅇㄴ" localSheetId="11">#REF!</definedName>
    <definedName name="ㄶㅎㄹㅇㅇㄴ" localSheetId="9">#REF!</definedName>
    <definedName name="ㄶㅎㄹㅇㅇㄴ" localSheetId="2">#REF!</definedName>
    <definedName name="ㄶㅎㄹㅇㅇㄴ" localSheetId="12">#REF!</definedName>
    <definedName name="ㄶㅎㄹㅇㅇㄴ" localSheetId="3">#REF!</definedName>
    <definedName name="ㄶㅎㄹㅇㅇㄴ" localSheetId="6">#REF!</definedName>
    <definedName name="ㄶㅎㄹㅇㅇㄴ" localSheetId="4">#REF!</definedName>
    <definedName name="ㄶㅎㄹㅇㅇㄴ">#REF!</definedName>
    <definedName name="ㄶㅎㅎㅎㄴㄹ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ㅀㄹㄶㄹㅇㅎㅎ" localSheetId="10">#REF!</definedName>
    <definedName name="ㄶㅎㅀㄹㄶㄹㅇㅎㅎ" localSheetId="11">#REF!</definedName>
    <definedName name="ㄶㅎㅀㄹㄶㄹㅇㅎㅎ" localSheetId="9">#REF!</definedName>
    <definedName name="ㄶㅎㅀㄹㄶㄹㅇㅎㅎ" localSheetId="2">#REF!</definedName>
    <definedName name="ㄶㅎㅀㄹㄶㄹㅇㅎㅎ" localSheetId="12">#REF!</definedName>
    <definedName name="ㄶㅎㅀㄹㄶㄹㅇㅎㅎ" localSheetId="3">#REF!</definedName>
    <definedName name="ㄶㅎㅀㄹㄶㄹㅇㅎㅎ" localSheetId="6">#REF!</definedName>
    <definedName name="ㄶㅎㅀㄹㄶㄹㅇㅎㅎ" localSheetId="4">#REF!</definedName>
    <definedName name="ㄶㅎㅀㄹㄶㄹㅇㅎㅎ">#REF!</definedName>
    <definedName name="ㄶㅎㄺㄷㄷ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ㅅㅎ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hidden="1">{#N/A,#N/A,FALSE,"PART-1234-8-12-9(41)";#N/A,#N/A,FALSE,"PARTS-2(3)";#N/A,#N/A,FALSE,"VAN SYSTEM";#N/A,#N/A,FALSE,"PARTS-10(26)";#N/A,#N/A,FALSE,"PART-5-6-7-11(14)";#N/A,#N/A,FALSE,"PARTS-4(3)";#N/A,#N/A,FALSE,"PCLASS"}</definedName>
    <definedName name="ㄻㄴ" localSheetId="10">{"S220-V";"S250-V";"S290-V"}</definedName>
    <definedName name="ㄻㄴ" localSheetId="11">{"S220-V";"S250-V";"S290-V"}</definedName>
    <definedName name="ㄻㄴ" localSheetId="9">{"S220-V";"S250-V";"S290-V"}</definedName>
    <definedName name="ㄻㄴ" localSheetId="2">{"S220-V";"S250-V";"S290-V"}</definedName>
    <definedName name="ㄻㄴ" localSheetId="12">{"S220-V";"S250-V";"S290-V"}</definedName>
    <definedName name="ㄻㄴ" localSheetId="3">{"S220-V";"S250-V";"S290-V"}</definedName>
    <definedName name="ㄻㄴ" localSheetId="6">{"S220-V";"S250-V";"S290-V"}</definedName>
    <definedName name="ㄻㄴ" localSheetId="4">{"S220-V";"S250-V";"S290-V"}</definedName>
    <definedName name="ㄻㄴ">{"S220-V";"S250-V";"S290-V"}</definedName>
    <definedName name="ㄻㄴㄹ" localSheetId="10">{"S220-V";"S250-V";"S290-V"}</definedName>
    <definedName name="ㄻㄴㄹ" localSheetId="11">{"S220-V";"S250-V";"S290-V"}</definedName>
    <definedName name="ㄻㄴㄹ" localSheetId="9">{"S220-V";"S250-V";"S290-V"}</definedName>
    <definedName name="ㄻㄴㄹ" localSheetId="2">{"S220-V";"S250-V";"S290-V"}</definedName>
    <definedName name="ㄻㄴㄹ" localSheetId="12">{"S220-V";"S250-V";"S290-V"}</definedName>
    <definedName name="ㄻㄴㄹ" localSheetId="3">{"S220-V";"S250-V";"S290-V"}</definedName>
    <definedName name="ㄻㄴㄹ" localSheetId="6">{"S220-V";"S250-V";"S290-V"}</definedName>
    <definedName name="ㄻㄴㄹ" localSheetId="4">{"S220-V";"S250-V";"S290-V"}</definedName>
    <definedName name="ㄻㄴㄹ">{"S220-V";"S250-V";"S290-V"}</definedName>
    <definedName name="ㄻㄷㅈ" localSheetId="10">#REF!</definedName>
    <definedName name="ㄻㄷㅈ" localSheetId="11">#REF!</definedName>
    <definedName name="ㄻㄷㅈ" localSheetId="9">#REF!</definedName>
    <definedName name="ㄻㄷㅈ" localSheetId="2">#REF!</definedName>
    <definedName name="ㄻㄷㅈ" localSheetId="12">#REF!</definedName>
    <definedName name="ㄻㄷㅈ" localSheetId="3">#REF!</definedName>
    <definedName name="ㄻㄷㅈ" localSheetId="6">#REF!</definedName>
    <definedName name="ㄻㄷㅈ" localSheetId="4">#REF!</definedName>
    <definedName name="ㄻㄷㅈ">#REF!</definedName>
    <definedName name="ㄻㅈㄷㄱㅂㄱㄷㅈㅈㅈㅈㅈ" localSheetId="10">#REF!</definedName>
    <definedName name="ㄻㅈㄷㄱㅂㄱㄷㅈㅈㅈㅈㅈ" localSheetId="11">#REF!</definedName>
    <definedName name="ㄻㅈㄷㄱㅂㄱㄷㅈㅈㅈㅈㅈ" localSheetId="9">#REF!</definedName>
    <definedName name="ㄻㅈㄷㄱㅂㄱㄷㅈㅈㅈㅈㅈ" localSheetId="2">#REF!</definedName>
    <definedName name="ㄻㅈㄷㄱㅂㄱㄷㅈㅈㅈㅈㅈ" localSheetId="12">#REF!</definedName>
    <definedName name="ㄻㅈㄷㄱㅂㄱㄷㅈㅈㅈㅈㅈ" localSheetId="3">#REF!</definedName>
    <definedName name="ㄻㅈㄷㄱㅂㄱㄷㅈㅈㅈㅈㅈ" localSheetId="6">#REF!</definedName>
    <definedName name="ㄻㅈㄷㄱㅂㄱㄷㅈㅈㅈㅈㅈ" localSheetId="4">#REF!</definedName>
    <definedName name="ㄻㅈㄷㄱㅂㄱㄷㅈㅈㅈㅈㅈ">#REF!</definedName>
    <definedName name="A" localSheetId="12">[5]재공품기초자료!$E$95:$O$188</definedName>
    <definedName name="A" localSheetId="3">[5]재공품기초자료!$E$95:$O$188</definedName>
    <definedName name="A" localSheetId="6">#N/A</definedName>
    <definedName name="A">#N/A</definedName>
    <definedName name="Ａ.Ｂ.Ｃ." localSheetId="10">#REF!</definedName>
    <definedName name="Ａ.Ｂ.Ｃ." localSheetId="11">#REF!</definedName>
    <definedName name="Ａ.Ｂ.Ｃ." localSheetId="9">#REF!</definedName>
    <definedName name="Ａ.Ｂ.Ｃ." localSheetId="2">#REF!</definedName>
    <definedName name="Ａ.Ｂ.Ｃ." localSheetId="12">#REF!</definedName>
    <definedName name="Ａ.Ｂ.Ｃ." localSheetId="3">#REF!</definedName>
    <definedName name="Ａ.Ｂ.Ｃ." localSheetId="6">#REF!</definedName>
    <definedName name="Ａ.Ｂ.Ｃ." localSheetId="4">#REF!</definedName>
    <definedName name="Ａ.Ｂ.Ｃ.">#REF!</definedName>
    <definedName name="AA">[5]재공품기초자료!$E$95:$O$188</definedName>
    <definedName name="AAA">[5]재공품기초자료!$E$95:$O$188</definedName>
    <definedName name="aaa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A" localSheetId="10">#REF!</definedName>
    <definedName name="AAAAA" localSheetId="11">#REF!</definedName>
    <definedName name="AAAAA" localSheetId="9">#REF!</definedName>
    <definedName name="AAAAA" localSheetId="2">#REF!</definedName>
    <definedName name="AAAAA" localSheetId="12">#REF!</definedName>
    <definedName name="AAAAA" localSheetId="3">#REF!</definedName>
    <definedName name="AAAAA" localSheetId="6">#REF!</definedName>
    <definedName name="AAAAA" localSheetId="4">#REF!</definedName>
    <definedName name="AAAAA">#REF!</definedName>
    <definedName name="AB">#N/A</definedName>
    <definedName name="ABD" localSheetId="10" hidden="1">{#N/A,#N/A,FALSE,"지침";#N/A,#N/A,FALSE,"환경분석";#N/A,#N/A,FALSE,"Sheet16"}</definedName>
    <definedName name="ABD" localSheetId="11" hidden="1">{#N/A,#N/A,FALSE,"지침";#N/A,#N/A,FALSE,"환경분석";#N/A,#N/A,FALSE,"Sheet16"}</definedName>
    <definedName name="ABD" localSheetId="9" hidden="1">{#N/A,#N/A,FALSE,"지침";#N/A,#N/A,FALSE,"환경분석";#N/A,#N/A,FALSE,"Sheet16"}</definedName>
    <definedName name="ABD" localSheetId="1" hidden="1">{#N/A,#N/A,FALSE,"지침";#N/A,#N/A,FALSE,"환경분석";#N/A,#N/A,FALSE,"Sheet16"}</definedName>
    <definedName name="ABD" localSheetId="2" hidden="1">{#N/A,#N/A,FALSE,"지침";#N/A,#N/A,FALSE,"환경분석";#N/A,#N/A,FALSE,"Sheet16"}</definedName>
    <definedName name="ABD" localSheetId="12" hidden="1">{#N/A,#N/A,FALSE,"지침";#N/A,#N/A,FALSE,"환경분석";#N/A,#N/A,FALSE,"Sheet16"}</definedName>
    <definedName name="ABD" localSheetId="3" hidden="1">{#N/A,#N/A,FALSE,"지침";#N/A,#N/A,FALSE,"환경분석";#N/A,#N/A,FALSE,"Sheet16"}</definedName>
    <definedName name="ABD" localSheetId="6" hidden="1">{#N/A,#N/A,FALSE,"지침";#N/A,#N/A,FALSE,"환경분석";#N/A,#N/A,FALSE,"Sheet16"}</definedName>
    <definedName name="ABD" localSheetId="4" hidden="1">{#N/A,#N/A,FALSE,"지침";#N/A,#N/A,FALSE,"환경분석";#N/A,#N/A,FALSE,"Sheet16"}</definedName>
    <definedName name="ABD" hidden="1">{#N/A,#N/A,FALSE,"지침";#N/A,#N/A,FALSE,"환경분석";#N/A,#N/A,FALSE,"Sheet16"}</definedName>
    <definedName name="ABX" localSheetId="10" hidden="1">{#N/A,#N/A,FALSE,"지침";#N/A,#N/A,FALSE,"환경분석";#N/A,#N/A,FALSE,"Sheet16"}</definedName>
    <definedName name="ABX" localSheetId="11" hidden="1">{#N/A,#N/A,FALSE,"지침";#N/A,#N/A,FALSE,"환경분석";#N/A,#N/A,FALSE,"Sheet16"}</definedName>
    <definedName name="ABX" localSheetId="9" hidden="1">{#N/A,#N/A,FALSE,"지침";#N/A,#N/A,FALSE,"환경분석";#N/A,#N/A,FALSE,"Sheet16"}</definedName>
    <definedName name="ABX" localSheetId="1" hidden="1">{#N/A,#N/A,FALSE,"지침";#N/A,#N/A,FALSE,"환경분석";#N/A,#N/A,FALSE,"Sheet16"}</definedName>
    <definedName name="ABX" localSheetId="2" hidden="1">{#N/A,#N/A,FALSE,"지침";#N/A,#N/A,FALSE,"환경분석";#N/A,#N/A,FALSE,"Sheet16"}</definedName>
    <definedName name="ABX" localSheetId="12" hidden="1">{#N/A,#N/A,FALSE,"지침";#N/A,#N/A,FALSE,"환경분석";#N/A,#N/A,FALSE,"Sheet16"}</definedName>
    <definedName name="ABX" localSheetId="3" hidden="1">{#N/A,#N/A,FALSE,"지침";#N/A,#N/A,FALSE,"환경분석";#N/A,#N/A,FALSE,"Sheet16"}</definedName>
    <definedName name="ABX" localSheetId="6" hidden="1">{#N/A,#N/A,FALSE,"지침";#N/A,#N/A,FALSE,"환경분석";#N/A,#N/A,FALSE,"Sheet16"}</definedName>
    <definedName name="ABX" localSheetId="4" hidden="1">{#N/A,#N/A,FALSE,"지침";#N/A,#N/A,FALSE,"환경분석";#N/A,#N/A,FALSE,"Sheet16"}</definedName>
    <definedName name="ABX" hidden="1">{#N/A,#N/A,FALSE,"지침";#N/A,#N/A,FALSE,"환경분석";#N/A,#N/A,FALSE,"Sheet16"}</definedName>
    <definedName name="AC" localSheetId="10">#REF!</definedName>
    <definedName name="AC" localSheetId="11">#REF!</definedName>
    <definedName name="AC" localSheetId="9">#REF!</definedName>
    <definedName name="AC" localSheetId="2">#REF!</definedName>
    <definedName name="AC" localSheetId="12">#REF!</definedName>
    <definedName name="AC" localSheetId="3">#REF!</definedName>
    <definedName name="AC" localSheetId="6">#REF!</definedName>
    <definedName name="AC" localSheetId="4">#REF!</definedName>
    <definedName name="AC">#REF!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ds" localSheetId="10" hidden="1">{#N/A,#N/A,TRUE,"Summary";#N/A,#N/A,TRUE,"IS";#N/A,#N/A,TRUE,"Adj";#N/A,#N/A,TRUE,"BS";#N/A,#N/A,TRUE,"CF";#N/A,#N/A,TRUE,"Debt";#N/A,#N/A,TRUE,"IRR"}</definedName>
    <definedName name="ads" localSheetId="11" hidden="1">{#N/A,#N/A,TRUE,"Summary";#N/A,#N/A,TRUE,"IS";#N/A,#N/A,TRUE,"Adj";#N/A,#N/A,TRUE,"BS";#N/A,#N/A,TRUE,"CF";#N/A,#N/A,TRUE,"Debt";#N/A,#N/A,TRUE,"IRR"}</definedName>
    <definedName name="ads" localSheetId="9" hidden="1">{#N/A,#N/A,TRUE,"Summary";#N/A,#N/A,TRUE,"IS";#N/A,#N/A,TRUE,"Adj";#N/A,#N/A,TRUE,"BS";#N/A,#N/A,TRUE,"CF";#N/A,#N/A,TRUE,"Debt";#N/A,#N/A,TRUE,"IRR"}</definedName>
    <definedName name="ads" localSheetId="1" hidden="1">{#N/A,#N/A,TRUE,"Summary";#N/A,#N/A,TRUE,"IS";#N/A,#N/A,TRUE,"Adj";#N/A,#N/A,TRUE,"BS";#N/A,#N/A,TRUE,"CF";#N/A,#N/A,TRUE,"Debt";#N/A,#N/A,TRUE,"IRR"}</definedName>
    <definedName name="ads" localSheetId="2" hidden="1">{#N/A,#N/A,TRUE,"Summary";#N/A,#N/A,TRUE,"IS";#N/A,#N/A,TRUE,"Adj";#N/A,#N/A,TRUE,"BS";#N/A,#N/A,TRUE,"CF";#N/A,#N/A,TRUE,"Debt";#N/A,#N/A,TRUE,"IRR"}</definedName>
    <definedName name="ads" localSheetId="12" hidden="1">{#N/A,#N/A,TRUE,"Summary";#N/A,#N/A,TRUE,"IS";#N/A,#N/A,TRUE,"Adj";#N/A,#N/A,TRUE,"BS";#N/A,#N/A,TRUE,"CF";#N/A,#N/A,TRUE,"Debt";#N/A,#N/A,TRUE,"IRR"}</definedName>
    <definedName name="ads" localSheetId="3" hidden="1">{#N/A,#N/A,TRUE,"Summary";#N/A,#N/A,TRUE,"IS";#N/A,#N/A,TRUE,"Adj";#N/A,#N/A,TRUE,"BS";#N/A,#N/A,TRUE,"CF";#N/A,#N/A,TRUE,"Debt";#N/A,#N/A,TRUE,"IRR"}</definedName>
    <definedName name="ads" localSheetId="6" hidden="1">{#N/A,#N/A,TRUE,"Summary";#N/A,#N/A,TRUE,"IS";#N/A,#N/A,TRUE,"Adj";#N/A,#N/A,TRUE,"BS";#N/A,#N/A,TRUE,"CF";#N/A,#N/A,TRUE,"Debt";#N/A,#N/A,TRUE,"IRR"}</definedName>
    <definedName name="ads" localSheetId="4" hidden="1">{#N/A,#N/A,TRUE,"Summary";#N/A,#N/A,TRUE,"IS";#N/A,#N/A,TRUE,"Adj";#N/A,#N/A,TRUE,"BS";#N/A,#N/A,TRUE,"CF";#N/A,#N/A,TRUE,"Debt";#N/A,#N/A,TRUE,"IRR"}</definedName>
    <definedName name="ads" hidden="1">{#N/A,#N/A,TRUE,"Summary";#N/A,#N/A,TRUE,"IS";#N/A,#N/A,TRUE,"Adj";#N/A,#N/A,TRUE,"BS";#N/A,#N/A,TRUE,"CF";#N/A,#N/A,TRUE,"Debt";#N/A,#N/A,TRUE,"IRR"}</definedName>
    <definedName name="AEAI" localSheetId="10">#REF!</definedName>
    <definedName name="AEAI" localSheetId="11">#REF!</definedName>
    <definedName name="AEAI" localSheetId="9">#REF!</definedName>
    <definedName name="AEAI" localSheetId="2">#REF!</definedName>
    <definedName name="AEAI" localSheetId="12">#REF!</definedName>
    <definedName name="AEAI" localSheetId="3">#REF!</definedName>
    <definedName name="AEAI" localSheetId="6">#REF!</definedName>
    <definedName name="AEAI" localSheetId="4">#REF!</definedName>
    <definedName name="AEAI">#REF!</definedName>
    <definedName name="AI¼o" localSheetId="10">#REF!</definedName>
    <definedName name="AI¼o" localSheetId="11">#REF!</definedName>
    <definedName name="AI¼o" localSheetId="9">#REF!</definedName>
    <definedName name="AI¼o" localSheetId="2">#REF!</definedName>
    <definedName name="AI¼o" localSheetId="12">#REF!</definedName>
    <definedName name="AI¼o" localSheetId="3">#REF!</definedName>
    <definedName name="AI¼o" localSheetId="6">#REF!</definedName>
    <definedName name="AI¼o" localSheetId="4">#REF!</definedName>
    <definedName name="AI¼o">#REF!</definedName>
    <definedName name="aj" localSheetId="10">#REF!</definedName>
    <definedName name="aj" localSheetId="11">#REF!</definedName>
    <definedName name="aj" localSheetId="9">#REF!</definedName>
    <definedName name="aj" localSheetId="2">#REF!</definedName>
    <definedName name="aj" localSheetId="12">#REF!</definedName>
    <definedName name="aj" localSheetId="3">#REF!</definedName>
    <definedName name="aj" localSheetId="6">#REF!</definedName>
    <definedName name="aj" localSheetId="4">#REF!</definedName>
    <definedName name="aj">#REF!</definedName>
    <definedName name="ak">[5]재공품기초자료!$E$95:$O$188</definedName>
    <definedName name="ANFFIDRpGHLR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hidden="1">{#N/A,#N/A,FALSE,"PART-1234-8-12-9(41)";#N/A,#N/A,FALSE,"PARTS-2(3)";#N/A,#N/A,FALSE,"VAN SYSTEM";#N/A,#N/A,FALSE,"PARTS-10(26)";#N/A,#N/A,FALSE,"PART-5-6-7-11(14)";#N/A,#N/A,FALSE,"PARTS-4(3)";#N/A,#N/A,FALSE,"PCLASS"}</definedName>
    <definedName name="AO" localSheetId="10">#REF!</definedName>
    <definedName name="AO" localSheetId="11">#REF!</definedName>
    <definedName name="AO" localSheetId="9">#REF!</definedName>
    <definedName name="AO" localSheetId="2">#REF!</definedName>
    <definedName name="AO" localSheetId="12">#REF!</definedName>
    <definedName name="AO" localSheetId="3">#REF!</definedName>
    <definedName name="AO" localSheetId="6">#REF!</definedName>
    <definedName name="AO" localSheetId="4">#REF!</definedName>
    <definedName name="AO">#REF!</definedName>
    <definedName name="AQ" localSheetId="10">#REF!</definedName>
    <definedName name="AQ" localSheetId="11">#REF!</definedName>
    <definedName name="AQ" localSheetId="9">#REF!</definedName>
    <definedName name="AQ" localSheetId="2">#REF!</definedName>
    <definedName name="AQ" localSheetId="12">#REF!</definedName>
    <definedName name="AQ" localSheetId="3">#REF!</definedName>
    <definedName name="AQ" localSheetId="6">#REF!</definedName>
    <definedName name="AQ" localSheetId="4">#REF!</definedName>
    <definedName name="AQ">#REF!</definedName>
    <definedName name="AS">[5]재공품기초자료!$E$847:$O$940</definedName>
    <definedName name="AS2DocOpenMode" hidden="1">"AS2DocumentEdit"</definedName>
    <definedName name="AS2ReportLS" hidden="1">1</definedName>
    <definedName name="AS2SyncStepLS" hidden="1">0</definedName>
    <definedName name="AS2TickmarkLS" localSheetId="10" hidden="1">#REF!</definedName>
    <definedName name="AS2TickmarkLS" localSheetId="11" hidden="1">#REF!</definedName>
    <definedName name="AS2TickmarkLS" localSheetId="3" hidden="1">#REF!</definedName>
    <definedName name="AS2TickmarkLS" localSheetId="4" hidden="1">#REF!</definedName>
    <definedName name="AS2TickmarkLS" hidden="1">#REF!</definedName>
    <definedName name="AS2VersionLS" hidden="1">300</definedName>
    <definedName name="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dfa" hidden="1">{#N/A,#N/A,FALSE,"PART-1234-8-12-9(41)";#N/A,#N/A,FALSE,"PARTS-2(3)";#N/A,#N/A,FALSE,"VAN SYSTEM";#N/A,#N/A,FALSE,"PARTS-10(26)";#N/A,#N/A,FALSE,"PART-5-6-7-11(14)";#N/A,#N/A,FALSE,"PARTS-4(3)";#N/A,#N/A,FALSE,"PCLASS"}</definedName>
    <definedName name="asdffghjk" localSheetId="10">#REF!</definedName>
    <definedName name="asdffghjk" localSheetId="11">#REF!</definedName>
    <definedName name="asdffghjk" localSheetId="9">#REF!</definedName>
    <definedName name="asdffghjk" localSheetId="2">#REF!</definedName>
    <definedName name="asdffghjk" localSheetId="12">#REF!</definedName>
    <definedName name="asdffghjk" localSheetId="3">#REF!</definedName>
    <definedName name="asdffghjk" localSheetId="6">#REF!</definedName>
    <definedName name="asdffghjk" localSheetId="4">#REF!</definedName>
    <definedName name="asdffghjk">#REF!</definedName>
    <definedName name="asfdasfdasd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Q" hidden="1">{#N/A,#N/A,FALSE,"PART-1234-8-12-9(41)";#N/A,#N/A,FALSE,"PARTS-2(3)";#N/A,#N/A,FALSE,"VAN SYSTEM";#N/A,#N/A,FALSE,"PARTS-10(26)";#N/A,#N/A,FALSE,"PART-5-6-7-11(14)";#N/A,#N/A,FALSE,"PARTS-4(3)";#N/A,#N/A,FALSE,"PCLASS"}</definedName>
    <definedName name="AX" localSheetId="10">#REF!</definedName>
    <definedName name="AX" localSheetId="11">#REF!</definedName>
    <definedName name="AX" localSheetId="9">#REF!</definedName>
    <definedName name="AX" localSheetId="2">#REF!</definedName>
    <definedName name="AX" localSheetId="12">#REF!</definedName>
    <definedName name="AX" localSheetId="3">#REF!</definedName>
    <definedName name="AX" localSheetId="6">#REF!</definedName>
    <definedName name="AX" localSheetId="4">#REF!</definedName>
    <definedName name="AX">#REF!</definedName>
    <definedName name="B" localSheetId="10">#REF!</definedName>
    <definedName name="B" localSheetId="11">#REF!</definedName>
    <definedName name="B" localSheetId="9">#REF!</definedName>
    <definedName name="B" localSheetId="2">#REF!</definedName>
    <definedName name="B" localSheetId="12">#REF!</definedName>
    <definedName name="B" localSheetId="3">#REF!</definedName>
    <definedName name="B" localSheetId="6">#REF!</definedName>
    <definedName name="B" localSheetId="4">#REF!</definedName>
    <definedName name="B">#REF!</definedName>
    <definedName name="BASE" localSheetId="10">#REF!</definedName>
    <definedName name="BASE" localSheetId="11">#REF!</definedName>
    <definedName name="BASE" localSheetId="9">#REF!</definedName>
    <definedName name="BASE" localSheetId="2">#REF!</definedName>
    <definedName name="BASE" localSheetId="12">#REF!</definedName>
    <definedName name="BASE" localSheetId="3">#REF!</definedName>
    <definedName name="BASE" localSheetId="6">#REF!</definedName>
    <definedName name="BASE" localSheetId="4">#REF!</definedName>
    <definedName name="BASE">#REF!</definedName>
    <definedName name="bb" localSheetId="10">#REF!</definedName>
    <definedName name="bb" localSheetId="11">#REF!</definedName>
    <definedName name="bb" localSheetId="9">#REF!</definedName>
    <definedName name="bb" localSheetId="2">#REF!</definedName>
    <definedName name="bb" localSheetId="12">#REF!</definedName>
    <definedName name="bb" localSheetId="3">#REF!</definedName>
    <definedName name="bb" localSheetId="6">#REF!</definedName>
    <definedName name="bb" localSheetId="4">#REF!</definedName>
    <definedName name="bb">#REF!</definedName>
    <definedName name="BBB" localSheetId="10">#REF!</definedName>
    <definedName name="BBB" localSheetId="11">#REF!</definedName>
    <definedName name="BBB" localSheetId="9">#REF!</definedName>
    <definedName name="BBB" localSheetId="2">#REF!</definedName>
    <definedName name="BBB" localSheetId="12">#REF!</definedName>
    <definedName name="BBB" localSheetId="3">#REF!</definedName>
    <definedName name="BBB" localSheetId="6">#REF!</definedName>
    <definedName name="BBB" localSheetId="4">#REF!</definedName>
    <definedName name="BBB">#REF!</definedName>
    <definedName name="bcrclcl100rt" localSheetId="10">'[6]9-1차이내역'!#REF!</definedName>
    <definedName name="bcrclcl100rt" localSheetId="11">'[6]9-1차이내역'!#REF!</definedName>
    <definedName name="bcrclcl100rt" localSheetId="9">'[6]9-1차이내역'!#REF!</definedName>
    <definedName name="bcrclcl100rt" localSheetId="2">'[6]9-1차이내역'!#REF!</definedName>
    <definedName name="bcrclcl100rt" localSheetId="12">'[6]9-1차이내역'!#REF!</definedName>
    <definedName name="bcrclcl100rt" localSheetId="3">'[6]9-1차이내역'!#REF!</definedName>
    <definedName name="bcrclcl100rt" localSheetId="6">'[6]9-1차이내역'!#REF!</definedName>
    <definedName name="bcrclcl100rt" localSheetId="4">'[6]9-1차이내역'!#REF!</definedName>
    <definedName name="bcrclcl100rt">'[6]9-1차이내역'!#REF!</definedName>
    <definedName name="bcrclcl100rtrkrk" localSheetId="10">'[6]9-1차이내역'!#REF!</definedName>
    <definedName name="bcrclcl100rtrkrk" localSheetId="11">'[6]9-1차이내역'!#REF!</definedName>
    <definedName name="bcrclcl100rtrkrk" localSheetId="9">'[6]9-1차이내역'!#REF!</definedName>
    <definedName name="bcrclcl100rtrkrk" localSheetId="2">'[6]9-1차이내역'!#REF!</definedName>
    <definedName name="bcrclcl100rtrkrk" localSheetId="12">'[6]9-1차이내역'!#REF!</definedName>
    <definedName name="bcrclcl100rtrkrk" localSheetId="3">'[6]9-1차이내역'!#REF!</definedName>
    <definedName name="bcrclcl100rtrkrk" localSheetId="6">'[6]9-1차이내역'!#REF!</definedName>
    <definedName name="bcrclcl100rtrkrk" localSheetId="4">'[6]9-1차이내역'!#REF!</definedName>
    <definedName name="bcrclcl100rtrkrk">'[6]9-1차이내역'!#REF!</definedName>
    <definedName name="BFD" localSheetId="10">'2.추정(긍정)'!BFD</definedName>
    <definedName name="BFD" localSheetId="11">'2.추정(부정)'!BFD</definedName>
    <definedName name="BFD" localSheetId="9">구NCP!BFD</definedName>
    <definedName name="BFD" localSheetId="2">추정!BFD</definedName>
    <definedName name="BFD" localSheetId="12">#N/A</definedName>
    <definedName name="BFD" localSheetId="3">#N/A</definedName>
    <definedName name="BFD" localSheetId="6">평정!BFD</definedName>
    <definedName name="BFD" localSheetId="4">NCP!BFD</definedName>
    <definedName name="BFD">'2.추정(긍정)'!BFD</definedName>
    <definedName name="BG_Del" hidden="1">15</definedName>
    <definedName name="BG_Ins" hidden="1">4</definedName>
    <definedName name="BG_Mod" hidden="1">6</definedName>
    <definedName name="book" localSheetId="10">'2.추정(긍정)'!book</definedName>
    <definedName name="book" localSheetId="11">'2.추정(부정)'!book</definedName>
    <definedName name="book" localSheetId="9">구NCP!book</definedName>
    <definedName name="book" localSheetId="2">추정!book</definedName>
    <definedName name="book" localSheetId="12">#N/A</definedName>
    <definedName name="book" localSheetId="3">#N/A</definedName>
    <definedName name="book" localSheetId="6">평정!book</definedName>
    <definedName name="book" localSheetId="4">NCP!book</definedName>
    <definedName name="book">'2.추정(긍정)'!book</definedName>
    <definedName name="book2" localSheetId="10">'2.추정(긍정)'!book2</definedName>
    <definedName name="book2" localSheetId="11">'2.추정(부정)'!book2</definedName>
    <definedName name="book2" localSheetId="9">구NCP!book2</definedName>
    <definedName name="book2" localSheetId="2">추정!book2</definedName>
    <definedName name="book2" localSheetId="12">#N/A</definedName>
    <definedName name="book2" localSheetId="3">#N/A</definedName>
    <definedName name="book2" localSheetId="6">평정!book2</definedName>
    <definedName name="book2" localSheetId="4">NCP!book2</definedName>
    <definedName name="book2">'2.추정(긍정)'!book2</definedName>
    <definedName name="book3" localSheetId="10">'2.추정(긍정)'!book3</definedName>
    <definedName name="book3" localSheetId="11">'2.추정(부정)'!book3</definedName>
    <definedName name="book3" localSheetId="9">구NCP!book3</definedName>
    <definedName name="book3" localSheetId="2">추정!book3</definedName>
    <definedName name="book3" localSheetId="12">#N/A</definedName>
    <definedName name="book3" localSheetId="3">#N/A</definedName>
    <definedName name="book3" localSheetId="6">평정!book3</definedName>
    <definedName name="book3" localSheetId="4">NCP!book3</definedName>
    <definedName name="book3">'2.추정(긍정)'!book3</definedName>
    <definedName name="BRB" localSheetId="10">'2.추정(긍정)'!BRB</definedName>
    <definedName name="BRB" localSheetId="11">'2.추정(부정)'!BRB</definedName>
    <definedName name="BRB" localSheetId="9">구NCP!BRB</definedName>
    <definedName name="BRB" localSheetId="2">추정!BRB</definedName>
    <definedName name="BRB" localSheetId="12">#N/A</definedName>
    <definedName name="BRB" localSheetId="3">#N/A</definedName>
    <definedName name="BRB" localSheetId="6">평정!BRB</definedName>
    <definedName name="BRB" localSheetId="4">NCP!BRB</definedName>
    <definedName name="BRB">'2.추정(긍정)'!BRB</definedName>
    <definedName name="BS" localSheetId="10">#REF!</definedName>
    <definedName name="BS" localSheetId="11">#REF!</definedName>
    <definedName name="BS" localSheetId="9">#REF!</definedName>
    <definedName name="BS" localSheetId="2">#REF!</definedName>
    <definedName name="BS" localSheetId="12">#REF!</definedName>
    <definedName name="BS" localSheetId="3">#REF!</definedName>
    <definedName name="BS" localSheetId="6">#REF!</definedName>
    <definedName name="BS" localSheetId="4">#REF!</definedName>
    <definedName name="BS">#REF!</definedName>
    <definedName name="bsNote" localSheetId="10">'2.추정(긍정)'!bsNote</definedName>
    <definedName name="bsNote" localSheetId="11">'2.추정(부정)'!bsNote</definedName>
    <definedName name="bsNote" localSheetId="9">구NCP!bsNote</definedName>
    <definedName name="bsNote" localSheetId="2">추정!bsNote</definedName>
    <definedName name="bsNote" localSheetId="12">#N/A</definedName>
    <definedName name="bsNote" localSheetId="3">#N/A</definedName>
    <definedName name="bsNote" localSheetId="6">평정!bsNote</definedName>
    <definedName name="bsNote" localSheetId="4">NCP!bsNote</definedName>
    <definedName name="bsNote">'2.추정(긍정)'!bsNote</definedName>
    <definedName name="BT" localSheetId="10">'2.추정(긍정)'!BT</definedName>
    <definedName name="BT" localSheetId="11">'2.추정(부정)'!BT</definedName>
    <definedName name="BT" localSheetId="9">구NCP!BT</definedName>
    <definedName name="BT" localSheetId="2">추정!BT</definedName>
    <definedName name="BT" localSheetId="12">#N/A</definedName>
    <definedName name="BT" localSheetId="3">#N/A</definedName>
    <definedName name="BT" localSheetId="6">평정!BT</definedName>
    <definedName name="BT" localSheetId="4">NCP!BT</definedName>
    <definedName name="BT">'2.추정(긍정)'!BT</definedName>
    <definedName name="btnClose" localSheetId="10">'2.추정(긍정)'!btnClose</definedName>
    <definedName name="btnClose" localSheetId="11">'2.추정(부정)'!btnClose</definedName>
    <definedName name="btnClose" localSheetId="9">구NCP!btnClose</definedName>
    <definedName name="btnClose" localSheetId="2">추정!btnClose</definedName>
    <definedName name="btnClose" localSheetId="12">#N/A</definedName>
    <definedName name="btnClose" localSheetId="3">#N/A</definedName>
    <definedName name="btnClose" localSheetId="6">평정!btnClose</definedName>
    <definedName name="btnClose" localSheetId="4">NCP!btnClose</definedName>
    <definedName name="btnClose">'2.추정(긍정)'!btnClose</definedName>
    <definedName name="btnFootNoting" localSheetId="10">'2.추정(긍정)'!btnFootNoting</definedName>
    <definedName name="btnFootNoting" localSheetId="11">'2.추정(부정)'!btnFootNoting</definedName>
    <definedName name="btnFootNoting" localSheetId="9">구NCP!btnFootNoting</definedName>
    <definedName name="btnFootNoting" localSheetId="2">추정!btnFootNoting</definedName>
    <definedName name="btnFootNoting" localSheetId="12">#N/A</definedName>
    <definedName name="btnFootNoting" localSheetId="3">#N/A</definedName>
    <definedName name="btnFootNoting" localSheetId="6">평정!btnFootNoting</definedName>
    <definedName name="btnFootNoting" localSheetId="4">NCP!btnFootNoting</definedName>
    <definedName name="btnFootNoting">'2.추정(긍정)'!btnFootNoting</definedName>
    <definedName name="btnNext" localSheetId="10">'2.추정(긍정)'!btnNext</definedName>
    <definedName name="btnNext" localSheetId="11">'2.추정(부정)'!btnNext</definedName>
    <definedName name="btnNext" localSheetId="9">구NCP!btnNext</definedName>
    <definedName name="btnNext" localSheetId="2">추정!btnNext</definedName>
    <definedName name="btnNext" localSheetId="12">#N/A</definedName>
    <definedName name="btnNext" localSheetId="3">#N/A</definedName>
    <definedName name="btnNext" localSheetId="6">평정!btnNext</definedName>
    <definedName name="btnNext" localSheetId="4">NCP!btnNext</definedName>
    <definedName name="btnNext">'2.추정(긍정)'!btnNext</definedName>
    <definedName name="btnOK" localSheetId="10">'2.추정(긍정)'!btnOK</definedName>
    <definedName name="btnOK" localSheetId="11">'2.추정(부정)'!btnOK</definedName>
    <definedName name="btnOK" localSheetId="9">구NCP!btnOK</definedName>
    <definedName name="btnOK" localSheetId="2">추정!btnOK</definedName>
    <definedName name="btnOK" localSheetId="12">#N/A</definedName>
    <definedName name="btnOK" localSheetId="3">#N/A</definedName>
    <definedName name="btnOK" localSheetId="6">평정!btnOK</definedName>
    <definedName name="btnOK" localSheetId="4">NCP!btnOK</definedName>
    <definedName name="btnOK">'2.추정(긍정)'!btnOK</definedName>
    <definedName name="btnPrevious" localSheetId="10">'2.추정(긍정)'!btnPrevious</definedName>
    <definedName name="btnPrevious" localSheetId="11">'2.추정(부정)'!btnPrevious</definedName>
    <definedName name="btnPrevious" localSheetId="9">구NCP!btnPrevious</definedName>
    <definedName name="btnPrevious" localSheetId="2">추정!btnPrevious</definedName>
    <definedName name="btnPrevious" localSheetId="12">#N/A</definedName>
    <definedName name="btnPrevious" localSheetId="3">#N/A</definedName>
    <definedName name="btnPrevious" localSheetId="6">평정!btnPrevious</definedName>
    <definedName name="btnPrevious" localSheetId="4">NCP!btnPrevious</definedName>
    <definedName name="btnPrevious">'2.추정(긍정)'!btnPrevious</definedName>
    <definedName name="btnReturn" localSheetId="10">'2.추정(긍정)'!btnReturn</definedName>
    <definedName name="btnReturn" localSheetId="11">'2.추정(부정)'!btnReturn</definedName>
    <definedName name="btnReturn" localSheetId="9">구NCP!btnReturn</definedName>
    <definedName name="btnReturn" localSheetId="2">추정!btnReturn</definedName>
    <definedName name="btnReturn" localSheetId="12">#N/A</definedName>
    <definedName name="btnReturn" localSheetId="3">#N/A</definedName>
    <definedName name="btnReturn" localSheetId="6">평정!btnReturn</definedName>
    <definedName name="btnReturn" localSheetId="4">NCP!btnReturn</definedName>
    <definedName name="btnReturn">'2.추정(긍정)'!btnReturn</definedName>
    <definedName name="BU별_수주금액" localSheetId="10">#REF!</definedName>
    <definedName name="BU별_수주금액" localSheetId="11">#REF!</definedName>
    <definedName name="BU별_수주금액" localSheetId="9">#REF!</definedName>
    <definedName name="BU별_수주금액" localSheetId="2">#REF!</definedName>
    <definedName name="BU별_수주금액" localSheetId="12">#REF!</definedName>
    <definedName name="BU별_수주금액" localSheetId="3">#REF!</definedName>
    <definedName name="BU별_수주금액" localSheetId="6">#REF!</definedName>
    <definedName name="BU별_수주금액" localSheetId="4">#REF!</definedName>
    <definedName name="BU별_수주금액">#REF!</definedName>
    <definedName name="BU별_최종수주" localSheetId="10">#REF!</definedName>
    <definedName name="BU별_최종수주" localSheetId="11">#REF!</definedName>
    <definedName name="BU별_최종수주" localSheetId="9">#REF!</definedName>
    <definedName name="BU별_최종수주" localSheetId="2">#REF!</definedName>
    <definedName name="BU별_최종수주" localSheetId="12">#REF!</definedName>
    <definedName name="BU별_최종수주" localSheetId="3">#REF!</definedName>
    <definedName name="BU별_최종수주" localSheetId="6">#REF!</definedName>
    <definedName name="BU별_최종수주" localSheetId="4">#REF!</definedName>
    <definedName name="BU별_최종수주">#REF!</definedName>
    <definedName name="Button_97">"X2004_수주잔량_진짜다1_List"</definedName>
    <definedName name="BVR" localSheetId="10">'2.추정(긍정)'!BVR</definedName>
    <definedName name="BVR" localSheetId="11">'2.추정(부정)'!BVR</definedName>
    <definedName name="BVR" localSheetId="9">구NCP!BVR</definedName>
    <definedName name="BVR" localSheetId="2">추정!BVR</definedName>
    <definedName name="BVR" localSheetId="12">#N/A</definedName>
    <definedName name="BVR" localSheetId="3">#N/A</definedName>
    <definedName name="BVR" localSheetId="6">평정!BVR</definedName>
    <definedName name="BVR" localSheetId="4">NCP!BVR</definedName>
    <definedName name="BVR">'2.추정(긍정)'!BVR</definedName>
    <definedName name="C_" localSheetId="10">#REF!</definedName>
    <definedName name="C_" localSheetId="11">#REF!</definedName>
    <definedName name="C_" localSheetId="9">#REF!</definedName>
    <definedName name="C_" localSheetId="2">#REF!</definedName>
    <definedName name="C_" localSheetId="12">#REF!</definedName>
    <definedName name="C_" localSheetId="3">#REF!</definedName>
    <definedName name="C_" localSheetId="6">#REF!</definedName>
    <definedName name="C_" localSheetId="4">#REF!</definedName>
    <definedName name="C_">#REF!</definedName>
    <definedName name="C_2" localSheetId="10">#REF!</definedName>
    <definedName name="C_2" localSheetId="11">#REF!</definedName>
    <definedName name="C_2" localSheetId="9">#REF!</definedName>
    <definedName name="C_2" localSheetId="2">#REF!</definedName>
    <definedName name="C_2" localSheetId="12">#REF!</definedName>
    <definedName name="C_2" localSheetId="3">#REF!</definedName>
    <definedName name="C_2" localSheetId="6">#REF!</definedName>
    <definedName name="C_2" localSheetId="4">#REF!</definedName>
    <definedName name="C_2">#REF!</definedName>
    <definedName name="CA" localSheetId="10">#REF!</definedName>
    <definedName name="CA" localSheetId="11">#REF!</definedName>
    <definedName name="CA" localSheetId="9">#REF!</definedName>
    <definedName name="CA" localSheetId="2">#REF!</definedName>
    <definedName name="CA" localSheetId="12">#REF!</definedName>
    <definedName name="CA" localSheetId="3">#REF!</definedName>
    <definedName name="CA" localSheetId="6">#REF!</definedName>
    <definedName name="CA" localSheetId="4">#REF!</definedName>
    <definedName name="CA">#REF!</definedName>
    <definedName name="can" localSheetId="10">#REF!</definedName>
    <definedName name="can" localSheetId="11">#REF!</definedName>
    <definedName name="can" localSheetId="9">#REF!</definedName>
    <definedName name="can" localSheetId="2">#REF!</definedName>
    <definedName name="can" localSheetId="12">#REF!</definedName>
    <definedName name="can" localSheetId="3">#REF!</definedName>
    <definedName name="can" localSheetId="6">#REF!</definedName>
    <definedName name="can" localSheetId="4">#REF!</definedName>
    <definedName name="can">#REF!</definedName>
    <definedName name="CAPA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ex최종" localSheetId="10">#REF!</definedName>
    <definedName name="capex최종" localSheetId="11">#REF!</definedName>
    <definedName name="capex최종" localSheetId="9">#REF!</definedName>
    <definedName name="capex최종" localSheetId="2">#REF!</definedName>
    <definedName name="capex최종" localSheetId="12">#REF!</definedName>
    <definedName name="capex최종" localSheetId="3">#REF!</definedName>
    <definedName name="capex최종" localSheetId="6">#REF!</definedName>
    <definedName name="capex최종" localSheetId="4">#REF!</definedName>
    <definedName name="capex최종">#REF!</definedName>
    <definedName name="cash" localSheetId="10">'2.추정(긍정)'!cash</definedName>
    <definedName name="cash" localSheetId="11">'2.추정(부정)'!cash</definedName>
    <definedName name="cash" localSheetId="9">구NCP!cash</definedName>
    <definedName name="cash" localSheetId="2">추정!cash</definedName>
    <definedName name="cash" localSheetId="12">#N/A</definedName>
    <definedName name="cash" localSheetId="3">#N/A</definedName>
    <definedName name="cash" localSheetId="6">평정!cash</definedName>
    <definedName name="cash" localSheetId="4">NCP!cash</definedName>
    <definedName name="cash">'2.추정(긍정)'!cash</definedName>
    <definedName name="CashFlow_Button1_Click" localSheetId="10">'2.추정(긍정)'!CashFlow_Button1_Click</definedName>
    <definedName name="CashFlow_Button1_Click" localSheetId="11">'2.추정(부정)'!CashFlow_Button1_Click</definedName>
    <definedName name="CashFlow_Button1_Click" localSheetId="9">구NCP!CashFlow_Button1_Click</definedName>
    <definedName name="CashFlow_Button1_Click" localSheetId="2">추정!CashFlow_Button1_Click</definedName>
    <definedName name="CashFlow_Button1_Click" localSheetId="12">#N/A</definedName>
    <definedName name="CashFlow_Button1_Click" localSheetId="3">#N/A</definedName>
    <definedName name="CashFlow_Button1_Click" localSheetId="6">평정!CashFlow_Button1_Click</definedName>
    <definedName name="CashFlow_Button1_Click" localSheetId="4">NCP!CashFlow_Button1_Click</definedName>
    <definedName name="CashFlow_Button1_Click">'2.추정(긍정)'!CashFlow_Button1_Click</definedName>
    <definedName name="cashIndex" localSheetId="10">'2.추정(긍정)'!cashIndex</definedName>
    <definedName name="cashIndex" localSheetId="11">'2.추정(부정)'!cashIndex</definedName>
    <definedName name="cashIndex" localSheetId="9">구NCP!cashIndex</definedName>
    <definedName name="cashIndex" localSheetId="2">추정!cashIndex</definedName>
    <definedName name="cashIndex" localSheetId="12">#N/A</definedName>
    <definedName name="cashIndex" localSheetId="3">#N/A</definedName>
    <definedName name="cashIndex" localSheetId="6">평정!cashIndex</definedName>
    <definedName name="cashIndex" localSheetId="4">NCP!cashIndex</definedName>
    <definedName name="cashIndex">'2.추정(긍정)'!cashIndex</definedName>
    <definedName name="ccc" localSheetId="10">[7]차수!#REF!</definedName>
    <definedName name="ccc" localSheetId="11">[7]차수!#REF!</definedName>
    <definedName name="ccc" localSheetId="9">[7]차수!#REF!</definedName>
    <definedName name="ccc" localSheetId="2">[7]차수!#REF!</definedName>
    <definedName name="ccc" localSheetId="12">[7]차수!#REF!</definedName>
    <definedName name="ccc" localSheetId="3">[7]차수!#REF!</definedName>
    <definedName name="ccc" localSheetId="6">[7]차수!#REF!</definedName>
    <definedName name="ccc" localSheetId="4">[7]차수!#REF!</definedName>
    <definedName name="ccc">[7]차수!#REF!</definedName>
    <definedName name="CE" localSheetId="10">'2.추정(긍정)'!CE</definedName>
    <definedName name="CE" localSheetId="11">'2.추정(부정)'!CE</definedName>
    <definedName name="CE" localSheetId="9">구NCP!CE</definedName>
    <definedName name="CE" localSheetId="2">추정!CE</definedName>
    <definedName name="CE" localSheetId="12">#N/A</definedName>
    <definedName name="CE" localSheetId="3">#N/A</definedName>
    <definedName name="CE" localSheetId="6">평정!CE</definedName>
    <definedName name="CE" localSheetId="4">NCP!CE</definedName>
    <definedName name="CE">'2.추정(긍정)'!CE</definedName>
    <definedName name="CEC" localSheetId="10">'2.추정(긍정)'!CEC</definedName>
    <definedName name="CEC" localSheetId="11">'2.추정(부정)'!CEC</definedName>
    <definedName name="CEC" localSheetId="9">구NCP!CEC</definedName>
    <definedName name="CEC" localSheetId="2">추정!CEC</definedName>
    <definedName name="CEC" localSheetId="12">#N/A</definedName>
    <definedName name="CEC" localSheetId="3">#N/A</definedName>
    <definedName name="CEC" localSheetId="6">평정!CEC</definedName>
    <definedName name="CEC" localSheetId="4">NCP!CEC</definedName>
    <definedName name="CEC">'2.추정(긍정)'!CEC</definedName>
    <definedName name="CESS" localSheetId="10">'2.추정(긍정)'!CESS</definedName>
    <definedName name="CESS" localSheetId="11">'2.추정(부정)'!CESS</definedName>
    <definedName name="CESS" localSheetId="9">구NCP!CESS</definedName>
    <definedName name="CESS" localSheetId="2">추정!CESS</definedName>
    <definedName name="CESS" localSheetId="12">#N/A</definedName>
    <definedName name="CESS" localSheetId="3">#N/A</definedName>
    <definedName name="CESS" localSheetId="6">평정!CESS</definedName>
    <definedName name="CESS" localSheetId="4">NCP!CESS</definedName>
    <definedName name="CESS">'2.추정(긍정)'!CESS</definedName>
    <definedName name="CF" localSheetId="10">#REF!</definedName>
    <definedName name="CF" localSheetId="11">#REF!</definedName>
    <definedName name="CF" localSheetId="9">#REF!</definedName>
    <definedName name="CF" localSheetId="2">#REF!</definedName>
    <definedName name="CF" localSheetId="12">#REF!</definedName>
    <definedName name="CF" localSheetId="3">#REF!</definedName>
    <definedName name="CF" localSheetId="6">#REF!</definedName>
    <definedName name="CF" localSheetId="4">#REF!</definedName>
    <definedName name="CF">#REF!</definedName>
    <definedName name="CF요인" localSheetId="10" hidden="1">#REF!</definedName>
    <definedName name="CF요인" localSheetId="11" hidden="1">#REF!</definedName>
    <definedName name="CF요인" localSheetId="9" hidden="1">#REF!</definedName>
    <definedName name="CF요인" localSheetId="1" hidden="1">#REF!</definedName>
    <definedName name="CF요인" localSheetId="2" hidden="1">#REF!</definedName>
    <definedName name="CF요인" localSheetId="12" hidden="1">#REF!</definedName>
    <definedName name="CF요인" localSheetId="3" hidden="1">#REF!</definedName>
    <definedName name="CF요인" localSheetId="6" hidden="1">#REF!</definedName>
    <definedName name="CF요인" localSheetId="4" hidden="1">#REF!</definedName>
    <definedName name="CF요인" hidden="1">#REF!</definedName>
    <definedName name="CH">#N/A</definedName>
    <definedName name="CHK" localSheetId="10">#REF!</definedName>
    <definedName name="CHK" localSheetId="11">#REF!</definedName>
    <definedName name="CHK" localSheetId="9">#REF!</definedName>
    <definedName name="CHK" localSheetId="2">#REF!</definedName>
    <definedName name="CHK" localSheetId="12">#REF!</definedName>
    <definedName name="CHK" localSheetId="3">#REF!</definedName>
    <definedName name="CHK" localSheetId="6">#REF!</definedName>
    <definedName name="CHK" localSheetId="4">#REF!</definedName>
    <definedName name="CHK">#REF!</definedName>
    <definedName name="CHOI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CHOI" hidden="1">{#N/A,#N/A,FALSE,"PART-1234-8-12-9(41)";#N/A,#N/A,FALSE,"PARTS-2(3)";#N/A,#N/A,FALSE,"VAN SYSTEM";#N/A,#N/A,FALSE,"PARTS-10(26)";#N/A,#N/A,FALSE,"PART-5-6-7-11(14)";#N/A,#N/A,FALSE,"PARTS-4(3)";#N/A,#N/A,FALSE,"PCLASS"}</definedName>
    <definedName name="CHUL">#N/A</definedName>
    <definedName name="CON_B" localSheetId="10">#REF!</definedName>
    <definedName name="CON_B" localSheetId="11">#REF!</definedName>
    <definedName name="CON_B" localSheetId="9">#REF!</definedName>
    <definedName name="CON_B" localSheetId="2">#REF!</definedName>
    <definedName name="CON_B" localSheetId="12">#REF!</definedName>
    <definedName name="CON_B" localSheetId="3">#REF!</definedName>
    <definedName name="CON_B" localSheetId="6">#REF!</definedName>
    <definedName name="CON_B" localSheetId="4">#REF!</definedName>
    <definedName name="CON_B">#REF!</definedName>
    <definedName name="CON_C" localSheetId="10">#REF!</definedName>
    <definedName name="CON_C" localSheetId="11">#REF!</definedName>
    <definedName name="CON_C" localSheetId="9">#REF!</definedName>
    <definedName name="CON_C" localSheetId="2">#REF!</definedName>
    <definedName name="CON_C" localSheetId="12">#REF!</definedName>
    <definedName name="CON_C" localSheetId="3">#REF!</definedName>
    <definedName name="CON_C" localSheetId="6">#REF!</definedName>
    <definedName name="CON_C" localSheetId="4">#REF!</definedName>
    <definedName name="CON_C">#REF!</definedName>
    <definedName name="CON_E" localSheetId="10">#REF!</definedName>
    <definedName name="CON_E" localSheetId="11">#REF!</definedName>
    <definedName name="CON_E" localSheetId="9">#REF!</definedName>
    <definedName name="CON_E" localSheetId="2">#REF!</definedName>
    <definedName name="CON_E" localSheetId="12">#REF!</definedName>
    <definedName name="CON_E" localSheetId="3">#REF!</definedName>
    <definedName name="CON_E" localSheetId="6">#REF!</definedName>
    <definedName name="CON_E" localSheetId="4">#REF!</definedName>
    <definedName name="CON_E">#REF!</definedName>
    <definedName name="CON_P" localSheetId="10">#REF!</definedName>
    <definedName name="CON_P" localSheetId="11">#REF!</definedName>
    <definedName name="CON_P" localSheetId="9">#REF!</definedName>
    <definedName name="CON_P" localSheetId="2">#REF!</definedName>
    <definedName name="CON_P" localSheetId="12">#REF!</definedName>
    <definedName name="CON_P" localSheetId="3">#REF!</definedName>
    <definedName name="CON_P" localSheetId="6">#REF!</definedName>
    <definedName name="CON_P" localSheetId="4">#REF!</definedName>
    <definedName name="CON_P">#REF!</definedName>
    <definedName name="CONSTANT" localSheetId="10">#REF!</definedName>
    <definedName name="CONSTANT" localSheetId="11">#REF!</definedName>
    <definedName name="CONSTANT" localSheetId="9">#REF!</definedName>
    <definedName name="CONSTANT" localSheetId="2">#REF!</definedName>
    <definedName name="CONSTANT" localSheetId="12">#REF!</definedName>
    <definedName name="CONSTANT" localSheetId="3">#REF!</definedName>
    <definedName name="CONSTANT" localSheetId="6">#REF!</definedName>
    <definedName name="CONSTANT" localSheetId="4">#REF!</definedName>
    <definedName name="CONSTANT">#REF!</definedName>
    <definedName name="COPY" localSheetId="10">#REF!</definedName>
    <definedName name="COPY" localSheetId="11">#REF!</definedName>
    <definedName name="COPY" localSheetId="9">#REF!</definedName>
    <definedName name="COPY" localSheetId="2">#REF!</definedName>
    <definedName name="COPY" localSheetId="12">#REF!</definedName>
    <definedName name="COPY" localSheetId="3">#REF!</definedName>
    <definedName name="COPY" localSheetId="6">#REF!</definedName>
    <definedName name="COPY" localSheetId="4">#REF!</definedName>
    <definedName name="COPY">#REF!</definedName>
    <definedName name="cost9809" localSheetId="10">#REF!</definedName>
    <definedName name="cost9809" localSheetId="11">#REF!</definedName>
    <definedName name="cost9809" localSheetId="9">#REF!</definedName>
    <definedName name="cost9809" localSheetId="2">#REF!</definedName>
    <definedName name="cost9809" localSheetId="12">#REF!</definedName>
    <definedName name="cost9809" localSheetId="3">#REF!</definedName>
    <definedName name="cost9809" localSheetId="6">#REF!</definedName>
    <definedName name="cost9809" localSheetId="4">#REF!</definedName>
    <definedName name="cost9809">#REF!</definedName>
    <definedName name="cvb" localSheetId="10">BlankMacro1</definedName>
    <definedName name="cvb" localSheetId="11">BlankMacro1</definedName>
    <definedName name="cvb" localSheetId="9">BlankMacro1</definedName>
    <definedName name="cvb" localSheetId="2">BlankMacro1</definedName>
    <definedName name="cvb" localSheetId="12">BlankMacro1</definedName>
    <definedName name="cvb" localSheetId="3">BlankMacro1</definedName>
    <definedName name="cvb" localSheetId="6">BlankMacro1</definedName>
    <definedName name="cvb" localSheetId="4">BlankMacro1</definedName>
    <definedName name="cvb">BlankMacro1</definedName>
    <definedName name="cvbxc" localSheetId="10">BlankMacro1</definedName>
    <definedName name="cvbxc" localSheetId="11">BlankMacro1</definedName>
    <definedName name="cvbxc" localSheetId="9">BlankMacro1</definedName>
    <definedName name="cvbxc" localSheetId="2">BlankMacro1</definedName>
    <definedName name="cvbxc" localSheetId="12">BlankMacro1</definedName>
    <definedName name="cvbxc" localSheetId="3">BlankMacro1</definedName>
    <definedName name="cvbxc" localSheetId="6">BlankMacro1</definedName>
    <definedName name="cvbxc" localSheetId="4">BlankMacro1</definedName>
    <definedName name="cvbxc">BlankMacro1</definedName>
    <definedName name="D" localSheetId="10">#REF!</definedName>
    <definedName name="D" localSheetId="11">#REF!</definedName>
    <definedName name="D" localSheetId="9">#REF!</definedName>
    <definedName name="D" localSheetId="2">#REF!</definedName>
    <definedName name="D" localSheetId="12">#REF!</definedName>
    <definedName name="D" localSheetId="3">#REF!</definedName>
    <definedName name="D" localSheetId="6">#REF!</definedName>
    <definedName name="D" localSheetId="4">#REF!</definedName>
    <definedName name="D">#REF!</definedName>
    <definedName name="DAS" localSheetId="10" hidden="1">{#N/A,#N/A,FALSE,"지침";#N/A,#N/A,FALSE,"환경분석";#N/A,#N/A,FALSE,"Sheet16"}</definedName>
    <definedName name="DAS" localSheetId="11" hidden="1">{#N/A,#N/A,FALSE,"지침";#N/A,#N/A,FALSE,"환경분석";#N/A,#N/A,FALSE,"Sheet16"}</definedName>
    <definedName name="DAS" localSheetId="9" hidden="1">{#N/A,#N/A,FALSE,"지침";#N/A,#N/A,FALSE,"환경분석";#N/A,#N/A,FALSE,"Sheet16"}</definedName>
    <definedName name="DAS" localSheetId="1" hidden="1">{#N/A,#N/A,FALSE,"지침";#N/A,#N/A,FALSE,"환경분석";#N/A,#N/A,FALSE,"Sheet16"}</definedName>
    <definedName name="DAS" localSheetId="2" hidden="1">{#N/A,#N/A,FALSE,"지침";#N/A,#N/A,FALSE,"환경분석";#N/A,#N/A,FALSE,"Sheet16"}</definedName>
    <definedName name="DAS" localSheetId="12" hidden="1">{#N/A,#N/A,FALSE,"지침";#N/A,#N/A,FALSE,"환경분석";#N/A,#N/A,FALSE,"Sheet16"}</definedName>
    <definedName name="DAS" localSheetId="3" hidden="1">{#N/A,#N/A,FALSE,"지침";#N/A,#N/A,FALSE,"환경분석";#N/A,#N/A,FALSE,"Sheet16"}</definedName>
    <definedName name="DAS" localSheetId="6" hidden="1">{#N/A,#N/A,FALSE,"지침";#N/A,#N/A,FALSE,"환경분석";#N/A,#N/A,FALSE,"Sheet16"}</definedName>
    <definedName name="DAS" localSheetId="4" hidden="1">{#N/A,#N/A,FALSE,"지침";#N/A,#N/A,FALSE,"환경분석";#N/A,#N/A,FALSE,"Sheet16"}</definedName>
    <definedName name="DAS" hidden="1">{#N/A,#N/A,FALSE,"지침";#N/A,#N/A,FALSE,"환경분석";#N/A,#N/A,FALSE,"Sheet16"}</definedName>
    <definedName name="DATA1">#N/A</definedName>
    <definedName name="DATA2">#N/A</definedName>
    <definedName name="DATA3" localSheetId="10">#REF!</definedName>
    <definedName name="DATA3" localSheetId="11">#REF!</definedName>
    <definedName name="DATA3" localSheetId="9">#REF!</definedName>
    <definedName name="DATA3" localSheetId="2">#REF!</definedName>
    <definedName name="DATA3" localSheetId="12">#REF!</definedName>
    <definedName name="DATA3" localSheetId="3">#REF!</definedName>
    <definedName name="DATA3" localSheetId="6">#REF!</definedName>
    <definedName name="DATA3" localSheetId="4">#REF!</definedName>
    <definedName name="DATA3">#REF!</definedName>
    <definedName name="DATA4" localSheetId="10">#REF!</definedName>
    <definedName name="DATA4" localSheetId="11">#REF!</definedName>
    <definedName name="DATA4" localSheetId="9">#REF!</definedName>
    <definedName name="DATA4" localSheetId="2">#REF!</definedName>
    <definedName name="DATA4" localSheetId="12">#REF!</definedName>
    <definedName name="DATA4" localSheetId="3">#REF!</definedName>
    <definedName name="DATA4" localSheetId="6">#REF!</definedName>
    <definedName name="DATA4" localSheetId="4">#REF!</definedName>
    <definedName name="DATA4">#REF!</definedName>
    <definedName name="DD" localSheetId="10">#REF!</definedName>
    <definedName name="DD" localSheetId="11">#REF!</definedName>
    <definedName name="DD" localSheetId="9">#REF!</definedName>
    <definedName name="DD" localSheetId="2">#REF!</definedName>
    <definedName name="DD" localSheetId="12">#REF!</definedName>
    <definedName name="DD" localSheetId="3">#REF!</definedName>
    <definedName name="DD" localSheetId="6">#REF!</definedName>
    <definedName name="DD" localSheetId="4">#REF!</definedName>
    <definedName name="DD">#REF!</definedName>
    <definedName name="ddd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ong" localSheetId="10" hidden="1">{#N/A,#N/A,FALSE,"지침";#N/A,#N/A,FALSE,"환경분석";#N/A,#N/A,FALSE,"Sheet16"}</definedName>
    <definedName name="DDong" localSheetId="11" hidden="1">{#N/A,#N/A,FALSE,"지침";#N/A,#N/A,FALSE,"환경분석";#N/A,#N/A,FALSE,"Sheet16"}</definedName>
    <definedName name="DDong" localSheetId="9" hidden="1">{#N/A,#N/A,FALSE,"지침";#N/A,#N/A,FALSE,"환경분석";#N/A,#N/A,FALSE,"Sheet16"}</definedName>
    <definedName name="DDong" localSheetId="1" hidden="1">{#N/A,#N/A,FALSE,"지침";#N/A,#N/A,FALSE,"환경분석";#N/A,#N/A,FALSE,"Sheet16"}</definedName>
    <definedName name="DDong" localSheetId="2" hidden="1">{#N/A,#N/A,FALSE,"지침";#N/A,#N/A,FALSE,"환경분석";#N/A,#N/A,FALSE,"Sheet16"}</definedName>
    <definedName name="DDong" localSheetId="12" hidden="1">{#N/A,#N/A,FALSE,"지침";#N/A,#N/A,FALSE,"환경분석";#N/A,#N/A,FALSE,"Sheet16"}</definedName>
    <definedName name="DDong" localSheetId="3" hidden="1">{#N/A,#N/A,FALSE,"지침";#N/A,#N/A,FALSE,"환경분석";#N/A,#N/A,FALSE,"Sheet16"}</definedName>
    <definedName name="DDong" localSheetId="6" hidden="1">{#N/A,#N/A,FALSE,"지침";#N/A,#N/A,FALSE,"환경분석";#N/A,#N/A,FALSE,"Sheet16"}</definedName>
    <definedName name="DDong" localSheetId="4" hidden="1">{#N/A,#N/A,FALSE,"지침";#N/A,#N/A,FALSE,"환경분석";#N/A,#N/A,FALSE,"Sheet16"}</definedName>
    <definedName name="DDong" hidden="1">{#N/A,#N/A,FALSE,"지침";#N/A,#N/A,FALSE,"환경분석";#N/A,#N/A,FALSE,"Sheet16"}</definedName>
    <definedName name="DFFFGHHJ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hidden="1">{#N/A,#N/A,FALSE,"PART-1234-8-12-9(41)";#N/A,#N/A,FALSE,"PARTS-2(3)";#N/A,#N/A,FALSE,"VAN SYSTEM";#N/A,#N/A,FALSE,"PARTS-10(26)";#N/A,#N/A,FALSE,"PART-5-6-7-11(14)";#N/A,#N/A,FALSE,"PARTS-4(3)";#N/A,#N/A,FALSE,"PCLASS"}</definedName>
    <definedName name="DFGGHHHHHJHJ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hgf" localSheetId="10">BlankMacro1</definedName>
    <definedName name="dfghgf" localSheetId="11">BlankMacro1</definedName>
    <definedName name="dfghgf" localSheetId="9">BlankMacro1</definedName>
    <definedName name="dfghgf" localSheetId="2">BlankMacro1</definedName>
    <definedName name="dfghgf" localSheetId="12">BlankMacro1</definedName>
    <definedName name="dfghgf" localSheetId="3">BlankMacro1</definedName>
    <definedName name="dfghgf" localSheetId="6">BlankMacro1</definedName>
    <definedName name="dfghgf" localSheetId="4">BlankMacro1</definedName>
    <definedName name="dfghgf">BlankMacro1</definedName>
    <definedName name="DFGH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JK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hidden="1">{#N/A,#N/A,FALSE,"PART-1234-8-12-9(41)";#N/A,#N/A,FALSE,"PARTS-2(3)";#N/A,#N/A,FALSE,"VAN SYSTEM";#N/A,#N/A,FALSE,"PARTS-10(26)";#N/A,#N/A,FALSE,"PART-5-6-7-11(14)";#N/A,#N/A,FALSE,"PARTS-4(3)";#N/A,#N/A,FALSE,"PCLASS"}</definedName>
    <definedName name="d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LTKDS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LTKDSJ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NFL" hidden="1">{#N/A,#N/A,FALSE,"PART-1234-8-12-9(41)";#N/A,#N/A,FALSE,"PARTS-2(3)";#N/A,#N/A,FALSE,"VAN SYSTEM";#N/A,#N/A,FALSE,"PARTS-10(26)";#N/A,#N/A,FALSE,"PART-5-6-7-11(14)";#N/A,#N/A,FALSE,"PARTS-4(3)";#N/A,#N/A,FALSE,"PCLASS"}</definedName>
    <definedName name="DRHGRD" localSheetId="10">'2.추정(긍정)'!DRHGRD</definedName>
    <definedName name="DRHGRD" localSheetId="11">'2.추정(부정)'!DRHGRD</definedName>
    <definedName name="DRHGRD" localSheetId="9">구NCP!DRHGRD</definedName>
    <definedName name="DRHGRD" localSheetId="2">추정!DRHGRD</definedName>
    <definedName name="DRHGRD" localSheetId="12">#N/A</definedName>
    <definedName name="DRHGRD" localSheetId="3">#N/A</definedName>
    <definedName name="DRHGRD" localSheetId="6">평정!DRHGRD</definedName>
    <definedName name="DRHGRD" localSheetId="4">NCP!DRHGRD</definedName>
    <definedName name="DRHGRD">'2.추정(긍정)'!DRHGRD</definedName>
    <definedName name="DRYDR" localSheetId="10">'2.추정(긍정)'!DRYDR</definedName>
    <definedName name="DRYDR" localSheetId="11">'2.추정(부정)'!DRYDR</definedName>
    <definedName name="DRYDR" localSheetId="9">구NCP!DRYDR</definedName>
    <definedName name="DRYDR" localSheetId="2">추정!DRYDR</definedName>
    <definedName name="DRYDR" localSheetId="12">#N/A</definedName>
    <definedName name="DRYDR" localSheetId="3">#N/A</definedName>
    <definedName name="DRYDR" localSheetId="6">평정!DRYDR</definedName>
    <definedName name="DRYDR" localSheetId="4">NCP!DRYDR</definedName>
    <definedName name="DRYDR">'2.추정(긍정)'!DRYDR</definedName>
    <definedName name="DRYDRYRD" localSheetId="10">'2.추정(긍정)'!DRYDRYRD</definedName>
    <definedName name="DRYDRYRD" localSheetId="11">'2.추정(부정)'!DRYDRYRD</definedName>
    <definedName name="DRYDRYRD" localSheetId="9">구NCP!DRYDRYRD</definedName>
    <definedName name="DRYDRYRD" localSheetId="2">추정!DRYDRYRD</definedName>
    <definedName name="DRYDRYRD" localSheetId="12">#N/A</definedName>
    <definedName name="DRYDRYRD" localSheetId="3">#N/A</definedName>
    <definedName name="DRYDRYRD" localSheetId="6">평정!DRYDRYRD</definedName>
    <definedName name="DRYDRYRD" localSheetId="4">NCP!DRYDRYRD</definedName>
    <definedName name="DRYDRYRD">'2.추정(긍정)'!DRYDRYRD</definedName>
    <definedName name="DRYRD" localSheetId="10">'2.추정(긍정)'!DRYRD</definedName>
    <definedName name="DRYRD" localSheetId="11">'2.추정(부정)'!DRYRD</definedName>
    <definedName name="DRYRD" localSheetId="9">구NCP!DRYRD</definedName>
    <definedName name="DRYRD" localSheetId="2">추정!DRYRD</definedName>
    <definedName name="DRYRD" localSheetId="12">#N/A</definedName>
    <definedName name="DRYRD" localSheetId="3">#N/A</definedName>
    <definedName name="DRYRD" localSheetId="6">평정!DRYRD</definedName>
    <definedName name="DRYRD" localSheetId="4">NCP!DRYRD</definedName>
    <definedName name="DRYRD">'2.추정(긍정)'!DRYRD</definedName>
    <definedName name="DU7월Order_J" localSheetId="10">#REF!</definedName>
    <definedName name="DU7월Order_J" localSheetId="11">#REF!</definedName>
    <definedName name="DU7월Order_J" localSheetId="9">#REF!</definedName>
    <definedName name="DU7월Order_J" localSheetId="2">#REF!</definedName>
    <definedName name="DU7월Order_J" localSheetId="12">#REF!</definedName>
    <definedName name="DU7월Order_J" localSheetId="3">#REF!</definedName>
    <definedName name="DU7월Order_J" localSheetId="6">#REF!</definedName>
    <definedName name="DU7월Order_J" localSheetId="4">#REF!</definedName>
    <definedName name="DU7월Order_J">#REF!</definedName>
    <definedName name="DU7월Order_V" localSheetId="10">#REF!</definedName>
    <definedName name="DU7월Order_V" localSheetId="11">#REF!</definedName>
    <definedName name="DU7월Order_V" localSheetId="9">#REF!</definedName>
    <definedName name="DU7월Order_V" localSheetId="2">#REF!</definedName>
    <definedName name="DU7월Order_V" localSheetId="12">#REF!</definedName>
    <definedName name="DU7월Order_V" localSheetId="3">#REF!</definedName>
    <definedName name="DU7월Order_V" localSheetId="6">#REF!</definedName>
    <definedName name="DU7월Order_V" localSheetId="4">#REF!</definedName>
    <definedName name="DU7월Order_V">#REF!</definedName>
    <definedName name="DU8월Order_J" localSheetId="10">#REF!</definedName>
    <definedName name="DU8월Order_J" localSheetId="11">#REF!</definedName>
    <definedName name="DU8월Order_J" localSheetId="9">#REF!</definedName>
    <definedName name="DU8월Order_J" localSheetId="2">#REF!</definedName>
    <definedName name="DU8월Order_J" localSheetId="12">#REF!</definedName>
    <definedName name="DU8월Order_J" localSheetId="3">#REF!</definedName>
    <definedName name="DU8월Order_J" localSheetId="6">#REF!</definedName>
    <definedName name="DU8월Order_J" localSheetId="4">#REF!</definedName>
    <definedName name="DU8월Order_J">#REF!</definedName>
    <definedName name="DU8월Order_V" localSheetId="10">#REF!</definedName>
    <definedName name="DU8월Order_V" localSheetId="11">#REF!</definedName>
    <definedName name="DU8월Order_V" localSheetId="9">#REF!</definedName>
    <definedName name="DU8월Order_V" localSheetId="2">#REF!</definedName>
    <definedName name="DU8월Order_V" localSheetId="12">#REF!</definedName>
    <definedName name="DU8월Order_V" localSheetId="3">#REF!</definedName>
    <definedName name="DU8월Order_V" localSheetId="6">#REF!</definedName>
    <definedName name="DU8월Order_V" localSheetId="4">#REF!</definedName>
    <definedName name="DU8월Order_V">#REF!</definedName>
    <definedName name="E" localSheetId="10">#REF!</definedName>
    <definedName name="E" localSheetId="11">#REF!</definedName>
    <definedName name="E" localSheetId="9">#REF!</definedName>
    <definedName name="E" localSheetId="2">#REF!</definedName>
    <definedName name="E" localSheetId="12">#REF!</definedName>
    <definedName name="E" localSheetId="3">#REF!</definedName>
    <definedName name="E" localSheetId="6">#REF!</definedName>
    <definedName name="E" localSheetId="4">#REF!</definedName>
    <definedName name="E">#REF!</definedName>
    <definedName name="E¸≫cA¤2³a" localSheetId="10">#REF!</definedName>
    <definedName name="E¸≫cA¤2³a" localSheetId="11">#REF!</definedName>
    <definedName name="E¸≫cA¤2³a" localSheetId="9">#REF!</definedName>
    <definedName name="E¸≫cA¤2³a" localSheetId="2">#REF!</definedName>
    <definedName name="E¸≫cA¤2³a" localSheetId="12">#REF!</definedName>
    <definedName name="E¸≫cA¤2³a" localSheetId="3">#REF!</definedName>
    <definedName name="E¸≫cA¤2³a" localSheetId="6">#REF!</definedName>
    <definedName name="E¸≫cA¤2³a" localSheetId="4">#REF!</definedName>
    <definedName name="E¸≫cA¤2³a">#REF!</definedName>
    <definedName name="E¸≫cA¤3³a" localSheetId="10">#REF!</definedName>
    <definedName name="E¸≫cA¤3³a" localSheetId="11">#REF!</definedName>
    <definedName name="E¸≫cA¤3³a" localSheetId="9">#REF!</definedName>
    <definedName name="E¸≫cA¤3³a" localSheetId="2">#REF!</definedName>
    <definedName name="E¸≫cA¤3³a" localSheetId="12">#REF!</definedName>
    <definedName name="E¸≫cA¤3³a" localSheetId="3">#REF!</definedName>
    <definedName name="E¸≫cA¤3³a" localSheetId="6">#REF!</definedName>
    <definedName name="E¸≫cA¤3³a" localSheetId="4">#REF!</definedName>
    <definedName name="E¸≫cA¤3³a">#REF!</definedName>
    <definedName name="EE" localSheetId="10">#REF!</definedName>
    <definedName name="EE" localSheetId="11">#REF!</definedName>
    <definedName name="EE" localSheetId="9">#REF!</definedName>
    <definedName name="EE" localSheetId="2">#REF!</definedName>
    <definedName name="EE" localSheetId="12">#REF!</definedName>
    <definedName name="EE" localSheetId="3">#REF!</definedName>
    <definedName name="EE" localSheetId="6">#REF!</definedName>
    <definedName name="EE" localSheetId="4">#REF!</definedName>
    <definedName name="EE">#REF!</definedName>
    <definedName name="eeee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GERSGR" localSheetId="10">'2.추정(긍정)'!EGERSGR</definedName>
    <definedName name="EGERSGR" localSheetId="11">'2.추정(부정)'!EGERSGR</definedName>
    <definedName name="EGERSGR" localSheetId="9">구NCP!EGERSGR</definedName>
    <definedName name="EGERSGR" localSheetId="2">추정!EGERSGR</definedName>
    <definedName name="EGERSGR" localSheetId="12">#N/A</definedName>
    <definedName name="EGERSGR" localSheetId="3">#N/A</definedName>
    <definedName name="EGERSGR" localSheetId="6">평정!EGERSGR</definedName>
    <definedName name="EGERSGR" localSheetId="4">NCP!EGERSGR</definedName>
    <definedName name="EGERSGR">'2.추정(긍정)'!EGERSGR</definedName>
    <definedName name="ek" localSheetId="10">#REF!</definedName>
    <definedName name="ek" localSheetId="11">#REF!</definedName>
    <definedName name="ek" localSheetId="9">#REF!</definedName>
    <definedName name="ek" localSheetId="2">#REF!</definedName>
    <definedName name="ek" localSheetId="12">#REF!</definedName>
    <definedName name="ek" localSheetId="3">#REF!</definedName>
    <definedName name="ek" localSheetId="6">#REF!</definedName>
    <definedName name="ek" localSheetId="4">#REF!</definedName>
    <definedName name="ek">#REF!</definedName>
    <definedName name="ENGMT1" localSheetId="10">#REF!</definedName>
    <definedName name="ENGMT1" localSheetId="11">#REF!</definedName>
    <definedName name="ENGMT1" localSheetId="9">#REF!</definedName>
    <definedName name="ENGMT1" localSheetId="2">#REF!</definedName>
    <definedName name="ENGMT1" localSheetId="12">#REF!</definedName>
    <definedName name="ENGMT1" localSheetId="3">#REF!</definedName>
    <definedName name="ENGMT1" localSheetId="6">#REF!</definedName>
    <definedName name="ENGMT1" localSheetId="4">#REF!</definedName>
    <definedName name="ENGMT1">#REF!</definedName>
    <definedName name="ER" localSheetId="10">#REF!</definedName>
    <definedName name="ER" localSheetId="11">#REF!</definedName>
    <definedName name="ER" localSheetId="9">#REF!</definedName>
    <definedName name="ER" localSheetId="2">#REF!</definedName>
    <definedName name="ER" localSheetId="12">#REF!</definedName>
    <definedName name="ER" localSheetId="3">#REF!</definedName>
    <definedName name="ER" localSheetId="6">#REF!</definedName>
    <definedName name="ER" localSheetId="4">#REF!</definedName>
    <definedName name="ER">#REF!</definedName>
    <definedName name="erase" localSheetId="10">#REF!</definedName>
    <definedName name="erase" localSheetId="11">#REF!</definedName>
    <definedName name="erase" localSheetId="9">#REF!</definedName>
    <definedName name="erase" localSheetId="2">#REF!</definedName>
    <definedName name="erase" localSheetId="12">#REF!</definedName>
    <definedName name="erase" localSheetId="3">#REF!</definedName>
    <definedName name="erase" localSheetId="6">#REF!</definedName>
    <definedName name="erase" localSheetId="4">#REF!</definedName>
    <definedName name="erase">#REF!</definedName>
    <definedName name="ERGSEVS" localSheetId="10">'2.추정(긍정)'!ERGSEVS</definedName>
    <definedName name="ERGSEVS" localSheetId="11">'2.추정(부정)'!ERGSEVS</definedName>
    <definedName name="ERGSEVS" localSheetId="9">구NCP!ERGSEVS</definedName>
    <definedName name="ERGSEVS" localSheetId="2">추정!ERGSEVS</definedName>
    <definedName name="ERGSEVS" localSheetId="12">#N/A</definedName>
    <definedName name="ERGSEVS" localSheetId="3">#N/A</definedName>
    <definedName name="ERGSEVS" localSheetId="6">평정!ERGSEVS</definedName>
    <definedName name="ERGSEVS" localSheetId="4">NCP!ERGSEVS</definedName>
    <definedName name="ERGSEVS">'2.추정(긍정)'!ERGSEVS</definedName>
    <definedName name="et" localSheetId="10">#REF!</definedName>
    <definedName name="et" localSheetId="11">#REF!</definedName>
    <definedName name="et" localSheetId="9">#REF!</definedName>
    <definedName name="et" localSheetId="2">#REF!</definedName>
    <definedName name="et" localSheetId="12">#REF!</definedName>
    <definedName name="et" localSheetId="3">#REF!</definedName>
    <definedName name="et" localSheetId="6">#REF!</definedName>
    <definedName name="et" localSheetId="4">#REF!</definedName>
    <definedName name="et">#REF!</definedName>
    <definedName name="eu" localSheetId="10">#REF!</definedName>
    <definedName name="eu" localSheetId="11">#REF!</definedName>
    <definedName name="eu" localSheetId="9">#REF!</definedName>
    <definedName name="eu" localSheetId="2">#REF!</definedName>
    <definedName name="eu" localSheetId="12">#REF!</definedName>
    <definedName name="eu" localSheetId="3">#REF!</definedName>
    <definedName name="eu" localSheetId="6">#REF!</definedName>
    <definedName name="eu" localSheetId="4">#REF!</definedName>
    <definedName name="eu">#REF!</definedName>
    <definedName name="EURO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V__LASTREFTIME__" hidden="1">"2010-07-19 오후 5:07:29"</definedName>
    <definedName name="EWFEW" localSheetId="10">'2.추정(긍정)'!EWFEW</definedName>
    <definedName name="EWFEW" localSheetId="11">'2.추정(부정)'!EWFEW</definedName>
    <definedName name="EWFEW" localSheetId="9">구NCP!EWFEW</definedName>
    <definedName name="EWFEW" localSheetId="2">추정!EWFEW</definedName>
    <definedName name="EWFEW" localSheetId="12">#N/A</definedName>
    <definedName name="EWFEW" localSheetId="3">#N/A</definedName>
    <definedName name="EWFEW" localSheetId="6">평정!EWFEW</definedName>
    <definedName name="EWFEW" localSheetId="4">NCP!EWFEW</definedName>
    <definedName name="EWFEW">'2.추정(긍정)'!EWFEW</definedName>
    <definedName name="F" localSheetId="10">#REF!</definedName>
    <definedName name="F" localSheetId="11">#REF!</definedName>
    <definedName name="F" localSheetId="9">#REF!</definedName>
    <definedName name="F" localSheetId="2">#REF!</definedName>
    <definedName name="F" localSheetId="12">#REF!</definedName>
    <definedName name="F" localSheetId="3">#REF!</definedName>
    <definedName name="F" localSheetId="6">#REF!</definedName>
    <definedName name="F" localSheetId="4">#REF!</definedName>
    <definedName name="F">#REF!</definedName>
    <definedName name="F_123" localSheetId="10">'2.추정(긍정)'!F_123</definedName>
    <definedName name="F_123" localSheetId="11">'2.추정(부정)'!F_123</definedName>
    <definedName name="F_123" localSheetId="9">구NCP!F_123</definedName>
    <definedName name="F_123" localSheetId="2">추정!F_123</definedName>
    <definedName name="F_123" localSheetId="12">#N/A</definedName>
    <definedName name="F_123" localSheetId="3">#N/A</definedName>
    <definedName name="F_123" localSheetId="6">평정!F_123</definedName>
    <definedName name="F_123" localSheetId="4">NCP!F_123</definedName>
    <definedName name="F_123">'2.추정(긍정)'!F_123</definedName>
    <definedName name="f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asdfa" hidden="1">{#N/A,#N/A,FALSE,"PART-1234-8-12-9(41)";#N/A,#N/A,FALSE,"PARTS-2(3)";#N/A,#N/A,FALSE,"VAN SYSTEM";#N/A,#N/A,FALSE,"PARTS-10(26)";#N/A,#N/A,FALSE,"PART-5-6-7-11(14)";#N/A,#N/A,FALSE,"PARTS-4(3)";#N/A,#N/A,FALSE,"PCLASS"}</definedName>
    <definedName name="FC_01">70700</definedName>
    <definedName name="FC_07">3900+79200</definedName>
    <definedName name="FC_99">0</definedName>
    <definedName name="FDBR" localSheetId="10">'2.추정(긍정)'!FDBR</definedName>
    <definedName name="FDBR" localSheetId="11">'2.추정(부정)'!FDBR</definedName>
    <definedName name="FDBR" localSheetId="9">구NCP!FDBR</definedName>
    <definedName name="FDBR" localSheetId="2">추정!FDBR</definedName>
    <definedName name="FDBR" localSheetId="12">#N/A</definedName>
    <definedName name="FDBR" localSheetId="3">#N/A</definedName>
    <definedName name="FDBR" localSheetId="6">평정!FDBR</definedName>
    <definedName name="FDBR" localSheetId="4">NCP!FDBR</definedName>
    <definedName name="FDBR">'2.추정(긍정)'!FDBR</definedName>
    <definedName name="FDS" localSheetId="10">#REF!</definedName>
    <definedName name="FDS" localSheetId="11">#REF!</definedName>
    <definedName name="FDS" localSheetId="9">#REF!</definedName>
    <definedName name="FDS" localSheetId="2">#REF!</definedName>
    <definedName name="FDS" localSheetId="12">#REF!</definedName>
    <definedName name="FDS" localSheetId="3">#REF!</definedName>
    <definedName name="FDS" localSheetId="6">#REF!</definedName>
    <definedName name="FDS" localSheetId="4">#REF!</definedName>
    <definedName name="FDS">#REF!</definedName>
    <definedName name="FEE" localSheetId="10">'2.추정(긍정)'!FEE</definedName>
    <definedName name="FEE" localSheetId="11">'2.추정(부정)'!FEE</definedName>
    <definedName name="FEE" localSheetId="9">구NCP!FEE</definedName>
    <definedName name="FEE" localSheetId="2">추정!FEE</definedName>
    <definedName name="FEE" localSheetId="12">#N/A</definedName>
    <definedName name="FEE" localSheetId="3">#N/A</definedName>
    <definedName name="FEE" localSheetId="6">평정!FEE</definedName>
    <definedName name="FEE" localSheetId="4">NCP!FEE</definedName>
    <definedName name="FEE">'2.추정(긍정)'!FEE</definedName>
    <definedName name="ff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ggghh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hidden="1">{#N/A,#N/A,FALSE,"PART-1234-8-12-9(41)";#N/A,#N/A,FALSE,"PARTS-2(3)";#N/A,#N/A,FALSE,"VAN SYSTEM";#N/A,#N/A,FALSE,"PARTS-10(26)";#N/A,#N/A,FALSE,"PART-5-6-7-11(14)";#N/A,#N/A,FALSE,"PARTS-4(3)";#N/A,#N/A,FALSE,"PCLASS"}</definedName>
    <definedName name="f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22TBTB3RTDKDKDK" localSheetId="10">[8]차수!#REF!</definedName>
    <definedName name="FG22TBTB3RTDKDKDK" localSheetId="11">[8]차수!#REF!</definedName>
    <definedName name="FG22TBTB3RTDKDKDK" localSheetId="9">[8]차수!#REF!</definedName>
    <definedName name="FG22TBTB3RTDKDKDK" localSheetId="2">[8]차수!#REF!</definedName>
    <definedName name="FG22TBTB3RTDKDKDK" localSheetId="12">[8]차수!#REF!</definedName>
    <definedName name="FG22TBTB3RTDKDKDK" localSheetId="3">[8]차수!#REF!</definedName>
    <definedName name="FG22TBTB3RTDKDKDK" localSheetId="6">[8]차수!#REF!</definedName>
    <definedName name="FG22TBTB3RTDKDKDK" localSheetId="4">[8]차수!#REF!</definedName>
    <definedName name="FG22TBTB3RTDKDKDK">[8]차수!#REF!</definedName>
    <definedName name="FG46TBTB4RTDKDK" localSheetId="10">#REF!</definedName>
    <definedName name="FG46TBTB4RTDKDK" localSheetId="11">#REF!</definedName>
    <definedName name="FG46TBTB4RTDKDK" localSheetId="9">#REF!</definedName>
    <definedName name="FG46TBTB4RTDKDK" localSheetId="2">#REF!</definedName>
    <definedName name="FG46TBTB4RTDKDK" localSheetId="12">#REF!</definedName>
    <definedName name="FG46TBTB4RTDKDK" localSheetId="3">#REF!</definedName>
    <definedName name="FG46TBTB4RTDKDK" localSheetId="6">#REF!</definedName>
    <definedName name="FG46TBTB4RTDKDK" localSheetId="4">#REF!</definedName>
    <definedName name="FG46TBTB4RTDKDK">#REF!</definedName>
    <definedName name="FGG" localSheetId="10">'2.추정(긍정)'!FGG</definedName>
    <definedName name="FGG" localSheetId="11">'2.추정(부정)'!FGG</definedName>
    <definedName name="FGG" localSheetId="9">구NCP!FGG</definedName>
    <definedName name="FGG" localSheetId="2">추정!FGG</definedName>
    <definedName name="FGG" localSheetId="12">#N/A</definedName>
    <definedName name="FGG" localSheetId="3">#N/A</definedName>
    <definedName name="FGG" localSheetId="6">평정!FGG</definedName>
    <definedName name="FGG" localSheetId="4">NCP!FGG</definedName>
    <definedName name="FGG">'2.추정(긍정)'!FGG</definedName>
    <definedName name="fg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" hidden="1">{#N/A,#N/A,FALSE,"PART-1234-8-12-9(41)";#N/A,#N/A,FALSE,"PARTS-2(3)";#N/A,#N/A,FALSE,"VAN SYSTEM";#N/A,#N/A,FALSE,"PARTS-10(26)";#N/A,#N/A,FALSE,"PART-5-6-7-11(14)";#N/A,#N/A,FALSE,"PARTS-4(3)";#N/A,#N/A,FALSE,"PCLASS"}</definedName>
    <definedName name="fghh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HJKL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hidden="1">{#N/A,#N/A,FALSE,"PART-1234-8-12-9(41)";#N/A,#N/A,FALSE,"PARTS-2(3)";#N/A,#N/A,FALSE,"VAN SYSTEM";#N/A,#N/A,FALSE,"PARTS-10(26)";#N/A,#N/A,FALSE,"PART-5-6-7-11(14)";#N/A,#N/A,FALSE,"PARTS-4(3)";#N/A,#N/A,FALSE,"PCLASS"}</definedName>
    <definedName name="fghjk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hidden="1">{#N/A,#N/A,FALSE,"PART-1234-8-12-9(41)";#N/A,#N/A,FALSE,"PARTS-2(3)";#N/A,#N/A,FALSE,"VAN SYSTEM";#N/A,#N/A,FALSE,"PARTS-10(26)";#N/A,#N/A,FALSE,"PART-5-6-7-11(14)";#N/A,#N/A,FALSE,"PARTS-4(3)";#N/A,#N/A,FALSE,"PCLASS"}</definedName>
    <definedName name="fhghhh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ile" localSheetId="10">BlankMacro1</definedName>
    <definedName name="file" localSheetId="11">BlankMacro1</definedName>
    <definedName name="file" localSheetId="9">BlankMacro1</definedName>
    <definedName name="file" localSheetId="2">BlankMacro1</definedName>
    <definedName name="file" localSheetId="12">BlankMacro1</definedName>
    <definedName name="file" localSheetId="3">BlankMacro1</definedName>
    <definedName name="file" localSheetId="6">BlankMacro1</definedName>
    <definedName name="file" localSheetId="4">BlankMacro1</definedName>
    <definedName name="file">BlankMacro1</definedName>
    <definedName name="FINAL_FS" localSheetId="10">'2.추정(긍정)'!FINAL_FS</definedName>
    <definedName name="FINAL_FS" localSheetId="11">'2.추정(부정)'!FINAL_FS</definedName>
    <definedName name="FINAL_FS" localSheetId="9">구NCP!FINAL_FS</definedName>
    <definedName name="FINAL_FS" localSheetId="2">추정!FINAL_FS</definedName>
    <definedName name="FINAL_FS" localSheetId="12">#N/A</definedName>
    <definedName name="FINAL_FS" localSheetId="3">#N/A</definedName>
    <definedName name="FINAL_FS" localSheetId="6">평정!FINAL_FS</definedName>
    <definedName name="FINAL_FS" localSheetId="4">NCP!FINAL_FS</definedName>
    <definedName name="FINAL_FS">'2.추정(긍정)'!FINAL_FS</definedName>
    <definedName name="finalReport" localSheetId="10">'2.추정(긍정)'!finalReport</definedName>
    <definedName name="finalReport" localSheetId="11">'2.추정(부정)'!finalReport</definedName>
    <definedName name="finalReport" localSheetId="9">구NCP!finalReport</definedName>
    <definedName name="finalReport" localSheetId="2">추정!finalReport</definedName>
    <definedName name="finalReport" localSheetId="12">#N/A</definedName>
    <definedName name="finalReport" localSheetId="3">#N/A</definedName>
    <definedName name="finalReport" localSheetId="6">평정!finalReport</definedName>
    <definedName name="finalReport" localSheetId="4">NCP!finalReport</definedName>
    <definedName name="finalReport">'2.추정(긍정)'!finalReport</definedName>
    <definedName name="finance" localSheetId="10">#REF!</definedName>
    <definedName name="finance" localSheetId="11">#REF!</definedName>
    <definedName name="finance" localSheetId="9">#REF!</definedName>
    <definedName name="finance" localSheetId="2">#REF!</definedName>
    <definedName name="finance" localSheetId="12">#REF!</definedName>
    <definedName name="finance" localSheetId="3">#REF!</definedName>
    <definedName name="finance" localSheetId="6">#REF!</definedName>
    <definedName name="finance" localSheetId="4">#REF!</definedName>
    <definedName name="finance">#REF!</definedName>
    <definedName name="FIRR" localSheetId="10">#REF!</definedName>
    <definedName name="FIRR" localSheetId="11">#REF!</definedName>
    <definedName name="FIRR" localSheetId="9">#REF!</definedName>
    <definedName name="FIRR" localSheetId="2">#REF!</definedName>
    <definedName name="FIRR" localSheetId="12">#REF!</definedName>
    <definedName name="FIRR" localSheetId="3">#REF!</definedName>
    <definedName name="FIRR" localSheetId="6">#REF!</definedName>
    <definedName name="FIRR" localSheetId="4">#REF!</definedName>
    <definedName name="FIRR">#REF!</definedName>
    <definedName name="FIRR분석" localSheetId="10">#REF!</definedName>
    <definedName name="FIRR분석" localSheetId="11">#REF!</definedName>
    <definedName name="FIRR분석" localSheetId="9">#REF!</definedName>
    <definedName name="FIRR분석" localSheetId="2">#REF!</definedName>
    <definedName name="FIRR분석" localSheetId="12">#REF!</definedName>
    <definedName name="FIRR분석" localSheetId="3">#REF!</definedName>
    <definedName name="FIRR분석" localSheetId="6">#REF!</definedName>
    <definedName name="FIRR분석" localSheetId="4">#REF!</definedName>
    <definedName name="FIRR분석">#REF!</definedName>
    <definedName name="fj" localSheetId="10">#REF!</definedName>
    <definedName name="fj" localSheetId="11">#REF!</definedName>
    <definedName name="fj" localSheetId="9">#REF!</definedName>
    <definedName name="fj" localSheetId="2">#REF!</definedName>
    <definedName name="fj" localSheetId="12">#REF!</definedName>
    <definedName name="fj" localSheetId="3">#REF!</definedName>
    <definedName name="fj" localSheetId="6">#REF!</definedName>
    <definedName name="fj" localSheetId="4">#REF!</definedName>
    <definedName name="fj">#REF!</definedName>
    <definedName name="fk" localSheetId="10">#REF!</definedName>
    <definedName name="fk" localSheetId="11">#REF!</definedName>
    <definedName name="fk" localSheetId="9">#REF!</definedName>
    <definedName name="fk" localSheetId="2">#REF!</definedName>
    <definedName name="fk" localSheetId="12">#REF!</definedName>
    <definedName name="fk" localSheetId="3">#REF!</definedName>
    <definedName name="fk" localSheetId="6">#REF!</definedName>
    <definedName name="fk" localSheetId="4">#REF!</definedName>
    <definedName name="fk">#REF!</definedName>
    <definedName name="fkf" localSheetId="10">BlankMacro1</definedName>
    <definedName name="fkf" localSheetId="11">BlankMacro1</definedName>
    <definedName name="fkf" localSheetId="9">BlankMacro1</definedName>
    <definedName name="fkf" localSheetId="2">BlankMacro1</definedName>
    <definedName name="fkf" localSheetId="12">BlankMacro1</definedName>
    <definedName name="fkf" localSheetId="3">BlankMacro1</definedName>
    <definedName name="fkf" localSheetId="6">BlankMacro1</definedName>
    <definedName name="fkf" localSheetId="4">BlankMacro1</definedName>
    <definedName name="fkf">BlankMacro1</definedName>
    <definedName name="fl" localSheetId="10">#REF!</definedName>
    <definedName name="fl" localSheetId="11">#REF!</definedName>
    <definedName name="fl" localSheetId="9">#REF!</definedName>
    <definedName name="fl" localSheetId="2">#REF!</definedName>
    <definedName name="fl" localSheetId="12">#REF!</definedName>
    <definedName name="fl" localSheetId="3">#REF!</definedName>
    <definedName name="fl" localSheetId="6">#REF!</definedName>
    <definedName name="fl" localSheetId="4">#REF!</definedName>
    <definedName name="fl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y">"List Box 14"</definedName>
    <definedName name="FYU" localSheetId="10">'2.추정(긍정)'!FYU</definedName>
    <definedName name="FYU" localSheetId="11">'2.추정(부정)'!FYU</definedName>
    <definedName name="FYU" localSheetId="9">구NCP!FYU</definedName>
    <definedName name="FYU" localSheetId="2">추정!FYU</definedName>
    <definedName name="FYU" localSheetId="12">#N/A</definedName>
    <definedName name="FYU" localSheetId="3">#N/A</definedName>
    <definedName name="FYU" localSheetId="6">평정!FYU</definedName>
    <definedName name="FYU" localSheetId="4">NCP!FYU</definedName>
    <definedName name="FYU">'2.추정(긍정)'!FYU</definedName>
    <definedName name="G" localSheetId="10">#REF!</definedName>
    <definedName name="G" localSheetId="11">#REF!</definedName>
    <definedName name="G" localSheetId="9">#REF!</definedName>
    <definedName name="G" localSheetId="2">#REF!</definedName>
    <definedName name="G" localSheetId="12">#REF!</definedName>
    <definedName name="G" localSheetId="3">#REF!</definedName>
    <definedName name="G" localSheetId="6">#REF!</definedName>
    <definedName name="G" localSheetId="4">#REF!</definedName>
    <definedName name="G">#REF!</definedName>
    <definedName name="GFD" localSheetId="10">'2.추정(긍정)'!GFD</definedName>
    <definedName name="GFD" localSheetId="11">'2.추정(부정)'!GFD</definedName>
    <definedName name="GFD" localSheetId="9">구NCP!GFD</definedName>
    <definedName name="GFD" localSheetId="2">추정!GFD</definedName>
    <definedName name="GFD" localSheetId="12">#N/A</definedName>
    <definedName name="GFD" localSheetId="3">#N/A</definedName>
    <definedName name="GFD" localSheetId="6">평정!GFD</definedName>
    <definedName name="GFD" localSheetId="4">NCP!GFD</definedName>
    <definedName name="GFD">'2.추정(긍정)'!GFD</definedName>
    <definedName name="ggggghhh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hidden="1">{#N/A,#N/A,FALSE,"PART-1234-8-12-9(41)";#N/A,#N/A,FALSE,"PARTS-2(3)";#N/A,#N/A,FALSE,"VAN SYSTEM";#N/A,#N/A,FALSE,"PARTS-10(26)";#N/A,#N/A,FALSE,"PART-5-6-7-11(14)";#N/A,#N/A,FALSE,"PARTS-4(3)";#N/A,#N/A,FALSE,"PCLASS"}</definedName>
    <definedName name="GHDID" localSheetId="10">BlankMacro1</definedName>
    <definedName name="GHDID" localSheetId="11">BlankMacro1</definedName>
    <definedName name="GHDID" localSheetId="9">BlankMacro1</definedName>
    <definedName name="GHDID" localSheetId="2">BlankMacro1</definedName>
    <definedName name="GHDID" localSheetId="12">BlankMacro1</definedName>
    <definedName name="GHDID" localSheetId="3">BlankMacro1</definedName>
    <definedName name="GHDID" localSheetId="6">BlankMacro1</definedName>
    <definedName name="GHDID" localSheetId="4">BlankMacro1</definedName>
    <definedName name="GHDID">BlankMacro1</definedName>
    <definedName name="GHJ" localSheetId="10">'2.추정(긍정)'!GHJ</definedName>
    <definedName name="GHJ" localSheetId="11">'2.추정(부정)'!GHJ</definedName>
    <definedName name="GHJ" localSheetId="9">구NCP!GHJ</definedName>
    <definedName name="GHJ" localSheetId="2">추정!GHJ</definedName>
    <definedName name="GHJ" localSheetId="12">#N/A</definedName>
    <definedName name="GHJ" localSheetId="3">#N/A</definedName>
    <definedName name="GHJ" localSheetId="6">평정!GHJ</definedName>
    <definedName name="GHJ" localSheetId="4">NCP!GHJ</definedName>
    <definedName name="GHJ">'2.추정(긍정)'!GHJ</definedName>
    <definedName name="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L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uio" hidden="1">{#N/A,#N/A,FALSE,"PART-1234-8-12-9(41)";#N/A,#N/A,FALSE,"PARTS-2(3)";#N/A,#N/A,FALSE,"VAN SYSTEM";#N/A,#N/A,FALSE,"PARTS-10(26)";#N/A,#N/A,FALSE,"PART-5-6-7-11(14)";#N/A,#N/A,FALSE,"PARTS-4(3)";#N/A,#N/A,FALSE,"PCLASS"}</definedName>
    <definedName name="GINPUT" localSheetId="10">#REF!</definedName>
    <definedName name="GINPUT" localSheetId="11">#REF!</definedName>
    <definedName name="GINPUT" localSheetId="9">#REF!</definedName>
    <definedName name="GINPUT" localSheetId="2">#REF!</definedName>
    <definedName name="GINPUT" localSheetId="12">#REF!</definedName>
    <definedName name="GINPUT" localSheetId="3">#REF!</definedName>
    <definedName name="GINPUT" localSheetId="6">#REF!</definedName>
    <definedName name="GINPUT" localSheetId="4">#REF!</definedName>
    <definedName name="GINPUT">#REF!</definedName>
    <definedName name="gj" localSheetId="10">#REF!</definedName>
    <definedName name="gj" localSheetId="11">#REF!</definedName>
    <definedName name="gj" localSheetId="9">#REF!</definedName>
    <definedName name="gj" localSheetId="2">#REF!</definedName>
    <definedName name="gj" localSheetId="12">#REF!</definedName>
    <definedName name="gj" localSheetId="3">#REF!</definedName>
    <definedName name="gj" localSheetId="6">#REF!</definedName>
    <definedName name="gj" localSheetId="4">#REF!</definedName>
    <definedName name="gj">#REF!</definedName>
    <definedName name="GoAssetChart" localSheetId="10">'2.추정(긍정)'!GoAssetChart</definedName>
    <definedName name="GoAssetChart" localSheetId="11">'2.추정(부정)'!GoAssetChart</definedName>
    <definedName name="GoAssetChart" localSheetId="9">구NCP!GoAssetChart</definedName>
    <definedName name="GoAssetChart" localSheetId="2">추정!GoAssetChart</definedName>
    <definedName name="GoAssetChart" localSheetId="12">#N/A</definedName>
    <definedName name="GoAssetChart" localSheetId="3">#N/A</definedName>
    <definedName name="GoAssetChart" localSheetId="6">평정!GoAssetChart</definedName>
    <definedName name="GoAssetChart" localSheetId="4">NCP!GoAssetChart</definedName>
    <definedName name="GoAssetChart">'2.추정(긍정)'!GoAssetChart</definedName>
    <definedName name="GoBack" localSheetId="10">'2.추정(긍정)'!GoBack</definedName>
    <definedName name="GoBack" localSheetId="11">'2.추정(부정)'!GoBack</definedName>
    <definedName name="GoBack" localSheetId="9">구NCP!GoBack</definedName>
    <definedName name="GoBack" localSheetId="2">추정!GoBack</definedName>
    <definedName name="GoBack" localSheetId="12">#N/A</definedName>
    <definedName name="GoBack" localSheetId="3">#N/A</definedName>
    <definedName name="GoBack" localSheetId="6">평정!GoBack</definedName>
    <definedName name="GoBack" localSheetId="4">NCP!GoBack</definedName>
    <definedName name="GoBack">'2.추정(긍정)'!GoBack</definedName>
    <definedName name="GoBalanceSheet" localSheetId="10">'2.추정(긍정)'!GoBalanceSheet</definedName>
    <definedName name="GoBalanceSheet" localSheetId="11">'2.추정(부정)'!GoBalanceSheet</definedName>
    <definedName name="GoBalanceSheet" localSheetId="9">구NCP!GoBalanceSheet</definedName>
    <definedName name="GoBalanceSheet" localSheetId="2">추정!GoBalanceSheet</definedName>
    <definedName name="GoBalanceSheet" localSheetId="12">#N/A</definedName>
    <definedName name="GoBalanceSheet" localSheetId="3">#N/A</definedName>
    <definedName name="GoBalanceSheet" localSheetId="6">평정!GoBalanceSheet</definedName>
    <definedName name="GoBalanceSheet" localSheetId="4">NCP!GoBalanceSheet</definedName>
    <definedName name="GoBalanceSheet">'2.추정(긍정)'!GoBalanceSheet</definedName>
    <definedName name="GoCashFlow" localSheetId="10">'2.추정(긍정)'!GoCashFlow</definedName>
    <definedName name="GoCashFlow" localSheetId="11">'2.추정(부정)'!GoCashFlow</definedName>
    <definedName name="GoCashFlow" localSheetId="9">구NCP!GoCashFlow</definedName>
    <definedName name="GoCashFlow" localSheetId="2">추정!GoCashFlow</definedName>
    <definedName name="GoCashFlow" localSheetId="12">#N/A</definedName>
    <definedName name="GoCashFlow" localSheetId="3">#N/A</definedName>
    <definedName name="GoCashFlow" localSheetId="6">평정!GoCashFlow</definedName>
    <definedName name="GoCashFlow" localSheetId="4">NCP!GoCashFlow</definedName>
    <definedName name="GoCashFlow">'2.추정(긍정)'!GoCashFlow</definedName>
    <definedName name="GoData" localSheetId="10">'2.추정(긍정)'!GoData</definedName>
    <definedName name="GoData" localSheetId="11">'2.추정(부정)'!GoData</definedName>
    <definedName name="GoData" localSheetId="9">구NCP!GoData</definedName>
    <definedName name="GoData" localSheetId="2">추정!GoData</definedName>
    <definedName name="GoData" localSheetId="12">#N/A</definedName>
    <definedName name="GoData" localSheetId="3">#N/A</definedName>
    <definedName name="GoData" localSheetId="6">평정!GoData</definedName>
    <definedName name="GoData" localSheetId="4">NCP!GoData</definedName>
    <definedName name="GoData">'2.추정(긍정)'!GoData</definedName>
    <definedName name="GoIncomeChart" localSheetId="10">'2.추정(긍정)'!GoIncomeChart</definedName>
    <definedName name="GoIncomeChart" localSheetId="11">'2.추정(부정)'!GoIncomeChart</definedName>
    <definedName name="GoIncomeChart" localSheetId="9">구NCP!GoIncomeChart</definedName>
    <definedName name="GoIncomeChart" localSheetId="2">추정!GoIncomeChart</definedName>
    <definedName name="GoIncomeChart" localSheetId="12">#N/A</definedName>
    <definedName name="GoIncomeChart" localSheetId="3">#N/A</definedName>
    <definedName name="GoIncomeChart" localSheetId="6">평정!GoIncomeChart</definedName>
    <definedName name="GoIncomeChart" localSheetId="4">NCP!GoIncomeChart</definedName>
    <definedName name="GoIncomeChart">'2.추정(긍정)'!GoIncomeChart</definedName>
    <definedName name="GONGJONG" localSheetId="10">#REF!</definedName>
    <definedName name="GONGJONG" localSheetId="11">#REF!</definedName>
    <definedName name="GONGJONG" localSheetId="9">#REF!</definedName>
    <definedName name="GONGJONG" localSheetId="2">#REF!</definedName>
    <definedName name="GONGJONG" localSheetId="12">#REF!</definedName>
    <definedName name="GONGJONG" localSheetId="3">#REF!</definedName>
    <definedName name="GONGJONG" localSheetId="6">#REF!</definedName>
    <definedName name="GONGJONG" localSheetId="4">#REF!</definedName>
    <definedName name="GONGJONG">#REF!</definedName>
    <definedName name="GRDV" localSheetId="10">'2.추정(긍정)'!GRDV</definedName>
    <definedName name="GRDV" localSheetId="11">'2.추정(부정)'!GRDV</definedName>
    <definedName name="GRDV" localSheetId="9">구NCP!GRDV</definedName>
    <definedName name="GRDV" localSheetId="2">추정!GRDV</definedName>
    <definedName name="GRDV" localSheetId="12">#N/A</definedName>
    <definedName name="GRDV" localSheetId="3">#N/A</definedName>
    <definedName name="GRDV" localSheetId="6">평정!GRDV</definedName>
    <definedName name="GRDV" localSheetId="4">NCP!GRDV</definedName>
    <definedName name="GRDV">'2.추정(긍정)'!GRDV</definedName>
    <definedName name="group" localSheetId="10">#REF!</definedName>
    <definedName name="group" localSheetId="11">#REF!</definedName>
    <definedName name="group" localSheetId="9">#REF!</definedName>
    <definedName name="group" localSheetId="2">#REF!</definedName>
    <definedName name="group" localSheetId="12">#REF!</definedName>
    <definedName name="group" localSheetId="3">#REF!</definedName>
    <definedName name="group" localSheetId="6">#REF!</definedName>
    <definedName name="group" localSheetId="4">#REF!</definedName>
    <definedName name="group">#REF!</definedName>
    <definedName name="GUS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VES" localSheetId="10">'2.추정(긍정)'!GVES</definedName>
    <definedName name="GVES" localSheetId="11">'2.추정(부정)'!GVES</definedName>
    <definedName name="GVES" localSheetId="9">구NCP!GVES</definedName>
    <definedName name="GVES" localSheetId="2">추정!GVES</definedName>
    <definedName name="GVES" localSheetId="12">#N/A</definedName>
    <definedName name="GVES" localSheetId="3">#N/A</definedName>
    <definedName name="GVES" localSheetId="6">평정!GVES</definedName>
    <definedName name="GVES" localSheetId="4">NCP!GVES</definedName>
    <definedName name="GVES">'2.추정(긍정)'!GVES</definedName>
    <definedName name="H">#N/A</definedName>
    <definedName name="H1_" localSheetId="10">#REF!</definedName>
    <definedName name="H1_" localSheetId="11">#REF!</definedName>
    <definedName name="H1_" localSheetId="9">#REF!</definedName>
    <definedName name="H1_" localSheetId="2">#REF!</definedName>
    <definedName name="H1_" localSheetId="12">#REF!</definedName>
    <definedName name="H1_" localSheetId="3">#REF!</definedName>
    <definedName name="H1_" localSheetId="6">#REF!</definedName>
    <definedName name="H1_" localSheetId="4">#REF!</definedName>
    <definedName name="H1_">#REF!</definedName>
    <definedName name="han" localSheetId="10">'2.추정(긍정)'!han</definedName>
    <definedName name="han" localSheetId="11">'2.추정(부정)'!han</definedName>
    <definedName name="han" localSheetId="9">구NCP!han</definedName>
    <definedName name="han" localSheetId="2">추정!han</definedName>
    <definedName name="han" localSheetId="12">#N/A</definedName>
    <definedName name="han" localSheetId="3">#N/A</definedName>
    <definedName name="han" localSheetId="6">평정!han</definedName>
    <definedName name="han" localSheetId="4">NCP!han</definedName>
    <definedName name="han">'2.추정(긍정)'!han</definedName>
    <definedName name="HHHFDGH" localSheetId="10">'2.추정(긍정)'!HHHFDGH</definedName>
    <definedName name="HHHFDGH" localSheetId="11">'2.추정(부정)'!HHHFDGH</definedName>
    <definedName name="HHHFDGH" localSheetId="9">구NCP!HHHFDGH</definedName>
    <definedName name="HHHFDGH" localSheetId="2">추정!HHHFDGH</definedName>
    <definedName name="HHHFDGH" localSheetId="12">#N/A</definedName>
    <definedName name="HHHFDGH" localSheetId="3">#N/A</definedName>
    <definedName name="HHHFDGH" localSheetId="6">평정!HHHFDGH</definedName>
    <definedName name="HHHFDGH" localSheetId="4">NCP!HHHFDGH</definedName>
    <definedName name="HHHFDGH">'2.추정(긍정)'!HHHFDGH</definedName>
    <definedName name="HIL" localSheetId="10">'2.추정(긍정)'!HIL</definedName>
    <definedName name="HIL" localSheetId="11">'2.추정(부정)'!HIL</definedName>
    <definedName name="HIL" localSheetId="9">구NCP!HIL</definedName>
    <definedName name="HIL" localSheetId="2">추정!HIL</definedName>
    <definedName name="HIL" localSheetId="12">#N/A</definedName>
    <definedName name="HIL" localSheetId="3">#N/A</definedName>
    <definedName name="HIL" localSheetId="6">평정!HIL</definedName>
    <definedName name="HIL" localSheetId="4">NCP!HIL</definedName>
    <definedName name="HIL">'2.추정(긍정)'!HIL</definedName>
    <definedName name="HJ" localSheetId="10">#REF!</definedName>
    <definedName name="HJ" localSheetId="11">#REF!</definedName>
    <definedName name="HJ" localSheetId="9">#REF!</definedName>
    <definedName name="HJ" localSheetId="2">#REF!</definedName>
    <definedName name="HJ" localSheetId="12">#REF!</definedName>
    <definedName name="HJ" localSheetId="3">#REF!</definedName>
    <definedName name="HJ" localSheetId="6">#REF!</definedName>
    <definedName name="HJ" localSheetId="4">#REF!</definedName>
    <definedName name="HJ">#REF!</definedName>
    <definedName name="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hjkl" hidden="1">{#N/A,#N/A,FALSE,"PART-1234-8-12-9(41)";#N/A,#N/A,FALSE,"PARTS-2(3)";#N/A,#N/A,FALSE,"VAN SYSTEM";#N/A,#N/A,FALSE,"PARTS-10(26)";#N/A,#N/A,FALSE,"PART-5-6-7-11(14)";#N/A,#N/A,FALSE,"PARTS-4(3)";#N/A,#N/A,FALSE,"PCLASS"}</definedName>
    <definedName name="HJLJHL" localSheetId="10">'2.추정(긍정)'!HJLJHL</definedName>
    <definedName name="HJLJHL" localSheetId="11">'2.추정(부정)'!HJLJHL</definedName>
    <definedName name="HJLJHL" localSheetId="9">구NCP!HJLJHL</definedName>
    <definedName name="HJLJHL" localSheetId="2">추정!HJLJHL</definedName>
    <definedName name="HJLJHL" localSheetId="12">#N/A</definedName>
    <definedName name="HJLJHL" localSheetId="3">#N/A</definedName>
    <definedName name="HJLJHL" localSheetId="6">평정!HJLJHL</definedName>
    <definedName name="HJLJHL" localSheetId="4">NCP!HJLJHL</definedName>
    <definedName name="HJLJHL">'2.추정(긍정)'!HJLJHL</definedName>
    <definedName name="HRATE" localSheetId="10">#REF!</definedName>
    <definedName name="HRATE" localSheetId="11">#REF!</definedName>
    <definedName name="HRATE" localSheetId="9">#REF!</definedName>
    <definedName name="HRATE" localSheetId="2">#REF!</definedName>
    <definedName name="HRATE" localSheetId="12">#REF!</definedName>
    <definedName name="HRATE" localSheetId="3">#REF!</definedName>
    <definedName name="HRATE" localSheetId="6">#REF!</definedName>
    <definedName name="HRATE" localSheetId="4">#REF!</definedName>
    <definedName name="HRATE">#REF!</definedName>
    <definedName name="HTML_CodePage" hidden="1">949</definedName>
    <definedName name="HTML_Control" localSheetId="10" hidden="1">{"'보고양식'!$A$58:$K$111"}</definedName>
    <definedName name="HTML_Control" localSheetId="11" hidden="1">{"'보고양식'!$A$58:$K$111"}</definedName>
    <definedName name="HTML_Control" localSheetId="9" hidden="1">{"'보고양식'!$A$58:$K$111"}</definedName>
    <definedName name="HTML_Control" localSheetId="1" hidden="1">{"'보고양식'!$A$58:$K$111"}</definedName>
    <definedName name="HTML_Control" localSheetId="2" hidden="1">{"'보고양식'!$A$58:$K$111"}</definedName>
    <definedName name="HTML_Control" localSheetId="12" hidden="1">{"'보고양식'!$A$58:$K$111"}</definedName>
    <definedName name="HTML_Control" localSheetId="3" hidden="1">{"'보고양식'!$A$58:$K$111"}</definedName>
    <definedName name="HTML_Control" localSheetId="6" hidden="1">{"'보고양식'!$A$58:$K$111"}</definedName>
    <definedName name="HTML_Control" localSheetId="4" hidden="1">{"'보고양식'!$A$58:$K$111"}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HYTT" localSheetId="10">'2.추정(긍정)'!HYTT</definedName>
    <definedName name="HYTT" localSheetId="11">'2.추정(부정)'!HYTT</definedName>
    <definedName name="HYTT" localSheetId="9">구NCP!HYTT</definedName>
    <definedName name="HYTT" localSheetId="2">추정!HYTT</definedName>
    <definedName name="HYTT" localSheetId="12">#N/A</definedName>
    <definedName name="HYTT" localSheetId="3">#N/A</definedName>
    <definedName name="HYTT" localSheetId="6">평정!HYTT</definedName>
    <definedName name="HYTT" localSheetId="4">NCP!HYTT</definedName>
    <definedName name="HYTT">'2.추정(긍정)'!HYTT</definedName>
    <definedName name="I">#N/A</definedName>
    <definedName name="INCREASED" localSheetId="10">#REF!</definedName>
    <definedName name="INCREASED" localSheetId="11">#REF!</definedName>
    <definedName name="INCREASED" localSheetId="9">#REF!</definedName>
    <definedName name="INCREASED" localSheetId="2">#REF!</definedName>
    <definedName name="INCREASED" localSheetId="12">#REF!</definedName>
    <definedName name="INCREASED" localSheetId="3">#REF!</definedName>
    <definedName name="INCREASED" localSheetId="6">#REF!</definedName>
    <definedName name="INCREASED" localSheetId="4">#REF!</definedName>
    <definedName name="INCREASED">#REF!</definedName>
    <definedName name="INETOTHER" localSheetId="10">#REF!</definedName>
    <definedName name="INETOTHER" localSheetId="11">#REF!</definedName>
    <definedName name="INETOTHER" localSheetId="9">#REF!</definedName>
    <definedName name="INETOTHER" localSheetId="2">#REF!</definedName>
    <definedName name="INETOTHER" localSheetId="12">#REF!</definedName>
    <definedName name="INETOTHER" localSheetId="3">#REF!</definedName>
    <definedName name="INETOTHER" localSheetId="6">#REF!</definedName>
    <definedName name="INETOTHER" localSheetId="4">#REF!</definedName>
    <definedName name="INETOTHER">#REF!</definedName>
    <definedName name="INETPPE" localSheetId="10">#REF!</definedName>
    <definedName name="INETPPE" localSheetId="11">#REF!</definedName>
    <definedName name="INETPPE" localSheetId="9">#REF!</definedName>
    <definedName name="INETPPE" localSheetId="2">#REF!</definedName>
    <definedName name="INETPPE" localSheetId="12">#REF!</definedName>
    <definedName name="INETPPE" localSheetId="3">#REF!</definedName>
    <definedName name="INETPPE" localSheetId="6">#REF!</definedName>
    <definedName name="INETPPE" localSheetId="4">#REF!</definedName>
    <definedName name="INETPPE">#REF!</definedName>
    <definedName name="ini_button_Click" localSheetId="10">'2.추정(긍정)'!ini_button_Click</definedName>
    <definedName name="ini_button_Click" localSheetId="11">'2.추정(부정)'!ini_button_Click</definedName>
    <definedName name="ini_button_Click" localSheetId="9">구NCP!ini_button_Click</definedName>
    <definedName name="ini_button_Click" localSheetId="2">추정!ini_button_Click</definedName>
    <definedName name="ini_button_Click" localSheetId="12">#N/A</definedName>
    <definedName name="ini_button_Click" localSheetId="3">#N/A</definedName>
    <definedName name="ini_button_Click" localSheetId="6">평정!ini_button_Click</definedName>
    <definedName name="ini_button_Click" localSheetId="4">NCP!ini_button_Click</definedName>
    <definedName name="ini_button_Click">'2.추정(긍정)'!ini_button_Click</definedName>
    <definedName name="J" localSheetId="10" hidden="1">{#N/A,#N/A,FALSE,"지침";#N/A,#N/A,FALSE,"환경분석";#N/A,#N/A,FALSE,"Sheet16"}</definedName>
    <definedName name="J" localSheetId="11" hidden="1">{#N/A,#N/A,FALSE,"지침";#N/A,#N/A,FALSE,"환경분석";#N/A,#N/A,FALSE,"Sheet16"}</definedName>
    <definedName name="J" localSheetId="9" hidden="1">{#N/A,#N/A,FALSE,"지침";#N/A,#N/A,FALSE,"환경분석";#N/A,#N/A,FALSE,"Sheet16"}</definedName>
    <definedName name="J" localSheetId="1" hidden="1">{#N/A,#N/A,FALSE,"지침";#N/A,#N/A,FALSE,"환경분석";#N/A,#N/A,FALSE,"Sheet16"}</definedName>
    <definedName name="J" localSheetId="2" hidden="1">{#N/A,#N/A,FALSE,"지침";#N/A,#N/A,FALSE,"환경분석";#N/A,#N/A,FALSE,"Sheet16"}</definedName>
    <definedName name="J" localSheetId="12" hidden="1">{#N/A,#N/A,FALSE,"지침";#N/A,#N/A,FALSE,"환경분석";#N/A,#N/A,FALSE,"Sheet16"}</definedName>
    <definedName name="J" localSheetId="3" hidden="1">{#N/A,#N/A,FALSE,"지침";#N/A,#N/A,FALSE,"환경분석";#N/A,#N/A,FALSE,"Sheet16"}</definedName>
    <definedName name="J" localSheetId="6" hidden="1">{#N/A,#N/A,FALSE,"지침";#N/A,#N/A,FALSE,"환경분석";#N/A,#N/A,FALSE,"Sheet16"}</definedName>
    <definedName name="J" localSheetId="4" hidden="1">{#N/A,#N/A,FALSE,"지침";#N/A,#N/A,FALSE,"환경분석";#N/A,#N/A,FALSE,"Sheet16"}</definedName>
    <definedName name="J" hidden="1">{#N/A,#N/A,FALSE,"지침";#N/A,#N/A,FALSE,"환경분석";#N/A,#N/A,FALSE,"Sheet16"}</definedName>
    <definedName name="Jaden" localSheetId="10" hidden="1">{"'보고양식'!$A$58:$K$111"}</definedName>
    <definedName name="Jaden" localSheetId="11" hidden="1">{"'보고양식'!$A$58:$K$111"}</definedName>
    <definedName name="Jaden" localSheetId="9" hidden="1">{"'보고양식'!$A$58:$K$111"}</definedName>
    <definedName name="Jaden" localSheetId="2" hidden="1">{"'보고양식'!$A$58:$K$111"}</definedName>
    <definedName name="Jaden" localSheetId="12" hidden="1">{"'보고양식'!$A$58:$K$111"}</definedName>
    <definedName name="Jaden" localSheetId="3" hidden="1">{"'보고양식'!$A$58:$K$111"}</definedName>
    <definedName name="Jaden" localSheetId="6" hidden="1">{"'보고양식'!$A$58:$K$111"}</definedName>
    <definedName name="Jaden" localSheetId="4" hidden="1">{"'보고양식'!$A$58:$K$111"}</definedName>
    <definedName name="Jaden" hidden="1">{"'보고양식'!$A$58:$K$111"}</definedName>
    <definedName name="j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jkllll" hidden="1">{#N/A,#N/A,FALSE,"PART-1234-8-12-9(41)";#N/A,#N/A,FALSE,"PARTS-2(3)";#N/A,#N/A,FALSE,"VAN SYSTEM";#N/A,#N/A,FALSE,"PARTS-10(26)";#N/A,#N/A,FALSE,"PART-5-6-7-11(14)";#N/A,#N/A,FALSE,"PARTS-4(3)";#N/A,#N/A,FALSE,"PCLASS"}</definedName>
    <definedName name="job_run" localSheetId="10">'2.추정(긍정)'!job_run</definedName>
    <definedName name="job_run" localSheetId="11">'2.추정(부정)'!job_run</definedName>
    <definedName name="job_run" localSheetId="9">구NCP!job_run</definedName>
    <definedName name="job_run" localSheetId="2">추정!job_run</definedName>
    <definedName name="job_run" localSheetId="12">#N/A</definedName>
    <definedName name="job_run" localSheetId="3">#N/A</definedName>
    <definedName name="job_run" localSheetId="6">평정!job_run</definedName>
    <definedName name="job_run" localSheetId="4">NCP!job_run</definedName>
    <definedName name="job_run">'2.추정(긍정)'!job_run</definedName>
    <definedName name="JYNG" localSheetId="10">'2.추정(긍정)'!JYNG</definedName>
    <definedName name="JYNG" localSheetId="11">'2.추정(부정)'!JYNG</definedName>
    <definedName name="JYNG" localSheetId="9">구NCP!JYNG</definedName>
    <definedName name="JYNG" localSheetId="2">추정!JYNG</definedName>
    <definedName name="JYNG" localSheetId="12">#N/A</definedName>
    <definedName name="JYNG" localSheetId="3">#N/A</definedName>
    <definedName name="JYNG" localSheetId="6">평정!JYNG</definedName>
    <definedName name="JYNG" localSheetId="4">NCP!JYNG</definedName>
    <definedName name="JYNG">'2.추정(긍정)'!JYNG</definedName>
    <definedName name="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" hidden="1">{#N/A,#N/A,FALSE,"PART-1234-8-12-9(41)";#N/A,#N/A,FALSE,"PARTS-2(3)";#N/A,#N/A,FALSE,"VAN SYSTEM";#N/A,#N/A,FALSE,"PARTS-10(26)";#N/A,#N/A,FALSE,"PART-5-6-7-11(14)";#N/A,#N/A,FALSE,"PARTS-4(3)";#N/A,#N/A,FALSE,"PCLASS"}</definedName>
    <definedName name="K2POWER원가" localSheetId="10">#REF!</definedName>
    <definedName name="K2POWER원가" localSheetId="11">#REF!</definedName>
    <definedName name="K2POWER원가" localSheetId="9">#REF!</definedName>
    <definedName name="K2POWER원가" localSheetId="2">#REF!</definedName>
    <definedName name="K2POWER원가" localSheetId="12">#REF!</definedName>
    <definedName name="K2POWER원가" localSheetId="3">#REF!</definedName>
    <definedName name="K2POWER원가" localSheetId="6">#REF!</definedName>
    <definedName name="K2POWER원가" localSheetId="4">#REF!</definedName>
    <definedName name="K2POWER원가">#REF!</definedName>
    <definedName name="kim" localSheetId="10">BlankMacro1</definedName>
    <definedName name="kim" localSheetId="11">BlankMacro1</definedName>
    <definedName name="kim" localSheetId="9">BlankMacro1</definedName>
    <definedName name="kim" localSheetId="2">BlankMacro1</definedName>
    <definedName name="kim" localSheetId="12">BlankMacro1</definedName>
    <definedName name="kim" localSheetId="3">BlankMacro1</definedName>
    <definedName name="kim" localSheetId="6">BlankMacro1</definedName>
    <definedName name="kim" localSheetId="4">BlankMacro1</definedName>
    <definedName name="kim">BlankMacro1</definedName>
    <definedName name="kjh" localSheetId="10">#REF!</definedName>
    <definedName name="kjh" localSheetId="11">#REF!</definedName>
    <definedName name="kjh" localSheetId="9">#REF!</definedName>
    <definedName name="kjh" localSheetId="2">#REF!</definedName>
    <definedName name="kjh" localSheetId="12">#REF!</definedName>
    <definedName name="kjh" localSheetId="3">#REF!</definedName>
    <definedName name="kjh" localSheetId="6">#REF!</definedName>
    <definedName name="kjh" localSheetId="4">#REF!</definedName>
    <definedName name="kjh">#REF!</definedName>
    <definedName name="kjhk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jhkj" hidden="1">{#N/A,#N/A,FALSE,"PART-1234-8-12-9(41)";#N/A,#N/A,FALSE,"PARTS-2(3)";#N/A,#N/A,FALSE,"VAN SYSTEM";#N/A,#N/A,FALSE,"PARTS-10(26)";#N/A,#N/A,FALSE,"PART-5-6-7-11(14)";#N/A,#N/A,FALSE,"PARTS-4(3)";#N/A,#N/A,FALSE,"PCLASS"}</definedName>
    <definedName name="kk" localSheetId="12" hidden="1">{#N/A,#N/A,FALSE,"BS";#N/A,#N/A,FALSE,"PL";#N/A,#N/A,FALSE,"처분";#N/A,#N/A,FALSE,"현금";#N/A,#N/A,FALSE,"매출";#N/A,#N/A,FALSE,"원가";#N/A,#N/A,FALSE,"경영"}</definedName>
    <definedName name="kk" localSheetId="3" hidden="1">{#N/A,#N/A,FALSE,"BS";#N/A,#N/A,FALSE,"PL";#N/A,#N/A,FALSE,"처분";#N/A,#N/A,FALSE,"현금";#N/A,#N/A,FALSE,"매출";#N/A,#N/A,FALSE,"원가";#N/A,#N/A,FALSE,"경영"}</definedName>
    <definedName name="kk" localSheetId="4" hidden="1">{#N/A,#N/A,FALSE,"BS";#N/A,#N/A,FALSE,"PL";#N/A,#N/A,FALSE,"처분";#N/A,#N/A,FALSE,"현금";#N/A,#N/A,FALSE,"매출";#N/A,#N/A,FALSE,"원가";#N/A,#N/A,FALSE,"경영"}</definedName>
    <definedName name="kk" hidden="1">{#N/A,#N/A,FALSE,"BS";#N/A,#N/A,FALSE,"PL";#N/A,#N/A,FALSE,"처분";#N/A,#N/A,FALSE,"현금";#N/A,#N/A,FALSE,"매출";#N/A,#N/A,FALSE,"원가";#N/A,#N/A,FALSE,"경영"}</definedName>
    <definedName name="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" hidden="1">{#N/A,#N/A,FALSE,"PART-1234-8-12-9(41)";#N/A,#N/A,FALSE,"PARTS-2(3)";#N/A,#N/A,FALSE,"VAN SYSTEM";#N/A,#N/A,FALSE,"PARTS-10(26)";#N/A,#N/A,FALSE,"PART-5-6-7-11(14)";#N/A,#N/A,FALSE,"PARTS-4(3)";#N/A,#N/A,FALSE,"PCLASS"}</definedName>
    <definedName name="KKKK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kk" hidden="1">{#N/A,#N/A,FALSE,"PART-1234-8-12-9(41)";#N/A,#N/A,FALSE,"PARTS-2(3)";#N/A,#N/A,FALSE,"VAN SYSTEM";#N/A,#N/A,FALSE,"PARTS-10(26)";#N/A,#N/A,FALSE,"PART-5-6-7-11(14)";#N/A,#N/A,FALSE,"PARTS-4(3)";#N/A,#N/A,FALSE,"PCLASS"}</definedName>
    <definedName name="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KJ" localSheetId="10">{"S220-V";"S250-V";"S290-V"}</definedName>
    <definedName name="KLKJ" localSheetId="11">{"S220-V";"S250-V";"S290-V"}</definedName>
    <definedName name="KLKJ" localSheetId="9">{"S220-V";"S250-V";"S290-V"}</definedName>
    <definedName name="KLKJ" localSheetId="2">{"S220-V";"S250-V";"S290-V"}</definedName>
    <definedName name="KLKJ" localSheetId="12">{"S220-V";"S250-V";"S290-V"}</definedName>
    <definedName name="KLKJ" localSheetId="3">{"S220-V";"S250-V";"S290-V"}</definedName>
    <definedName name="KLKJ" localSheetId="6">{"S220-V";"S250-V";"S290-V"}</definedName>
    <definedName name="KLKJ" localSheetId="4">{"S220-V";"S250-V";"S290-V"}</definedName>
    <definedName name="KLKJ">{"S220-V";"S250-V";"S290-V"}</definedName>
    <definedName name="KLL" localSheetId="10">#REF!,#REF!,#REF!,#REF!,#REF!,#REF!</definedName>
    <definedName name="KLL" localSheetId="11">#REF!,#REF!,#REF!,#REF!,#REF!,#REF!</definedName>
    <definedName name="KLL" localSheetId="9">#REF!,#REF!,#REF!,#REF!,#REF!,#REF!</definedName>
    <definedName name="KLL" localSheetId="2">#REF!,#REF!,#REF!,#REF!,#REF!,#REF!</definedName>
    <definedName name="KLL" localSheetId="12">#REF!,#REF!,#REF!,#REF!,#REF!,#REF!</definedName>
    <definedName name="KLL" localSheetId="3">#REF!,#REF!,#REF!,#REF!,#REF!,#REF!</definedName>
    <definedName name="KLL" localSheetId="6">#REF!,#REF!,#REF!,#REF!,#REF!,#REF!</definedName>
    <definedName name="KLL" localSheetId="4">#REF!,#REF!,#REF!,#REF!,#REF!,#REF!</definedName>
    <definedName name="KLL">#REF!,#REF!,#REF!,#REF!,#REF!,#REF!</definedName>
    <definedName name="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l" hidden="1">{#N/A,#N/A,FALSE,"PART-1234-8-12-9(41)";#N/A,#N/A,FALSE,"PARTS-2(3)";#N/A,#N/A,FALSE,"VAN SYSTEM";#N/A,#N/A,FALSE,"PARTS-10(26)";#N/A,#N/A,FALSE,"PART-5-6-7-11(14)";#N/A,#N/A,FALSE,"PARTS-4(3)";#N/A,#N/A,FALSE,"PCLASS"}</definedName>
    <definedName name="KUYK" localSheetId="10">'2.추정(긍정)'!KUYK</definedName>
    <definedName name="KUYK" localSheetId="11">'2.추정(부정)'!KUYK</definedName>
    <definedName name="KUYK" localSheetId="9">구NCP!KUYK</definedName>
    <definedName name="KUYK" localSheetId="2">추정!KUYK</definedName>
    <definedName name="KUYK" localSheetId="12">#N/A</definedName>
    <definedName name="KUYK" localSheetId="3">#N/A</definedName>
    <definedName name="KUYK" localSheetId="6">평정!KUYK</definedName>
    <definedName name="KUYK" localSheetId="4">NCP!KUYK</definedName>
    <definedName name="KUYK">'2.추정(긍정)'!KUYK</definedName>
    <definedName name="KY" localSheetId="10">'2.추정(긍정)'!KY</definedName>
    <definedName name="KY" localSheetId="11">'2.추정(부정)'!KY</definedName>
    <definedName name="KY" localSheetId="9">구NCP!KY</definedName>
    <definedName name="KY" localSheetId="2">추정!KY</definedName>
    <definedName name="KY" localSheetId="12">#N/A</definedName>
    <definedName name="KY" localSheetId="3">#N/A</definedName>
    <definedName name="KY" localSheetId="6">평정!KY</definedName>
    <definedName name="KY" localSheetId="4">NCP!KY</definedName>
    <definedName name="KY">'2.추정(긍정)'!KY</definedName>
    <definedName name="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" hidden="1">{#N/A,#N/A,FALSE,"PART-1234-8-12-9(41)";#N/A,#N/A,FALSE,"PARTS-2(3)";#N/A,#N/A,FALSE,"VAN SYSTEM";#N/A,#N/A,FALSE,"PARTS-10(26)";#N/A,#N/A,FALSE,"PART-5-6-7-11(14)";#N/A,#N/A,FALSE,"PARTS-4(3)";#N/A,#N/A,FALSE,"PCLASS"}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G" localSheetId="10">#REF!</definedName>
    <definedName name="LG" localSheetId="11">#REF!</definedName>
    <definedName name="LG" localSheetId="9">#REF!</definedName>
    <definedName name="LG" localSheetId="2">#REF!</definedName>
    <definedName name="LG" localSheetId="12">#REF!</definedName>
    <definedName name="LG" localSheetId="3">#REF!</definedName>
    <definedName name="LG" localSheetId="6">#REF!</definedName>
    <definedName name="LG" localSheetId="4">#REF!</definedName>
    <definedName name="LG">#REF!</definedName>
    <definedName name="LGJL" localSheetId="10">'2.추정(긍정)'!LGJL</definedName>
    <definedName name="LGJL" localSheetId="11">'2.추정(부정)'!LGJL</definedName>
    <definedName name="LGJL" localSheetId="9">구NCP!LGJL</definedName>
    <definedName name="LGJL" localSheetId="2">추정!LGJL</definedName>
    <definedName name="LGJL" localSheetId="12">#N/A</definedName>
    <definedName name="LGJL" localSheetId="3">#N/A</definedName>
    <definedName name="LGJL" localSheetId="6">평정!LGJL</definedName>
    <definedName name="LGJL" localSheetId="4">NCP!LGJL</definedName>
    <definedName name="LGJL">'2.추정(긍정)'!LGJL</definedName>
    <definedName name="LI" localSheetId="10">'2.추정(긍정)'!LI</definedName>
    <definedName name="LI" localSheetId="11">'2.추정(부정)'!LI</definedName>
    <definedName name="LI" localSheetId="9">구NCP!LI</definedName>
    <definedName name="LI" localSheetId="2">추정!LI</definedName>
    <definedName name="LI" localSheetId="12">#N/A</definedName>
    <definedName name="LI" localSheetId="3">#N/A</definedName>
    <definedName name="LI" localSheetId="6">평정!LI</definedName>
    <definedName name="LI" localSheetId="4">NCP!LI</definedName>
    <definedName name="LI">'2.추정(긍정)'!LI</definedName>
    <definedName name="LJHL" localSheetId="10">'2.추정(긍정)'!LJHL</definedName>
    <definedName name="LJHL" localSheetId="11">'2.추정(부정)'!LJHL</definedName>
    <definedName name="LJHL" localSheetId="9">구NCP!LJHL</definedName>
    <definedName name="LJHL" localSheetId="2">추정!LJHL</definedName>
    <definedName name="LJHL" localSheetId="12">#N/A</definedName>
    <definedName name="LJHL" localSheetId="3">#N/A</definedName>
    <definedName name="LJHL" localSheetId="6">평정!LJHL</definedName>
    <definedName name="LJHL" localSheetId="4">NCP!LJHL</definedName>
    <definedName name="LJHL">'2.추정(긍정)'!LJHL</definedName>
    <definedName name="LL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lll" hidden="1">{#N/A,#N/A,FALSE,"PART-1234-8-12-9(41)";#N/A,#N/A,FALSE,"PARTS-2(3)";#N/A,#N/A,FALSE,"VAN SYSTEM";#N/A,#N/A,FALSE,"PARTS-10(26)";#N/A,#N/A,FALSE,"PART-5-6-7-11(14)";#N/A,#N/A,FALSE,"PARTS-4(3)";#N/A,#N/A,FALSE,"PCLASS"}</definedName>
    <definedName name="loan" localSheetId="10">[9]영업!#REF!</definedName>
    <definedName name="loan" localSheetId="11">[9]영업!#REF!</definedName>
    <definedName name="loan" localSheetId="9">[9]영업!#REF!</definedName>
    <definedName name="loan" localSheetId="2">[9]영업!#REF!</definedName>
    <definedName name="loan" localSheetId="12">[10]영업!#REF!</definedName>
    <definedName name="loan" localSheetId="3">[10]영업!#REF!</definedName>
    <definedName name="loan" localSheetId="6">[9]영업!#REF!</definedName>
    <definedName name="loan" localSheetId="4">[9]영업!#REF!</definedName>
    <definedName name="loan">[9]영업!#REF!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M">#N/A</definedName>
    <definedName name="MAC">#N/A</definedName>
    <definedName name="Main" localSheetId="10">#REF!</definedName>
    <definedName name="Main" localSheetId="11">#REF!</definedName>
    <definedName name="Main" localSheetId="9">#REF!</definedName>
    <definedName name="Main" localSheetId="2">#REF!</definedName>
    <definedName name="Main" localSheetId="12">#REF!</definedName>
    <definedName name="Main" localSheetId="3">#REF!</definedName>
    <definedName name="Main" localSheetId="6">#REF!</definedName>
    <definedName name="Main" localSheetId="4">#REF!</definedName>
    <definedName name="Main">#REF!</definedName>
    <definedName name="mainbrg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PART" localSheetId="10">#REF!</definedName>
    <definedName name="MAINPART" localSheetId="11">#REF!</definedName>
    <definedName name="MAINPART" localSheetId="9">#REF!</definedName>
    <definedName name="MAINPART" localSheetId="2">#REF!</definedName>
    <definedName name="MAINPART" localSheetId="12">#REF!</definedName>
    <definedName name="MAINPART" localSheetId="3">#REF!</definedName>
    <definedName name="MAINPART" localSheetId="6">#REF!</definedName>
    <definedName name="MAINPART" localSheetId="4">#REF!</definedName>
    <definedName name="MAINPART">#REF!</definedName>
    <definedName name="menu_button_Click" localSheetId="10">'2.추정(긍정)'!menu_button_Click</definedName>
    <definedName name="menu_button_Click" localSheetId="11">'2.추정(부정)'!menu_button_Click</definedName>
    <definedName name="menu_button_Click" localSheetId="9">구NCP!menu_button_Click</definedName>
    <definedName name="menu_button_Click" localSheetId="2">추정!menu_button_Click</definedName>
    <definedName name="menu_button_Click" localSheetId="12">#N/A</definedName>
    <definedName name="menu_button_Click" localSheetId="3">#N/A</definedName>
    <definedName name="menu_button_Click" localSheetId="6">평정!menu_button_Click</definedName>
    <definedName name="menu_button_Click" localSheetId="4">NCP!menu_button_Click</definedName>
    <definedName name="menu_button_Click">'2.추정(긍정)'!menu_button_Click</definedName>
    <definedName name="MHELP" localSheetId="10">#REF!</definedName>
    <definedName name="MHELP" localSheetId="11">#REF!</definedName>
    <definedName name="MHELP" localSheetId="9">#REF!</definedName>
    <definedName name="MHELP" localSheetId="2">#REF!</definedName>
    <definedName name="MHELP" localSheetId="12">#REF!</definedName>
    <definedName name="MHELP" localSheetId="3">#REF!</definedName>
    <definedName name="MHELP" localSheetId="6">#REF!</definedName>
    <definedName name="MHELP" localSheetId="4">#REF!</definedName>
    <definedName name="MHELP">#REF!</definedName>
    <definedName name="MNY" localSheetId="10">'2.추정(긍정)'!MNY</definedName>
    <definedName name="MNY" localSheetId="11">'2.추정(부정)'!MNY</definedName>
    <definedName name="MNY" localSheetId="9">구NCP!MNY</definedName>
    <definedName name="MNY" localSheetId="2">추정!MNY</definedName>
    <definedName name="MNY" localSheetId="12">#N/A</definedName>
    <definedName name="MNY" localSheetId="3">#N/A</definedName>
    <definedName name="MNY" localSheetId="6">평정!MNY</definedName>
    <definedName name="MNY" localSheetId="4">NCP!MNY</definedName>
    <definedName name="MNY">'2.추정(긍정)'!MNY</definedName>
    <definedName name="MOMENT" localSheetId="10">#REF!</definedName>
    <definedName name="MOMENT" localSheetId="11">#REF!</definedName>
    <definedName name="MOMENT" localSheetId="9">#REF!</definedName>
    <definedName name="MOMENT" localSheetId="2">#REF!</definedName>
    <definedName name="MOMENT" localSheetId="12">#REF!</definedName>
    <definedName name="MOMENT" localSheetId="3">#REF!</definedName>
    <definedName name="MOMENT" localSheetId="6">#REF!</definedName>
    <definedName name="MOMENT" localSheetId="4">#REF!</definedName>
    <definedName name="MOMENT">#REF!</definedName>
    <definedName name="MOMENT1" localSheetId="10">#REF!</definedName>
    <definedName name="MOMENT1" localSheetId="11">#REF!</definedName>
    <definedName name="MOMENT1" localSheetId="9">#REF!</definedName>
    <definedName name="MOMENT1" localSheetId="2">#REF!</definedName>
    <definedName name="MOMENT1" localSheetId="12">#REF!</definedName>
    <definedName name="MOMENT1" localSheetId="3">#REF!</definedName>
    <definedName name="MOMENT1" localSheetId="6">#REF!</definedName>
    <definedName name="MOMENT1" localSheetId="4">#REF!</definedName>
    <definedName name="MOMENT1">#REF!</definedName>
    <definedName name="MONTH">#N/A</definedName>
    <definedName name="Ms" localSheetId="10">'[11]#REF'!#REF!</definedName>
    <definedName name="Ms" localSheetId="11">'[11]#REF'!#REF!</definedName>
    <definedName name="Ms" localSheetId="9">'[11]#REF'!#REF!</definedName>
    <definedName name="Ms" localSheetId="2">'[11]#REF'!#REF!</definedName>
    <definedName name="Ms" localSheetId="12">'[11]#REF'!#REF!</definedName>
    <definedName name="Ms" localSheetId="3">'[11]#REF'!#REF!</definedName>
    <definedName name="Ms" localSheetId="6">'[11]#REF'!#REF!</definedName>
    <definedName name="Ms" localSheetId="4">'[11]#REF'!#REF!</definedName>
    <definedName name="Ms">'[11]#REF'!#REF!</definedName>
    <definedName name="MU" localSheetId="10">'2.추정(긍정)'!MU</definedName>
    <definedName name="MU" localSheetId="11">'2.추정(부정)'!MU</definedName>
    <definedName name="MU" localSheetId="9">구NCP!MU</definedName>
    <definedName name="MU" localSheetId="2">추정!MU</definedName>
    <definedName name="MU" localSheetId="12">#N/A</definedName>
    <definedName name="MU" localSheetId="3">#N/A</definedName>
    <definedName name="MU" localSheetId="6">평정!MU</definedName>
    <definedName name="MU" localSheetId="4">NCP!MU</definedName>
    <definedName name="MU">'2.추정(긍정)'!MU</definedName>
    <definedName name="NEW" localSheetId="10">'2.추정(긍정)'!NEW</definedName>
    <definedName name="NEW" localSheetId="11">'2.추정(부정)'!NEW</definedName>
    <definedName name="NEW" localSheetId="9">구NCP!NEW</definedName>
    <definedName name="NEW" localSheetId="2">추정!NEW</definedName>
    <definedName name="NEW" localSheetId="12">#N/A</definedName>
    <definedName name="NEW" localSheetId="3">#N/A</definedName>
    <definedName name="NEW" localSheetId="6">평정!NEW</definedName>
    <definedName name="NEW" localSheetId="4">NCP!NEW</definedName>
    <definedName name="NEW">'2.추정(긍정)'!NEW</definedName>
    <definedName name="new_BS" localSheetId="10">#REF!</definedName>
    <definedName name="new_BS" localSheetId="11">#REF!</definedName>
    <definedName name="new_BS" localSheetId="9">#REF!</definedName>
    <definedName name="new_BS" localSheetId="2">#REF!</definedName>
    <definedName name="new_BS" localSheetId="12">#REF!</definedName>
    <definedName name="new_BS" localSheetId="3">#REF!</definedName>
    <definedName name="new_BS" localSheetId="6">#REF!</definedName>
    <definedName name="new_BS" localSheetId="4">#REF!</definedName>
    <definedName name="new_BS">#REF!</definedName>
    <definedName name="new_BS1" localSheetId="10">#REF!</definedName>
    <definedName name="new_BS1" localSheetId="11">#REF!</definedName>
    <definedName name="new_BS1" localSheetId="9">#REF!</definedName>
    <definedName name="new_BS1" localSheetId="2">#REF!</definedName>
    <definedName name="new_BS1" localSheetId="12">#REF!</definedName>
    <definedName name="new_BS1" localSheetId="3">#REF!</definedName>
    <definedName name="new_BS1" localSheetId="6">#REF!</definedName>
    <definedName name="new_BS1" localSheetId="4">#REF!</definedName>
    <definedName name="new_BS1">#REF!</definedName>
    <definedName name="new_CF" localSheetId="10">#REF!</definedName>
    <definedName name="new_CF" localSheetId="11">#REF!</definedName>
    <definedName name="new_CF" localSheetId="9">#REF!</definedName>
    <definedName name="new_CF" localSheetId="2">#REF!</definedName>
    <definedName name="new_CF" localSheetId="12">#REF!</definedName>
    <definedName name="new_CF" localSheetId="3">#REF!</definedName>
    <definedName name="new_CF" localSheetId="6">#REF!</definedName>
    <definedName name="new_CF" localSheetId="4">#REF!</definedName>
    <definedName name="new_CF">#REF!</definedName>
    <definedName name="new_CF1" localSheetId="10">#REF!</definedName>
    <definedName name="new_CF1" localSheetId="11">#REF!</definedName>
    <definedName name="new_CF1" localSheetId="9">#REF!</definedName>
    <definedName name="new_CF1" localSheetId="2">#REF!</definedName>
    <definedName name="new_CF1" localSheetId="12">#REF!</definedName>
    <definedName name="new_CF1" localSheetId="3">#REF!</definedName>
    <definedName name="new_CF1" localSheetId="6">#REF!</definedName>
    <definedName name="new_CF1" localSheetId="4">#REF!</definedName>
    <definedName name="new_CF1">#REF!</definedName>
    <definedName name="new_DEF" localSheetId="10">#REF!</definedName>
    <definedName name="new_DEF" localSheetId="11">#REF!</definedName>
    <definedName name="new_DEF" localSheetId="9">#REF!</definedName>
    <definedName name="new_DEF" localSheetId="2">#REF!</definedName>
    <definedName name="new_DEF" localSheetId="12">#REF!</definedName>
    <definedName name="new_DEF" localSheetId="3">#REF!</definedName>
    <definedName name="new_DEF" localSheetId="6">#REF!</definedName>
    <definedName name="new_DEF" localSheetId="4">#REF!</definedName>
    <definedName name="new_DEF">#REF!</definedName>
    <definedName name="new_PL" localSheetId="10">#REF!</definedName>
    <definedName name="new_PL" localSheetId="11">#REF!</definedName>
    <definedName name="new_PL" localSheetId="9">#REF!</definedName>
    <definedName name="new_PL" localSheetId="2">#REF!</definedName>
    <definedName name="new_PL" localSheetId="12">#REF!</definedName>
    <definedName name="new_PL" localSheetId="3">#REF!</definedName>
    <definedName name="new_PL" localSheetId="6">#REF!</definedName>
    <definedName name="new_PL" localSheetId="4">#REF!</definedName>
    <definedName name="new_PL">#REF!</definedName>
    <definedName name="new_PL1" localSheetId="10">#REF!</definedName>
    <definedName name="new_PL1" localSheetId="11">#REF!</definedName>
    <definedName name="new_PL1" localSheetId="9">#REF!</definedName>
    <definedName name="new_PL1" localSheetId="2">#REF!</definedName>
    <definedName name="new_PL1" localSheetId="12">#REF!</definedName>
    <definedName name="new_PL1" localSheetId="3">#REF!</definedName>
    <definedName name="new_PL1" localSheetId="6">#REF!</definedName>
    <definedName name="new_PL1" localSheetId="4">#REF!</definedName>
    <definedName name="new_PL1">#REF!</definedName>
    <definedName name="NF" localSheetId="10">'2.추정(긍정)'!NF</definedName>
    <definedName name="NF" localSheetId="11">'2.추정(부정)'!NF</definedName>
    <definedName name="NF" localSheetId="9">구NCP!NF</definedName>
    <definedName name="NF" localSheetId="2">추정!NF</definedName>
    <definedName name="NF" localSheetId="12">#N/A</definedName>
    <definedName name="NF" localSheetId="3">#N/A</definedName>
    <definedName name="NF" localSheetId="6">평정!NF</definedName>
    <definedName name="NF" localSheetId="4">NCP!NF</definedName>
    <definedName name="NF">'2.추정(긍정)'!NF</definedName>
    <definedName name="NFG" localSheetId="10">'2.추정(긍정)'!NFG</definedName>
    <definedName name="NFG" localSheetId="11">'2.추정(부정)'!NFG</definedName>
    <definedName name="NFG" localSheetId="9">구NCP!NFG</definedName>
    <definedName name="NFG" localSheetId="2">추정!NFG</definedName>
    <definedName name="NFG" localSheetId="12">#N/A</definedName>
    <definedName name="NFG" localSheetId="3">#N/A</definedName>
    <definedName name="NFG" localSheetId="6">평정!NFG</definedName>
    <definedName name="NFG" localSheetId="4">NCP!NFG</definedName>
    <definedName name="NFG">'2.추정(긍정)'!NFG</definedName>
    <definedName name="note" localSheetId="10">#REF!</definedName>
    <definedName name="note" localSheetId="11">#REF!</definedName>
    <definedName name="note" localSheetId="9">#REF!</definedName>
    <definedName name="note" localSheetId="2">#REF!</definedName>
    <definedName name="note" localSheetId="12">#REF!</definedName>
    <definedName name="note" localSheetId="3">#REF!</definedName>
    <definedName name="note" localSheetId="6">#REF!</definedName>
    <definedName name="note" localSheetId="4">#REF!</definedName>
    <definedName name="note">#REF!</definedName>
    <definedName name="NT" localSheetId="10">'2.추정(긍정)'!NT</definedName>
    <definedName name="NT" localSheetId="11">'2.추정(부정)'!NT</definedName>
    <definedName name="NT" localSheetId="9">구NCP!NT</definedName>
    <definedName name="NT" localSheetId="2">추정!NT</definedName>
    <definedName name="NT" localSheetId="12">#N/A</definedName>
    <definedName name="NT" localSheetId="3">#N/A</definedName>
    <definedName name="NT" localSheetId="6">평정!NT</definedName>
    <definedName name="NT" localSheetId="4">NCP!NT</definedName>
    <definedName name="NT">'2.추정(긍정)'!NT</definedName>
    <definedName name="NY" localSheetId="10">'2.추정(긍정)'!NY</definedName>
    <definedName name="NY" localSheetId="11">'2.추정(부정)'!NY</definedName>
    <definedName name="NY" localSheetId="9">구NCP!NY</definedName>
    <definedName name="NY" localSheetId="2">추정!NY</definedName>
    <definedName name="NY" localSheetId="12">#N/A</definedName>
    <definedName name="NY" localSheetId="3">#N/A</definedName>
    <definedName name="NY" localSheetId="6">평정!NY</definedName>
    <definedName name="NY" localSheetId="4">NCP!NY</definedName>
    <definedName name="NY">'2.추정(긍정)'!NY</definedName>
    <definedName name="NYNT" localSheetId="10">'2.추정(긍정)'!NYNT</definedName>
    <definedName name="NYNT" localSheetId="11">'2.추정(부정)'!NYNT</definedName>
    <definedName name="NYNT" localSheetId="9">구NCP!NYNT</definedName>
    <definedName name="NYNT" localSheetId="2">추정!NYNT</definedName>
    <definedName name="NYNT" localSheetId="12">#N/A</definedName>
    <definedName name="NYNT" localSheetId="3">#N/A</definedName>
    <definedName name="NYNT" localSheetId="6">평정!NYNT</definedName>
    <definedName name="NYNT" localSheetId="4">NCP!NYNT</definedName>
    <definedName name="NYNT">'2.추정(긍정)'!NYNT</definedName>
    <definedName name="NYT" localSheetId="10">'2.추정(긍정)'!NYT</definedName>
    <definedName name="NYT" localSheetId="11">'2.추정(부정)'!NYT</definedName>
    <definedName name="NYT" localSheetId="9">구NCP!NYT</definedName>
    <definedName name="NYT" localSheetId="2">추정!NYT</definedName>
    <definedName name="NYT" localSheetId="12">#N/A</definedName>
    <definedName name="NYT" localSheetId="3">#N/A</definedName>
    <definedName name="NYT" localSheetId="6">평정!NYT</definedName>
    <definedName name="NYT" localSheetId="4">NCP!NYT</definedName>
    <definedName name="NYT">'2.추정(긍정)'!NYT</definedName>
    <definedName name="NYXJ" localSheetId="10">'2.추정(긍정)'!NYXJ</definedName>
    <definedName name="NYXJ" localSheetId="11">'2.추정(부정)'!NYXJ</definedName>
    <definedName name="NYXJ" localSheetId="9">구NCP!NYXJ</definedName>
    <definedName name="NYXJ" localSheetId="2">추정!NYXJ</definedName>
    <definedName name="NYXJ" localSheetId="12">#N/A</definedName>
    <definedName name="NYXJ" localSheetId="3">#N/A</definedName>
    <definedName name="NYXJ" localSheetId="6">평정!NYXJ</definedName>
    <definedName name="NYXJ" localSheetId="4">NCP!NYXJ</definedName>
    <definedName name="NYXJ">'2.추정(긍정)'!NYXJ</definedName>
    <definedName name="NYYTNM" localSheetId="10">'2.추정(긍정)'!NYYTNM</definedName>
    <definedName name="NYYTNM" localSheetId="11">'2.추정(부정)'!NYYTNM</definedName>
    <definedName name="NYYTNM" localSheetId="9">구NCP!NYYTNM</definedName>
    <definedName name="NYYTNM" localSheetId="2">추정!NYYTNM</definedName>
    <definedName name="NYYTNM" localSheetId="12">#N/A</definedName>
    <definedName name="NYYTNM" localSheetId="3">#N/A</definedName>
    <definedName name="NYYTNM" localSheetId="6">평정!NYYTNM</definedName>
    <definedName name="NYYTNM" localSheetId="4">NCP!NYYTNM</definedName>
    <definedName name="NYYTNM">'2.추정(긍정)'!NYYTNM</definedName>
    <definedName name="ocf" localSheetId="10" hidden="1">#REF!</definedName>
    <definedName name="ocf" localSheetId="11" hidden="1">#REF!</definedName>
    <definedName name="ocf" localSheetId="9" hidden="1">#REF!</definedName>
    <definedName name="ocf" localSheetId="1" hidden="1">#REF!</definedName>
    <definedName name="ocf" localSheetId="2" hidden="1">#REF!</definedName>
    <definedName name="ocf" localSheetId="12" hidden="1">#REF!</definedName>
    <definedName name="ocf" localSheetId="3" hidden="1">#REF!</definedName>
    <definedName name="ocf" localSheetId="6" hidden="1">#REF!</definedName>
    <definedName name="ocf" localSheetId="4" hidden="1">#REF!</definedName>
    <definedName name="ocf" hidden="1">#REF!</definedName>
    <definedName name="opo" localSheetId="10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localSheetId="9" hidden="1">{#N/A,#N/A,FALSE,"지침";#N/A,#N/A,FALSE,"환경분석";#N/A,#N/A,FALSE,"Sheet16"}</definedName>
    <definedName name="opo" localSheetId="1" hidden="1">{#N/A,#N/A,FALSE,"지침";#N/A,#N/A,FALSE,"환경분석";#N/A,#N/A,FALSE,"Sheet16"}</definedName>
    <definedName name="opo" localSheetId="2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3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localSheetId="4" hidden="1">{#N/A,#N/A,FALSE,"지침";#N/A,#N/A,FALSE,"환경분석";#N/A,#N/A,FALSE,"Sheet16"}</definedName>
    <definedName name="opo" hidden="1">{#N/A,#N/A,FALSE,"지침";#N/A,#N/A,FALSE,"환경분석";#N/A,#N/A,FALSE,"Sheet16"}</definedName>
    <definedName name="OptionButton21_Click" localSheetId="10">'2.추정(긍정)'!OptionButton21_Click</definedName>
    <definedName name="OptionButton21_Click" localSheetId="11">'2.추정(부정)'!OptionButton21_Click</definedName>
    <definedName name="OptionButton21_Click" localSheetId="9">구NCP!OptionButton21_Click</definedName>
    <definedName name="OptionButton21_Click" localSheetId="2">추정!OptionButton21_Click</definedName>
    <definedName name="OptionButton21_Click" localSheetId="12">#N/A</definedName>
    <definedName name="OptionButton21_Click" localSheetId="3">#N/A</definedName>
    <definedName name="OptionButton21_Click" localSheetId="6">평정!OptionButton21_Click</definedName>
    <definedName name="OptionButton21_Click" localSheetId="4">NCP!OptionButton21_Click</definedName>
    <definedName name="OptionButton21_Click">'2.추정(긍정)'!OptionButton21_Click</definedName>
    <definedName name="overall" localSheetId="10">[9]영업!#REF!</definedName>
    <definedName name="overall" localSheetId="11">[9]영업!#REF!</definedName>
    <definedName name="overall" localSheetId="9">[9]영업!#REF!</definedName>
    <definedName name="overall" localSheetId="2">[9]영업!#REF!</definedName>
    <definedName name="overall" localSheetId="12">[10]영업!#REF!</definedName>
    <definedName name="overall" localSheetId="3">[10]영업!#REF!</definedName>
    <definedName name="overall" localSheetId="6">[9]영업!#REF!</definedName>
    <definedName name="overall" localSheetId="4">[9]영업!#REF!</definedName>
    <definedName name="overall">[9]영업!#REF!</definedName>
    <definedName name="ownership" localSheetId="10" hidden="1">{#N/A,#N/A,TRUE,"Summary";#N/A,#N/A,TRUE,"IS";#N/A,#N/A,TRUE,"Adj";#N/A,#N/A,TRUE,"BS";#N/A,#N/A,TRUE,"CF";#N/A,#N/A,TRUE,"Debt";#N/A,#N/A,TRUE,"IRR"}</definedName>
    <definedName name="ownership" localSheetId="11" hidden="1">{#N/A,#N/A,TRUE,"Summary";#N/A,#N/A,TRUE,"IS";#N/A,#N/A,TRUE,"Adj";#N/A,#N/A,TRUE,"BS";#N/A,#N/A,TRUE,"CF";#N/A,#N/A,TRUE,"Debt";#N/A,#N/A,TRUE,"IRR"}</definedName>
    <definedName name="ownership" localSheetId="9" hidden="1">{#N/A,#N/A,TRUE,"Summary";#N/A,#N/A,TRUE,"IS";#N/A,#N/A,TRUE,"Adj";#N/A,#N/A,TRUE,"BS";#N/A,#N/A,TRUE,"CF";#N/A,#N/A,TRUE,"Debt";#N/A,#N/A,TRUE,"IRR"}</definedName>
    <definedName name="ownership" localSheetId="1" hidden="1">{#N/A,#N/A,TRUE,"Summary";#N/A,#N/A,TRUE,"IS";#N/A,#N/A,TRUE,"Adj";#N/A,#N/A,TRUE,"BS";#N/A,#N/A,TRUE,"CF";#N/A,#N/A,TRUE,"Debt";#N/A,#N/A,TRUE,"IRR"}</definedName>
    <definedName name="ownership" localSheetId="2" hidden="1">{#N/A,#N/A,TRUE,"Summary";#N/A,#N/A,TRUE,"IS";#N/A,#N/A,TRUE,"Adj";#N/A,#N/A,TRUE,"BS";#N/A,#N/A,TRUE,"CF";#N/A,#N/A,TRUE,"Debt";#N/A,#N/A,TRUE,"IRR"}</definedName>
    <definedName name="ownership" localSheetId="12" hidden="1">{#N/A,#N/A,TRUE,"Summary";#N/A,#N/A,TRUE,"IS";#N/A,#N/A,TRUE,"Adj";#N/A,#N/A,TRUE,"BS";#N/A,#N/A,TRUE,"CF";#N/A,#N/A,TRUE,"Debt";#N/A,#N/A,TRUE,"IRR"}</definedName>
    <definedName name="ownership" localSheetId="3" hidden="1">{#N/A,#N/A,TRUE,"Summary";#N/A,#N/A,TRUE,"IS";#N/A,#N/A,TRUE,"Adj";#N/A,#N/A,TRUE,"BS";#N/A,#N/A,TRUE,"CF";#N/A,#N/A,TRUE,"Debt";#N/A,#N/A,TRUE,"IRR"}</definedName>
    <definedName name="ownership" localSheetId="6" hidden="1">{#N/A,#N/A,TRUE,"Summary";#N/A,#N/A,TRUE,"IS";#N/A,#N/A,TRUE,"Adj";#N/A,#N/A,TRUE,"BS";#N/A,#N/A,TRUE,"CF";#N/A,#N/A,TRUE,"Debt";#N/A,#N/A,TRUE,"IRR"}</definedName>
    <definedName name="ownership" localSheetId="4" hidden="1">{#N/A,#N/A,TRUE,"Summary";#N/A,#N/A,TRUE,"IS";#N/A,#N/A,TRUE,"Adj";#N/A,#N/A,TRUE,"BS";#N/A,#N/A,TRUE,"CF";#N/A,#N/A,TRUE,"Debt";#N/A,#N/A,TRUE,"IRR"}</definedName>
    <definedName name="ownership" hidden="1">{#N/A,#N/A,TRUE,"Summary";#N/A,#N/A,TRUE,"IS";#N/A,#N/A,TRUE,"Adj";#N/A,#N/A,TRUE,"BS";#N/A,#N/A,TRUE,"CF";#N/A,#N/A,TRUE,"Debt";#N/A,#N/A,TRUE,"IRR"}</definedName>
    <definedName name="P">#N/A</definedName>
    <definedName name="p1_" localSheetId="10">#REF!</definedName>
    <definedName name="p1_" localSheetId="11">#REF!</definedName>
    <definedName name="p1_" localSheetId="9">#REF!</definedName>
    <definedName name="p1_" localSheetId="2">#REF!</definedName>
    <definedName name="p1_" localSheetId="12">#REF!</definedName>
    <definedName name="p1_" localSheetId="3">#REF!</definedName>
    <definedName name="p1_" localSheetId="6">#REF!</definedName>
    <definedName name="p1_" localSheetId="4">#REF!</definedName>
    <definedName name="p1_">#REF!</definedName>
    <definedName name="pasteValue_A1" localSheetId="10">#REF!</definedName>
    <definedName name="pasteValue_A1" localSheetId="11">#REF!</definedName>
    <definedName name="pasteValue_A1" localSheetId="9">#REF!</definedName>
    <definedName name="pasteValue_A1" localSheetId="2">#REF!</definedName>
    <definedName name="pasteValue_A1" localSheetId="12">#REF!</definedName>
    <definedName name="pasteValue_A1" localSheetId="3">#REF!</definedName>
    <definedName name="pasteValue_A1" localSheetId="6">#REF!</definedName>
    <definedName name="pasteValue_A1" localSheetId="4">#REF!</definedName>
    <definedName name="pasteValue_A1">#REF!</definedName>
    <definedName name="pasteValue_A2" localSheetId="10">#REF!</definedName>
    <definedName name="pasteValue_A2" localSheetId="11">#REF!</definedName>
    <definedName name="pasteValue_A2" localSheetId="9">#REF!</definedName>
    <definedName name="pasteValue_A2" localSheetId="2">#REF!</definedName>
    <definedName name="pasteValue_A2" localSheetId="12">#REF!</definedName>
    <definedName name="pasteValue_A2" localSheetId="3">#REF!</definedName>
    <definedName name="pasteValue_A2" localSheetId="6">#REF!</definedName>
    <definedName name="pasteValue_A2" localSheetId="4">#REF!</definedName>
    <definedName name="pasteValue_A2">#REF!</definedName>
    <definedName name="pasteValue_A3" localSheetId="10">#REF!</definedName>
    <definedName name="pasteValue_A3" localSheetId="11">#REF!</definedName>
    <definedName name="pasteValue_A3" localSheetId="9">#REF!</definedName>
    <definedName name="pasteValue_A3" localSheetId="2">#REF!</definedName>
    <definedName name="pasteValue_A3" localSheetId="12">#REF!</definedName>
    <definedName name="pasteValue_A3" localSheetId="3">#REF!</definedName>
    <definedName name="pasteValue_A3" localSheetId="6">#REF!</definedName>
    <definedName name="pasteValue_A3" localSheetId="4">#REF!</definedName>
    <definedName name="pasteValue_A3">#REF!</definedName>
    <definedName name="pasteValue_B1" localSheetId="10">#REF!</definedName>
    <definedName name="pasteValue_B1" localSheetId="11">#REF!</definedName>
    <definedName name="pasteValue_B1" localSheetId="9">#REF!</definedName>
    <definedName name="pasteValue_B1" localSheetId="2">#REF!</definedName>
    <definedName name="pasteValue_B1" localSheetId="12">#REF!</definedName>
    <definedName name="pasteValue_B1" localSheetId="3">#REF!</definedName>
    <definedName name="pasteValue_B1" localSheetId="6">#REF!</definedName>
    <definedName name="pasteValue_B1" localSheetId="4">#REF!</definedName>
    <definedName name="pasteValue_B1">#REF!</definedName>
    <definedName name="pasteValue_B2" localSheetId="10">#REF!</definedName>
    <definedName name="pasteValue_B2" localSheetId="11">#REF!</definedName>
    <definedName name="pasteValue_B2" localSheetId="9">#REF!</definedName>
    <definedName name="pasteValue_B2" localSheetId="2">#REF!</definedName>
    <definedName name="pasteValue_B2" localSheetId="12">#REF!</definedName>
    <definedName name="pasteValue_B2" localSheetId="3">#REF!</definedName>
    <definedName name="pasteValue_B2" localSheetId="6">#REF!</definedName>
    <definedName name="pasteValue_B2" localSheetId="4">#REF!</definedName>
    <definedName name="pasteValue_B2">#REF!</definedName>
    <definedName name="pasteValue_B3" localSheetId="10">#REF!</definedName>
    <definedName name="pasteValue_B3" localSheetId="11">#REF!</definedName>
    <definedName name="pasteValue_B3" localSheetId="9">#REF!</definedName>
    <definedName name="pasteValue_B3" localSheetId="2">#REF!</definedName>
    <definedName name="pasteValue_B3" localSheetId="12">#REF!</definedName>
    <definedName name="pasteValue_B3" localSheetId="3">#REF!</definedName>
    <definedName name="pasteValue_B3" localSheetId="6">#REF!</definedName>
    <definedName name="pasteValue_B3" localSheetId="4">#REF!</definedName>
    <definedName name="pasteValue_B3">#REF!</definedName>
    <definedName name="pasteValue_C1" localSheetId="10">#REF!</definedName>
    <definedName name="pasteValue_C1" localSheetId="11">#REF!</definedName>
    <definedName name="pasteValue_C1" localSheetId="9">#REF!</definedName>
    <definedName name="pasteValue_C1" localSheetId="2">#REF!</definedName>
    <definedName name="pasteValue_C1" localSheetId="12">#REF!</definedName>
    <definedName name="pasteValue_C1" localSheetId="3">#REF!</definedName>
    <definedName name="pasteValue_C1" localSheetId="6">#REF!</definedName>
    <definedName name="pasteValue_C1" localSheetId="4">#REF!</definedName>
    <definedName name="pasteValue_C1">#REF!</definedName>
    <definedName name="pasteValue_C2" localSheetId="10">#REF!</definedName>
    <definedName name="pasteValue_C2" localSheetId="11">#REF!</definedName>
    <definedName name="pasteValue_C2" localSheetId="9">#REF!</definedName>
    <definedName name="pasteValue_C2" localSheetId="2">#REF!</definedName>
    <definedName name="pasteValue_C2" localSheetId="12">#REF!</definedName>
    <definedName name="pasteValue_C2" localSheetId="3">#REF!</definedName>
    <definedName name="pasteValue_C2" localSheetId="6">#REF!</definedName>
    <definedName name="pasteValue_C2" localSheetId="4">#REF!</definedName>
    <definedName name="pasteValue_C2">#REF!</definedName>
    <definedName name="pasteValue_C3" localSheetId="10">#REF!</definedName>
    <definedName name="pasteValue_C3" localSheetId="11">#REF!</definedName>
    <definedName name="pasteValue_C3" localSheetId="9">#REF!</definedName>
    <definedName name="pasteValue_C3" localSheetId="2">#REF!</definedName>
    <definedName name="pasteValue_C3" localSheetId="12">#REF!</definedName>
    <definedName name="pasteValue_C3" localSheetId="3">#REF!</definedName>
    <definedName name="pasteValue_C3" localSheetId="6">#REF!</definedName>
    <definedName name="pasteValue_C3" localSheetId="4">#REF!</definedName>
    <definedName name="pasteValue_C3">#REF!</definedName>
    <definedName name="PC_PROD" localSheetId="10">#REF!</definedName>
    <definedName name="PC_PROD" localSheetId="11">#REF!</definedName>
    <definedName name="PC_PROD" localSheetId="9">#REF!</definedName>
    <definedName name="PC_PROD" localSheetId="2">#REF!</definedName>
    <definedName name="PC_PROD" localSheetId="12">#REF!</definedName>
    <definedName name="PC_PROD" localSheetId="3">#REF!</definedName>
    <definedName name="PC_PROD" localSheetId="6">#REF!</definedName>
    <definedName name="PC_PROD" localSheetId="4">#REF!</definedName>
    <definedName name="PC_PROD">#REF!</definedName>
    <definedName name="PHAJA" localSheetId="10">#REF!</definedName>
    <definedName name="PHAJA" localSheetId="11">#REF!</definedName>
    <definedName name="PHAJA" localSheetId="9">#REF!</definedName>
    <definedName name="PHAJA" localSheetId="2">#REF!</definedName>
    <definedName name="PHAJA" localSheetId="12">#REF!</definedName>
    <definedName name="PHAJA" localSheetId="3">#REF!</definedName>
    <definedName name="PHAJA" localSheetId="6">#REF!</definedName>
    <definedName name="PHAJA" localSheetId="4">#REF!</definedName>
    <definedName name="PHAJA">#REF!</definedName>
    <definedName name="piston" localSheetId="10" hidden="1">{"Seite 17",#N/A,FALSE,"Valve Lift Curves, cyl. 1 (17)"}</definedName>
    <definedName name="piston" localSheetId="11" hidden="1">{"Seite 17",#N/A,FALSE,"Valve Lift Curves, cyl. 1 (17)"}</definedName>
    <definedName name="piston" localSheetId="9" hidden="1">{"Seite 17",#N/A,FALSE,"Valve Lift Curves, cyl. 1 (17)"}</definedName>
    <definedName name="piston" localSheetId="1" hidden="1">{"Seite 17",#N/A,FALSE,"Valve Lift Curves, cyl. 1 (17)"}</definedName>
    <definedName name="piston" localSheetId="2" hidden="1">{"Seite 17",#N/A,FALSE,"Valve Lift Curves, cyl. 1 (17)"}</definedName>
    <definedName name="piston" localSheetId="12" hidden="1">{"Seite 17",#N/A,FALSE,"Valve Lift Curves, cyl. 1 (17)"}</definedName>
    <definedName name="piston" localSheetId="3" hidden="1">{"Seite 17",#N/A,FALSE,"Valve Lift Curves, cyl. 1 (17)"}</definedName>
    <definedName name="piston" localSheetId="6" hidden="1">{"Seite 17",#N/A,FALSE,"Valve Lift Curves, cyl. 1 (17)"}</definedName>
    <definedName name="piston" localSheetId="4" hidden="1">{"Seite 17",#N/A,FALSE,"Valve Lift Curves, cyl. 1 (17)"}</definedName>
    <definedName name="piston" hidden="1">{"Seite 17",#N/A,FALSE,"Valve Lift Curves, cyl. 1 (17)"}</definedName>
    <definedName name="pistonpin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L" localSheetId="10">#REF!</definedName>
    <definedName name="PL" localSheetId="11">#REF!</definedName>
    <definedName name="PL" localSheetId="9">#REF!</definedName>
    <definedName name="PL" localSheetId="2">#REF!</definedName>
    <definedName name="PL" localSheetId="12">#REF!</definedName>
    <definedName name="PL" localSheetId="3">#REF!</definedName>
    <definedName name="PL" localSheetId="6">#REF!</definedName>
    <definedName name="PL" localSheetId="4">#REF!</definedName>
    <definedName name="PL">#REF!</definedName>
    <definedName name="plNote" localSheetId="10">'2.추정(긍정)'!plNote</definedName>
    <definedName name="plNote" localSheetId="11">'2.추정(부정)'!plNote</definedName>
    <definedName name="plNote" localSheetId="9">구NCP!plNote</definedName>
    <definedName name="plNote" localSheetId="2">추정!plNote</definedName>
    <definedName name="plNote" localSheetId="12">#N/A</definedName>
    <definedName name="plNote" localSheetId="3">#N/A</definedName>
    <definedName name="plNote" localSheetId="6">평정!plNote</definedName>
    <definedName name="plNote" localSheetId="4">NCP!plNote</definedName>
    <definedName name="plNote">'2.추정(긍정)'!plNote</definedName>
    <definedName name="PM" localSheetId="10">#REF!</definedName>
    <definedName name="PM" localSheetId="11">#REF!</definedName>
    <definedName name="PM" localSheetId="9">#REF!</definedName>
    <definedName name="PM" localSheetId="2">#REF!</definedName>
    <definedName name="PM" localSheetId="12">#REF!</definedName>
    <definedName name="PM" localSheetId="3">#REF!</definedName>
    <definedName name="PM" localSheetId="6">#REF!</definedName>
    <definedName name="PM" localSheetId="4">#REF!</definedName>
    <definedName name="PM">#REF!</definedName>
    <definedName name="ppp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rint" localSheetId="10">#REF!</definedName>
    <definedName name="print" localSheetId="11">#REF!</definedName>
    <definedName name="print" localSheetId="9">#REF!</definedName>
    <definedName name="print" localSheetId="2">#REF!</definedName>
    <definedName name="print" localSheetId="12">#REF!</definedName>
    <definedName name="print" localSheetId="3">#REF!</definedName>
    <definedName name="print" localSheetId="6">#REF!</definedName>
    <definedName name="print" localSheetId="4">#REF!</definedName>
    <definedName name="print">#REF!</definedName>
    <definedName name="_xlnm.Print_Area" localSheetId="10">'2.추정(긍정)'!$A$1:$L$165</definedName>
    <definedName name="_xlnm.Print_Area" localSheetId="11">'2.추정(부정)'!$A$1:$L$165</definedName>
    <definedName name="_xlnm.Print_Area" localSheetId="9">구NCP!$A$1:$K$42</definedName>
    <definedName name="_xlnm.Print_Area" localSheetId="1">보고서!$A$1:$L$308</definedName>
    <definedName name="_xlnm.Print_Area" localSheetId="5">부표!$A$1:$P$111</definedName>
    <definedName name="_xlnm.Print_Area" localSheetId="2">추정!$A$1:$M$135</definedName>
    <definedName name="_xlnm.Print_Area" localSheetId="12">추정_master!$A$1:$O$272</definedName>
    <definedName name="_xlnm.Print_Area" localSheetId="3">추정표!$A$1:$O$66</definedName>
    <definedName name="_xlnm.Print_Area" localSheetId="6">평정!$A$1:$K$227</definedName>
    <definedName name="_xlnm.Print_Area" localSheetId="4">NCP!$A$1:$K$42</definedName>
    <definedName name="_xlnm.Print_Area">#REF!</definedName>
    <definedName name="PRINT_AREA_MI" localSheetId="10">#REF!</definedName>
    <definedName name="PRINT_AREA_MI" localSheetId="11">#REF!</definedName>
    <definedName name="PRINT_AREA_MI" localSheetId="9">#REF!</definedName>
    <definedName name="PRINT_AREA_MI" localSheetId="2">#REF!</definedName>
    <definedName name="PRINT_AREA_MI" localSheetId="12">#REF!</definedName>
    <definedName name="PRINT_AREA_MI" localSheetId="3">#REF!</definedName>
    <definedName name="PRINT_AREA_MI" localSheetId="6">#REF!</definedName>
    <definedName name="PRINT_AREA_MI" localSheetId="4">#REF!</definedName>
    <definedName name="PRINT_AREA_MI">#REF!</definedName>
    <definedName name="PRINT_AREA_MI1" localSheetId="10">#REF!</definedName>
    <definedName name="PRINT_AREA_MI1" localSheetId="11">#REF!</definedName>
    <definedName name="PRINT_AREA_MI1" localSheetId="9">#REF!</definedName>
    <definedName name="PRINT_AREA_MI1" localSheetId="2">#REF!</definedName>
    <definedName name="PRINT_AREA_MI1" localSheetId="12">#REF!</definedName>
    <definedName name="PRINT_AREA_MI1" localSheetId="3">#REF!</definedName>
    <definedName name="PRINT_AREA_MI1" localSheetId="6">#REF!</definedName>
    <definedName name="PRINT_AREA_MI1" localSheetId="4">#REF!</definedName>
    <definedName name="PRINT_AREA_MI1">#REF!</definedName>
    <definedName name="Print_BS" localSheetId="10">#REF!</definedName>
    <definedName name="Print_BS" localSheetId="11">#REF!</definedName>
    <definedName name="Print_BS" localSheetId="3">#REF!</definedName>
    <definedName name="Print_BS" localSheetId="4">#REF!</definedName>
    <definedName name="Print_BS">#REF!</definedName>
    <definedName name="Print_CF" localSheetId="10">#REF!</definedName>
    <definedName name="Print_CF" localSheetId="11">#REF!</definedName>
    <definedName name="Print_CF" localSheetId="3">#REF!</definedName>
    <definedName name="Print_CF" localSheetId="4">#REF!</definedName>
    <definedName name="Print_CF">#REF!</definedName>
    <definedName name="Print_PL" localSheetId="10">#REF!</definedName>
    <definedName name="Print_PL" localSheetId="11">#REF!</definedName>
    <definedName name="Print_PL" localSheetId="3">#REF!</definedName>
    <definedName name="Print_PL" localSheetId="4">#REF!</definedName>
    <definedName name="Print_PL">#REF!</definedName>
    <definedName name="Print_title" localSheetId="10">#REF!,#REF!</definedName>
    <definedName name="Print_title" localSheetId="11">#REF!,#REF!</definedName>
    <definedName name="Print_title" localSheetId="9">#REF!,#REF!</definedName>
    <definedName name="Print_title" localSheetId="2">#REF!,#REF!</definedName>
    <definedName name="Print_title" localSheetId="12">#REF!,#REF!</definedName>
    <definedName name="Print_title" localSheetId="3">#REF!,#REF!</definedName>
    <definedName name="Print_title" localSheetId="6">#REF!,#REF!</definedName>
    <definedName name="Print_title" localSheetId="4">#REF!,#REF!</definedName>
    <definedName name="Print_title">#REF!,#REF!</definedName>
    <definedName name="_xlnm.Print_Titles" localSheetId="10">#REF!</definedName>
    <definedName name="_xlnm.Print_Titles" localSheetId="11">#REF!</definedName>
    <definedName name="_xlnm.Print_Titles" localSheetId="9">#REF!</definedName>
    <definedName name="_xlnm.Print_Titles" localSheetId="2">#REF!</definedName>
    <definedName name="_xlnm.Print_Titles" localSheetId="12">#REF!</definedName>
    <definedName name="_xlnm.Print_Titles" localSheetId="3">#REF!</definedName>
    <definedName name="_xlnm.Print_Titles" localSheetId="6">#REF!</definedName>
    <definedName name="_xlnm.Print_Titles" localSheetId="4">#REF!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9">#REF!</definedName>
    <definedName name="PRINT_TITLES_MI" localSheetId="2">#REF!</definedName>
    <definedName name="PRINT_TITLES_MI" localSheetId="12">#REF!</definedName>
    <definedName name="PRINT_TITLES_MI" localSheetId="3">#REF!</definedName>
    <definedName name="PRINT_TITLES_MI" localSheetId="6">#REF!</definedName>
    <definedName name="PRINT_TITLES_MI" localSheetId="4">#REF!</definedName>
    <definedName name="PRINT_TITLES_MI">#REF!</definedName>
    <definedName name="Print2" localSheetId="10">#REF!</definedName>
    <definedName name="Print2" localSheetId="11">#REF!</definedName>
    <definedName name="Print2" localSheetId="9">#REF!</definedName>
    <definedName name="Print2" localSheetId="2">#REF!</definedName>
    <definedName name="Print2" localSheetId="12">#REF!</definedName>
    <definedName name="Print2" localSheetId="3">#REF!</definedName>
    <definedName name="Print2" localSheetId="6">#REF!</definedName>
    <definedName name="Print2" localSheetId="4">#REF!</definedName>
    <definedName name="Print2">#REF!</definedName>
    <definedName name="PT" localSheetId="10">#REF!</definedName>
    <definedName name="PT" localSheetId="11">#REF!</definedName>
    <definedName name="PT" localSheetId="9">#REF!</definedName>
    <definedName name="PT" localSheetId="2">#REF!</definedName>
    <definedName name="PT" localSheetId="12">#REF!</definedName>
    <definedName name="PT" localSheetId="3">#REF!</definedName>
    <definedName name="PT" localSheetId="6">#REF!</definedName>
    <definedName name="PT" localSheetId="4">#REF!</definedName>
    <definedName name="PT">#REF!</definedName>
    <definedName name="PY" localSheetId="10">'2.추정(긍정)'!PY</definedName>
    <definedName name="PY" localSheetId="11">'2.추정(부정)'!PY</definedName>
    <definedName name="PY" localSheetId="9">구NCP!PY</definedName>
    <definedName name="PY" localSheetId="2">추정!PY</definedName>
    <definedName name="PY" localSheetId="12">#N/A</definedName>
    <definedName name="PY" localSheetId="3">#N/A</definedName>
    <definedName name="PY" localSheetId="6">평정!PY</definedName>
    <definedName name="PY" localSheetId="4">NCP!PY</definedName>
    <definedName name="PY">'2.추정(긍정)'!PY</definedName>
    <definedName name="q">[5]하치장수불부!$A$68:$O$100</definedName>
    <definedName name="qj" localSheetId="10">#REF!</definedName>
    <definedName name="qj" localSheetId="11">#REF!</definedName>
    <definedName name="qj" localSheetId="9">#REF!</definedName>
    <definedName name="qj" localSheetId="2">#REF!</definedName>
    <definedName name="qj" localSheetId="12">#REF!</definedName>
    <definedName name="qj" localSheetId="3">#REF!</definedName>
    <definedName name="qj" localSheetId="6">#REF!</definedName>
    <definedName name="qj" localSheetId="4">#REF!</definedName>
    <definedName name="qj">#REF!</definedName>
    <definedName name="q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qq" hidden="1">{#N/A,#N/A,FALSE,"PART-1234-8-12-9(41)";#N/A,#N/A,FALSE,"PARTS-2(3)";#N/A,#N/A,FALSE,"VAN SYSTEM";#N/A,#N/A,FALSE,"PARTS-10(26)";#N/A,#N/A,FALSE,"PART-5-6-7-11(14)";#N/A,#N/A,FALSE,"PARTS-4(3)";#N/A,#N/A,FALSE,"PCLASS"}</definedName>
    <definedName name="QQQ" localSheetId="10">#REF!</definedName>
    <definedName name="QQQ" localSheetId="11">#REF!</definedName>
    <definedName name="QQQ" localSheetId="9">#REF!</definedName>
    <definedName name="QQQ" localSheetId="2">#REF!</definedName>
    <definedName name="QQQ" localSheetId="12">#REF!</definedName>
    <definedName name="QQQ" localSheetId="3">#REF!</definedName>
    <definedName name="QQQ" localSheetId="6">#REF!</definedName>
    <definedName name="QQQ" localSheetId="4">#REF!</definedName>
    <definedName name="QQQ">#REF!</definedName>
    <definedName name="Query1" localSheetId="10">#REF!</definedName>
    <definedName name="Query1" localSheetId="11">#REF!</definedName>
    <definedName name="Query1" localSheetId="9">#REF!</definedName>
    <definedName name="Query1" localSheetId="2">#REF!</definedName>
    <definedName name="Query1" localSheetId="12">#REF!</definedName>
    <definedName name="Query1" localSheetId="3">#REF!</definedName>
    <definedName name="Query1" localSheetId="6">#REF!</definedName>
    <definedName name="Query1" localSheetId="4">#REF!</definedName>
    <definedName name="Query1">#REF!</definedName>
    <definedName name="Query2" localSheetId="10">#REF!</definedName>
    <definedName name="Query2" localSheetId="11">#REF!</definedName>
    <definedName name="Query2" localSheetId="9">#REF!</definedName>
    <definedName name="Query2" localSheetId="2">#REF!</definedName>
    <definedName name="Query2" localSheetId="12">#REF!</definedName>
    <definedName name="Query2" localSheetId="3">#REF!</definedName>
    <definedName name="Query2" localSheetId="6">#REF!</definedName>
    <definedName name="Query2" localSheetId="4">#REF!</definedName>
    <definedName name="Query2">#REF!</definedName>
    <definedName name="quit_button_Click" localSheetId="10">'2.추정(긍정)'!quit_button_Click</definedName>
    <definedName name="quit_button_Click" localSheetId="11">'2.추정(부정)'!quit_button_Click</definedName>
    <definedName name="quit_button_Click" localSheetId="9">구NCP!quit_button_Click</definedName>
    <definedName name="quit_button_Click" localSheetId="2">추정!quit_button_Click</definedName>
    <definedName name="quit_button_Click" localSheetId="12">#N/A</definedName>
    <definedName name="quit_button_Click" localSheetId="3">#N/A</definedName>
    <definedName name="quit_button_Click" localSheetId="6">평정!quit_button_Click</definedName>
    <definedName name="quit_button_Click" localSheetId="4">NCP!quit_button_Click</definedName>
    <definedName name="quit_button_Click">'2.추정(긍정)'!quit_button_Click</definedName>
    <definedName name="QW" localSheetId="10">#REF!</definedName>
    <definedName name="QW" localSheetId="11">#REF!</definedName>
    <definedName name="QW" localSheetId="9">#REF!</definedName>
    <definedName name="QW" localSheetId="2">#REF!</definedName>
    <definedName name="QW" localSheetId="12">#REF!</definedName>
    <definedName name="QW" localSheetId="3">#REF!</definedName>
    <definedName name="QW" localSheetId="6">#REF!</definedName>
    <definedName name="QW" localSheetId="4">#REF!</definedName>
    <definedName name="QW">#REF!</definedName>
    <definedName name="RANGE" localSheetId="10">#REF!</definedName>
    <definedName name="RANGE" localSheetId="11">#REF!</definedName>
    <definedName name="RANGE" localSheetId="9">#REF!</definedName>
    <definedName name="RANGE" localSheetId="2">#REF!</definedName>
    <definedName name="RANGE" localSheetId="12">#REF!</definedName>
    <definedName name="RANGE" localSheetId="3">#REF!</definedName>
    <definedName name="RANGE" localSheetId="6">#REF!</definedName>
    <definedName name="RANGE" localSheetId="4">#REF!</definedName>
    <definedName name="RANGE">#REF!</definedName>
    <definedName name="RDG" localSheetId="10">'2.추정(긍정)'!RDG</definedName>
    <definedName name="RDG" localSheetId="11">'2.추정(부정)'!RDG</definedName>
    <definedName name="RDG" localSheetId="9">구NCP!RDG</definedName>
    <definedName name="RDG" localSheetId="2">추정!RDG</definedName>
    <definedName name="RDG" localSheetId="12">#N/A</definedName>
    <definedName name="RDG" localSheetId="3">#N/A</definedName>
    <definedName name="RDG" localSheetId="6">평정!RDG</definedName>
    <definedName name="RDG" localSheetId="4">NCP!RDG</definedName>
    <definedName name="RDG">'2.추정(긍정)'!RDG</definedName>
    <definedName name="RDYHR" localSheetId="10">'2.추정(긍정)'!RDYHR</definedName>
    <definedName name="RDYHR" localSheetId="11">'2.추정(부정)'!RDYHR</definedName>
    <definedName name="RDYHR" localSheetId="9">구NCP!RDYHR</definedName>
    <definedName name="RDYHR" localSheetId="2">추정!RDYHR</definedName>
    <definedName name="RDYHR" localSheetId="12">#N/A</definedName>
    <definedName name="RDYHR" localSheetId="3">#N/A</definedName>
    <definedName name="RDYHR" localSheetId="6">평정!RDYHR</definedName>
    <definedName name="RDYHR" localSheetId="4">NCP!RDYHR</definedName>
    <definedName name="RDYHR">'2.추정(긍정)'!RDYHR</definedName>
    <definedName name="_xlnm.Recorder" localSheetId="10">#REF!</definedName>
    <definedName name="_xlnm.Recorder" localSheetId="11">#REF!</definedName>
    <definedName name="_xlnm.Recorder" localSheetId="9">#REF!</definedName>
    <definedName name="_xlnm.Recorder" localSheetId="2">#REF!</definedName>
    <definedName name="_xlnm.Recorder" localSheetId="12">#REF!</definedName>
    <definedName name="_xlnm.Recorder" localSheetId="3">#REF!</definedName>
    <definedName name="_xlnm.Recorder" localSheetId="6">#REF!</definedName>
    <definedName name="_xlnm.Recorder" localSheetId="4">#REF!</definedName>
    <definedName name="_xlnm.Recorder">#REF!</definedName>
    <definedName name="reportPl" localSheetId="10">'2.추정(긍정)'!reportPl</definedName>
    <definedName name="reportPl" localSheetId="11">'2.추정(부정)'!reportPl</definedName>
    <definedName name="reportPl" localSheetId="9">구NCP!reportPl</definedName>
    <definedName name="reportPl" localSheetId="2">추정!reportPl</definedName>
    <definedName name="reportPl" localSheetId="12">#N/A</definedName>
    <definedName name="reportPl" localSheetId="3">#N/A</definedName>
    <definedName name="reportPl" localSheetId="6">평정!reportPl</definedName>
    <definedName name="reportPl" localSheetId="4">NCP!reportPl</definedName>
    <definedName name="reportPl">'2.추정(긍정)'!reportPl</definedName>
    <definedName name="RF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RF" hidden="1">{#N/A,#N/A,FALSE,"PART-1234-8-12-9(41)";#N/A,#N/A,FALSE,"PARTS-2(3)";#N/A,#N/A,FALSE,"VAN SYSTEM";#N/A,#N/A,FALSE,"PARTS-10(26)";#N/A,#N/A,FALSE,"PART-5-6-7-11(14)";#N/A,#N/A,FALSE,"PARTS-4(3)";#N/A,#N/A,FALSE,"PCLASS"}</definedName>
    <definedName name="RG" localSheetId="10">'2.추정(긍정)'!RG</definedName>
    <definedName name="RG" localSheetId="11">'2.추정(부정)'!RG</definedName>
    <definedName name="RG" localSheetId="9">구NCP!RG</definedName>
    <definedName name="RG" localSheetId="2">추정!RG</definedName>
    <definedName name="RG" localSheetId="12">#N/A</definedName>
    <definedName name="RG" localSheetId="3">#N/A</definedName>
    <definedName name="RG" localSheetId="6">평정!RG</definedName>
    <definedName name="RG" localSheetId="4">NCP!RG</definedName>
    <definedName name="RG">'2.추정(긍정)'!RG</definedName>
    <definedName name="ROW" localSheetId="10">#REF!</definedName>
    <definedName name="ROW" localSheetId="11">#REF!</definedName>
    <definedName name="ROW" localSheetId="9">#REF!</definedName>
    <definedName name="ROW" localSheetId="2">#REF!</definedName>
    <definedName name="ROW" localSheetId="12">#REF!</definedName>
    <definedName name="ROW" localSheetId="3">#REF!</definedName>
    <definedName name="ROW" localSheetId="6">#REF!</definedName>
    <definedName name="ROW" localSheetId="4">#REF!</definedName>
    <definedName name="ROW">#REF!</definedName>
    <definedName name="rrrr" localSheetId="10" hidden="1">{#N/A,#N/A,FALSE,"지침";#N/A,#N/A,FALSE,"환경분석";#N/A,#N/A,FALSE,"Sheet16"}</definedName>
    <definedName name="rrrr" localSheetId="11" hidden="1">{#N/A,#N/A,FALSE,"지침";#N/A,#N/A,FALSE,"환경분석";#N/A,#N/A,FALSE,"Sheet16"}</definedName>
    <definedName name="rrrr" localSheetId="9" hidden="1">{#N/A,#N/A,FALSE,"지침";#N/A,#N/A,FALSE,"환경분석";#N/A,#N/A,FALSE,"Sheet16"}</definedName>
    <definedName name="rrrr" localSheetId="1" hidden="1">{#N/A,#N/A,FALSE,"지침";#N/A,#N/A,FALSE,"환경분석";#N/A,#N/A,FALSE,"Sheet16"}</definedName>
    <definedName name="rrrr" localSheetId="2" hidden="1">{#N/A,#N/A,FALSE,"지침";#N/A,#N/A,FALSE,"환경분석";#N/A,#N/A,FALSE,"Sheet16"}</definedName>
    <definedName name="rrrr" localSheetId="12" hidden="1">{#N/A,#N/A,FALSE,"지침";#N/A,#N/A,FALSE,"환경분석";#N/A,#N/A,FALSE,"Sheet16"}</definedName>
    <definedName name="rrrr" localSheetId="3" hidden="1">{#N/A,#N/A,FALSE,"지침";#N/A,#N/A,FALSE,"환경분석";#N/A,#N/A,FALSE,"Sheet16"}</definedName>
    <definedName name="rrrr" localSheetId="6" hidden="1">{#N/A,#N/A,FALSE,"지침";#N/A,#N/A,FALSE,"환경분석";#N/A,#N/A,FALSE,"Sheet16"}</definedName>
    <definedName name="rrrr" localSheetId="4" hidden="1">{#N/A,#N/A,FALSE,"지침";#N/A,#N/A,FALSE,"환경분석";#N/A,#N/A,FALSE,"Sheet16"}</definedName>
    <definedName name="rrrr" hidden="1">{#N/A,#N/A,FALSE,"지침";#N/A,#N/A,FALSE,"환경분석";#N/A,#N/A,FALSE,"Sheet16"}</definedName>
    <definedName name="RSY" localSheetId="10">'2.추정(긍정)'!RSY</definedName>
    <definedName name="RSY" localSheetId="11">'2.추정(부정)'!RSY</definedName>
    <definedName name="RSY" localSheetId="9">구NCP!RSY</definedName>
    <definedName name="RSY" localSheetId="2">추정!RSY</definedName>
    <definedName name="RSY" localSheetId="12">#N/A</definedName>
    <definedName name="RSY" localSheetId="3">#N/A</definedName>
    <definedName name="RSY" localSheetId="6">평정!RSY</definedName>
    <definedName name="RSY" localSheetId="4">NCP!RSY</definedName>
    <definedName name="RSY">'2.추정(긍정)'!RSY</definedName>
    <definedName name="rt" localSheetId="10">#REF!</definedName>
    <definedName name="rt" localSheetId="11">#REF!</definedName>
    <definedName name="rt" localSheetId="9">#REF!</definedName>
    <definedName name="rt" localSheetId="2">#REF!</definedName>
    <definedName name="rt" localSheetId="12">#REF!</definedName>
    <definedName name="rt" localSheetId="3">#REF!</definedName>
    <definedName name="rt" localSheetId="6">#REF!</definedName>
    <definedName name="rt" localSheetId="4">#REF!</definedName>
    <definedName name="rt">#REF!</definedName>
    <definedName name="RYRSY" localSheetId="10">'2.추정(긍정)'!RYRSY</definedName>
    <definedName name="RYRSY" localSheetId="11">'2.추정(부정)'!RYRSY</definedName>
    <definedName name="RYRSY" localSheetId="9">구NCP!RYRSY</definedName>
    <definedName name="RYRSY" localSheetId="2">추정!RYRSY</definedName>
    <definedName name="RYRSY" localSheetId="12">#N/A</definedName>
    <definedName name="RYRSY" localSheetId="3">#N/A</definedName>
    <definedName name="RYRSY" localSheetId="6">평정!RYRSY</definedName>
    <definedName name="RYRSY" localSheetId="4">NCP!RYRSY</definedName>
    <definedName name="RYRSY">'2.추정(긍정)'!RYRSY</definedName>
    <definedName name="S" localSheetId="10">#REF!</definedName>
    <definedName name="S" localSheetId="11">#REF!</definedName>
    <definedName name="S" localSheetId="9">#REF!</definedName>
    <definedName name="S" localSheetId="2">#REF!</definedName>
    <definedName name="S" localSheetId="12">#REF!</definedName>
    <definedName name="S" localSheetId="3">#REF!</definedName>
    <definedName name="S" localSheetId="6">#REF!</definedName>
    <definedName name="S" localSheetId="4">#REF!</definedName>
    <definedName name="S">#REF!</definedName>
    <definedName name="Sㅓㅓㅁ거" localSheetId="10">'2.추정(긍정)'!Sㅓㅓㅁ거</definedName>
    <definedName name="Sㅓㅓㅁ거" localSheetId="11">'2.추정(부정)'!Sㅓㅓㅁ거</definedName>
    <definedName name="Sㅓㅓㅁ거" localSheetId="9">구NCP!Sㅓㅓㅁ거</definedName>
    <definedName name="Sㅓㅓㅁ거" localSheetId="2">추정!Sㅓㅓㅁ거</definedName>
    <definedName name="Sㅓㅓㅁ거" localSheetId="12">#N/A</definedName>
    <definedName name="Sㅓㅓㅁ거" localSheetId="3">#N/A</definedName>
    <definedName name="Sㅓㅓㅁ거" localSheetId="6">평정!Sㅓㅓㅁ거</definedName>
    <definedName name="Sㅓㅓㅁ거" localSheetId="4">NCP!Sㅓㅓㅁ거</definedName>
    <definedName name="Sㅓㅓㅁ거">'2.추정(긍정)'!Sㅓㅓㅁ거</definedName>
    <definedName name="SAPBEXrevision" hidden="1">5</definedName>
    <definedName name="SAPBEXsysID" hidden="1">"BWP"</definedName>
    <definedName name="SAPBEXwbID" hidden="1">"1R2S01GZGQWQCNE0ZMIG38FD6"</definedName>
    <definedName name="SD" localSheetId="10">#REF!</definedName>
    <definedName name="SD" localSheetId="11">#REF!</definedName>
    <definedName name="SD" localSheetId="9">#REF!</definedName>
    <definedName name="SD" localSheetId="2">#REF!</definedName>
    <definedName name="SD" localSheetId="12">#REF!</definedName>
    <definedName name="SD" localSheetId="3">#REF!</definedName>
    <definedName name="SD" localSheetId="6">#REF!</definedName>
    <definedName name="SD" localSheetId="4">#REF!</definedName>
    <definedName name="SD">#REF!</definedName>
    <definedName name="sdf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sd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asd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hidden="1">{#N/A,#N/A,FALSE,"PART-1234-8-12-9(41)";#N/A,#N/A,FALSE,"PARTS-2(3)";#N/A,#N/A,FALSE,"VAN SYSTEM";#N/A,#N/A,FALSE,"PARTS-10(26)";#N/A,#N/A,FALSE,"PART-5-6-7-11(14)";#N/A,#N/A,FALSE,"PARTS-4(3)";#N/A,#N/A,FALSE,"PCLASS"}</definedName>
    <definedName name="SE" localSheetId="10">'2.추정(긍정)'!SE</definedName>
    <definedName name="SE" localSheetId="11">'2.추정(부정)'!SE</definedName>
    <definedName name="SE" localSheetId="9">구NCP!SE</definedName>
    <definedName name="SE" localSheetId="2">추정!SE</definedName>
    <definedName name="SE" localSheetId="12">#N/A</definedName>
    <definedName name="SE" localSheetId="3">#N/A</definedName>
    <definedName name="SE" localSheetId="6">평정!SE</definedName>
    <definedName name="SE" localSheetId="4">NCP!SE</definedName>
    <definedName name="SE">'2.추정(긍정)'!SE</definedName>
    <definedName name="SFDJSF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hidden="1">{#N/A,#N/A,FALSE,"PART-1234-8-12-9(41)";#N/A,#N/A,FALSE,"PARTS-2(3)";#N/A,#N/A,FALSE,"VAN SYSTEM";#N/A,#N/A,FALSE,"PARTS-10(26)";#N/A,#N/A,FALSE,"PART-5-6-7-11(14)";#N/A,#N/A,FALSE,"PARTS-4(3)";#N/A,#N/A,FALSE,"PCLASS"}</definedName>
    <definedName name="SFSEF" localSheetId="10">'2.추정(긍정)'!SFSEF</definedName>
    <definedName name="SFSEF" localSheetId="11">'2.추정(부정)'!SFSEF</definedName>
    <definedName name="SFSEF" localSheetId="9">구NCP!SFSEF</definedName>
    <definedName name="SFSEF" localSheetId="2">추정!SFSEF</definedName>
    <definedName name="SFSEF" localSheetId="12">#N/A</definedName>
    <definedName name="SFSEF" localSheetId="3">#N/A</definedName>
    <definedName name="SFSEF" localSheetId="6">평정!SFSEF</definedName>
    <definedName name="SFSEF" localSheetId="4">NCP!SFSEF</definedName>
    <definedName name="SFSEF">'2.추정(긍정)'!SFSEF</definedName>
    <definedName name="SGSEG" localSheetId="10">'2.추정(긍정)'!SGSEG</definedName>
    <definedName name="SGSEG" localSheetId="11">'2.추정(부정)'!SGSEG</definedName>
    <definedName name="SGSEG" localSheetId="9">구NCP!SGSEG</definedName>
    <definedName name="SGSEG" localSheetId="2">추정!SGSEG</definedName>
    <definedName name="SGSEG" localSheetId="12">#N/A</definedName>
    <definedName name="SGSEG" localSheetId="3">#N/A</definedName>
    <definedName name="SGSEG" localSheetId="6">평정!SGSEG</definedName>
    <definedName name="SGSEG" localSheetId="4">NCP!SGSEG</definedName>
    <definedName name="SGSEG">'2.추정(긍정)'!SGSEG</definedName>
    <definedName name="SHAJA" localSheetId="10">#REF!</definedName>
    <definedName name="SHAJA" localSheetId="11">#REF!</definedName>
    <definedName name="SHAJA" localSheetId="9">#REF!</definedName>
    <definedName name="SHAJA" localSheetId="2">#REF!</definedName>
    <definedName name="SHAJA" localSheetId="12">#REF!</definedName>
    <definedName name="SHAJA" localSheetId="3">#REF!</definedName>
    <definedName name="SHAJA" localSheetId="6">#REF!</definedName>
    <definedName name="SHAJA" localSheetId="4">#REF!</definedName>
    <definedName name="SHAJA">#REF!</definedName>
    <definedName name="sj" localSheetId="10">#REF!</definedName>
    <definedName name="sj" localSheetId="11">#REF!</definedName>
    <definedName name="sj" localSheetId="9">#REF!</definedName>
    <definedName name="sj" localSheetId="2">#REF!</definedName>
    <definedName name="sj" localSheetId="12">#REF!</definedName>
    <definedName name="sj" localSheetId="3">#REF!</definedName>
    <definedName name="sj" localSheetId="6">#REF!</definedName>
    <definedName name="sj" localSheetId="4">#REF!</definedName>
    <definedName name="sj">#REF!</definedName>
    <definedName name="SKFK" localSheetId="10">#REF!</definedName>
    <definedName name="SKFK" localSheetId="11">#REF!</definedName>
    <definedName name="SKFK" localSheetId="9">#REF!</definedName>
    <definedName name="SKFK" localSheetId="2">#REF!</definedName>
    <definedName name="SKFK" localSheetId="12">#REF!</definedName>
    <definedName name="SKFK" localSheetId="3">#REF!</definedName>
    <definedName name="SKFK" localSheetId="6">#REF!</definedName>
    <definedName name="SKFK" localSheetId="4">#REF!</definedName>
    <definedName name="SKFK">#REF!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otb" localSheetId="10">#REF!</definedName>
    <definedName name="sotb" localSheetId="11">#REF!</definedName>
    <definedName name="sotb" localSheetId="9">#REF!</definedName>
    <definedName name="sotb" localSheetId="2">#REF!</definedName>
    <definedName name="sotb" localSheetId="12">#REF!</definedName>
    <definedName name="sotb" localSheetId="3">#REF!</definedName>
    <definedName name="sotb" localSheetId="6">#REF!</definedName>
    <definedName name="sotb" localSheetId="4">#REF!</definedName>
    <definedName name="sotb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RVB" localSheetId="10">'2.추정(긍정)'!SRVB</definedName>
    <definedName name="SRVB" localSheetId="11">'2.추정(부정)'!SRVB</definedName>
    <definedName name="SRVB" localSheetId="9">구NCP!SRVB</definedName>
    <definedName name="SRVB" localSheetId="2">추정!SRVB</definedName>
    <definedName name="SRVB" localSheetId="12">#N/A</definedName>
    <definedName name="SRVB" localSheetId="3">#N/A</definedName>
    <definedName name="SRVB" localSheetId="6">평정!SRVB</definedName>
    <definedName name="SRVB" localSheetId="4">NCP!SRVB</definedName>
    <definedName name="SRVB">'2.추정(긍정)'!SRVB</definedName>
    <definedName name="SS">#REF!</definedName>
    <definedName name="SSS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sss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sssss" hidden="1">{#N/A,#N/A,FALSE,"PART-1234-8-12-9(41)";#N/A,#N/A,FALSE,"PARTS-2(3)";#N/A,#N/A,FALSE,"VAN SYSTEM";#N/A,#N/A,FALSE,"PARTS-10(26)";#N/A,#N/A,FALSE,"PART-5-6-7-11(14)";#N/A,#N/A,FALSE,"PARTS-4(3)";#N/A,#N/A,FALSE,"PCLASS"}</definedName>
    <definedName name="ST" localSheetId="10">'2.추정(긍정)'!ST</definedName>
    <definedName name="ST" localSheetId="11">'2.추정(부정)'!ST</definedName>
    <definedName name="ST" localSheetId="9">구NCP!ST</definedName>
    <definedName name="ST" localSheetId="2">추정!ST</definedName>
    <definedName name="ST" localSheetId="12">#N/A</definedName>
    <definedName name="ST" localSheetId="3">#N/A</definedName>
    <definedName name="ST" localSheetId="6">평정!ST</definedName>
    <definedName name="ST" localSheetId="4">NCP!ST</definedName>
    <definedName name="ST">'2.추정(긍정)'!ST</definedName>
    <definedName name="STS" localSheetId="10">'2.추정(긍정)'!STS</definedName>
    <definedName name="STS" localSheetId="11">'2.추정(부정)'!STS</definedName>
    <definedName name="STS" localSheetId="9">구NCP!STS</definedName>
    <definedName name="STS" localSheetId="2">추정!STS</definedName>
    <definedName name="STS" localSheetId="12">#N/A</definedName>
    <definedName name="STS" localSheetId="3">#N/A</definedName>
    <definedName name="STS" localSheetId="6">평정!STS</definedName>
    <definedName name="STS" localSheetId="4">NCP!STS</definedName>
    <definedName name="STS">'2.추정(긍정)'!STS</definedName>
    <definedName name="SubDic" localSheetId="10">#REF!</definedName>
    <definedName name="SubDic" localSheetId="11">#REF!</definedName>
    <definedName name="SubDic" localSheetId="9">#REF!</definedName>
    <definedName name="SubDic" localSheetId="2">#REF!</definedName>
    <definedName name="SubDic" localSheetId="12">#REF!</definedName>
    <definedName name="SubDic" localSheetId="3">#REF!</definedName>
    <definedName name="SubDic" localSheetId="6">#REF!</definedName>
    <definedName name="SubDic" localSheetId="4">#REF!</definedName>
    <definedName name="SubDic">#REF!</definedName>
    <definedName name="sum" localSheetId="10">[9]영업!#REF!</definedName>
    <definedName name="sum" localSheetId="11">[9]영업!#REF!</definedName>
    <definedName name="sum" localSheetId="9">[9]영업!#REF!</definedName>
    <definedName name="sum" localSheetId="2">[9]영업!#REF!</definedName>
    <definedName name="sum" localSheetId="12">[10]영업!#REF!</definedName>
    <definedName name="sum" localSheetId="3">[10]영업!#REF!</definedName>
    <definedName name="sum" localSheetId="6">[9]영업!#REF!</definedName>
    <definedName name="sum" localSheetId="4">[9]영업!#REF!</definedName>
    <definedName name="sum">[9]영업!#REF!</definedName>
    <definedName name="SW" localSheetId="10">#REF!</definedName>
    <definedName name="SW" localSheetId="11">#REF!</definedName>
    <definedName name="SW" localSheetId="9">#REF!</definedName>
    <definedName name="SW" localSheetId="2">#REF!</definedName>
    <definedName name="SW" localSheetId="12">#REF!</definedName>
    <definedName name="SW" localSheetId="3">#REF!</definedName>
    <definedName name="SW" localSheetId="6">#REF!</definedName>
    <definedName name="SW" localSheetId="4">#REF!</definedName>
    <definedName name="SW">#REF!</definedName>
    <definedName name="T">#N/A</definedName>
    <definedName name="T1_">#N/A</definedName>
    <definedName name="temp2" localSheetId="10">#REF!</definedName>
    <definedName name="temp2" localSheetId="11">#REF!</definedName>
    <definedName name="temp2" localSheetId="9">#REF!</definedName>
    <definedName name="temp2" localSheetId="2">#REF!</definedName>
    <definedName name="temp2" localSheetId="12">#REF!</definedName>
    <definedName name="temp2" localSheetId="3">#REF!</definedName>
    <definedName name="temp2" localSheetId="6">#REF!</definedName>
    <definedName name="temp2" localSheetId="4">#REF!</definedName>
    <definedName name="temp2">#REF!</definedName>
    <definedName name="TEXT" localSheetId="10">#REF!</definedName>
    <definedName name="TEXT" localSheetId="11">#REF!</definedName>
    <definedName name="TEXT" localSheetId="9">#REF!</definedName>
    <definedName name="TEXT" localSheetId="2">#REF!</definedName>
    <definedName name="TEXT" localSheetId="12">#REF!</definedName>
    <definedName name="TEXT" localSheetId="3">#REF!</definedName>
    <definedName name="TEXT" localSheetId="6">#REF!</definedName>
    <definedName name="TEXT" localSheetId="4">#REF!</definedName>
    <definedName name="TEXT">#REF!</definedName>
    <definedName name="TextRefCopyRangeCount" hidden="1">1</definedName>
    <definedName name="T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HT" localSheetId="10">'2.추정(긍정)'!THT</definedName>
    <definedName name="THT" localSheetId="11">'2.추정(부정)'!THT</definedName>
    <definedName name="THT" localSheetId="9">구NCP!THT</definedName>
    <definedName name="THT" localSheetId="2">추정!THT</definedName>
    <definedName name="THT" localSheetId="12">#N/A</definedName>
    <definedName name="THT" localSheetId="3">#N/A</definedName>
    <definedName name="THT" localSheetId="6">평정!THT</definedName>
    <definedName name="THT" localSheetId="4">NCP!THT</definedName>
    <definedName name="THT">'2.추정(긍정)'!THT</definedName>
    <definedName name="tk" localSheetId="10">BlankMacro1</definedName>
    <definedName name="tk" localSheetId="11">BlankMacro1</definedName>
    <definedName name="tk" localSheetId="9">BlankMacro1</definedName>
    <definedName name="tk" localSheetId="2">BlankMacro1</definedName>
    <definedName name="tk" localSheetId="12">BlankMacro1</definedName>
    <definedName name="tk" localSheetId="3">BlankMacro1</definedName>
    <definedName name="tk" localSheetId="6">BlankMacro1</definedName>
    <definedName name="tk" localSheetId="4">BlankMacro1</definedName>
    <definedName name="tk">BlankMacro1</definedName>
    <definedName name="tree수정" localSheetId="10" hidden="1">{#N/A,#N/A,FALSE,"지침";#N/A,#N/A,FALSE,"환경분석";#N/A,#N/A,FALSE,"Sheet16"}</definedName>
    <definedName name="tree수정" localSheetId="11" hidden="1">{#N/A,#N/A,FALSE,"지침";#N/A,#N/A,FALSE,"환경분석";#N/A,#N/A,FALSE,"Sheet16"}</definedName>
    <definedName name="tree수정" localSheetId="9" hidden="1">{#N/A,#N/A,FALSE,"지침";#N/A,#N/A,FALSE,"환경분석";#N/A,#N/A,FALSE,"Sheet16"}</definedName>
    <definedName name="tree수정" localSheetId="1" hidden="1">{#N/A,#N/A,FALSE,"지침";#N/A,#N/A,FALSE,"환경분석";#N/A,#N/A,FALSE,"Sheet16"}</definedName>
    <definedName name="tree수정" localSheetId="2" hidden="1">{#N/A,#N/A,FALSE,"지침";#N/A,#N/A,FALSE,"환경분석";#N/A,#N/A,FALSE,"Sheet16"}</definedName>
    <definedName name="tree수정" localSheetId="12" hidden="1">{#N/A,#N/A,FALSE,"지침";#N/A,#N/A,FALSE,"환경분석";#N/A,#N/A,FALSE,"Sheet16"}</definedName>
    <definedName name="tree수정" localSheetId="3" hidden="1">{#N/A,#N/A,FALSE,"지침";#N/A,#N/A,FALSE,"환경분석";#N/A,#N/A,FALSE,"Sheet16"}</definedName>
    <definedName name="tree수정" localSheetId="6" hidden="1">{#N/A,#N/A,FALSE,"지침";#N/A,#N/A,FALSE,"환경분석";#N/A,#N/A,FALSE,"Sheet16"}</definedName>
    <definedName name="tree수정" localSheetId="4" hidden="1">{#N/A,#N/A,FALSE,"지침";#N/A,#N/A,FALSE,"환경분석";#N/A,#N/A,FALSE,"Sheet16"}</definedName>
    <definedName name="tree수정" hidden="1">{#N/A,#N/A,FALSE,"지침";#N/A,#N/A,FALSE,"환경분석";#N/A,#N/A,FALSE,"Sheet16"}</definedName>
    <definedName name="Trend" localSheetId="10">#REF!</definedName>
    <definedName name="Trend" localSheetId="11">#REF!</definedName>
    <definedName name="Trend" localSheetId="9">#REF!</definedName>
    <definedName name="Trend" localSheetId="2">#REF!</definedName>
    <definedName name="Trend" localSheetId="12">#REF!</definedName>
    <definedName name="Trend" localSheetId="3">#REF!</definedName>
    <definedName name="Trend" localSheetId="6">#REF!</definedName>
    <definedName name="Trend" localSheetId="4">#REF!</definedName>
    <definedName name="Trend">#REF!</definedName>
    <definedName name="tt" localSheetId="10">#REF!</definedName>
    <definedName name="tt" localSheetId="11">#REF!</definedName>
    <definedName name="tt" localSheetId="9">#REF!</definedName>
    <definedName name="tt" localSheetId="2">#REF!</definedName>
    <definedName name="tt" localSheetId="12">#REF!</definedName>
    <definedName name="tt" localSheetId="3">#REF!</definedName>
    <definedName name="tt" localSheetId="6">#REF!</definedName>
    <definedName name="tt" localSheetId="4">#REF!</definedName>
    <definedName name="tt">#REF!</definedName>
    <definedName name="ttttt" localSheetId="10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localSheetId="9" hidden="1">{#N/A,#N/A,FALSE,"지침";#N/A,#N/A,FALSE,"환경분석";#N/A,#N/A,FALSE,"Sheet16"}</definedName>
    <definedName name="ttttt" localSheetId="1" hidden="1">{#N/A,#N/A,FALSE,"지침";#N/A,#N/A,FALSE,"환경분석";#N/A,#N/A,FALSE,"Sheet16"}</definedName>
    <definedName name="ttttt" localSheetId="2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3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localSheetId="4" hidden="1">{#N/A,#N/A,FALSE,"지침";#N/A,#N/A,FALSE,"환경분석";#N/A,#N/A,FALSE,"Sheet16"}</definedName>
    <definedName name="ttttt" hidden="1">{#N/A,#N/A,FALSE,"지침";#N/A,#N/A,FALSE,"환경분석";#N/A,#N/A,FALSE,"Sheet16"}</definedName>
    <definedName name="TUR6U" localSheetId="10">'2.추정(긍정)'!TUR6U</definedName>
    <definedName name="TUR6U" localSheetId="11">'2.추정(부정)'!TUR6U</definedName>
    <definedName name="TUR6U" localSheetId="9">구NCP!TUR6U</definedName>
    <definedName name="TUR6U" localSheetId="2">추정!TUR6U</definedName>
    <definedName name="TUR6U" localSheetId="12">#N/A</definedName>
    <definedName name="TUR6U" localSheetId="3">#N/A</definedName>
    <definedName name="TUR6U" localSheetId="6">평정!TUR6U</definedName>
    <definedName name="TUR6U" localSheetId="4">NCP!TUR6U</definedName>
    <definedName name="TUR6U">'2.추정(긍정)'!TUR6U</definedName>
    <definedName name="TY" localSheetId="10">#REF!</definedName>
    <definedName name="TY" localSheetId="11">#REF!</definedName>
    <definedName name="TY" localSheetId="9">#REF!</definedName>
    <definedName name="TY" localSheetId="2">#REF!</definedName>
    <definedName name="TY" localSheetId="12">#REF!</definedName>
    <definedName name="TY" localSheetId="3">#REF!</definedName>
    <definedName name="TY" localSheetId="6">#REF!</definedName>
    <definedName name="TY" localSheetId="4">#REF!</definedName>
    <definedName name="TY">#REF!</definedName>
    <definedName name="tyht" localSheetId="10" hidden="1">{#N/A,#N/A,FALSE,"지침";#N/A,#N/A,FALSE,"환경분석";#N/A,#N/A,FALSE,"Sheet16"}</definedName>
    <definedName name="tyht" localSheetId="11" hidden="1">{#N/A,#N/A,FALSE,"지침";#N/A,#N/A,FALSE,"환경분석";#N/A,#N/A,FALSE,"Sheet16"}</definedName>
    <definedName name="tyht" localSheetId="9" hidden="1">{#N/A,#N/A,FALSE,"지침";#N/A,#N/A,FALSE,"환경분석";#N/A,#N/A,FALSE,"Sheet16"}</definedName>
    <definedName name="tyht" localSheetId="1" hidden="1">{#N/A,#N/A,FALSE,"지침";#N/A,#N/A,FALSE,"환경분석";#N/A,#N/A,FALSE,"Sheet16"}</definedName>
    <definedName name="tyht" localSheetId="2" hidden="1">{#N/A,#N/A,FALSE,"지침";#N/A,#N/A,FALSE,"환경분석";#N/A,#N/A,FALSE,"Sheet16"}</definedName>
    <definedName name="tyht" localSheetId="12" hidden="1">{#N/A,#N/A,FALSE,"지침";#N/A,#N/A,FALSE,"환경분석";#N/A,#N/A,FALSE,"Sheet16"}</definedName>
    <definedName name="tyht" localSheetId="3" hidden="1">{#N/A,#N/A,FALSE,"지침";#N/A,#N/A,FALSE,"환경분석";#N/A,#N/A,FALSE,"Sheet16"}</definedName>
    <definedName name="tyht" localSheetId="6" hidden="1">{#N/A,#N/A,FALSE,"지침";#N/A,#N/A,FALSE,"환경분석";#N/A,#N/A,FALSE,"Sheet16"}</definedName>
    <definedName name="tyht" localSheetId="4" hidden="1">{#N/A,#N/A,FALSE,"지침";#N/A,#N/A,FALSE,"환경분석";#N/A,#N/A,FALSE,"Sheet16"}</definedName>
    <definedName name="tyht" hidden="1">{#N/A,#N/A,FALSE,"지침";#N/A,#N/A,FALSE,"환경분석";#N/A,#N/A,FALSE,"Sheet16"}</definedName>
    <definedName name="tyui" localSheetId="10">#REF!</definedName>
    <definedName name="tyui" localSheetId="11">#REF!</definedName>
    <definedName name="tyui" localSheetId="9">#REF!</definedName>
    <definedName name="tyui" localSheetId="2">#REF!</definedName>
    <definedName name="tyui" localSheetId="12">#REF!</definedName>
    <definedName name="tyui" localSheetId="3">#REF!</definedName>
    <definedName name="tyui" localSheetId="6">#REF!</definedName>
    <definedName name="tyui" localSheetId="4">#REF!</definedName>
    <definedName name="tyui">#REF!</definedName>
    <definedName name="u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" hidden="1">{#N/A,#N/A,FALSE,"PART-1234-8-12-9(41)";#N/A,#N/A,FALSE,"PARTS-2(3)";#N/A,#N/A,FALSE,"VAN SYSTEM";#N/A,#N/A,FALSE,"PARTS-10(26)";#N/A,#N/A,FALSE,"PART-5-6-7-11(14)";#N/A,#N/A,FALSE,"PARTS-4(3)";#N/A,#N/A,FALSE,"PCLASS"}</definedName>
    <definedName name="UIL" localSheetId="10">'2.추정(긍정)'!UIL</definedName>
    <definedName name="UIL" localSheetId="11">'2.추정(부정)'!UIL</definedName>
    <definedName name="UIL" localSheetId="9">구NCP!UIL</definedName>
    <definedName name="UIL" localSheetId="2">추정!UIL</definedName>
    <definedName name="UIL" localSheetId="12">#N/A</definedName>
    <definedName name="UIL" localSheetId="3">#N/A</definedName>
    <definedName name="UIL" localSheetId="6">평정!UIL</definedName>
    <definedName name="UIL" localSheetId="4">NCP!UIL</definedName>
    <definedName name="UIL">'2.추정(긍정)'!UIL</definedName>
    <definedName name="UKUY" localSheetId="10">'2.추정(긍정)'!UKUY</definedName>
    <definedName name="UKUY" localSheetId="11">'2.추정(부정)'!UKUY</definedName>
    <definedName name="UKUY" localSheetId="9">구NCP!UKUY</definedName>
    <definedName name="UKUY" localSheetId="2">추정!UKUY</definedName>
    <definedName name="UKUY" localSheetId="12">#N/A</definedName>
    <definedName name="UKUY" localSheetId="3">#N/A</definedName>
    <definedName name="UKUY" localSheetId="6">평정!UKUY</definedName>
    <definedName name="UKUY" localSheetId="4">NCP!UKUY</definedName>
    <definedName name="UKUY">'2.추정(긍정)'!UKUY</definedName>
    <definedName name="units" localSheetId="10">#REF!</definedName>
    <definedName name="units" localSheetId="11">#REF!</definedName>
    <definedName name="units" localSheetId="9">#REF!</definedName>
    <definedName name="units" localSheetId="2">#REF!</definedName>
    <definedName name="units" localSheetId="12">#REF!</definedName>
    <definedName name="units" localSheetId="3">#REF!</definedName>
    <definedName name="units" localSheetId="6">#REF!</definedName>
    <definedName name="units" localSheetId="4">#REF!</definedName>
    <definedName name="units">#REF!</definedName>
    <definedName name="up" localSheetId="10" hidden="1">{#N/A,#N/A,FALSE,"지침";#N/A,#N/A,FALSE,"환경분석";#N/A,#N/A,FALSE,"Sheet16"}</definedName>
    <definedName name="up" localSheetId="11" hidden="1">{#N/A,#N/A,FALSE,"지침";#N/A,#N/A,FALSE,"환경분석";#N/A,#N/A,FALSE,"Sheet16"}</definedName>
    <definedName name="up" localSheetId="9" hidden="1">{#N/A,#N/A,FALSE,"지침";#N/A,#N/A,FALSE,"환경분석";#N/A,#N/A,FALSE,"Sheet16"}</definedName>
    <definedName name="up" localSheetId="1" hidden="1">{#N/A,#N/A,FALSE,"지침";#N/A,#N/A,FALSE,"환경분석";#N/A,#N/A,FALSE,"Sheet16"}</definedName>
    <definedName name="up" localSheetId="2" hidden="1">{#N/A,#N/A,FALSE,"지침";#N/A,#N/A,FALSE,"환경분석";#N/A,#N/A,FALSE,"Sheet16"}</definedName>
    <definedName name="up" localSheetId="12" hidden="1">{#N/A,#N/A,FALSE,"지침";#N/A,#N/A,FALSE,"환경분석";#N/A,#N/A,FALSE,"Sheet16"}</definedName>
    <definedName name="up" localSheetId="3" hidden="1">{#N/A,#N/A,FALSE,"지침";#N/A,#N/A,FALSE,"환경분석";#N/A,#N/A,FALSE,"Sheet16"}</definedName>
    <definedName name="up" localSheetId="6" hidden="1">{#N/A,#N/A,FALSE,"지침";#N/A,#N/A,FALSE,"환경분석";#N/A,#N/A,FALSE,"Sheet16"}</definedName>
    <definedName name="up" localSheetId="4" hidden="1">{#N/A,#N/A,FALSE,"지침";#N/A,#N/A,FALSE,"환경분석";#N/A,#N/A,FALSE,"Sheet16"}</definedName>
    <definedName name="up" hidden="1">{#N/A,#N/A,FALSE,"지침";#N/A,#N/A,FALSE,"환경분석";#N/A,#N/A,FALSE,"Sheet16"}</definedName>
    <definedName name="U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Y" hidden="1">{#N/A,#N/A,FALSE,"PART-1234-8-12-9(41)";#N/A,#N/A,FALSE,"PARTS-2(3)";#N/A,#N/A,FALSE,"VAN SYSTEM";#N/A,#N/A,FALSE,"PARTS-10(26)";#N/A,#N/A,FALSE,"PART-5-6-7-11(14)";#N/A,#N/A,FALSE,"PARTS-4(3)";#N/A,#N/A,FALSE,"PCLASS"}</definedName>
    <definedName name="V">#N/A</definedName>
    <definedName name="V1_">#N/A</definedName>
    <definedName name="VAT" localSheetId="10">#REF!</definedName>
    <definedName name="VAT" localSheetId="11">#REF!</definedName>
    <definedName name="VAT" localSheetId="9">#REF!</definedName>
    <definedName name="VAT" localSheetId="2">#REF!</definedName>
    <definedName name="VAT" localSheetId="12">#REF!</definedName>
    <definedName name="VAT" localSheetId="3">#REF!</definedName>
    <definedName name="VAT" localSheetId="6">#REF!</definedName>
    <definedName name="VAT" localSheetId="4">#REF!</definedName>
    <definedName name="VAT">#REF!</definedName>
    <definedName name="VJ" localSheetId="10">'2.추정(긍정)'!VJ</definedName>
    <definedName name="VJ" localSheetId="11">'2.추정(부정)'!VJ</definedName>
    <definedName name="VJ" localSheetId="9">구NCP!VJ</definedName>
    <definedName name="VJ" localSheetId="2">추정!VJ</definedName>
    <definedName name="VJ" localSheetId="12">#N/A</definedName>
    <definedName name="VJ" localSheetId="3">#N/A</definedName>
    <definedName name="VJ" localSheetId="6">평정!VJ</definedName>
    <definedName name="VJ" localSheetId="4">NCP!VJ</definedName>
    <definedName name="VJ">'2.추정(긍정)'!VJ</definedName>
    <definedName name="VJY" localSheetId="10">'2.추정(긍정)'!VJY</definedName>
    <definedName name="VJY" localSheetId="11">'2.추정(부정)'!VJY</definedName>
    <definedName name="VJY" localSheetId="9">구NCP!VJY</definedName>
    <definedName name="VJY" localSheetId="2">추정!VJY</definedName>
    <definedName name="VJY" localSheetId="12">#N/A</definedName>
    <definedName name="VJY" localSheetId="3">#N/A</definedName>
    <definedName name="VJY" localSheetId="6">평정!VJY</definedName>
    <definedName name="VJY" localSheetId="4">NCP!VJY</definedName>
    <definedName name="VJY">'2.추정(긍정)'!VJY</definedName>
    <definedName name="VM" localSheetId="10">[0]!_a1Z,[0]!_a2Z</definedName>
    <definedName name="VM" localSheetId="11">[0]!_a1Z,[0]!_a2Z</definedName>
    <definedName name="VM" localSheetId="9">[0]!_a1Z,[0]!_a2Z</definedName>
    <definedName name="VM" localSheetId="2">[0]!_a1Z,[0]!_a2Z</definedName>
    <definedName name="VM" localSheetId="12">[2]!_a1Z,[2]!_a2Z</definedName>
    <definedName name="VM" localSheetId="3">[2]!_a1Z,[2]!_a2Z</definedName>
    <definedName name="VM" localSheetId="6">[3]!_a1Z,[3]!_a2Z</definedName>
    <definedName name="VM" localSheetId="4">[0]!_a1Z,[0]!_a2Z</definedName>
    <definedName name="VM">[0]!_a1Z,[0]!_a2Z</definedName>
    <definedName name="VRSG" localSheetId="10">'2.추정(긍정)'!VRSG</definedName>
    <definedName name="VRSG" localSheetId="11">'2.추정(부정)'!VRSG</definedName>
    <definedName name="VRSG" localSheetId="9">구NCP!VRSG</definedName>
    <definedName name="VRSG" localSheetId="2">추정!VRSG</definedName>
    <definedName name="VRSG" localSheetId="12">#N/A</definedName>
    <definedName name="VRSG" localSheetId="3">#N/A</definedName>
    <definedName name="VRSG" localSheetId="6">평정!VRSG</definedName>
    <definedName name="VRSG" localSheetId="4">NCP!VRSG</definedName>
    <definedName name="VRSG">'2.추정(긍정)'!VRSG</definedName>
    <definedName name="VVVVH" localSheetId="10">'2.추정(긍정)'!VVVVH</definedName>
    <definedName name="VVVVH" localSheetId="11">'2.추정(부정)'!VVVVH</definedName>
    <definedName name="VVVVH" localSheetId="9">구NCP!VVVVH</definedName>
    <definedName name="VVVVH" localSheetId="2">추정!VVVVH</definedName>
    <definedName name="VVVVH" localSheetId="12">#N/A</definedName>
    <definedName name="VVVVH" localSheetId="3">#N/A</definedName>
    <definedName name="VVVVH" localSheetId="6">평정!VVVVH</definedName>
    <definedName name="VVVVH" localSheetId="4">NCP!VVVVH</definedName>
    <definedName name="VVVVH">'2.추정(긍정)'!VVVVH</definedName>
    <definedName name="W" localSheetId="10">#REF!</definedName>
    <definedName name="W" localSheetId="11">#REF!</definedName>
    <definedName name="W" localSheetId="9">#REF!</definedName>
    <definedName name="W" localSheetId="2">#REF!</definedName>
    <definedName name="w" localSheetId="12">[5]하치장수불부!$A$101:$O$101</definedName>
    <definedName name="w" localSheetId="3">[5]하치장수불부!$A$101:$O$101</definedName>
    <definedName name="W" localSheetId="6">#REF!</definedName>
    <definedName name="W" localSheetId="4">#REF!</definedName>
    <definedName name="W">#REF!</definedName>
    <definedName name="w.forecast" localSheetId="10" hidden="1">{#N/A,#N/A,FALSE,"model"}</definedName>
    <definedName name="w.forecast" localSheetId="11" hidden="1">{#N/A,#N/A,FALSE,"model"}</definedName>
    <definedName name="w.forecast" localSheetId="9" hidden="1">{#N/A,#N/A,FALSE,"model"}</definedName>
    <definedName name="w.forecast" localSheetId="1" hidden="1">{#N/A,#N/A,FALSE,"model"}</definedName>
    <definedName name="w.forecast" localSheetId="2" hidden="1">{#N/A,#N/A,FALSE,"model"}</definedName>
    <definedName name="w.forecast" localSheetId="12" hidden="1">{#N/A,#N/A,FALSE,"model"}</definedName>
    <definedName name="w.forecast" localSheetId="3" hidden="1">{#N/A,#N/A,FALSE,"model"}</definedName>
    <definedName name="w.forecast" localSheetId="6" hidden="1">{#N/A,#N/A,FALSE,"model"}</definedName>
    <definedName name="w.forecast" localSheetId="4" hidden="1">{#N/A,#N/A,FALSE,"model"}</definedName>
    <definedName name="w.forecast" hidden="1">{#N/A,#N/A,FALSE,"model"}</definedName>
    <definedName name="W행" localSheetId="10">#REF!</definedName>
    <definedName name="W행" localSheetId="11">#REF!</definedName>
    <definedName name="W행" localSheetId="9">#REF!</definedName>
    <definedName name="W행" localSheetId="2">#REF!</definedName>
    <definedName name="W행" localSheetId="12">#REF!</definedName>
    <definedName name="W행" localSheetId="3">#REF!</definedName>
    <definedName name="W행" localSheetId="6">#REF!</definedName>
    <definedName name="W행" localSheetId="4">#REF!</definedName>
    <definedName name="W행">#REF!</definedName>
    <definedName name="WACC" localSheetId="10">#REF!</definedName>
    <definedName name="WACC" localSheetId="11">#REF!</definedName>
    <definedName name="WACC" localSheetId="9">#REF!</definedName>
    <definedName name="WACC" localSheetId="2">#REF!</definedName>
    <definedName name="WACC" localSheetId="12">#REF!</definedName>
    <definedName name="WACC" localSheetId="3">#REF!</definedName>
    <definedName name="WACC" localSheetId="6">#REF!</definedName>
    <definedName name="WACC" localSheetId="4">#REF!</definedName>
    <definedName name="WACC">#REF!</definedName>
    <definedName name="WCa" localSheetId="10">#REF!</definedName>
    <definedName name="WCa" localSheetId="11">#REF!</definedName>
    <definedName name="WCa" localSheetId="9">#REF!</definedName>
    <definedName name="WCa" localSheetId="2">#REF!</definedName>
    <definedName name="WCa" localSheetId="12">#REF!</definedName>
    <definedName name="WCa" localSheetId="3">#REF!</definedName>
    <definedName name="WCa" localSheetId="6">#REF!</definedName>
    <definedName name="WCa" localSheetId="4">#REF!</definedName>
    <definedName name="WCa">#REF!</definedName>
    <definedName name="wddw" localSheetId="10" hidden="1">{#N/A,#N/A,FALSE,"지침";#N/A,#N/A,FALSE,"환경분석";#N/A,#N/A,FALSE,"Sheet16"}</definedName>
    <definedName name="wddw" localSheetId="11" hidden="1">{#N/A,#N/A,FALSE,"지침";#N/A,#N/A,FALSE,"환경분석";#N/A,#N/A,FALSE,"Sheet16"}</definedName>
    <definedName name="wddw" localSheetId="9" hidden="1">{#N/A,#N/A,FALSE,"지침";#N/A,#N/A,FALSE,"환경분석";#N/A,#N/A,FALSE,"Sheet16"}</definedName>
    <definedName name="wddw" localSheetId="1" hidden="1">{#N/A,#N/A,FALSE,"지침";#N/A,#N/A,FALSE,"환경분석";#N/A,#N/A,FALSE,"Sheet16"}</definedName>
    <definedName name="wddw" localSheetId="2" hidden="1">{#N/A,#N/A,FALSE,"지침";#N/A,#N/A,FALSE,"환경분석";#N/A,#N/A,FALSE,"Sheet16"}</definedName>
    <definedName name="wddw" localSheetId="12" hidden="1">{#N/A,#N/A,FALSE,"지침";#N/A,#N/A,FALSE,"환경분석";#N/A,#N/A,FALSE,"Sheet16"}</definedName>
    <definedName name="wddw" localSheetId="3" hidden="1">{#N/A,#N/A,FALSE,"지침";#N/A,#N/A,FALSE,"환경분석";#N/A,#N/A,FALSE,"Sheet16"}</definedName>
    <definedName name="wddw" localSheetId="6" hidden="1">{#N/A,#N/A,FALSE,"지침";#N/A,#N/A,FALSE,"환경분석";#N/A,#N/A,FALSE,"Sheet16"}</definedName>
    <definedName name="wddw" localSheetId="4" hidden="1">{#N/A,#N/A,FALSE,"지침";#N/A,#N/A,FALSE,"환경분석";#N/A,#N/A,FALSE,"Sheet16"}</definedName>
    <definedName name="wddw" hidden="1">{#N/A,#N/A,FALSE,"지침";#N/A,#N/A,FALSE,"환경분석";#N/A,#N/A,FALSE,"Sheet16"}</definedName>
    <definedName name="WND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NDY" hidden="1">{#N/A,#N/A,FALSE,"PART-1234-8-12-9(41)";#N/A,#N/A,FALSE,"PARTS-2(3)";#N/A,#N/A,FALSE,"VAN SYSTEM";#N/A,#N/A,FALSE,"PARTS-10(26)";#N/A,#N/A,FALSE,"PART-5-6-7-11(14)";#N/A,#N/A,FALSE,"PARTS-4(3)";#N/A,#N/A,FALSE,"PCLASS"}</definedName>
    <definedName name="wrn.97." localSheetId="10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localSheetId="9" hidden="1">{#N/A,#N/A,FALSE,"지침";#N/A,#N/A,FALSE,"환경분석";#N/A,#N/A,FALSE,"Sheet16"}</definedName>
    <definedName name="wrn.97." localSheetId="1" hidden="1">{#N/A,#N/A,FALSE,"지침";#N/A,#N/A,FALSE,"환경분석";#N/A,#N/A,FALSE,"Sheet16"}</definedName>
    <definedName name="wrn.97." localSheetId="2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3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localSheetId="4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8." localSheetId="10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localSheetId="9" hidden="1">{#N/A,#N/A,FALSE,"지침";#N/A,#N/A,FALSE,"환경분석";#N/A,#N/A,FALSE,"Sheet16"}</definedName>
    <definedName name="WRN.98." localSheetId="1" hidden="1">{#N/A,#N/A,FALSE,"지침";#N/A,#N/A,FALSE,"환경분석";#N/A,#N/A,FALSE,"Sheet16"}</definedName>
    <definedName name="WRN.98." localSheetId="2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3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localSheetId="4" hidden="1">{#N/A,#N/A,FALSE,"지침";#N/A,#N/A,FALSE,"환경분석";#N/A,#N/A,FALSE,"Sheet16"}</definedName>
    <definedName name="WRN.98." hidden="1">{#N/A,#N/A,FALSE,"지침";#N/A,#N/A,FALSE,"환경분석";#N/A,#N/A,FALSE,"Sheet16"}</definedName>
    <definedName name="wrn.보고서." localSheetId="12" hidden="1">{#N/A,#N/A,FALSE,"Sheet1";#N/A,#N/A,FALSE,"기평9607"}</definedName>
    <definedName name="wrn.보고서." localSheetId="3" hidden="1">{#N/A,#N/A,FALSE,"Sheet1";#N/A,#N/A,FALSE,"기평9607"}</definedName>
    <definedName name="wrn.보고서." localSheetId="4" hidden="1">{#N/A,#N/A,FALSE,"Sheet1";#N/A,#N/A,FALSE,"기평9607"}</definedName>
    <definedName name="wrn.보고서." hidden="1">{#N/A,#N/A,FALSE,"Sheet1";#N/A,#N/A,FALSE,"기평9607"}</definedName>
    <definedName name="wrn.자판정비._.월간회의자료." localSheetId="10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9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localSheetId="10" hidden="1">{#N/A,#N/A,TRUE,"일정"}</definedName>
    <definedName name="wrn.주간._.보고." localSheetId="11" hidden="1">{#N/A,#N/A,TRUE,"일정"}</definedName>
    <definedName name="wrn.주간._.보고." localSheetId="9" hidden="1">{#N/A,#N/A,TRUE,"일정"}</definedName>
    <definedName name="wrn.주간._.보고." localSheetId="1" hidden="1">{#N/A,#N/A,TRUE,"일정"}</definedName>
    <definedName name="wrn.주간._.보고." localSheetId="2" hidden="1">{#N/A,#N/A,TRUE,"일정"}</definedName>
    <definedName name="wrn.주간._.보고." localSheetId="12" hidden="1">{#N/A,#N/A,TRUE,"일정"}</definedName>
    <definedName name="wrn.주간._.보고." localSheetId="3" hidden="1">{#N/A,#N/A,TRUE,"일정"}</definedName>
    <definedName name="wrn.주간._.보고." localSheetId="6" hidden="1">{#N/A,#N/A,TRUE,"일정"}</definedName>
    <definedName name="wrn.주간._.보고." localSheetId="4" hidden="1">{#N/A,#N/A,TRUE,"일정"}</definedName>
    <definedName name="wrn.주간._.보고." hidden="1">{#N/A,#N/A,TRUE,"일정"}</definedName>
    <definedName name="wrn.중장기._.사업계획.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COSA._.FS._.국문." localSheetId="12" hidden="1">{#N/A,#N/A,FALSE,"BS";#N/A,#N/A,FALSE,"PL";#N/A,#N/A,FALSE,"처분";#N/A,#N/A,FALSE,"현금";#N/A,#N/A,FALSE,"매출";#N/A,#N/A,FALSE,"원가";#N/A,#N/A,FALSE,"경영"}</definedName>
    <definedName name="wrn.COSA._.FS._.국문." localSheetId="3" hidden="1">{#N/A,#N/A,FALSE,"BS";#N/A,#N/A,FALSE,"PL";#N/A,#N/A,FALSE,"처분";#N/A,#N/A,FALSE,"현금";#N/A,#N/A,FALSE,"매출";#N/A,#N/A,FALSE,"원가";#N/A,#N/A,FALSE,"경영"}</definedName>
    <definedName name="wrn.COSA._.FS._.국문." localSheetId="4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Dauerlauf._.Messprotokolle._.0._.Std..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DD.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forecast." localSheetId="10" hidden="1">{#N/A,#N/A,FALSE,"model"}</definedName>
    <definedName name="wrn.forecast." localSheetId="11" hidden="1">{#N/A,#N/A,FALSE,"model"}</definedName>
    <definedName name="wrn.forecast." localSheetId="9" hidden="1">{#N/A,#N/A,FALSE,"model"}</definedName>
    <definedName name="wrn.forecast." localSheetId="1" hidden="1">{#N/A,#N/A,FALSE,"model"}</definedName>
    <definedName name="wrn.forecast." localSheetId="2" hidden="1">{#N/A,#N/A,FALSE,"model"}</definedName>
    <definedName name="wrn.forecast." localSheetId="12" hidden="1">{#N/A,#N/A,FALSE,"model"}</definedName>
    <definedName name="wrn.forecast." localSheetId="3" hidden="1">{#N/A,#N/A,FALSE,"model"}</definedName>
    <definedName name="wrn.forecast." localSheetId="6" hidden="1">{#N/A,#N/A,FALSE,"model"}</definedName>
    <definedName name="wrn.forecast." localSheetId="4" hidden="1">{#N/A,#N/A,FALSE,"model"}</definedName>
    <definedName name="wrn.forecast." hidden="1">{#N/A,#N/A,FALSE,"model"}</definedName>
    <definedName name="wrn.forecastassumptions." localSheetId="10" hidden="1">{#N/A,#N/A,FALSE,"model"}</definedName>
    <definedName name="wrn.forecastassumptions." localSheetId="11" hidden="1">{#N/A,#N/A,FALSE,"model"}</definedName>
    <definedName name="wrn.forecastassumptions." localSheetId="9" hidden="1">{#N/A,#N/A,FALSE,"model"}</definedName>
    <definedName name="wrn.forecastassumptions." localSheetId="1" hidden="1">{#N/A,#N/A,FALSE,"model"}</definedName>
    <definedName name="wrn.forecastassumptions." localSheetId="2" hidden="1">{#N/A,#N/A,FALSE,"model"}</definedName>
    <definedName name="wrn.forecastassumptions." localSheetId="12" hidden="1">{#N/A,#N/A,FALSE,"model"}</definedName>
    <definedName name="wrn.forecastassumptions." localSheetId="3" hidden="1">{#N/A,#N/A,FALSE,"model"}</definedName>
    <definedName name="wrn.forecastassumptions." localSheetId="6" hidden="1">{#N/A,#N/A,FALSE,"model"}</definedName>
    <definedName name="wrn.forecastassumptions." localSheetId="4" hidden="1">{#N/A,#N/A,FALSE,"model"}</definedName>
    <definedName name="wrn.forecastassumptions." hidden="1">{#N/A,#N/A,FALSE,"model"}</definedName>
    <definedName name="wrn.forecastROIC." localSheetId="10" hidden="1">{#N/A,#N/A,FALSE,"model"}</definedName>
    <definedName name="wrn.forecastROIC." localSheetId="11" hidden="1">{#N/A,#N/A,FALSE,"model"}</definedName>
    <definedName name="wrn.forecastROIC." localSheetId="9" hidden="1">{#N/A,#N/A,FALSE,"model"}</definedName>
    <definedName name="wrn.forecastROIC." localSheetId="1" hidden="1">{#N/A,#N/A,FALSE,"model"}</definedName>
    <definedName name="wrn.forecastROIC." localSheetId="2" hidden="1">{#N/A,#N/A,FALSE,"model"}</definedName>
    <definedName name="wrn.forecastROIC." localSheetId="12" hidden="1">{#N/A,#N/A,FALSE,"model"}</definedName>
    <definedName name="wrn.forecastROIC." localSheetId="3" hidden="1">{#N/A,#N/A,FALSE,"model"}</definedName>
    <definedName name="wrn.forecastROIC." localSheetId="6" hidden="1">{#N/A,#N/A,FALSE,"model"}</definedName>
    <definedName name="wrn.forecastROIC." localSheetId="4" hidden="1">{#N/A,#N/A,FALSE,"model"}</definedName>
    <definedName name="wrn.forecastROIC." hidden="1">{#N/A,#N/A,FALSE,"model"}</definedName>
    <definedName name="wrn.history." localSheetId="10" hidden="1">{#N/A,#N/A,FALSE,"model"}</definedName>
    <definedName name="wrn.history." localSheetId="11" hidden="1">{#N/A,#N/A,FALSE,"model"}</definedName>
    <definedName name="wrn.history." localSheetId="9" hidden="1">{#N/A,#N/A,FALSE,"model"}</definedName>
    <definedName name="wrn.history." localSheetId="1" hidden="1">{#N/A,#N/A,FALSE,"model"}</definedName>
    <definedName name="wrn.history." localSheetId="2" hidden="1">{#N/A,#N/A,FALSE,"model"}</definedName>
    <definedName name="wrn.history." localSheetId="12" hidden="1">{#N/A,#N/A,FALSE,"model"}</definedName>
    <definedName name="wrn.history." localSheetId="3" hidden="1">{#N/A,#N/A,FALSE,"model"}</definedName>
    <definedName name="wrn.history." localSheetId="6" hidden="1">{#N/A,#N/A,FALSE,"model"}</definedName>
    <definedName name="wrn.history." localSheetId="4" hidden="1">{#N/A,#N/A,FALSE,"model"}</definedName>
    <definedName name="wrn.history." hidden="1">{#N/A,#N/A,FALSE,"model"}</definedName>
    <definedName name="wrn.histROIC." localSheetId="10" hidden="1">{#N/A,#N/A,FALSE,"model"}</definedName>
    <definedName name="wrn.histROIC." localSheetId="11" hidden="1">{#N/A,#N/A,FALSE,"model"}</definedName>
    <definedName name="wrn.histROIC." localSheetId="9" hidden="1">{#N/A,#N/A,FALSE,"model"}</definedName>
    <definedName name="wrn.histROIC." localSheetId="1" hidden="1">{#N/A,#N/A,FALSE,"model"}</definedName>
    <definedName name="wrn.histROIC." localSheetId="2" hidden="1">{#N/A,#N/A,FALSE,"model"}</definedName>
    <definedName name="wrn.histROIC." localSheetId="12" hidden="1">{#N/A,#N/A,FALSE,"model"}</definedName>
    <definedName name="wrn.histROIC." localSheetId="3" hidden="1">{#N/A,#N/A,FALSE,"model"}</definedName>
    <definedName name="wrn.histROIC." localSheetId="6" hidden="1">{#N/A,#N/A,FALSE,"model"}</definedName>
    <definedName name="wrn.histROIC." localSheetId="4" hidden="1">{#N/A,#N/A,FALSE,"model"}</definedName>
    <definedName name="wrn.histROIC." hidden="1">{#N/A,#N/A,FALSE,"model"}</definedName>
    <definedName name="wrn.manager.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hidden="1">{#N/A,#N/A,FALSE,"PART-1234-8-12-9(41)";#N/A,#N/A,FALSE,"PARTS-2(3)";#N/A,#N/A,FALSE,"VAN SYSTEM";#N/A,#N/A,FALSE,"PARTS-10(26)";#N/A,#N/A,FALSE,"PART-5-6-7-11(14)";#N/A,#N/A,FALSE,"PARTS-4(3)";#N/A,#N/A,FALSE,"PCLASS"}</definedName>
    <definedName name="wrn.PrintAll." localSheetId="10" hidden="1">{#N/A,#N/A,TRUE,"Summary";#N/A,#N/A,TRUE,"IS";#N/A,#N/A,TRUE,"Adj";#N/A,#N/A,TRUE,"BS";#N/A,#N/A,TRUE,"CF";#N/A,#N/A,TRUE,"Debt";#N/A,#N/A,TRUE,"IRR"}</definedName>
    <definedName name="wrn.PrintAll." localSheetId="11" hidden="1">{#N/A,#N/A,TRUE,"Summary";#N/A,#N/A,TRUE,"IS";#N/A,#N/A,TRUE,"Adj";#N/A,#N/A,TRUE,"BS";#N/A,#N/A,TRUE,"CF";#N/A,#N/A,TRUE,"Debt";#N/A,#N/A,TRUE,"IRR"}</definedName>
    <definedName name="wrn.PrintAll." localSheetId="9" hidden="1">{#N/A,#N/A,TRUE,"Summary";#N/A,#N/A,TRUE,"IS";#N/A,#N/A,TRUE,"Adj";#N/A,#N/A,TRUE,"BS";#N/A,#N/A,TRUE,"CF";#N/A,#N/A,TRUE,"Debt";#N/A,#N/A,TRUE,"IRR"}</definedName>
    <definedName name="wrn.PrintAll." localSheetId="1" hidden="1">{#N/A,#N/A,TRUE,"Summary";#N/A,#N/A,TRUE,"IS";#N/A,#N/A,TRUE,"Adj";#N/A,#N/A,TRUE,"BS";#N/A,#N/A,TRUE,"CF";#N/A,#N/A,TRUE,"Debt";#N/A,#N/A,TRUE,"IRR"}</definedName>
    <definedName name="wrn.PrintAll." localSheetId="2" hidden="1">{#N/A,#N/A,TRUE,"Summary";#N/A,#N/A,TRUE,"IS";#N/A,#N/A,TRUE,"Adj";#N/A,#N/A,TRUE,"BS";#N/A,#N/A,TRUE,"CF";#N/A,#N/A,TRUE,"Debt";#N/A,#N/A,TRUE,"IRR"}</definedName>
    <definedName name="wrn.PrintAll." localSheetId="12" hidden="1">{#N/A,#N/A,TRUE,"Summary";#N/A,#N/A,TRUE,"IS";#N/A,#N/A,TRUE,"Adj";#N/A,#N/A,TRUE,"BS";#N/A,#N/A,TRUE,"CF";#N/A,#N/A,TRUE,"Debt";#N/A,#N/A,TRUE,"IRR"}</definedName>
    <definedName name="wrn.PrintAll." localSheetId="3" hidden="1">{#N/A,#N/A,TRUE,"Summary";#N/A,#N/A,TRUE,"IS";#N/A,#N/A,TRUE,"Adj";#N/A,#N/A,TRUE,"BS";#N/A,#N/A,TRUE,"CF";#N/A,#N/A,TRUE,"Debt";#N/A,#N/A,TRUE,"IRR"}</definedName>
    <definedName name="wrn.PrintAll." localSheetId="6" hidden="1">{#N/A,#N/A,TRUE,"Summary";#N/A,#N/A,TRUE,"IS";#N/A,#N/A,TRUE,"Adj";#N/A,#N/A,TRUE,"BS";#N/A,#N/A,TRUE,"CF";#N/A,#N/A,TRUE,"Debt";#N/A,#N/A,TRUE,"IRR"}</definedName>
    <definedName name="wrn.PrintAll." localSheetId="4" hidden="1">{#N/A,#N/A,TRUE,"Summary";#N/A,#N/A,TRUE,"IS";#N/A,#N/A,TRUE,"Adj";#N/A,#N/A,TRUE,"BS";#N/A,#N/A,TRUE,"CF";#N/A,#N/A,TRUE,"Debt";#N/A,#N/A,TRUE,"IRR"}</definedName>
    <definedName name="wrn.PrintAll." hidden="1">{#N/A,#N/A,TRUE,"Summary";#N/A,#N/A,TRUE,"IS";#N/A,#N/A,TRUE,"Adj";#N/A,#N/A,TRUE,"BS";#N/A,#N/A,TRUE,"CF";#N/A,#N/A,TRUE,"Debt";#N/A,#N/A,TRUE,"IRR"}</definedName>
    <definedName name="wrn.RPT.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test." localSheetId="10" hidden="1">{"Seite 17",#N/A,FALSE,"Valve Lift Curves, cyl. 1 (17)"}</definedName>
    <definedName name="wrn.test." localSheetId="11" hidden="1">{"Seite 17",#N/A,FALSE,"Valve Lift Curves, cyl. 1 (17)"}</definedName>
    <definedName name="wrn.test." localSheetId="9" hidden="1">{"Seite 17",#N/A,FALSE,"Valve Lift Curves, cyl. 1 (17)"}</definedName>
    <definedName name="wrn.test." localSheetId="1" hidden="1">{"Seite 17",#N/A,FALSE,"Valve Lift Curves, cyl. 1 (17)"}</definedName>
    <definedName name="wrn.test." localSheetId="2" hidden="1">{"Seite 17",#N/A,FALSE,"Valve Lift Curves, cyl. 1 (17)"}</definedName>
    <definedName name="wrn.test." localSheetId="12" hidden="1">{"Seite 17",#N/A,FALSE,"Valve Lift Curves, cyl. 1 (17)"}</definedName>
    <definedName name="wrn.test." localSheetId="3" hidden="1">{"Seite 17",#N/A,FALSE,"Valve Lift Curves, cyl. 1 (17)"}</definedName>
    <definedName name="wrn.test." localSheetId="6" hidden="1">{"Seite 17",#N/A,FALSE,"Valve Lift Curves, cyl. 1 (17)"}</definedName>
    <definedName name="wrn.test." localSheetId="4" hidden="1">{"Seite 17",#N/A,FALSE,"Valve Lift Curves, cyl. 1 (17)"}</definedName>
    <definedName name="wrn.test." hidden="1">{"Seite 17",#N/A,FALSE,"Valve Lift Curves, cyl. 1 (17)"}</definedName>
    <definedName name="www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X" localSheetId="10">[5]재공품기초자료!#REF!</definedName>
    <definedName name="X" localSheetId="11">[5]재공품기초자료!#REF!</definedName>
    <definedName name="X" localSheetId="9">[5]재공품기초자료!#REF!</definedName>
    <definedName name="X" localSheetId="2">[5]재공품기초자료!#REF!</definedName>
    <definedName name="X" localSheetId="12">[5]재공품기초자료!#REF!</definedName>
    <definedName name="X" localSheetId="3">[5]재공품기초자료!#REF!</definedName>
    <definedName name="X" localSheetId="6">[5]재공품기초자료!#REF!</definedName>
    <definedName name="X" localSheetId="4">[5]재공품기초자료!#REF!</definedName>
    <definedName name="X">[5]재공품기초자료!#REF!</definedName>
    <definedName name="X2004_수주잔량_진짜다1_List" localSheetId="10">#REF!</definedName>
    <definedName name="X2004_수주잔량_진짜다1_List" localSheetId="11">#REF!</definedName>
    <definedName name="X2004_수주잔량_진짜다1_List" localSheetId="9">#REF!</definedName>
    <definedName name="X2004_수주잔량_진짜다1_List" localSheetId="2">#REF!</definedName>
    <definedName name="X2004_수주잔량_진짜다1_List" localSheetId="12">#REF!</definedName>
    <definedName name="X2004_수주잔량_진짜다1_List" localSheetId="3">#REF!</definedName>
    <definedName name="X2004_수주잔량_진짜다1_List" localSheetId="6">#REF!</definedName>
    <definedName name="X2004_수주잔량_진짜다1_List" localSheetId="4">#REF!</definedName>
    <definedName name="X2004_수주잔량_진짜다1_List">#REF!</definedName>
    <definedName name="X99ACTION_PALN_생산기술_List" localSheetId="10">#REF!</definedName>
    <definedName name="X99ACTION_PALN_생산기술_List" localSheetId="11">#REF!</definedName>
    <definedName name="X99ACTION_PALN_생산기술_List" localSheetId="9">#REF!</definedName>
    <definedName name="X99ACTION_PALN_생산기술_List" localSheetId="2">#REF!</definedName>
    <definedName name="X99ACTION_PALN_생산기술_List" localSheetId="12">#REF!</definedName>
    <definedName name="X99ACTION_PALN_생산기술_List" localSheetId="3">#REF!</definedName>
    <definedName name="X99ACTION_PALN_생산기술_List" localSheetId="6">#REF!</definedName>
    <definedName name="X99ACTION_PALN_생산기술_List" localSheetId="4">#REF!</definedName>
    <definedName name="X99ACTION_PALN_생산기술_List">#REF!</definedName>
    <definedName name="XCFRYDRY" localSheetId="10">'2.추정(긍정)'!XCFRYDRY</definedName>
    <definedName name="XCFRYDRY" localSheetId="11">'2.추정(부정)'!XCFRYDRY</definedName>
    <definedName name="XCFRYDRY" localSheetId="9">구NCP!XCFRYDRY</definedName>
    <definedName name="XCFRYDRY" localSheetId="2">추정!XCFRYDRY</definedName>
    <definedName name="XCFRYDRY" localSheetId="12">#N/A</definedName>
    <definedName name="XCFRYDRY" localSheetId="3">#N/A</definedName>
    <definedName name="XCFRYDRY" localSheetId="6">평정!XCFRYDRY</definedName>
    <definedName name="XCFRYDRY" localSheetId="4">NCP!XCFRYDRY</definedName>
    <definedName name="XCFRYDRY">'2.추정(긍정)'!XCFRYDRY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FGH" localSheetId="10">'2.추정(긍정)'!XFGH</definedName>
    <definedName name="XFGH" localSheetId="11">'2.추정(부정)'!XFGH</definedName>
    <definedName name="XFGH" localSheetId="9">구NCP!XFGH</definedName>
    <definedName name="XFGH" localSheetId="2">추정!XFGH</definedName>
    <definedName name="XFGH" localSheetId="12">#N/A</definedName>
    <definedName name="XFGH" localSheetId="3">#N/A</definedName>
    <definedName name="XFGH" localSheetId="6">평정!XFGH</definedName>
    <definedName name="XFGH" localSheetId="4">NCP!XFGH</definedName>
    <definedName name="XFGH">'2.추정(긍정)'!XFGH</definedName>
    <definedName name="XFYUJY" localSheetId="10">'2.추정(긍정)'!XFYUJY</definedName>
    <definedName name="XFYUJY" localSheetId="11">'2.추정(부정)'!XFYUJY</definedName>
    <definedName name="XFYUJY" localSheetId="9">구NCP!XFYUJY</definedName>
    <definedName name="XFYUJY" localSheetId="2">추정!XFYUJY</definedName>
    <definedName name="XFYUJY" localSheetId="12">#N/A</definedName>
    <definedName name="XFYUJY" localSheetId="3">#N/A</definedName>
    <definedName name="XFYUJY" localSheetId="6">평정!XFYUJY</definedName>
    <definedName name="XFYUJY" localSheetId="4">NCP!XFYUJY</definedName>
    <definedName name="XFYUJY">'2.추정(긍정)'!XFYUJY</definedName>
    <definedName name="XNB" localSheetId="10">'2.추정(긍정)'!XNB</definedName>
    <definedName name="XNB" localSheetId="11">'2.추정(부정)'!XNB</definedName>
    <definedName name="XNB" localSheetId="9">구NCP!XNB</definedName>
    <definedName name="XNB" localSheetId="2">추정!XNB</definedName>
    <definedName name="XNB" localSheetId="12">#N/A</definedName>
    <definedName name="XNB" localSheetId="3">#N/A</definedName>
    <definedName name="XNB" localSheetId="6">평정!XNB</definedName>
    <definedName name="XNB" localSheetId="4">NCP!XNB</definedName>
    <definedName name="XNB">'2.추정(긍정)'!XNB</definedName>
    <definedName name="XNWK" localSheetId="10" hidden="1">{#N/A,#N/A,FALSE,"지침";#N/A,#N/A,FALSE,"환경분석";#N/A,#N/A,FALSE,"Sheet16"}</definedName>
    <definedName name="XNWK" localSheetId="11" hidden="1">{#N/A,#N/A,FALSE,"지침";#N/A,#N/A,FALSE,"환경분석";#N/A,#N/A,FALSE,"Sheet16"}</definedName>
    <definedName name="XNWK" localSheetId="9" hidden="1">{#N/A,#N/A,FALSE,"지침";#N/A,#N/A,FALSE,"환경분석";#N/A,#N/A,FALSE,"Sheet16"}</definedName>
    <definedName name="XNWK" localSheetId="1" hidden="1">{#N/A,#N/A,FALSE,"지침";#N/A,#N/A,FALSE,"환경분석";#N/A,#N/A,FALSE,"Sheet16"}</definedName>
    <definedName name="XNWK" localSheetId="2" hidden="1">{#N/A,#N/A,FALSE,"지침";#N/A,#N/A,FALSE,"환경분석";#N/A,#N/A,FALSE,"Sheet16"}</definedName>
    <definedName name="XNWK" localSheetId="12" hidden="1">{#N/A,#N/A,FALSE,"지침";#N/A,#N/A,FALSE,"환경분석";#N/A,#N/A,FALSE,"Sheet16"}</definedName>
    <definedName name="XNWK" localSheetId="3" hidden="1">{#N/A,#N/A,FALSE,"지침";#N/A,#N/A,FALSE,"환경분석";#N/A,#N/A,FALSE,"Sheet16"}</definedName>
    <definedName name="XNWK" localSheetId="6" hidden="1">{#N/A,#N/A,FALSE,"지침";#N/A,#N/A,FALSE,"환경분석";#N/A,#N/A,FALSE,"Sheet16"}</definedName>
    <definedName name="XNWK" localSheetId="4" hidden="1">{#N/A,#N/A,FALSE,"지침";#N/A,#N/A,FALSE,"환경분석";#N/A,#N/A,FALSE,"Sheet16"}</definedName>
    <definedName name="XNWK" hidden="1">{#N/A,#N/A,FALSE,"지침";#N/A,#N/A,FALSE,"환경분석";#N/A,#N/A,FALSE,"Sheet16"}</definedName>
    <definedName name="XUYFJ" localSheetId="10">'2.추정(긍정)'!XUYFJ</definedName>
    <definedName name="XUYFJ" localSheetId="11">'2.추정(부정)'!XUYFJ</definedName>
    <definedName name="XUYFJ" localSheetId="9">구NCP!XUYFJ</definedName>
    <definedName name="XUYFJ" localSheetId="2">추정!XUYFJ</definedName>
    <definedName name="XUYFJ" localSheetId="12">#N/A</definedName>
    <definedName name="XUYFJ" localSheetId="3">#N/A</definedName>
    <definedName name="XUYFJ" localSheetId="6">평정!XUYFJ</definedName>
    <definedName name="XUYFJ" localSheetId="4">NCP!XUYFJ</definedName>
    <definedName name="XUYFJ">'2.추정(긍정)'!XUYFJ</definedName>
    <definedName name="xxx" localSheetId="10">[7]차수!#REF!</definedName>
    <definedName name="xxx" localSheetId="11">[7]차수!#REF!</definedName>
    <definedName name="xxx" localSheetId="9">[7]차수!#REF!</definedName>
    <definedName name="xxx" localSheetId="2">[7]차수!#REF!</definedName>
    <definedName name="xxx" localSheetId="12">[7]차수!#REF!</definedName>
    <definedName name="xxx" localSheetId="3">[7]차수!#REF!</definedName>
    <definedName name="xxx" localSheetId="6">[7]차수!#REF!</definedName>
    <definedName name="xxx" localSheetId="4">[7]차수!#REF!</definedName>
    <definedName name="xxx">[7]차수!#REF!</definedName>
    <definedName name="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H" hidden="1">{#N/A,#N/A,FALSE,"PART-1234-8-12-9(41)";#N/A,#N/A,FALSE,"PARTS-2(3)";#N/A,#N/A,FALSE,"VAN SYSTEM";#N/A,#N/A,FALSE,"PARTS-10(26)";#N/A,#N/A,FALSE,"PART-5-6-7-11(14)";#N/A,#N/A,FALSE,"PARTS-4(3)";#N/A,#N/A,FALSE,"PCLASS"}</definedName>
    <definedName name="YJ" localSheetId="10">'2.추정(긍정)'!YJ</definedName>
    <definedName name="YJ" localSheetId="11">'2.추정(부정)'!YJ</definedName>
    <definedName name="YJ" localSheetId="9">구NCP!YJ</definedName>
    <definedName name="YJ" localSheetId="2">추정!YJ</definedName>
    <definedName name="YJ" localSheetId="12">#N/A</definedName>
    <definedName name="YJ" localSheetId="3">#N/A</definedName>
    <definedName name="YJ" localSheetId="6">평정!YJ</definedName>
    <definedName name="YJ" localSheetId="4">NCP!YJ</definedName>
    <definedName name="YJ">'2.추정(긍정)'!YJ</definedName>
    <definedName name="YJF" localSheetId="10">'2.추정(긍정)'!YJF</definedName>
    <definedName name="YJF" localSheetId="11">'2.추정(부정)'!YJF</definedName>
    <definedName name="YJF" localSheetId="9">구NCP!YJF</definedName>
    <definedName name="YJF" localSheetId="2">추정!YJF</definedName>
    <definedName name="YJF" localSheetId="12">#N/A</definedName>
    <definedName name="YJF" localSheetId="3">#N/A</definedName>
    <definedName name="YJF" localSheetId="6">평정!YJF</definedName>
    <definedName name="YJF" localSheetId="4">NCP!YJF</definedName>
    <definedName name="YJF">'2.추정(긍정)'!YJF</definedName>
    <definedName name="YJJ" localSheetId="10">'2.추정(긍정)'!YJJ</definedName>
    <definedName name="YJJ" localSheetId="11">'2.추정(부정)'!YJJ</definedName>
    <definedName name="YJJ" localSheetId="9">구NCP!YJJ</definedName>
    <definedName name="YJJ" localSheetId="2">추정!YJJ</definedName>
    <definedName name="YJJ" localSheetId="12">#N/A</definedName>
    <definedName name="YJJ" localSheetId="3">#N/A</definedName>
    <definedName name="YJJ" localSheetId="6">평정!YJJ</definedName>
    <definedName name="YJJ" localSheetId="4">NCP!YJJ</definedName>
    <definedName name="YJJ">'2.추정(긍정)'!YJJ</definedName>
    <definedName name="YJNGT" localSheetId="10">'2.추정(긍정)'!YJNGT</definedName>
    <definedName name="YJNGT" localSheetId="11">'2.추정(부정)'!YJNGT</definedName>
    <definedName name="YJNGT" localSheetId="9">구NCP!YJNGT</definedName>
    <definedName name="YJNGT" localSheetId="2">추정!YJNGT</definedName>
    <definedName name="YJNGT" localSheetId="12">#N/A</definedName>
    <definedName name="YJNGT" localSheetId="3">#N/A</definedName>
    <definedName name="YJNGT" localSheetId="6">평정!YJNGT</definedName>
    <definedName name="YJNGT" localSheetId="4">NCP!YJNGT</definedName>
    <definedName name="YJNGT">'2.추정(긍정)'!YJNGT</definedName>
    <definedName name="YJTJTY" localSheetId="10">'2.추정(긍정)'!YJTJTY</definedName>
    <definedName name="YJTJTY" localSheetId="11">'2.추정(부정)'!YJTJTY</definedName>
    <definedName name="YJTJTY" localSheetId="9">구NCP!YJTJTY</definedName>
    <definedName name="YJTJTY" localSheetId="2">추정!YJTJTY</definedName>
    <definedName name="YJTJTY" localSheetId="12">#N/A</definedName>
    <definedName name="YJTJTY" localSheetId="3">#N/A</definedName>
    <definedName name="YJTJTY" localSheetId="6">평정!YJTJTY</definedName>
    <definedName name="YJTJTY" localSheetId="4">NCP!YJTJTY</definedName>
    <definedName name="YJTJTY">'2.추정(긍정)'!YJTJTY</definedName>
    <definedName name="YJX" localSheetId="10">'2.추정(긍정)'!YJX</definedName>
    <definedName name="YJX" localSheetId="11">'2.추정(부정)'!YJX</definedName>
    <definedName name="YJX" localSheetId="9">구NCP!YJX</definedName>
    <definedName name="YJX" localSheetId="2">추정!YJX</definedName>
    <definedName name="YJX" localSheetId="12">#N/A</definedName>
    <definedName name="YJX" localSheetId="3">#N/A</definedName>
    <definedName name="YJX" localSheetId="6">평정!YJX</definedName>
    <definedName name="YJX" localSheetId="4">NCP!YJX</definedName>
    <definedName name="YJX">'2.추정(긍정)'!YJX</definedName>
    <definedName name="YJY" localSheetId="10">'2.추정(긍정)'!YJY</definedName>
    <definedName name="YJY" localSheetId="11">'2.추정(부정)'!YJY</definedName>
    <definedName name="YJY" localSheetId="9">구NCP!YJY</definedName>
    <definedName name="YJY" localSheetId="2">추정!YJY</definedName>
    <definedName name="YJY" localSheetId="12">#N/A</definedName>
    <definedName name="YJY" localSheetId="3">#N/A</definedName>
    <definedName name="YJY" localSheetId="6">평정!YJY</definedName>
    <definedName name="YJY" localSheetId="4">NCP!YJY</definedName>
    <definedName name="YJY">'2.추정(긍정)'!YJY</definedName>
    <definedName name="YJYJ" localSheetId="10">'2.추정(긍정)'!YJYJ</definedName>
    <definedName name="YJYJ" localSheetId="11">'2.추정(부정)'!YJYJ</definedName>
    <definedName name="YJYJ" localSheetId="9">구NCP!YJYJ</definedName>
    <definedName name="YJYJ" localSheetId="2">추정!YJYJ</definedName>
    <definedName name="YJYJ" localSheetId="12">#N/A</definedName>
    <definedName name="YJYJ" localSheetId="3">#N/A</definedName>
    <definedName name="YJYJ" localSheetId="6">평정!YJYJ</definedName>
    <definedName name="YJYJ" localSheetId="4">NCP!YJYJ</definedName>
    <definedName name="YJYJ">'2.추정(긍정)'!YJYJ</definedName>
    <definedName name="YKJ" localSheetId="10">'2.추정(긍정)'!YKJ</definedName>
    <definedName name="YKJ" localSheetId="11">'2.추정(부정)'!YKJ</definedName>
    <definedName name="YKJ" localSheetId="9">구NCP!YKJ</definedName>
    <definedName name="YKJ" localSheetId="2">추정!YKJ</definedName>
    <definedName name="YKJ" localSheetId="12">#N/A</definedName>
    <definedName name="YKJ" localSheetId="3">#N/A</definedName>
    <definedName name="YKJ" localSheetId="6">평정!YKJ</definedName>
    <definedName name="YKJ" localSheetId="4">NCP!YKJ</definedName>
    <definedName name="YKJ">'2.추정(긍정)'!YKJ</definedName>
    <definedName name="YNY" localSheetId="10">'2.추정(긍정)'!YNY</definedName>
    <definedName name="YNY" localSheetId="11">'2.추정(부정)'!YNY</definedName>
    <definedName name="YNY" localSheetId="9">구NCP!YNY</definedName>
    <definedName name="YNY" localSheetId="2">추정!YNY</definedName>
    <definedName name="YNY" localSheetId="12">#N/A</definedName>
    <definedName name="YNY" localSheetId="3">#N/A</definedName>
    <definedName name="YNY" localSheetId="6">평정!YNY</definedName>
    <definedName name="YNY" localSheetId="4">NCP!YNY</definedName>
    <definedName name="YNY">'2.추정(긍정)'!YNY</definedName>
    <definedName name="YTFNX" localSheetId="10">'2.추정(긍정)'!YTFNX</definedName>
    <definedName name="YTFNX" localSheetId="11">'2.추정(부정)'!YTFNX</definedName>
    <definedName name="YTFNX" localSheetId="9">구NCP!YTFNX</definedName>
    <definedName name="YTFNX" localSheetId="2">추정!YTFNX</definedName>
    <definedName name="YTFNX" localSheetId="12">#N/A</definedName>
    <definedName name="YTFNX" localSheetId="3">#N/A</definedName>
    <definedName name="YTFNX" localSheetId="6">평정!YTFNX</definedName>
    <definedName name="YTFNX" localSheetId="4">NCP!YTFNX</definedName>
    <definedName name="YTFNX">'2.추정(긍정)'!YTFNX</definedName>
    <definedName name="YTJ" localSheetId="10">'2.추정(긍정)'!YTJ</definedName>
    <definedName name="YTJ" localSheetId="11">'2.추정(부정)'!YTJ</definedName>
    <definedName name="YTJ" localSheetId="9">구NCP!YTJ</definedName>
    <definedName name="YTJ" localSheetId="2">추정!YTJ</definedName>
    <definedName name="YTJ" localSheetId="12">#N/A</definedName>
    <definedName name="YTJ" localSheetId="3">#N/A</definedName>
    <definedName name="YTJ" localSheetId="6">평정!YTJ</definedName>
    <definedName name="YTJ" localSheetId="4">NCP!YTJ</definedName>
    <definedName name="YTJ">'2.추정(긍정)'!YTJ</definedName>
    <definedName name="YUJJJJN" localSheetId="10">'2.추정(긍정)'!YUJJJJN</definedName>
    <definedName name="YUJJJJN" localSheetId="11">'2.추정(부정)'!YUJJJJN</definedName>
    <definedName name="YUJJJJN" localSheetId="9">구NCP!YUJJJJN</definedName>
    <definedName name="YUJJJJN" localSheetId="2">추정!YUJJJJN</definedName>
    <definedName name="YUJJJJN" localSheetId="12">#N/A</definedName>
    <definedName name="YUJJJJN" localSheetId="3">#N/A</definedName>
    <definedName name="YUJJJJN" localSheetId="6">평정!YUJJJJN</definedName>
    <definedName name="YUJJJJN" localSheetId="4">NCP!YUJJJJN</definedName>
    <definedName name="YUJJJJN">'2.추정(긍정)'!YUJJJJN</definedName>
    <definedName name="YY" localSheetId="10">'2.추정(긍정)'!YY</definedName>
    <definedName name="YY" localSheetId="11">'2.추정(부정)'!YY</definedName>
    <definedName name="YY" localSheetId="9">구NCP!YY</definedName>
    <definedName name="YY" localSheetId="2">추정!YY</definedName>
    <definedName name="YY" localSheetId="12">#N/A</definedName>
    <definedName name="YY" localSheetId="3">#N/A</definedName>
    <definedName name="YY" localSheetId="6">평정!YY</definedName>
    <definedName name="YY" localSheetId="4">NCP!YY</definedName>
    <definedName name="YY">'2.추정(긍정)'!YY</definedName>
    <definedName name="yyy" localSheetId="10" hidden="1">{#N/A,#N/A,FALSE,"지침";#N/A,#N/A,FALSE,"환경분석";#N/A,#N/A,FALSE,"Sheet16"}</definedName>
    <definedName name="yyy" localSheetId="11" hidden="1">{#N/A,#N/A,FALSE,"지침";#N/A,#N/A,FALSE,"환경분석";#N/A,#N/A,FALSE,"Sheet16"}</definedName>
    <definedName name="yyy" localSheetId="9" hidden="1">{#N/A,#N/A,FALSE,"지침";#N/A,#N/A,FALSE,"환경분석";#N/A,#N/A,FALSE,"Sheet16"}</definedName>
    <definedName name="yyy" localSheetId="1" hidden="1">{#N/A,#N/A,FALSE,"지침";#N/A,#N/A,FALSE,"환경분석";#N/A,#N/A,FALSE,"Sheet16"}</definedName>
    <definedName name="yyy" localSheetId="2" hidden="1">{#N/A,#N/A,FALSE,"지침";#N/A,#N/A,FALSE,"환경분석";#N/A,#N/A,FALSE,"Sheet16"}</definedName>
    <definedName name="yyy" localSheetId="12" hidden="1">{#N/A,#N/A,FALSE,"지침";#N/A,#N/A,FALSE,"환경분석";#N/A,#N/A,FALSE,"Sheet16"}</definedName>
    <definedName name="yyy" localSheetId="3" hidden="1">{#N/A,#N/A,FALSE,"지침";#N/A,#N/A,FALSE,"환경분석";#N/A,#N/A,FALSE,"Sheet16"}</definedName>
    <definedName name="yyy" localSheetId="6" hidden="1">{#N/A,#N/A,FALSE,"지침";#N/A,#N/A,FALSE,"환경분석";#N/A,#N/A,FALSE,"Sheet16"}</definedName>
    <definedName name="yyy" localSheetId="4" hidden="1">{#N/A,#N/A,FALSE,"지침";#N/A,#N/A,FALSE,"환경분석";#N/A,#N/A,FALSE,"Sheet16"}</definedName>
    <definedName name="yyy" hidden="1">{#N/A,#N/A,FALSE,"지침";#N/A,#N/A,FALSE,"환경분석";#N/A,#N/A,FALSE,"Sheet16"}</definedName>
    <definedName name="Z" localSheetId="10">#REF!</definedName>
    <definedName name="Z" localSheetId="11">#REF!</definedName>
    <definedName name="Z" localSheetId="9">#REF!</definedName>
    <definedName name="Z" localSheetId="2">#REF!</definedName>
    <definedName name="Z" localSheetId="12">#REF!</definedName>
    <definedName name="Z" localSheetId="3">#REF!</definedName>
    <definedName name="Z" localSheetId="6">#REF!</definedName>
    <definedName name="Z" localSheetId="4">#REF!</definedName>
    <definedName name="Z">#REF!</definedName>
    <definedName name="Z_E8FEE9A5_163A_11D2_AED0_0000E81DA68C_.wvu.Rows" localSheetId="10" hidden="1">#REF!</definedName>
    <definedName name="Z_E8FEE9A5_163A_11D2_AED0_0000E81DA68C_.wvu.Rows" localSheetId="11" hidden="1">#REF!</definedName>
    <definedName name="Z_E8FEE9A5_163A_11D2_AED0_0000E81DA68C_.wvu.Rows" localSheetId="9" hidden="1">#REF!</definedName>
    <definedName name="Z_E8FEE9A5_163A_11D2_AED0_0000E81DA68C_.wvu.Rows" localSheetId="1" hidden="1">#REF!</definedName>
    <definedName name="Z_E8FEE9A5_163A_11D2_AED0_0000E81DA68C_.wvu.Rows" localSheetId="2" hidden="1">#REF!</definedName>
    <definedName name="Z_E8FEE9A5_163A_11D2_AED0_0000E81DA68C_.wvu.Rows" localSheetId="12" hidden="1">#REF!</definedName>
    <definedName name="Z_E8FEE9A5_163A_11D2_AED0_0000E81DA68C_.wvu.Rows" localSheetId="3" hidden="1">#REF!</definedName>
    <definedName name="Z_E8FEE9A5_163A_11D2_AED0_0000E81DA68C_.wvu.Rows" localSheetId="6" hidden="1">#REF!</definedName>
    <definedName name="Z_E8FEE9A5_163A_11D2_AED0_0000E81DA68C_.wvu.Rows" localSheetId="4" hidden="1">#REF!</definedName>
    <definedName name="Z_E8FEE9A5_163A_11D2_AED0_0000E81DA68C_.wvu.Rows" hidden="1">#REF!</definedName>
    <definedName name="zScenarioHome" localSheetId="10">#REF!</definedName>
    <definedName name="zScenarioHome" localSheetId="11">#REF!</definedName>
    <definedName name="zScenarioHome" localSheetId="9">#REF!</definedName>
    <definedName name="zScenarioHome" localSheetId="2">#REF!</definedName>
    <definedName name="zScenarioHome" localSheetId="12">#REF!</definedName>
    <definedName name="zScenarioHome" localSheetId="3">#REF!</definedName>
    <definedName name="zScenarioHome" localSheetId="6">#REF!</definedName>
    <definedName name="zScenarioHome" localSheetId="4">#REF!</definedName>
    <definedName name="zScenarioHome">#REF!</definedName>
    <definedName name="zScenarioSummary" localSheetId="10">#REF!</definedName>
    <definedName name="zScenarioSummary" localSheetId="11">#REF!</definedName>
    <definedName name="zScenarioSummary" localSheetId="9">#REF!</definedName>
    <definedName name="zScenarioSummary" localSheetId="2">#REF!</definedName>
    <definedName name="zScenarioSummary" localSheetId="12">#REF!</definedName>
    <definedName name="zScenarioSummary" localSheetId="3">#REF!</definedName>
    <definedName name="zScenarioSummary" localSheetId="6">#REF!</definedName>
    <definedName name="zScenarioSummary" localSheetId="4">#REF!</definedName>
    <definedName name="zScenarioSummary">#REF!</definedName>
    <definedName name="ZXXX" localSheetId="10">#REF!</definedName>
    <definedName name="ZXXX" localSheetId="11">#REF!</definedName>
    <definedName name="ZXXX" localSheetId="9">#REF!</definedName>
    <definedName name="ZXXX" localSheetId="2">#REF!</definedName>
    <definedName name="ZXXX" localSheetId="12">#REF!</definedName>
    <definedName name="ZXXX" localSheetId="3">#REF!</definedName>
    <definedName name="ZXXX" localSheetId="6">#REF!</definedName>
    <definedName name="ZXXX" localSheetId="4">#REF!</definedName>
    <definedName name="ZXXX">#REF!</definedName>
    <definedName name="zzz" localSheetId="10">[7]차수!#REF!</definedName>
    <definedName name="zzz" localSheetId="11">[7]차수!#REF!</definedName>
    <definedName name="zzz" localSheetId="9">[7]차수!#REF!</definedName>
    <definedName name="zzz" localSheetId="2">[7]차수!#REF!</definedName>
    <definedName name="zzz" localSheetId="12">[7]차수!#REF!</definedName>
    <definedName name="zzz" localSheetId="3">[7]차수!#REF!</definedName>
    <definedName name="zzz" localSheetId="6">[7]차수!#REF!</definedName>
    <definedName name="zzz" localSheetId="4">[7]차수!#REF!</definedName>
    <definedName name="zzz">[7]차수!#REF!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67" l="1"/>
  <c r="R22" i="60" l="1"/>
  <c r="P22" i="60"/>
  <c r="P21" i="60"/>
  <c r="P19" i="60"/>
  <c r="P18" i="60"/>
  <c r="P17" i="60"/>
  <c r="P15" i="60"/>
  <c r="P14" i="60"/>
  <c r="P12" i="60"/>
  <c r="P11" i="60"/>
  <c r="R10" i="60"/>
  <c r="P10" i="60"/>
  <c r="R8" i="60"/>
  <c r="P8" i="60"/>
  <c r="R375" i="42" l="1"/>
  <c r="R374" i="42"/>
  <c r="R332" i="42"/>
  <c r="R331" i="42"/>
  <c r="R330" i="42"/>
  <c r="R329" i="42"/>
  <c r="R321" i="42"/>
  <c r="R320" i="42"/>
  <c r="R319" i="42"/>
  <c r="R318" i="42"/>
  <c r="R52" i="42"/>
  <c r="R51" i="42"/>
  <c r="R48" i="42"/>
  <c r="R47" i="42"/>
  <c r="R46" i="42"/>
  <c r="R45" i="42"/>
  <c r="R39" i="42"/>
  <c r="R35" i="42"/>
  <c r="R34" i="42"/>
  <c r="R23" i="42"/>
  <c r="R21" i="42"/>
  <c r="R20" i="42"/>
  <c r="R18" i="42"/>
  <c r="R17" i="42"/>
  <c r="R15" i="42"/>
  <c r="R14" i="42"/>
  <c r="R13" i="42"/>
  <c r="R4" i="42"/>
  <c r="R3" i="42"/>
  <c r="R2" i="42"/>
  <c r="R1" i="42"/>
  <c r="AG314" i="42" l="1"/>
  <c r="R314" i="42" s="1"/>
  <c r="AG313" i="42"/>
  <c r="R313" i="42" s="1"/>
  <c r="AG312" i="42"/>
  <c r="R312" i="42" s="1"/>
  <c r="AG310" i="42"/>
  <c r="R310" i="42" s="1"/>
  <c r="AG307" i="42"/>
  <c r="R307" i="42" s="1"/>
  <c r="AG306" i="42"/>
  <c r="R306" i="42" s="1"/>
  <c r="AG304" i="42"/>
  <c r="R304" i="42" s="1"/>
  <c r="AG303" i="42"/>
  <c r="R303" i="42" s="1"/>
  <c r="AG302" i="42"/>
  <c r="R302" i="42" s="1"/>
  <c r="AG298" i="42"/>
  <c r="R298" i="42" s="1"/>
  <c r="AG297" i="42"/>
  <c r="R297" i="42" s="1"/>
  <c r="AG296" i="42"/>
  <c r="R296" i="42" s="1"/>
  <c r="AG295" i="42"/>
  <c r="R295" i="42" s="1"/>
  <c r="AG291" i="42"/>
  <c r="R291" i="42" s="1"/>
  <c r="AG290" i="42"/>
  <c r="R290" i="42" s="1"/>
  <c r="AG289" i="42"/>
  <c r="R289" i="42" s="1"/>
  <c r="AG288" i="42"/>
  <c r="R288" i="42" s="1"/>
  <c r="AG287" i="42"/>
  <c r="R287" i="42" s="1"/>
  <c r="AG284" i="42"/>
  <c r="R284" i="42" s="1"/>
  <c r="AG283" i="42"/>
  <c r="R283" i="42" s="1"/>
  <c r="AG281" i="42"/>
  <c r="R281" i="42" s="1"/>
  <c r="L15" i="48" s="1"/>
  <c r="AG280" i="42"/>
  <c r="R280" i="42" s="1"/>
  <c r="AG279" i="42"/>
  <c r="R279" i="42" s="1"/>
  <c r="L79" i="48" s="1"/>
  <c r="AG278" i="42"/>
  <c r="R278" i="42" s="1"/>
  <c r="L78" i="48" s="1"/>
  <c r="AG277" i="42"/>
  <c r="R277" i="42" s="1"/>
  <c r="L77" i="48" s="1"/>
  <c r="AG275" i="42"/>
  <c r="R275" i="42" s="1"/>
  <c r="AG274" i="42"/>
  <c r="R274" i="42" s="1"/>
  <c r="AG273" i="42"/>
  <c r="R273" i="42" s="1"/>
  <c r="AG272" i="42"/>
  <c r="R272" i="42" s="1"/>
  <c r="AG271" i="42"/>
  <c r="R271" i="42" s="1"/>
  <c r="AG269" i="42"/>
  <c r="R269" i="42" s="1"/>
  <c r="AG268" i="42"/>
  <c r="R268" i="42" s="1"/>
  <c r="AG267" i="42"/>
  <c r="R267" i="42" s="1"/>
  <c r="AG265" i="42"/>
  <c r="R265" i="42" s="1"/>
  <c r="AG264" i="42"/>
  <c r="R264" i="42" s="1"/>
  <c r="AG263" i="42"/>
  <c r="R263" i="42" s="1"/>
  <c r="AG262" i="42"/>
  <c r="R262" i="42" s="1"/>
  <c r="AG256" i="42" l="1"/>
  <c r="R256" i="42" s="1"/>
  <c r="AG255" i="42"/>
  <c r="R255" i="42" s="1"/>
  <c r="AG253" i="42"/>
  <c r="R253" i="42" s="1"/>
  <c r="AG252" i="42"/>
  <c r="R252" i="42" s="1"/>
  <c r="AG250" i="42"/>
  <c r="R250" i="42" s="1"/>
  <c r="AG249" i="42"/>
  <c r="R249" i="42" s="1"/>
  <c r="AG248" i="42"/>
  <c r="R248" i="42" s="1"/>
  <c r="AG247" i="42"/>
  <c r="R247" i="42" s="1"/>
  <c r="AG246" i="42"/>
  <c r="R246" i="42" s="1"/>
  <c r="AG244" i="42"/>
  <c r="R244" i="42" s="1"/>
  <c r="AG243" i="42"/>
  <c r="R243" i="42" s="1"/>
  <c r="AG242" i="42"/>
  <c r="R242" i="42" s="1"/>
  <c r="AG241" i="42"/>
  <c r="R241" i="42" s="1"/>
  <c r="AG240" i="42"/>
  <c r="R240" i="42" s="1"/>
  <c r="AG233" i="42"/>
  <c r="R233" i="42" s="1"/>
  <c r="AG230" i="42"/>
  <c r="R230" i="42" s="1"/>
  <c r="AG229" i="42"/>
  <c r="R229" i="42" s="1"/>
  <c r="AG228" i="42"/>
  <c r="R228" i="42" s="1"/>
  <c r="AG226" i="42"/>
  <c r="R226" i="42" s="1"/>
  <c r="AG224" i="42"/>
  <c r="R224" i="42" s="1"/>
  <c r="AG209" i="42"/>
  <c r="R209" i="42" s="1"/>
  <c r="AG208" i="42"/>
  <c r="R208" i="42" s="1"/>
  <c r="AG205" i="42"/>
  <c r="R205" i="42" s="1"/>
  <c r="AG204" i="42"/>
  <c r="R204" i="42" s="1"/>
  <c r="AG203" i="42"/>
  <c r="R203" i="42" s="1"/>
  <c r="AG202" i="42"/>
  <c r="R202" i="42" s="1"/>
  <c r="AG201" i="42"/>
  <c r="R201" i="42" s="1"/>
  <c r="AG200" i="42"/>
  <c r="R200" i="42" s="1"/>
  <c r="AG199" i="42"/>
  <c r="R199" i="42" s="1"/>
  <c r="AG197" i="42"/>
  <c r="R197" i="42" s="1"/>
  <c r="AG196" i="42"/>
  <c r="R196" i="42" s="1"/>
  <c r="AG195" i="42"/>
  <c r="R195" i="42" s="1"/>
  <c r="AG194" i="42"/>
  <c r="R194" i="42" s="1"/>
  <c r="AG192" i="42"/>
  <c r="R192" i="42" s="1"/>
  <c r="AG191" i="42"/>
  <c r="R191" i="42" s="1"/>
  <c r="AG190" i="42"/>
  <c r="R190" i="42" s="1"/>
  <c r="AG189" i="42"/>
  <c r="R189" i="42" s="1"/>
  <c r="AG185" i="42"/>
  <c r="R185" i="42" s="1"/>
  <c r="AG183" i="42"/>
  <c r="R183" i="42" s="1"/>
  <c r="AG182" i="42"/>
  <c r="R182" i="42" s="1"/>
  <c r="AG181" i="42"/>
  <c r="R181" i="42" s="1"/>
  <c r="AG180" i="42"/>
  <c r="R180" i="42" s="1"/>
  <c r="AG179" i="42"/>
  <c r="R179" i="42" s="1"/>
  <c r="AG178" i="42"/>
  <c r="R178" i="42" s="1"/>
  <c r="AG166" i="42"/>
  <c r="R166" i="42" s="1"/>
  <c r="AG165" i="42"/>
  <c r="R165" i="42" s="1"/>
  <c r="AG164" i="42"/>
  <c r="R164" i="42" s="1"/>
  <c r="AG163" i="42"/>
  <c r="R163" i="42" s="1"/>
  <c r="AG161" i="42"/>
  <c r="R161" i="42" s="1"/>
  <c r="AG160" i="42"/>
  <c r="R160" i="42" s="1"/>
  <c r="AG158" i="42"/>
  <c r="R158" i="42" s="1"/>
  <c r="AG157" i="42"/>
  <c r="R157" i="42" s="1"/>
  <c r="AG156" i="42"/>
  <c r="R156" i="42" s="1"/>
  <c r="AG155" i="42"/>
  <c r="R155" i="42" s="1"/>
  <c r="AG154" i="42"/>
  <c r="R154" i="42" s="1"/>
  <c r="AG153" i="42"/>
  <c r="R153" i="42" s="1"/>
  <c r="AG152" i="42"/>
  <c r="R152" i="42" s="1"/>
  <c r="AG151" i="42"/>
  <c r="R151" i="42" s="1"/>
  <c r="AG150" i="42"/>
  <c r="R150" i="42" s="1"/>
  <c r="AG149" i="42"/>
  <c r="R149" i="42" s="1"/>
  <c r="AG148" i="42"/>
  <c r="R148" i="42" s="1"/>
  <c r="AG144" i="42"/>
  <c r="R144" i="42" s="1"/>
  <c r="AG139" i="42"/>
  <c r="R139" i="42" s="1"/>
  <c r="AG137" i="42"/>
  <c r="R137" i="42" s="1"/>
  <c r="AG136" i="42"/>
  <c r="R136" i="42" s="1"/>
  <c r="AG135" i="42"/>
  <c r="R135" i="42" s="1"/>
  <c r="AG134" i="42"/>
  <c r="R134" i="42" s="1"/>
  <c r="AG133" i="42"/>
  <c r="R133" i="42" s="1"/>
  <c r="AG130" i="42"/>
  <c r="R130" i="42" s="1"/>
  <c r="AG129" i="42"/>
  <c r="R129" i="42" s="1"/>
  <c r="AG128" i="42"/>
  <c r="R128" i="42" s="1"/>
  <c r="AG127" i="42"/>
  <c r="R127" i="42" s="1"/>
  <c r="AG125" i="42"/>
  <c r="R125" i="42" s="1"/>
  <c r="AG124" i="42"/>
  <c r="R124" i="42" s="1"/>
  <c r="AG123" i="42"/>
  <c r="R123" i="42" s="1"/>
  <c r="AG122" i="42"/>
  <c r="R122" i="42" s="1"/>
  <c r="AG121" i="42"/>
  <c r="R121" i="42" s="1"/>
  <c r="AG120" i="42"/>
  <c r="R120" i="42" s="1"/>
  <c r="AG119" i="42"/>
  <c r="R119" i="42" s="1"/>
  <c r="AG118" i="42"/>
  <c r="R118" i="42" s="1"/>
  <c r="AG117" i="42"/>
  <c r="R117" i="42" s="1"/>
  <c r="AG116" i="42"/>
  <c r="R116" i="42" s="1"/>
  <c r="AG115" i="42"/>
  <c r="R115" i="42" s="1"/>
  <c r="AG114" i="42"/>
  <c r="R114" i="42" s="1"/>
  <c r="AG113" i="42"/>
  <c r="R113" i="42" s="1"/>
  <c r="AG111" i="42"/>
  <c r="R111" i="42" s="1"/>
  <c r="AG110" i="42"/>
  <c r="R110" i="42" s="1"/>
  <c r="AG109" i="42"/>
  <c r="R109" i="42" s="1"/>
  <c r="AG108" i="42"/>
  <c r="R108" i="42" s="1"/>
  <c r="AG107" i="42"/>
  <c r="R107" i="42" s="1"/>
  <c r="AG106" i="42"/>
  <c r="R106" i="42" s="1"/>
  <c r="AG105" i="42"/>
  <c r="R105" i="42" s="1"/>
  <c r="AG104" i="42"/>
  <c r="R104" i="42" s="1"/>
  <c r="AG103" i="42"/>
  <c r="R103" i="42" s="1"/>
  <c r="AG101" i="42"/>
  <c r="R101" i="42" s="1"/>
  <c r="AG100" i="42"/>
  <c r="R100" i="42" s="1"/>
  <c r="AG99" i="42"/>
  <c r="R99" i="42" s="1"/>
  <c r="AG98" i="42"/>
  <c r="R98" i="42" s="1"/>
  <c r="AG97" i="42"/>
  <c r="R97" i="42" s="1"/>
  <c r="AG96" i="42"/>
  <c r="R96" i="42" s="1"/>
  <c r="AG95" i="42"/>
  <c r="R95" i="42" s="1"/>
  <c r="AG94" i="42"/>
  <c r="R94" i="42" s="1"/>
  <c r="AG93" i="42"/>
  <c r="R93" i="42" s="1"/>
  <c r="AG84" i="42"/>
  <c r="R84" i="42" s="1"/>
  <c r="AG82" i="42"/>
  <c r="R82" i="42" s="1"/>
  <c r="AG81" i="42"/>
  <c r="R81" i="42" s="1"/>
  <c r="AG80" i="42"/>
  <c r="R80" i="42" s="1"/>
  <c r="AG79" i="42"/>
  <c r="R79" i="42" s="1"/>
  <c r="AG78" i="42"/>
  <c r="R78" i="42" s="1"/>
  <c r="AG77" i="42"/>
  <c r="R77" i="42" s="1"/>
  <c r="AG76" i="42"/>
  <c r="R76" i="42" s="1"/>
  <c r="AG75" i="42"/>
  <c r="R75" i="42" s="1"/>
  <c r="AG74" i="42"/>
  <c r="R74" i="42" s="1"/>
  <c r="AG73" i="42"/>
  <c r="R73" i="42" s="1"/>
  <c r="AG72" i="42"/>
  <c r="R72" i="42" s="1"/>
  <c r="AG68" i="42"/>
  <c r="R68" i="42" s="1"/>
  <c r="AG67" i="42"/>
  <c r="R67" i="42" s="1"/>
  <c r="AG66" i="42"/>
  <c r="R66" i="42" s="1"/>
  <c r="AG64" i="42"/>
  <c r="R64" i="42" s="1"/>
  <c r="AG63" i="42"/>
  <c r="R63" i="42" s="1"/>
  <c r="AG61" i="42"/>
  <c r="R61" i="42" s="1"/>
  <c r="AG60" i="42"/>
  <c r="R60" i="42" s="1"/>
  <c r="AG58" i="42"/>
  <c r="R58" i="42" s="1"/>
  <c r="AG57" i="42"/>
  <c r="R57" i="42" s="1"/>
  <c r="AH684" i="24" l="1"/>
  <c r="AH683" i="24"/>
  <c r="AH670" i="24"/>
  <c r="AH655" i="24"/>
  <c r="AH654" i="24"/>
  <c r="AH653" i="24"/>
  <c r="AH652" i="24"/>
  <c r="AH651" i="24"/>
  <c r="AH649" i="24"/>
  <c r="AH648" i="24"/>
  <c r="AH647" i="24"/>
  <c r="AH646" i="24"/>
  <c r="AH645" i="24"/>
  <c r="AH641" i="24"/>
  <c r="AH669" i="24" s="1"/>
  <c r="AH640" i="24"/>
  <c r="AH639" i="24"/>
  <c r="AH637" i="24"/>
  <c r="AH636" i="24"/>
  <c r="AH635" i="24" s="1"/>
  <c r="AH634" i="24"/>
  <c r="AH633" i="24"/>
  <c r="AH632" i="24"/>
  <c r="AH631" i="24"/>
  <c r="AH627" i="24"/>
  <c r="AH626" i="24"/>
  <c r="AH625" i="24" s="1"/>
  <c r="AH624" i="24"/>
  <c r="AH623" i="24"/>
  <c r="AH622" i="24"/>
  <c r="AH621" i="24"/>
  <c r="AH620" i="24"/>
  <c r="AH619" i="24"/>
  <c r="AH618" i="24"/>
  <c r="AH617" i="24"/>
  <c r="AH616" i="24"/>
  <c r="AH613" i="24"/>
  <c r="AH612" i="24"/>
  <c r="AH611" i="24"/>
  <c r="AH610" i="24"/>
  <c r="AH609" i="24"/>
  <c r="AH608" i="24"/>
  <c r="AH605" i="24"/>
  <c r="AH604" i="24"/>
  <c r="AH603" i="24"/>
  <c r="AH602" i="24"/>
  <c r="AH601" i="24"/>
  <c r="AH600" i="24"/>
  <c r="AH598" i="24"/>
  <c r="AH597" i="24"/>
  <c r="AH596" i="24"/>
  <c r="AH594" i="24" s="1"/>
  <c r="AH595" i="24"/>
  <c r="AH591" i="24"/>
  <c r="AH590" i="24"/>
  <c r="AH589" i="24"/>
  <c r="AH588" i="24"/>
  <c r="AH587" i="24"/>
  <c r="AH586" i="24"/>
  <c r="AH585" i="24"/>
  <c r="AH584" i="24"/>
  <c r="AH576" i="24"/>
  <c r="AH575" i="24"/>
  <c r="AH574" i="24"/>
  <c r="AH573" i="24"/>
  <c r="AH571" i="24"/>
  <c r="AH570" i="24"/>
  <c r="AH569" i="24"/>
  <c r="AH568" i="24"/>
  <c r="AH566" i="24"/>
  <c r="AG227" i="42" s="1"/>
  <c r="R227" i="42" s="1"/>
  <c r="AH564" i="24"/>
  <c r="AH563" i="24"/>
  <c r="AH561" i="24"/>
  <c r="AH560" i="24"/>
  <c r="AH559" i="24" s="1"/>
  <c r="AH558" i="24"/>
  <c r="AH557" i="24"/>
  <c r="AH556" i="24" s="1"/>
  <c r="AH555" i="24"/>
  <c r="AH554" i="24"/>
  <c r="AH553" i="24"/>
  <c r="AH551" i="24"/>
  <c r="AH550" i="24"/>
  <c r="AH549" i="24" s="1"/>
  <c r="AH548" i="24"/>
  <c r="AH547" i="24"/>
  <c r="AH546" i="24"/>
  <c r="AH545" i="24"/>
  <c r="AH543" i="24"/>
  <c r="AH542" i="24"/>
  <c r="AH541" i="24"/>
  <c r="AH540" i="24"/>
  <c r="AH539" i="24"/>
  <c r="AH538" i="24"/>
  <c r="AH537" i="24"/>
  <c r="AH536" i="24"/>
  <c r="AH535" i="24"/>
  <c r="AH534" i="24"/>
  <c r="AH532" i="24"/>
  <c r="AH531" i="24"/>
  <c r="AH530" i="24"/>
  <c r="AH529" i="24"/>
  <c r="AH528" i="24"/>
  <c r="AH527" i="24"/>
  <c r="AH524" i="24"/>
  <c r="AH523" i="24"/>
  <c r="AH522" i="24"/>
  <c r="AH521" i="24"/>
  <c r="AH519" i="24"/>
  <c r="AH518" i="24"/>
  <c r="AH517" i="24"/>
  <c r="AH516" i="24"/>
  <c r="AH514" i="24"/>
  <c r="AH513" i="24"/>
  <c r="AH512" i="24"/>
  <c r="AH511" i="24"/>
  <c r="AH510" i="24"/>
  <c r="AH508" i="24"/>
  <c r="AH507" i="24"/>
  <c r="AH506" i="24"/>
  <c r="AH505" i="24"/>
  <c r="AH504" i="24"/>
  <c r="AG214" i="42" s="1"/>
  <c r="R214" i="42" s="1"/>
  <c r="AH503" i="24"/>
  <c r="AH502" i="24"/>
  <c r="AH501" i="24"/>
  <c r="AG213" i="42" s="1"/>
  <c r="R213" i="42" s="1"/>
  <c r="AH500" i="24"/>
  <c r="AH499" i="24"/>
  <c r="AH496" i="24"/>
  <c r="AH495" i="24"/>
  <c r="AH494" i="24"/>
  <c r="AH493" i="24"/>
  <c r="AH492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6" i="24"/>
  <c r="AH455" i="24"/>
  <c r="AH454" i="24"/>
  <c r="AH15" i="24"/>
  <c r="AH4" i="24"/>
  <c r="AH5" i="24" s="1"/>
  <c r="AH3" i="24"/>
  <c r="AH13" i="24" s="1"/>
  <c r="AH8" i="24" s="1"/>
  <c r="AH526" i="22"/>
  <c r="AH525" i="22"/>
  <c r="AH524" i="22"/>
  <c r="AH523" i="22"/>
  <c r="AH519" i="22"/>
  <c r="AH518" i="22"/>
  <c r="AH517" i="22"/>
  <c r="AH516" i="22"/>
  <c r="AH515" i="22"/>
  <c r="AH514" i="22"/>
  <c r="AH513" i="22"/>
  <c r="AH512" i="22" s="1"/>
  <c r="AH511" i="22"/>
  <c r="AH510" i="22"/>
  <c r="AH508" i="22" s="1"/>
  <c r="AH509" i="22"/>
  <c r="AH505" i="22"/>
  <c r="AH504" i="22"/>
  <c r="AH503" i="22"/>
  <c r="AH502" i="22"/>
  <c r="AH501" i="22"/>
  <c r="AH500" i="22"/>
  <c r="AH499" i="22"/>
  <c r="AH498" i="22"/>
  <c r="AH496" i="22"/>
  <c r="AH495" i="22"/>
  <c r="AH493" i="22"/>
  <c r="AG171" i="42" s="1"/>
  <c r="R171" i="42" s="1"/>
  <c r="AH492" i="22"/>
  <c r="AG170" i="42" s="1"/>
  <c r="R170" i="42" s="1"/>
  <c r="AH484" i="22"/>
  <c r="AH483" i="22"/>
  <c r="AH482" i="22"/>
  <c r="AH481" i="22"/>
  <c r="AH480" i="22"/>
  <c r="AH479" i="22"/>
  <c r="AH478" i="22"/>
  <c r="AH477" i="22"/>
  <c r="AH476" i="22"/>
  <c r="AH475" i="22"/>
  <c r="AH474" i="22"/>
  <c r="AH473" i="22"/>
  <c r="AH472" i="22"/>
  <c r="AH471" i="22"/>
  <c r="AH470" i="22"/>
  <c r="AH469" i="22"/>
  <c r="AH468" i="22"/>
  <c r="AH467" i="22"/>
  <c r="AH466" i="22"/>
  <c r="AH465" i="22"/>
  <c r="AH464" i="22"/>
  <c r="AH3" i="22"/>
  <c r="AH7" i="22" s="1"/>
  <c r="AG7" i="42"/>
  <c r="AG364" i="42"/>
  <c r="R364" i="42" s="1"/>
  <c r="AG363" i="42"/>
  <c r="R363" i="42" s="1"/>
  <c r="AG334" i="42"/>
  <c r="AG333" i="42"/>
  <c r="R333" i="42" s="1"/>
  <c r="AG324" i="42"/>
  <c r="R324" i="42" s="1"/>
  <c r="AG323" i="42"/>
  <c r="R323" i="42" s="1"/>
  <c r="AG322" i="42"/>
  <c r="R322" i="42" s="1"/>
  <c r="AG309" i="42"/>
  <c r="R309" i="42" s="1"/>
  <c r="AG301" i="42"/>
  <c r="R301" i="42" s="1"/>
  <c r="AG299" i="42"/>
  <c r="AG292" i="42"/>
  <c r="AG286" i="42"/>
  <c r="R286" i="42" s="1"/>
  <c r="AG282" i="42"/>
  <c r="R282" i="42" s="1"/>
  <c r="AG347" i="42"/>
  <c r="R347" i="42" s="1"/>
  <c r="AG276" i="42"/>
  <c r="R276" i="42" s="1"/>
  <c r="AG254" i="42"/>
  <c r="R254" i="42" s="1"/>
  <c r="AG245" i="42"/>
  <c r="R245" i="42" s="1"/>
  <c r="AG225" i="42"/>
  <c r="R225" i="42" s="1"/>
  <c r="AG207" i="42"/>
  <c r="R207" i="42" s="1"/>
  <c r="AG206" i="42"/>
  <c r="R206" i="42" s="1"/>
  <c r="AG193" i="42"/>
  <c r="R193" i="42" s="1"/>
  <c r="AG351" i="42"/>
  <c r="R351" i="42" s="1"/>
  <c r="AG30" i="42"/>
  <c r="R30" i="42" s="1"/>
  <c r="AG172" i="42"/>
  <c r="R172" i="42" s="1"/>
  <c r="AG162" i="42"/>
  <c r="R162" i="42" s="1"/>
  <c r="AG159" i="42"/>
  <c r="R159" i="42" s="1"/>
  <c r="AG146" i="42"/>
  <c r="R146" i="42" s="1"/>
  <c r="AG358" i="42"/>
  <c r="AG142" i="42"/>
  <c r="R142" i="42" s="1"/>
  <c r="AG143" i="42"/>
  <c r="AG131" i="42"/>
  <c r="R131" i="42" s="1"/>
  <c r="AG86" i="42"/>
  <c r="R86" i="42" s="1"/>
  <c r="AG90" i="42"/>
  <c r="R90" i="42" s="1"/>
  <c r="AG89" i="42"/>
  <c r="R89" i="42" s="1"/>
  <c r="AG88" i="42"/>
  <c r="R88" i="42" s="1"/>
  <c r="AG87" i="42"/>
  <c r="R87" i="42" s="1"/>
  <c r="AG85" i="42"/>
  <c r="R85" i="42" s="1"/>
  <c r="AG71" i="42"/>
  <c r="R71" i="42" s="1"/>
  <c r="AG69" i="42"/>
  <c r="R69" i="42" s="1"/>
  <c r="AG62" i="42"/>
  <c r="R62" i="42" s="1"/>
  <c r="AG368" i="42"/>
  <c r="R368" i="42" s="1"/>
  <c r="AG44" i="42"/>
  <c r="R44" i="42" s="1"/>
  <c r="AG29" i="42"/>
  <c r="R29" i="42" s="1"/>
  <c r="AG26" i="42"/>
  <c r="R26" i="42" s="1"/>
  <c r="AG25" i="42"/>
  <c r="R25" i="42" s="1"/>
  <c r="AG22" i="42"/>
  <c r="R22" i="42" s="1"/>
  <c r="AG19" i="42"/>
  <c r="AG16" i="42"/>
  <c r="R16" i="42" s="1"/>
  <c r="AG12" i="42"/>
  <c r="R12" i="42" s="1"/>
  <c r="AH509" i="24" l="1"/>
  <c r="AH644" i="24"/>
  <c r="AH533" i="24"/>
  <c r="AG219" i="42" s="1"/>
  <c r="R219" i="42" s="1"/>
  <c r="AG350" i="42"/>
  <c r="R350" i="42" s="1"/>
  <c r="R358" i="42"/>
  <c r="AH8" i="22"/>
  <c r="AG335" i="42"/>
  <c r="R335" i="42" s="1"/>
  <c r="R334" i="42"/>
  <c r="AH525" i="24"/>
  <c r="AH565" i="24"/>
  <c r="AH607" i="24"/>
  <c r="AH664" i="24" s="1"/>
  <c r="AH650" i="24"/>
  <c r="AG28" i="42"/>
  <c r="R28" i="42" s="1"/>
  <c r="R19" i="42"/>
  <c r="AG357" i="42"/>
  <c r="R143" i="42"/>
  <c r="AH526" i="24"/>
  <c r="AG218" i="42" s="1"/>
  <c r="R218" i="42" s="1"/>
  <c r="AH544" i="24"/>
  <c r="AH567" i="24"/>
  <c r="L16" i="48"/>
  <c r="L84" i="48"/>
  <c r="AG341" i="42"/>
  <c r="R341" i="42" s="1"/>
  <c r="R292" i="42"/>
  <c r="AG300" i="42"/>
  <c r="R300" i="42" s="1"/>
  <c r="R299" i="42"/>
  <c r="AG325" i="42"/>
  <c r="R325" i="42" s="1"/>
  <c r="AG346" i="42"/>
  <c r="R346" i="42" s="1"/>
  <c r="AG359" i="42"/>
  <c r="AG345" i="42" s="1"/>
  <c r="AH498" i="24"/>
  <c r="AH515" i="24" s="1"/>
  <c r="AH520" i="24"/>
  <c r="AH583" i="24"/>
  <c r="AH582" i="24" s="1"/>
  <c r="AH662" i="24" s="1"/>
  <c r="AH9" i="24"/>
  <c r="AH552" i="24"/>
  <c r="AH497" i="24"/>
  <c r="AH572" i="24"/>
  <c r="AH630" i="24"/>
  <c r="AH629" i="24" s="1"/>
  <c r="AH599" i="24"/>
  <c r="AH577" i="24"/>
  <c r="AH593" i="24"/>
  <c r="AH663" i="24" s="1"/>
  <c r="AH615" i="24"/>
  <c r="AH665" i="24" s="1"/>
  <c r="AH11" i="24"/>
  <c r="AH6" i="24" s="1"/>
  <c r="AH12" i="24"/>
  <c r="AH7" i="24" s="1"/>
  <c r="AG239" i="42"/>
  <c r="AG198" i="42"/>
  <c r="R198" i="42" s="1"/>
  <c r="AH520" i="22"/>
  <c r="AG176" i="42" s="1"/>
  <c r="R176" i="42" s="1"/>
  <c r="AH497" i="22"/>
  <c r="AH522" i="22"/>
  <c r="AH5" i="22"/>
  <c r="AH506" i="22"/>
  <c r="AG175" i="42" s="1"/>
  <c r="AH9" i="22"/>
  <c r="AG365" i="42"/>
  <c r="R365" i="42" s="1"/>
  <c r="AG167" i="42"/>
  <c r="AG336" i="42"/>
  <c r="R336" i="42" s="1"/>
  <c r="AG27" i="42"/>
  <c r="R27" i="42" s="1"/>
  <c r="AG293" i="42"/>
  <c r="AG147" i="42"/>
  <c r="R147" i="42" s="1"/>
  <c r="AG348" i="42"/>
  <c r="R348" i="42" s="1"/>
  <c r="AG366" i="42"/>
  <c r="AG140" i="42"/>
  <c r="R140" i="42" s="1"/>
  <c r="AG223" i="42"/>
  <c r="J114" i="67"/>
  <c r="F114" i="67"/>
  <c r="E114" i="67"/>
  <c r="J111" i="67"/>
  <c r="I111" i="67"/>
  <c r="H111" i="67"/>
  <c r="G111" i="67"/>
  <c r="F111" i="67"/>
  <c r="J110" i="67"/>
  <c r="I110" i="67"/>
  <c r="H110" i="67"/>
  <c r="G110" i="67"/>
  <c r="F110" i="67"/>
  <c r="E110" i="67"/>
  <c r="D110" i="67"/>
  <c r="J109" i="67"/>
  <c r="I109" i="67"/>
  <c r="H109" i="67"/>
  <c r="G109" i="67"/>
  <c r="F109" i="67"/>
  <c r="E109" i="67"/>
  <c r="D109" i="67"/>
  <c r="J108" i="67"/>
  <c r="I108" i="67"/>
  <c r="H108" i="67"/>
  <c r="G108" i="67"/>
  <c r="F108" i="67"/>
  <c r="E108" i="67"/>
  <c r="D108" i="67"/>
  <c r="J107" i="67"/>
  <c r="I107" i="67"/>
  <c r="H107" i="67"/>
  <c r="G107" i="67"/>
  <c r="J106" i="67"/>
  <c r="I106" i="67"/>
  <c r="H106" i="67"/>
  <c r="G106" i="67"/>
  <c r="L106" i="67" s="1"/>
  <c r="K106" i="67" s="1"/>
  <c r="J105" i="67"/>
  <c r="I105" i="67"/>
  <c r="H105" i="67"/>
  <c r="G105" i="67"/>
  <c r="F105" i="67"/>
  <c r="E105" i="67"/>
  <c r="D105" i="67"/>
  <c r="J104" i="67"/>
  <c r="I104" i="67"/>
  <c r="H104" i="67"/>
  <c r="G104" i="67"/>
  <c r="F104" i="67"/>
  <c r="E104" i="67"/>
  <c r="D104" i="67"/>
  <c r="J103" i="67"/>
  <c r="I103" i="67"/>
  <c r="H103" i="67"/>
  <c r="G103" i="67"/>
  <c r="F103" i="67"/>
  <c r="E103" i="67"/>
  <c r="D103" i="67"/>
  <c r="J102" i="67"/>
  <c r="I102" i="67"/>
  <c r="H102" i="67"/>
  <c r="G102" i="67"/>
  <c r="F102" i="67"/>
  <c r="E102" i="67"/>
  <c r="D102" i="67"/>
  <c r="L101" i="67"/>
  <c r="K101" i="67" s="1"/>
  <c r="L100" i="67"/>
  <c r="T149" i="67"/>
  <c r="S149" i="67"/>
  <c r="R149" i="67"/>
  <c r="Q149" i="67"/>
  <c r="P149" i="67"/>
  <c r="O149" i="67"/>
  <c r="N149" i="67"/>
  <c r="T148" i="67"/>
  <c r="S148" i="67"/>
  <c r="R148" i="67"/>
  <c r="Q148" i="67"/>
  <c r="P148" i="67"/>
  <c r="O148" i="67"/>
  <c r="N148" i="67"/>
  <c r="T147" i="67"/>
  <c r="S147" i="67"/>
  <c r="R147" i="67"/>
  <c r="Q147" i="67"/>
  <c r="P147" i="67"/>
  <c r="O147" i="67"/>
  <c r="N147" i="67"/>
  <c r="T145" i="67"/>
  <c r="S145" i="67"/>
  <c r="R145" i="67"/>
  <c r="Q145" i="67"/>
  <c r="P145" i="67"/>
  <c r="O145" i="67"/>
  <c r="N145" i="67"/>
  <c r="T144" i="67"/>
  <c r="S144" i="67"/>
  <c r="R144" i="67"/>
  <c r="T142" i="67"/>
  <c r="S142" i="67"/>
  <c r="R142" i="67"/>
  <c r="Q142" i="67"/>
  <c r="P142" i="67"/>
  <c r="O142" i="67"/>
  <c r="N142" i="67"/>
  <c r="T141" i="67"/>
  <c r="S141" i="67"/>
  <c r="R141" i="67"/>
  <c r="Q141" i="67"/>
  <c r="P141" i="67"/>
  <c r="O141" i="67"/>
  <c r="N141" i="67"/>
  <c r="T138" i="67"/>
  <c r="S138" i="67"/>
  <c r="R138" i="67"/>
  <c r="Q138" i="67"/>
  <c r="P138" i="67"/>
  <c r="O138" i="67"/>
  <c r="N138" i="67"/>
  <c r="T136" i="67"/>
  <c r="S136" i="67"/>
  <c r="R136" i="67"/>
  <c r="Q136" i="67"/>
  <c r="P136" i="67"/>
  <c r="O136" i="67"/>
  <c r="N136" i="67"/>
  <c r="T135" i="67"/>
  <c r="S135" i="67"/>
  <c r="R135" i="67"/>
  <c r="Q135" i="67"/>
  <c r="P135" i="67"/>
  <c r="O135" i="67"/>
  <c r="N135" i="67"/>
  <c r="L115" i="67"/>
  <c r="K115" i="67" s="1"/>
  <c r="I57" i="67"/>
  <c r="H57" i="67"/>
  <c r="G57" i="67" s="1"/>
  <c r="F57" i="67" s="1"/>
  <c r="E57" i="67" s="1"/>
  <c r="E25" i="67"/>
  <c r="I24" i="67"/>
  <c r="G24" i="67"/>
  <c r="E22" i="67"/>
  <c r="E18" i="67"/>
  <c r="E26" i="67" s="1"/>
  <c r="E14" i="67"/>
  <c r="I12" i="67"/>
  <c r="G12" i="67"/>
  <c r="I10" i="67"/>
  <c r="G10" i="67"/>
  <c r="I9" i="67"/>
  <c r="G9" i="67"/>
  <c r="R357" i="42" l="1"/>
  <c r="AG238" i="42"/>
  <c r="R239" i="42"/>
  <c r="AH676" i="24"/>
  <c r="AG215" i="42"/>
  <c r="R215" i="42" s="1"/>
  <c r="AH677" i="24"/>
  <c r="AG212" i="42"/>
  <c r="R212" i="42" s="1"/>
  <c r="AH679" i="24"/>
  <c r="AG221" i="42"/>
  <c r="R221" i="42" s="1"/>
  <c r="AH675" i="24"/>
  <c r="AG216" i="42"/>
  <c r="R216" i="42" s="1"/>
  <c r="AH682" i="24"/>
  <c r="AH681" i="24" s="1"/>
  <c r="AG232" i="42"/>
  <c r="R232" i="42" s="1"/>
  <c r="AH10" i="22"/>
  <c r="AH4" i="22" s="1"/>
  <c r="R175" i="42"/>
  <c r="AG174" i="42"/>
  <c r="R174" i="42" s="1"/>
  <c r="AH674" i="24"/>
  <c r="AG211" i="42"/>
  <c r="AH643" i="24"/>
  <c r="AG168" i="42"/>
  <c r="R168" i="42" s="1"/>
  <c r="R167" i="42"/>
  <c r="AG356" i="42"/>
  <c r="R356" i="42" s="1"/>
  <c r="R223" i="42"/>
  <c r="AH562" i="24"/>
  <c r="AG220" i="42"/>
  <c r="R220" i="42" s="1"/>
  <c r="AG343" i="42"/>
  <c r="R343" i="42" s="1"/>
  <c r="L104" i="67"/>
  <c r="K104" i="67" s="1"/>
  <c r="M147" i="67"/>
  <c r="K147" i="67" s="1"/>
  <c r="L110" i="67"/>
  <c r="K110" i="67" s="1"/>
  <c r="M145" i="67"/>
  <c r="K145" i="67" s="1"/>
  <c r="L111" i="67"/>
  <c r="K111" i="67" s="1"/>
  <c r="AG340" i="42"/>
  <c r="R340" i="42" s="1"/>
  <c r="R359" i="42"/>
  <c r="AG342" i="42"/>
  <c r="R342" i="42" s="1"/>
  <c r="R293" i="42"/>
  <c r="AG344" i="42"/>
  <c r="R344" i="42" s="1"/>
  <c r="R345" i="42"/>
  <c r="M144" i="67"/>
  <c r="K144" i="67" s="1"/>
  <c r="M149" i="67"/>
  <c r="K149" i="67" s="1"/>
  <c r="L105" i="67"/>
  <c r="K105" i="67" s="1"/>
  <c r="AG349" i="42"/>
  <c r="R349" i="42" s="1"/>
  <c r="M135" i="67"/>
  <c r="K135" i="67" s="1"/>
  <c r="M148" i="67"/>
  <c r="K148" i="67" s="1"/>
  <c r="M142" i="67"/>
  <c r="K142" i="67" s="1"/>
  <c r="M138" i="67"/>
  <c r="K138" i="67" s="1"/>
  <c r="M136" i="67"/>
  <c r="K136" i="67" s="1"/>
  <c r="M141" i="67"/>
  <c r="K141" i="67" s="1"/>
  <c r="AH659" i="24"/>
  <c r="L109" i="67"/>
  <c r="K109" i="67" s="1"/>
  <c r="L103" i="67"/>
  <c r="K103" i="67" s="1"/>
  <c r="L108" i="67"/>
  <c r="K108" i="67" s="1"/>
  <c r="L102" i="67"/>
  <c r="K102" i="67" s="1"/>
  <c r="L107" i="67"/>
  <c r="K107" i="67" s="1"/>
  <c r="AG571" i="24"/>
  <c r="AH678" i="24" l="1"/>
  <c r="AH680" i="24" s="1"/>
  <c r="AG217" i="42"/>
  <c r="R217" i="42" s="1"/>
  <c r="R211" i="42"/>
  <c r="AG222" i="42"/>
  <c r="AG234" i="42"/>
  <c r="R234" i="42" s="1"/>
  <c r="R238" i="42"/>
  <c r="AG360" i="42"/>
  <c r="AH668" i="24"/>
  <c r="AH657" i="24"/>
  <c r="N314" i="42"/>
  <c r="AH658" i="24" l="1"/>
  <c r="AH666" i="24" s="1"/>
  <c r="AH667" i="24"/>
  <c r="AG354" i="42"/>
  <c r="R354" i="42" s="1"/>
  <c r="R360" i="42"/>
  <c r="R222" i="42"/>
  <c r="AG355" i="42"/>
  <c r="R355" i="42" s="1"/>
  <c r="AG236" i="42"/>
  <c r="R236" i="42" s="1"/>
  <c r="N313" i="42"/>
  <c r="N312" i="42"/>
  <c r="O314" i="42"/>
  <c r="O313" i="42"/>
  <c r="O312" i="42"/>
  <c r="P314" i="42"/>
  <c r="P313" i="42"/>
  <c r="P312" i="42"/>
  <c r="AD314" i="42"/>
  <c r="Q314" i="42" s="1"/>
  <c r="AD313" i="42"/>
  <c r="Q313" i="42" s="1"/>
  <c r="AD312" i="42"/>
  <c r="Q312" i="42" s="1"/>
  <c r="AE314" i="42"/>
  <c r="AE313" i="42"/>
  <c r="AE312" i="42"/>
  <c r="AF314" i="42"/>
  <c r="AF313" i="42"/>
  <c r="AF312" i="42"/>
  <c r="AG456" i="24" l="1"/>
  <c r="AG455" i="24"/>
  <c r="AG454" i="24"/>
  <c r="AE16" i="42" l="1"/>
  <c r="AD16" i="42"/>
  <c r="AC16" i="42"/>
  <c r="AB16" i="42"/>
  <c r="AA16" i="42"/>
  <c r="AF16" i="42"/>
  <c r="Q14" i="42"/>
  <c r="Q13" i="42"/>
  <c r="AF310" i="42" l="1"/>
  <c r="AF307" i="42"/>
  <c r="AF306" i="42"/>
  <c r="AF304" i="42"/>
  <c r="AF303" i="42"/>
  <c r="AF302" i="42"/>
  <c r="AF298" i="42"/>
  <c r="AF297" i="42"/>
  <c r="AF296" i="42"/>
  <c r="AF295" i="42"/>
  <c r="AF291" i="42"/>
  <c r="AF290" i="42"/>
  <c r="AF289" i="42"/>
  <c r="AF288" i="42"/>
  <c r="AF287" i="42"/>
  <c r="AF284" i="42"/>
  <c r="AF283" i="42"/>
  <c r="AF281" i="42"/>
  <c r="J120" i="67" s="1"/>
  <c r="AF280" i="42"/>
  <c r="AF279" i="42"/>
  <c r="AF278" i="42"/>
  <c r="AF277" i="42"/>
  <c r="AF275" i="42"/>
  <c r="J125" i="67" s="1"/>
  <c r="AF274" i="42"/>
  <c r="AF273" i="42"/>
  <c r="AF272" i="42"/>
  <c r="AF271" i="42"/>
  <c r="AF269" i="42"/>
  <c r="AF268" i="42"/>
  <c r="AF267" i="42"/>
  <c r="AF265" i="42"/>
  <c r="AF264" i="42"/>
  <c r="AF263" i="42"/>
  <c r="AF262" i="42"/>
  <c r="AF282" i="42" l="1"/>
  <c r="J121" i="67" s="1"/>
  <c r="AF276" i="42"/>
  <c r="J122" i="67" s="1"/>
  <c r="AF256" i="42"/>
  <c r="AF255" i="42"/>
  <c r="AF253" i="42"/>
  <c r="AF252" i="42"/>
  <c r="AF250" i="42"/>
  <c r="AF249" i="42"/>
  <c r="AF248" i="42"/>
  <c r="AF247" i="42"/>
  <c r="AF246" i="42"/>
  <c r="AF244" i="42"/>
  <c r="AF243" i="42"/>
  <c r="AF242" i="42"/>
  <c r="AF241" i="42"/>
  <c r="AF240" i="42"/>
  <c r="AF233" i="42"/>
  <c r="AF230" i="42"/>
  <c r="AF229" i="42"/>
  <c r="AF228" i="42"/>
  <c r="AF226" i="42"/>
  <c r="AF224" i="42"/>
  <c r="AF209" i="42"/>
  <c r="AF208" i="42"/>
  <c r="AF205" i="42"/>
  <c r="AF204" i="42"/>
  <c r="AF203" i="42"/>
  <c r="AF202" i="42"/>
  <c r="AF201" i="42"/>
  <c r="AF200" i="42"/>
  <c r="AF199" i="42"/>
  <c r="AF197" i="42"/>
  <c r="AF196" i="42"/>
  <c r="AF195" i="42"/>
  <c r="AF194" i="42"/>
  <c r="AF192" i="42"/>
  <c r="AF191" i="42"/>
  <c r="AF190" i="42"/>
  <c r="AF189" i="42"/>
  <c r="AF185" i="42"/>
  <c r="AF183" i="42"/>
  <c r="AF182" i="42"/>
  <c r="AF181" i="42"/>
  <c r="AF180" i="42"/>
  <c r="AF179" i="42"/>
  <c r="AF178" i="42"/>
  <c r="AF166" i="42"/>
  <c r="AF165" i="42"/>
  <c r="AF164" i="42"/>
  <c r="AF163" i="42"/>
  <c r="AF161" i="42"/>
  <c r="AF160" i="42"/>
  <c r="AF158" i="42"/>
  <c r="AF157" i="42"/>
  <c r="AF156" i="42"/>
  <c r="AF155" i="42"/>
  <c r="AF154" i="42"/>
  <c r="AF153" i="42"/>
  <c r="AF152" i="42"/>
  <c r="AF151" i="42"/>
  <c r="AF150" i="42"/>
  <c r="AF149" i="42"/>
  <c r="AF148" i="42"/>
  <c r="AF144" i="42"/>
  <c r="AF309" i="42" s="1"/>
  <c r="AF139" i="42"/>
  <c r="AF137" i="42"/>
  <c r="AF136" i="42"/>
  <c r="AF135" i="42"/>
  <c r="AF134" i="42"/>
  <c r="AF133" i="42"/>
  <c r="AF130" i="42"/>
  <c r="AF129" i="42"/>
  <c r="AF128" i="42"/>
  <c r="AF127" i="42"/>
  <c r="AF125" i="42"/>
  <c r="AF124" i="42"/>
  <c r="AF123" i="42"/>
  <c r="AF122" i="42"/>
  <c r="AF121" i="42"/>
  <c r="AF120" i="42"/>
  <c r="AF119" i="42"/>
  <c r="AF118" i="42"/>
  <c r="AF117" i="42"/>
  <c r="AF116" i="42"/>
  <c r="AF115" i="42"/>
  <c r="AF114" i="42"/>
  <c r="AF113" i="42"/>
  <c r="AF111" i="42"/>
  <c r="AF110" i="42"/>
  <c r="AF109" i="42"/>
  <c r="AF108" i="42"/>
  <c r="AF107" i="42"/>
  <c r="AF106" i="42"/>
  <c r="AF105" i="42"/>
  <c r="AF104" i="42"/>
  <c r="AF103" i="42"/>
  <c r="AF101" i="42"/>
  <c r="AF100" i="42"/>
  <c r="AF99" i="42"/>
  <c r="AF98" i="42"/>
  <c r="AF97" i="42"/>
  <c r="AF88" i="42" s="1"/>
  <c r="AF96" i="42"/>
  <c r="AF95" i="42"/>
  <c r="AF94" i="42"/>
  <c r="AF93" i="42"/>
  <c r="AF84" i="42"/>
  <c r="AF85" i="42" s="1"/>
  <c r="AF82" i="42"/>
  <c r="AF81" i="42"/>
  <c r="AF80" i="42"/>
  <c r="AF79" i="42"/>
  <c r="AF78" i="42"/>
  <c r="AF77" i="42"/>
  <c r="AF76" i="42"/>
  <c r="AF75" i="42"/>
  <c r="AF74" i="42"/>
  <c r="AF73" i="42"/>
  <c r="AF72" i="42"/>
  <c r="AF68" i="42"/>
  <c r="AF67" i="42"/>
  <c r="AF66" i="42"/>
  <c r="AF64" i="42"/>
  <c r="AF63" i="42"/>
  <c r="AF61" i="42"/>
  <c r="AF60" i="42"/>
  <c r="AF62" i="42" s="1"/>
  <c r="AF58" i="42"/>
  <c r="AF26" i="42" s="1"/>
  <c r="AF57" i="42"/>
  <c r="AF7" i="42"/>
  <c r="AF364" i="42"/>
  <c r="AF363" i="42"/>
  <c r="AF334" i="42"/>
  <c r="AF333" i="42"/>
  <c r="AF324" i="42"/>
  <c r="AF323" i="42"/>
  <c r="AF322" i="42"/>
  <c r="AF348" i="42"/>
  <c r="J124" i="67" s="1"/>
  <c r="AF299" i="42"/>
  <c r="AF347" i="42"/>
  <c r="AF359" i="42"/>
  <c r="AF254" i="42"/>
  <c r="AF90" i="42"/>
  <c r="AF86" i="42"/>
  <c r="AF89" i="42"/>
  <c r="AF44" i="42"/>
  <c r="AF22" i="42"/>
  <c r="AF19" i="42"/>
  <c r="AF12" i="42"/>
  <c r="AF207" i="42" l="1"/>
  <c r="AF239" i="42"/>
  <c r="AF143" i="42"/>
  <c r="AF193" i="42"/>
  <c r="AF223" i="42"/>
  <c r="AF206" i="42"/>
  <c r="AF30" i="42"/>
  <c r="AF336" i="42"/>
  <c r="AF71" i="42"/>
  <c r="AF87" i="42"/>
  <c r="AF131" i="42"/>
  <c r="AF140" i="42"/>
  <c r="AF358" i="42"/>
  <c r="AF162" i="42"/>
  <c r="AF245" i="42"/>
  <c r="AF159" i="42"/>
  <c r="AF69" i="42"/>
  <c r="AF351" i="42"/>
  <c r="AF29" i="42"/>
  <c r="AF27" i="42"/>
  <c r="AF198" i="42"/>
  <c r="AF28" i="42"/>
  <c r="AF325" i="42"/>
  <c r="AF300" i="42"/>
  <c r="AF292" i="42"/>
  <c r="AF346" i="42"/>
  <c r="AF301" i="42"/>
  <c r="AF343" i="42"/>
  <c r="AF286" i="42"/>
  <c r="AF365" i="42"/>
  <c r="AF147" i="42"/>
  <c r="AF335" i="42"/>
  <c r="AF366" i="42"/>
  <c r="AF146" i="42"/>
  <c r="AF345" i="42"/>
  <c r="AF25" i="42"/>
  <c r="AF142" i="42"/>
  <c r="AF368" i="42"/>
  <c r="J123" i="67" s="1"/>
  <c r="AG684" i="24"/>
  <c r="AG683" i="24"/>
  <c r="AG670" i="24"/>
  <c r="AG655" i="24"/>
  <c r="AG654" i="24"/>
  <c r="AG653" i="24"/>
  <c r="AG652" i="24"/>
  <c r="AG651" i="24"/>
  <c r="AG649" i="24"/>
  <c r="AG648" i="24"/>
  <c r="AG647" i="24"/>
  <c r="AG646" i="24"/>
  <c r="AG645" i="24"/>
  <c r="AG644" i="24" s="1"/>
  <c r="AG641" i="24"/>
  <c r="AG640" i="24"/>
  <c r="AG639" i="24"/>
  <c r="AG637" i="24"/>
  <c r="AG636" i="24"/>
  <c r="AG634" i="24"/>
  <c r="AG633" i="24"/>
  <c r="AG632" i="24"/>
  <c r="AG631" i="24"/>
  <c r="AG627" i="24"/>
  <c r="AG626" i="24"/>
  <c r="AG624" i="24"/>
  <c r="AG623" i="24"/>
  <c r="AG622" i="24"/>
  <c r="AG621" i="24"/>
  <c r="AG620" i="24"/>
  <c r="AG619" i="24"/>
  <c r="AG618" i="24"/>
  <c r="AG617" i="24"/>
  <c r="AG616" i="24"/>
  <c r="AG613" i="24"/>
  <c r="AG612" i="24"/>
  <c r="AG611" i="24"/>
  <c r="AG610" i="24"/>
  <c r="AG609" i="24"/>
  <c r="AG608" i="24"/>
  <c r="AG605" i="24"/>
  <c r="AG604" i="24"/>
  <c r="AG603" i="24"/>
  <c r="AG602" i="24"/>
  <c r="AG601" i="24"/>
  <c r="AG600" i="24"/>
  <c r="AG598" i="24"/>
  <c r="AG597" i="24"/>
  <c r="AG596" i="24"/>
  <c r="AG595" i="24"/>
  <c r="AG591" i="24"/>
  <c r="AG590" i="24"/>
  <c r="AG589" i="24"/>
  <c r="AG588" i="24"/>
  <c r="AG587" i="24"/>
  <c r="AG586" i="24"/>
  <c r="AG585" i="24"/>
  <c r="AG584" i="24"/>
  <c r="AG576" i="24"/>
  <c r="AG575" i="24"/>
  <c r="AG574" i="24"/>
  <c r="AG573" i="24"/>
  <c r="AG570" i="24"/>
  <c r="AG569" i="24"/>
  <c r="AG568" i="24"/>
  <c r="AG566" i="24"/>
  <c r="AF227" i="42" s="1"/>
  <c r="AF225" i="42" s="1"/>
  <c r="AG564" i="24"/>
  <c r="AG563" i="24"/>
  <c r="AG565" i="24" s="1"/>
  <c r="AG561" i="24"/>
  <c r="AG560" i="24"/>
  <c r="AG558" i="24"/>
  <c r="AG557" i="24"/>
  <c r="AG555" i="24"/>
  <c r="AG554" i="24"/>
  <c r="AG553" i="24"/>
  <c r="AG552" i="24" s="1"/>
  <c r="AF220" i="42" s="1"/>
  <c r="AG551" i="24"/>
  <c r="AG550" i="24"/>
  <c r="AG548" i="24"/>
  <c r="AG547" i="24"/>
  <c r="AG546" i="24"/>
  <c r="AG545" i="24"/>
  <c r="AG543" i="24"/>
  <c r="AG542" i="24"/>
  <c r="AG541" i="24"/>
  <c r="AG540" i="24"/>
  <c r="AG539" i="24"/>
  <c r="AG538" i="24"/>
  <c r="AG537" i="24"/>
  <c r="AG536" i="24"/>
  <c r="AG535" i="24"/>
  <c r="AG534" i="24"/>
  <c r="AG532" i="24"/>
  <c r="AG531" i="24"/>
  <c r="AG530" i="24"/>
  <c r="AG529" i="24"/>
  <c r="AG528" i="24"/>
  <c r="AG527" i="24"/>
  <c r="AG524" i="24"/>
  <c r="AG523" i="24"/>
  <c r="AG522" i="24"/>
  <c r="AG521" i="24"/>
  <c r="AG519" i="24"/>
  <c r="AG518" i="24"/>
  <c r="AG517" i="24"/>
  <c r="AG516" i="24"/>
  <c r="AG514" i="24"/>
  <c r="AG513" i="24"/>
  <c r="AG512" i="24"/>
  <c r="AG511" i="24"/>
  <c r="AG510" i="24"/>
  <c r="AG508" i="24"/>
  <c r="AG507" i="24"/>
  <c r="AG506" i="24"/>
  <c r="AG505" i="24"/>
  <c r="AG504" i="24"/>
  <c r="AF214" i="42" s="1"/>
  <c r="AG503" i="24"/>
  <c r="AG502" i="24"/>
  <c r="AG501" i="24"/>
  <c r="AF213" i="42" s="1"/>
  <c r="AG500" i="24"/>
  <c r="AG499" i="24"/>
  <c r="AG496" i="24"/>
  <c r="AG495" i="24"/>
  <c r="AG494" i="24"/>
  <c r="AG493" i="24"/>
  <c r="AG492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15" i="24"/>
  <c r="AG4" i="24"/>
  <c r="AG5" i="24" s="1"/>
  <c r="AG3" i="24"/>
  <c r="AG13" i="24" s="1"/>
  <c r="AG526" i="22"/>
  <c r="AG525" i="22"/>
  <c r="AG524" i="22"/>
  <c r="AG523" i="22"/>
  <c r="AG519" i="22"/>
  <c r="AG518" i="22"/>
  <c r="AG517" i="22"/>
  <c r="AG516" i="22"/>
  <c r="AG515" i="22"/>
  <c r="AG514" i="22"/>
  <c r="AG513" i="22"/>
  <c r="AG512" i="22" s="1"/>
  <c r="AG511" i="22"/>
  <c r="AG510" i="22"/>
  <c r="AG509" i="22"/>
  <c r="AG505" i="22"/>
  <c r="AG504" i="22"/>
  <c r="AG503" i="22"/>
  <c r="AG502" i="22"/>
  <c r="AG501" i="22"/>
  <c r="AG500" i="22"/>
  <c r="AG499" i="22"/>
  <c r="AG498" i="22"/>
  <c r="AG496" i="22"/>
  <c r="AG495" i="22"/>
  <c r="AG493" i="22"/>
  <c r="AF171" i="42" s="1"/>
  <c r="AG492" i="22"/>
  <c r="AF170" i="42" s="1"/>
  <c r="AF172" i="42" s="1"/>
  <c r="AG484" i="22"/>
  <c r="AG483" i="22"/>
  <c r="AG482" i="22"/>
  <c r="AG481" i="22"/>
  <c r="AG480" i="22"/>
  <c r="AG479" i="22"/>
  <c r="AG478" i="22"/>
  <c r="AG477" i="22"/>
  <c r="AG476" i="22"/>
  <c r="AG475" i="22"/>
  <c r="AG474" i="22"/>
  <c r="AG473" i="22"/>
  <c r="AG472" i="22"/>
  <c r="AG471" i="22"/>
  <c r="AG470" i="22"/>
  <c r="AG469" i="22"/>
  <c r="AG468" i="22"/>
  <c r="AG467" i="22"/>
  <c r="AG466" i="22"/>
  <c r="AG465" i="22"/>
  <c r="AG464" i="22"/>
  <c r="AG3" i="22"/>
  <c r="AG7" i="22" s="1"/>
  <c r="AG559" i="24" l="1"/>
  <c r="AG635" i="24"/>
  <c r="AG522" i="22"/>
  <c r="AG669" i="24"/>
  <c r="AG8" i="22"/>
  <c r="AG526" i="24"/>
  <c r="AF218" i="42" s="1"/>
  <c r="AG679" i="24"/>
  <c r="AF221" i="42"/>
  <c r="AG9" i="22"/>
  <c r="AG520" i="24"/>
  <c r="AF356" i="42"/>
  <c r="J117" i="67" s="1"/>
  <c r="AF357" i="42"/>
  <c r="AF238" i="42"/>
  <c r="AF167" i="42"/>
  <c r="AF350" i="42"/>
  <c r="AF340" i="42"/>
  <c r="J118" i="67" s="1"/>
  <c r="AF349" i="42"/>
  <c r="AF344" i="42"/>
  <c r="J119" i="67" s="1"/>
  <c r="AF341" i="42"/>
  <c r="AF293" i="42"/>
  <c r="AF168" i="42"/>
  <c r="AG8" i="24"/>
  <c r="AG509" i="24"/>
  <c r="AG525" i="24"/>
  <c r="AG630" i="24"/>
  <c r="AG629" i="24" s="1"/>
  <c r="AG533" i="24"/>
  <c r="AG549" i="24"/>
  <c r="AG572" i="24"/>
  <c r="AG650" i="24"/>
  <c r="AG498" i="24"/>
  <c r="AG594" i="24"/>
  <c r="AG9" i="24"/>
  <c r="AG599" i="24"/>
  <c r="AG544" i="24"/>
  <c r="AG607" i="24"/>
  <c r="AG664" i="24" s="1"/>
  <c r="AG497" i="24"/>
  <c r="AG556" i="24"/>
  <c r="AG567" i="24"/>
  <c r="AG583" i="24"/>
  <c r="AG582" i="24" s="1"/>
  <c r="AG662" i="24" s="1"/>
  <c r="AG625" i="24"/>
  <c r="AG615" i="24" s="1"/>
  <c r="AG665" i="24" s="1"/>
  <c r="AG643" i="24"/>
  <c r="AG657" i="24" s="1"/>
  <c r="AG11" i="24"/>
  <c r="AG6" i="24" s="1"/>
  <c r="AG12" i="24"/>
  <c r="AG7" i="24" s="1"/>
  <c r="AG5" i="22"/>
  <c r="AG508" i="22"/>
  <c r="AG520" i="22" s="1"/>
  <c r="AF176" i="42" s="1"/>
  <c r="AG497" i="22"/>
  <c r="AG506" i="22"/>
  <c r="AF175" i="42" s="1"/>
  <c r="AF174" i="42" s="1"/>
  <c r="L107" i="52"/>
  <c r="L106" i="52"/>
  <c r="L85" i="52"/>
  <c r="L84" i="52"/>
  <c r="L83" i="52"/>
  <c r="L82" i="52"/>
  <c r="L81" i="52"/>
  <c r="L75" i="52"/>
  <c r="L27" i="52"/>
  <c r="L23" i="52"/>
  <c r="L13" i="52"/>
  <c r="L9" i="52"/>
  <c r="L7" i="52"/>
  <c r="L38" i="52" s="1"/>
  <c r="L6" i="52"/>
  <c r="L61" i="52" s="1"/>
  <c r="L5" i="52"/>
  <c r="L60" i="52" s="1"/>
  <c r="AG10" i="22" l="1"/>
  <c r="AG4" i="22" s="1"/>
  <c r="AG675" i="24"/>
  <c r="AF216" i="42"/>
  <c r="AG577" i="24"/>
  <c r="AG674" i="24"/>
  <c r="AF211" i="42"/>
  <c r="AG562" i="24"/>
  <c r="AF219" i="42"/>
  <c r="AG593" i="24"/>
  <c r="AG663" i="24" s="1"/>
  <c r="AG676" i="24"/>
  <c r="AF215" i="42"/>
  <c r="AG515" i="24"/>
  <c r="AG682" i="24"/>
  <c r="AG681" i="24" s="1"/>
  <c r="AF232" i="42"/>
  <c r="AF360" i="42"/>
  <c r="AF342" i="42"/>
  <c r="AG668" i="24"/>
  <c r="L62" i="52"/>
  <c r="L95" i="52" s="1"/>
  <c r="L303" i="48"/>
  <c r="L302" i="48"/>
  <c r="L300" i="48"/>
  <c r="L294" i="48"/>
  <c r="L275" i="48"/>
  <c r="L250" i="48"/>
  <c r="L248" i="48"/>
  <c r="L247" i="48"/>
  <c r="L246" i="48"/>
  <c r="L231" i="48"/>
  <c r="L212" i="48"/>
  <c r="L201" i="48"/>
  <c r="L200" i="48"/>
  <c r="L199" i="48"/>
  <c r="L198" i="48"/>
  <c r="L197" i="48"/>
  <c r="L135" i="48"/>
  <c r="L119" i="48"/>
  <c r="L117" i="48"/>
  <c r="L116" i="48"/>
  <c r="L100" i="48"/>
  <c r="L92" i="48"/>
  <c r="L87" i="48"/>
  <c r="L73" i="48"/>
  <c r="L61" i="48"/>
  <c r="L60" i="48"/>
  <c r="L59" i="48"/>
  <c r="L58" i="48"/>
  <c r="L57" i="48"/>
  <c r="L51" i="48"/>
  <c r="L50" i="48"/>
  <c r="L39" i="48"/>
  <c r="L38" i="48"/>
  <c r="L37" i="48"/>
  <c r="L36" i="48"/>
  <c r="L35" i="48"/>
  <c r="L25" i="48"/>
  <c r="L23" i="48"/>
  <c r="L22" i="48"/>
  <c r="L11" i="48"/>
  <c r="L10" i="48"/>
  <c r="L9" i="48"/>
  <c r="L8" i="48"/>
  <c r="L2" i="48"/>
  <c r="L1" i="48"/>
  <c r="R53" i="42"/>
  <c r="L30" i="48" s="1"/>
  <c r="AG677" i="24" l="1"/>
  <c r="AG680" i="24" s="1"/>
  <c r="AF212" i="42"/>
  <c r="AG678" i="24"/>
  <c r="AF217" i="42"/>
  <c r="AF222" i="42" s="1"/>
  <c r="AG659" i="24"/>
  <c r="AF354" i="42"/>
  <c r="L216" i="48"/>
  <c r="AG667" i="24"/>
  <c r="AG658" i="24"/>
  <c r="AG666" i="24" s="1"/>
  <c r="AE310" i="42"/>
  <c r="AE307" i="42"/>
  <c r="AE306" i="42"/>
  <c r="AE304" i="42"/>
  <c r="L235" i="48" s="1"/>
  <c r="AE303" i="42"/>
  <c r="L234" i="48" s="1"/>
  <c r="AE302" i="42"/>
  <c r="AE298" i="42"/>
  <c r="AE297" i="42"/>
  <c r="AE296" i="42"/>
  <c r="AE295" i="42"/>
  <c r="AE291" i="42"/>
  <c r="AE290" i="42"/>
  <c r="AE289" i="42"/>
  <c r="AE288" i="42"/>
  <c r="AE287" i="42"/>
  <c r="AE281" i="42"/>
  <c r="AE280" i="42"/>
  <c r="AE279" i="42"/>
  <c r="AE278" i="42"/>
  <c r="AE277" i="42"/>
  <c r="AE275" i="42"/>
  <c r="AE274" i="42"/>
  <c r="L256" i="48" s="1"/>
  <c r="AE273" i="42"/>
  <c r="L45" i="52" s="1"/>
  <c r="AE272" i="42"/>
  <c r="AE271" i="42"/>
  <c r="AE276" i="42" s="1"/>
  <c r="AE269" i="42"/>
  <c r="AE268" i="42"/>
  <c r="AE267" i="42"/>
  <c r="AE264" i="42"/>
  <c r="AE265" i="42"/>
  <c r="AE263" i="42"/>
  <c r="AE262" i="42"/>
  <c r="L124" i="48" s="1"/>
  <c r="AF236" i="42" l="1"/>
  <c r="AF355" i="42"/>
  <c r="AF234" i="42"/>
  <c r="AE282" i="42"/>
  <c r="L285" i="48"/>
  <c r="L102" i="48"/>
  <c r="L286" i="48"/>
  <c r="L103" i="48"/>
  <c r="L82" i="48"/>
  <c r="L253" i="48"/>
  <c r="L83" i="48"/>
  <c r="L254" i="48"/>
  <c r="L80" i="48"/>
  <c r="L258" i="48"/>
  <c r="L26" i="48"/>
  <c r="L125" i="48"/>
  <c r="L112" i="48"/>
  <c r="L255" i="48"/>
  <c r="L114" i="48"/>
  <c r="L28" i="48"/>
  <c r="L27" i="48"/>
  <c r="L113" i="48"/>
  <c r="AE284" i="42"/>
  <c r="L154" i="48" s="1"/>
  <c r="AE283" i="42"/>
  <c r="L153" i="48" s="1"/>
  <c r="AE256" i="42" l="1"/>
  <c r="L68" i="52" s="1"/>
  <c r="AE255" i="42"/>
  <c r="L67" i="52" s="1"/>
  <c r="AE253" i="42"/>
  <c r="L80" i="52" s="1"/>
  <c r="AE252" i="42"/>
  <c r="L78" i="52" s="1"/>
  <c r="L77" i="52" s="1"/>
  <c r="AE250" i="42"/>
  <c r="AE249" i="42"/>
  <c r="AE248" i="42"/>
  <c r="AE247" i="42"/>
  <c r="AE246" i="42"/>
  <c r="AE244" i="42"/>
  <c r="AE243" i="42"/>
  <c r="AE242" i="42"/>
  <c r="AE241" i="42"/>
  <c r="AE240" i="42"/>
  <c r="AE233" i="42"/>
  <c r="AE230" i="42"/>
  <c r="AE229" i="42"/>
  <c r="AE228" i="42"/>
  <c r="AE226" i="42"/>
  <c r="AE224" i="42"/>
  <c r="AE209" i="42"/>
  <c r="AE208" i="42"/>
  <c r="AE205" i="42"/>
  <c r="L65" i="52" s="1"/>
  <c r="AE204" i="42"/>
  <c r="AE203" i="42"/>
  <c r="L180" i="48" s="1"/>
  <c r="AE202" i="42"/>
  <c r="AE201" i="42"/>
  <c r="L183" i="48" s="1"/>
  <c r="AE200" i="42"/>
  <c r="L182" i="48" s="1"/>
  <c r="AE199" i="42"/>
  <c r="L181" i="48" s="1"/>
  <c r="AE197" i="42"/>
  <c r="L176" i="48" s="1"/>
  <c r="AE196" i="42"/>
  <c r="L178" i="48" s="1"/>
  <c r="AE195" i="42"/>
  <c r="L177" i="48" s="1"/>
  <c r="AE194" i="42"/>
  <c r="L175" i="48" s="1"/>
  <c r="AE192" i="42"/>
  <c r="AE191" i="42"/>
  <c r="AE190" i="42"/>
  <c r="AE189" i="42"/>
  <c r="AE185" i="42"/>
  <c r="AE183" i="42"/>
  <c r="L244" i="48" s="1"/>
  <c r="AE182" i="42"/>
  <c r="AE181" i="42"/>
  <c r="L243" i="48" s="1"/>
  <c r="AE180" i="42"/>
  <c r="L242" i="48" s="1"/>
  <c r="AE179" i="42"/>
  <c r="AE178" i="42"/>
  <c r="AE166" i="42"/>
  <c r="AE165" i="42"/>
  <c r="L273" i="48" s="1"/>
  <c r="AE164" i="42"/>
  <c r="AE163" i="42"/>
  <c r="AE161" i="42"/>
  <c r="L272" i="48" s="1"/>
  <c r="AE160" i="42"/>
  <c r="L279" i="48" s="1"/>
  <c r="AE158" i="42"/>
  <c r="L268" i="48" s="1"/>
  <c r="AE157" i="42"/>
  <c r="AE156" i="42"/>
  <c r="AE155" i="42"/>
  <c r="L282" i="48" s="1"/>
  <c r="AE154" i="42"/>
  <c r="L281" i="48" s="1"/>
  <c r="AE153" i="42"/>
  <c r="L280" i="48" s="1"/>
  <c r="AE152" i="42"/>
  <c r="AE151" i="42"/>
  <c r="AE150" i="42"/>
  <c r="AE149" i="42"/>
  <c r="L278" i="48" s="1"/>
  <c r="AE148" i="42"/>
  <c r="AE144" i="42"/>
  <c r="AE139" i="42"/>
  <c r="AE137" i="42"/>
  <c r="L147" i="48" s="1"/>
  <c r="AE136" i="42"/>
  <c r="L149" i="48" s="1"/>
  <c r="AE135" i="42"/>
  <c r="AE134" i="42"/>
  <c r="AE133" i="42"/>
  <c r="L146" i="48" s="1"/>
  <c r="AE130" i="42"/>
  <c r="AE129" i="42"/>
  <c r="AE128" i="42"/>
  <c r="AE127" i="42"/>
  <c r="AE125" i="42"/>
  <c r="AE124" i="42"/>
  <c r="AE123" i="42"/>
  <c r="AE122" i="42"/>
  <c r="AE121" i="42"/>
  <c r="AE120" i="42"/>
  <c r="L165" i="48" s="1"/>
  <c r="AE119" i="42"/>
  <c r="AE118" i="42"/>
  <c r="L145" i="48" s="1"/>
  <c r="AE117" i="42"/>
  <c r="L144" i="48" s="1"/>
  <c r="AE116" i="42"/>
  <c r="L143" i="48" s="1"/>
  <c r="AE115" i="42"/>
  <c r="AE114" i="42"/>
  <c r="AE113" i="42"/>
  <c r="AE111" i="42"/>
  <c r="AE110" i="42"/>
  <c r="AE109" i="42"/>
  <c r="AE108" i="42"/>
  <c r="AE107" i="42"/>
  <c r="AE106" i="42"/>
  <c r="AE105" i="42"/>
  <c r="AE104" i="42"/>
  <c r="AE103" i="42"/>
  <c r="AE101" i="42"/>
  <c r="AE100" i="42"/>
  <c r="AE99" i="42"/>
  <c r="AE98" i="42"/>
  <c r="AE97" i="42"/>
  <c r="AE96" i="42"/>
  <c r="AE95" i="42"/>
  <c r="AE94" i="42"/>
  <c r="AE93" i="42"/>
  <c r="AE84" i="42"/>
  <c r="AE82" i="42"/>
  <c r="AE81" i="42"/>
  <c r="AE80" i="42"/>
  <c r="AE79" i="42"/>
  <c r="L168" i="48" s="1"/>
  <c r="AE78" i="42"/>
  <c r="AE77" i="42"/>
  <c r="AE76" i="42"/>
  <c r="AE75" i="42"/>
  <c r="AE74" i="42"/>
  <c r="AE73" i="42"/>
  <c r="L167" i="48" s="1"/>
  <c r="AE72" i="42"/>
  <c r="AE68" i="42"/>
  <c r="AE67" i="42"/>
  <c r="AE66" i="42"/>
  <c r="AE64" i="42"/>
  <c r="L11" i="52" s="1"/>
  <c r="AE63" i="42"/>
  <c r="L10" i="52" s="1"/>
  <c r="AE61" i="42"/>
  <c r="AE60" i="42"/>
  <c r="L138" i="48" s="1"/>
  <c r="AE58" i="42"/>
  <c r="AE57" i="42"/>
  <c r="L211" i="48" l="1"/>
  <c r="AE223" i="42"/>
  <c r="AE356" i="42" s="1"/>
  <c r="L292" i="48"/>
  <c r="L193" i="48"/>
  <c r="L46" i="48"/>
  <c r="L207" i="48"/>
  <c r="L73" i="52"/>
  <c r="L218" i="48"/>
  <c r="L172" i="48"/>
  <c r="L130" i="48"/>
  <c r="L47" i="48"/>
  <c r="L208" i="48"/>
  <c r="L194" i="48"/>
  <c r="L74" i="52"/>
  <c r="L210" i="48"/>
  <c r="L49" i="48"/>
  <c r="L64" i="52"/>
  <c r="L63" i="52" s="1"/>
  <c r="L185" i="48"/>
  <c r="L190" i="48"/>
  <c r="L43" i="48"/>
  <c r="L204" i="48"/>
  <c r="L191" i="48"/>
  <c r="L44" i="48"/>
  <c r="L205" i="48"/>
  <c r="L69" i="52"/>
  <c r="L192" i="48"/>
  <c r="L45" i="48"/>
  <c r="L206" i="48"/>
  <c r="L189" i="48"/>
  <c r="L42" i="48"/>
  <c r="L203" i="48"/>
  <c r="L293" i="48"/>
  <c r="L265" i="48"/>
  <c r="L25" i="52"/>
  <c r="L241" i="48"/>
  <c r="L142" i="48"/>
  <c r="L161" i="48"/>
  <c r="L99" i="48"/>
  <c r="L299" i="48"/>
  <c r="L91" i="48"/>
  <c r="L169" i="48"/>
  <c r="L166" i="48"/>
  <c r="L291" i="48"/>
  <c r="L263" i="48"/>
  <c r="L26" i="52"/>
  <c r="L245" i="48"/>
  <c r="L18" i="52"/>
  <c r="L269" i="48"/>
  <c r="L21" i="52"/>
  <c r="L271" i="48"/>
  <c r="L20" i="52"/>
  <c r="L270" i="48"/>
  <c r="L264" i="48"/>
  <c r="AF684" i="24"/>
  <c r="AF683" i="24"/>
  <c r="AF670" i="24"/>
  <c r="AF655" i="24"/>
  <c r="AF654" i="24"/>
  <c r="AF653" i="24"/>
  <c r="AF652" i="24"/>
  <c r="AF651" i="24"/>
  <c r="AF650" i="24"/>
  <c r="AF649" i="24"/>
  <c r="AF648" i="24"/>
  <c r="AF647" i="24"/>
  <c r="AF646" i="24"/>
  <c r="AF645" i="24"/>
  <c r="AF641" i="24"/>
  <c r="AF669" i="24" s="1"/>
  <c r="AF640" i="24"/>
  <c r="AF639" i="24"/>
  <c r="AF637" i="24"/>
  <c r="AF636" i="24"/>
  <c r="AF635" i="24" s="1"/>
  <c r="AF634" i="24"/>
  <c r="AF633" i="24"/>
  <c r="AF632" i="24"/>
  <c r="AF631" i="24"/>
  <c r="AF630" i="24" s="1"/>
  <c r="AF627" i="24"/>
  <c r="AF626" i="24"/>
  <c r="AF625" i="24" s="1"/>
  <c r="AF624" i="24"/>
  <c r="AF623" i="24"/>
  <c r="AF622" i="24"/>
  <c r="AF621" i="24"/>
  <c r="AF620" i="24"/>
  <c r="AF619" i="24"/>
  <c r="AF618" i="24"/>
  <c r="AF617" i="24"/>
  <c r="AF616" i="24"/>
  <c r="AF613" i="24"/>
  <c r="AF612" i="24"/>
  <c r="AF611" i="24"/>
  <c r="AF610" i="24"/>
  <c r="AF609" i="24"/>
  <c r="AF608" i="24"/>
  <c r="AF605" i="24"/>
  <c r="AF604" i="24"/>
  <c r="AF603" i="24"/>
  <c r="AF602" i="24"/>
  <c r="AF601" i="24"/>
  <c r="AF600" i="24"/>
  <c r="AF598" i="24"/>
  <c r="AF597" i="24"/>
  <c r="AF596" i="24"/>
  <c r="AF595" i="24"/>
  <c r="AF591" i="24"/>
  <c r="AF590" i="24"/>
  <c r="AF589" i="24"/>
  <c r="AF588" i="24"/>
  <c r="AF587" i="24"/>
  <c r="AF586" i="24"/>
  <c r="AF585" i="24"/>
  <c r="AF584" i="24"/>
  <c r="AF576" i="24"/>
  <c r="AF575" i="24"/>
  <c r="AF574" i="24"/>
  <c r="AF573" i="24"/>
  <c r="AF571" i="24"/>
  <c r="AF570" i="24"/>
  <c r="AF569" i="24"/>
  <c r="AF568" i="24"/>
  <c r="AF567" i="24"/>
  <c r="AF566" i="24"/>
  <c r="AE227" i="42" s="1"/>
  <c r="AF564" i="24"/>
  <c r="AF563" i="24"/>
  <c r="AF565" i="24" s="1"/>
  <c r="AF561" i="24"/>
  <c r="AF560" i="24"/>
  <c r="AF559" i="24" s="1"/>
  <c r="AF558" i="24"/>
  <c r="AF557" i="24"/>
  <c r="AF555" i="24"/>
  <c r="AF554" i="24"/>
  <c r="AF553" i="24"/>
  <c r="AF552" i="24" s="1"/>
  <c r="AE220" i="42" s="1"/>
  <c r="AF551" i="24"/>
  <c r="AF549" i="24" s="1"/>
  <c r="AF550" i="24"/>
  <c r="AF548" i="24"/>
  <c r="AF547" i="24"/>
  <c r="AF546" i="24"/>
  <c r="AF545" i="24"/>
  <c r="AF544" i="24" s="1"/>
  <c r="AF543" i="24"/>
  <c r="AF542" i="24"/>
  <c r="AF541" i="24"/>
  <c r="AF540" i="24"/>
  <c r="AF539" i="24"/>
  <c r="AF538" i="24"/>
  <c r="AF537" i="24"/>
  <c r="AF536" i="24"/>
  <c r="AF535" i="24"/>
  <c r="AF534" i="24"/>
  <c r="AF532" i="24"/>
  <c r="AF531" i="24"/>
  <c r="AF530" i="24"/>
  <c r="AF529" i="24"/>
  <c r="AF528" i="24"/>
  <c r="AF527" i="24"/>
  <c r="AF524" i="24"/>
  <c r="AF523" i="24"/>
  <c r="AF522" i="24"/>
  <c r="AF521" i="24"/>
  <c r="AF525" i="24" s="1"/>
  <c r="AF519" i="24"/>
  <c r="AF518" i="24"/>
  <c r="AF517" i="24"/>
  <c r="AF516" i="24"/>
  <c r="AF514" i="24"/>
  <c r="AF513" i="24"/>
  <c r="AF512" i="24"/>
  <c r="AF511" i="24"/>
  <c r="AF510" i="24"/>
  <c r="AF508" i="24"/>
  <c r="AF507" i="24"/>
  <c r="AF506" i="24"/>
  <c r="AF505" i="24"/>
  <c r="AF504" i="24"/>
  <c r="AE214" i="42" s="1"/>
  <c r="AF503" i="24"/>
  <c r="AF502" i="24"/>
  <c r="AF501" i="24"/>
  <c r="AE213" i="42" s="1"/>
  <c r="AF500" i="24"/>
  <c r="AF499" i="24"/>
  <c r="AF496" i="24"/>
  <c r="AF495" i="24"/>
  <c r="AF494" i="24"/>
  <c r="AF493" i="24"/>
  <c r="AF492" i="24"/>
  <c r="AF484" i="24"/>
  <c r="AF483" i="24"/>
  <c r="AF482" i="24"/>
  <c r="AF481" i="24"/>
  <c r="AF480" i="24"/>
  <c r="AF479" i="24"/>
  <c r="AF478" i="24"/>
  <c r="AF477" i="24"/>
  <c r="AF476" i="24"/>
  <c r="AF475" i="24"/>
  <c r="AF474" i="24"/>
  <c r="AF473" i="24"/>
  <c r="AF472" i="24"/>
  <c r="AF471" i="24"/>
  <c r="AF470" i="24"/>
  <c r="AF469" i="24"/>
  <c r="AF468" i="24"/>
  <c r="AF467" i="24"/>
  <c r="AF466" i="24"/>
  <c r="AF465" i="24"/>
  <c r="AF464" i="24"/>
  <c r="AF463" i="24"/>
  <c r="AF462" i="24"/>
  <c r="AF461" i="24"/>
  <c r="AF460" i="24"/>
  <c r="AF459" i="24"/>
  <c r="AF458" i="24"/>
  <c r="AF456" i="24"/>
  <c r="AF455" i="24"/>
  <c r="AF454" i="24"/>
  <c r="AF15" i="24"/>
  <c r="AF4" i="24"/>
  <c r="AF5" i="24" s="1"/>
  <c r="AF3" i="24"/>
  <c r="AF13" i="24" s="1"/>
  <c r="AF526" i="22"/>
  <c r="AF525" i="22"/>
  <c r="AF524" i="22"/>
  <c r="AF523" i="22"/>
  <c r="AF519" i="22"/>
  <c r="AF518" i="22"/>
  <c r="AF517" i="22"/>
  <c r="AF516" i="22"/>
  <c r="AF515" i="22"/>
  <c r="AF514" i="22"/>
  <c r="AF513" i="22"/>
  <c r="AF511" i="22"/>
  <c r="AF510" i="22"/>
  <c r="AF509" i="22"/>
  <c r="AF505" i="22"/>
  <c r="AF504" i="22"/>
  <c r="AF503" i="22"/>
  <c r="AF502" i="22"/>
  <c r="AF501" i="22"/>
  <c r="AF500" i="22"/>
  <c r="AF499" i="22"/>
  <c r="AF498" i="22"/>
  <c r="AF496" i="22"/>
  <c r="AF495" i="22"/>
  <c r="AF493" i="22"/>
  <c r="AE171" i="42" s="1"/>
  <c r="AF492" i="22"/>
  <c r="AE170" i="42" s="1"/>
  <c r="AF484" i="22"/>
  <c r="AF483" i="22"/>
  <c r="AF482" i="22"/>
  <c r="AF481" i="22"/>
  <c r="AF480" i="22"/>
  <c r="AF479" i="22"/>
  <c r="AF478" i="22"/>
  <c r="AF477" i="22"/>
  <c r="AF476" i="22"/>
  <c r="AF475" i="22"/>
  <c r="AF474" i="22"/>
  <c r="AF473" i="22"/>
  <c r="AF472" i="22"/>
  <c r="AF471" i="22"/>
  <c r="AF470" i="22"/>
  <c r="AF469" i="22"/>
  <c r="AF468" i="22"/>
  <c r="AF467" i="22"/>
  <c r="AF466" i="22"/>
  <c r="AF465" i="22"/>
  <c r="AF464" i="22"/>
  <c r="AF3" i="22"/>
  <c r="AF7" i="22" s="1"/>
  <c r="AF583" i="24" l="1"/>
  <c r="AF582" i="24" s="1"/>
  <c r="AF675" i="24"/>
  <c r="AE216" i="42"/>
  <c r="AF679" i="24"/>
  <c r="AE221" i="42"/>
  <c r="AF594" i="24"/>
  <c r="L186" i="48"/>
  <c r="L173" i="48"/>
  <c r="AF8" i="22"/>
  <c r="AF9" i="22"/>
  <c r="AF508" i="22"/>
  <c r="AF522" i="22"/>
  <c r="AF8" i="24"/>
  <c r="AF533" i="24"/>
  <c r="AE219" i="42" s="1"/>
  <c r="AF498" i="24"/>
  <c r="AF526" i="24"/>
  <c r="AE218" i="42" s="1"/>
  <c r="AF607" i="24"/>
  <c r="AF664" i="24" s="1"/>
  <c r="AF629" i="24"/>
  <c r="AF572" i="24"/>
  <c r="AF577" i="24" s="1"/>
  <c r="AF599" i="24"/>
  <c r="AF644" i="24"/>
  <c r="AF643" i="24" s="1"/>
  <c r="AF668" i="24" s="1"/>
  <c r="AF9" i="24"/>
  <c r="AF520" i="24"/>
  <c r="AF497" i="24"/>
  <c r="AF509" i="24"/>
  <c r="AF556" i="24"/>
  <c r="AF615" i="24"/>
  <c r="AF665" i="24" s="1"/>
  <c r="AF662" i="24"/>
  <c r="AF11" i="24"/>
  <c r="AF6" i="24" s="1"/>
  <c r="AF12" i="24"/>
  <c r="AF7" i="24" s="1"/>
  <c r="AF497" i="22"/>
  <c r="AF506" i="22" s="1"/>
  <c r="AE175" i="42" s="1"/>
  <c r="AF5" i="22"/>
  <c r="AF512" i="22"/>
  <c r="AE7" i="42"/>
  <c r="AE364" i="42"/>
  <c r="AE363" i="42"/>
  <c r="AE334" i="42"/>
  <c r="AE336" i="42" s="1"/>
  <c r="AE333" i="42"/>
  <c r="AE324" i="42"/>
  <c r="AE323" i="42"/>
  <c r="AE322" i="42"/>
  <c r="AE309" i="42"/>
  <c r="AE292" i="42"/>
  <c r="AE347" i="42"/>
  <c r="AE359" i="42"/>
  <c r="AE245" i="42"/>
  <c r="AE225" i="42"/>
  <c r="AE207" i="42"/>
  <c r="AE206" i="42"/>
  <c r="AE193" i="42"/>
  <c r="AE351" i="42"/>
  <c r="L97" i="52" s="1"/>
  <c r="AE30" i="42"/>
  <c r="AE172" i="42"/>
  <c r="AE162" i="42"/>
  <c r="L274" i="48" s="1"/>
  <c r="AE159" i="42"/>
  <c r="L19" i="52" s="1"/>
  <c r="AE358" i="42"/>
  <c r="AE143" i="42"/>
  <c r="AE140" i="42"/>
  <c r="L170" i="48" s="1"/>
  <c r="AE131" i="42"/>
  <c r="AE90" i="42"/>
  <c r="L159" i="48" s="1"/>
  <c r="AE86" i="42"/>
  <c r="AE87" i="42"/>
  <c r="L156" i="48" s="1"/>
  <c r="AE89" i="42"/>
  <c r="L160" i="48" s="1"/>
  <c r="AE88" i="42"/>
  <c r="AE85" i="42"/>
  <c r="AE71" i="42"/>
  <c r="AE69" i="42"/>
  <c r="AE62" i="42"/>
  <c r="L8" i="52" s="1"/>
  <c r="L12" i="52" s="1"/>
  <c r="AE44" i="42"/>
  <c r="AE29" i="42"/>
  <c r="AE27" i="42"/>
  <c r="AE26" i="42"/>
  <c r="AE22" i="42"/>
  <c r="AE19" i="42"/>
  <c r="AE28" i="42" s="1"/>
  <c r="AE12" i="42"/>
  <c r="AF562" i="24" l="1"/>
  <c r="AF10" i="22"/>
  <c r="AF4" i="22" s="1"/>
  <c r="AF676" i="24"/>
  <c r="AE215" i="42"/>
  <c r="AF593" i="24"/>
  <c r="AF520" i="22"/>
  <c r="AE176" i="42" s="1"/>
  <c r="L297" i="48" s="1"/>
  <c r="AF674" i="24"/>
  <c r="AE211" i="42"/>
  <c r="AF682" i="24"/>
  <c r="AF681" i="24" s="1"/>
  <c r="AE232" i="42"/>
  <c r="L131" i="48"/>
  <c r="L174" i="48"/>
  <c r="L296" i="48"/>
  <c r="AE174" i="42"/>
  <c r="L295" i="48" s="1"/>
  <c r="L163" i="48"/>
  <c r="L139" i="48"/>
  <c r="L148" i="48" s="1"/>
  <c r="L157" i="48"/>
  <c r="L140" i="48"/>
  <c r="L15" i="52"/>
  <c r="L267" i="48"/>
  <c r="L158" i="48"/>
  <c r="L141" i="48"/>
  <c r="AE350" i="42"/>
  <c r="L257" i="48"/>
  <c r="L44" i="52"/>
  <c r="L64" i="48"/>
  <c r="L227" i="48"/>
  <c r="L65" i="48"/>
  <c r="L228" i="48"/>
  <c r="AE325" i="42"/>
  <c r="AF663" i="24"/>
  <c r="AF659" i="24"/>
  <c r="AF658" i="24" s="1"/>
  <c r="AF666" i="24" s="1"/>
  <c r="AF657" i="24"/>
  <c r="AF515" i="24"/>
  <c r="AF667" i="24"/>
  <c r="AE239" i="42"/>
  <c r="AE198" i="42"/>
  <c r="AE254" i="42"/>
  <c r="L66" i="52" s="1"/>
  <c r="AE343" i="42"/>
  <c r="L41" i="52" s="1"/>
  <c r="AE346" i="42"/>
  <c r="L252" i="48" s="1"/>
  <c r="AE299" i="42"/>
  <c r="AE301" i="42"/>
  <c r="L233" i="48" s="1"/>
  <c r="AE286" i="42"/>
  <c r="AE340" i="42"/>
  <c r="L40" i="52" s="1"/>
  <c r="AE341" i="42"/>
  <c r="AE293" i="42"/>
  <c r="AE357" i="42"/>
  <c r="L29" i="52" s="1"/>
  <c r="AE345" i="42"/>
  <c r="AE147" i="42"/>
  <c r="L17" i="52" s="1"/>
  <c r="L16" i="52" s="1"/>
  <c r="AE335" i="42"/>
  <c r="AE348" i="42"/>
  <c r="L49" i="52" s="1"/>
  <c r="AE366" i="42"/>
  <c r="AE146" i="42"/>
  <c r="L262" i="48" s="1"/>
  <c r="AE25" i="42"/>
  <c r="AE142" i="42"/>
  <c r="AE368" i="42"/>
  <c r="AD587" i="24"/>
  <c r="AC587" i="24"/>
  <c r="AB587" i="24"/>
  <c r="AA587" i="24"/>
  <c r="Z587" i="24"/>
  <c r="Y587" i="24"/>
  <c r="X587" i="24"/>
  <c r="W587" i="24"/>
  <c r="V587" i="24"/>
  <c r="U587" i="24"/>
  <c r="T587" i="24"/>
  <c r="S587" i="24"/>
  <c r="R587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AE587" i="24"/>
  <c r="AF677" i="24" l="1"/>
  <c r="AE212" i="42"/>
  <c r="AF678" i="24"/>
  <c r="AE217" i="42"/>
  <c r="L179" i="48"/>
  <c r="L184" i="48" s="1"/>
  <c r="L132" i="48"/>
  <c r="AE238" i="42"/>
  <c r="L30" i="52"/>
  <c r="L12" i="48"/>
  <c r="L107" i="48"/>
  <c r="L290" i="48"/>
  <c r="L46" i="52"/>
  <c r="L260" i="48"/>
  <c r="L14" i="48"/>
  <c r="L22" i="52"/>
  <c r="AE167" i="42"/>
  <c r="L276" i="48" s="1"/>
  <c r="L266" i="48"/>
  <c r="L51" i="52"/>
  <c r="L289" i="48"/>
  <c r="L97" i="48"/>
  <c r="L162" i="48"/>
  <c r="L94" i="48"/>
  <c r="L284" i="48"/>
  <c r="L90" i="48"/>
  <c r="L17" i="48"/>
  <c r="AE342" i="42"/>
  <c r="L223" i="48"/>
  <c r="L224" i="48" s="1"/>
  <c r="L66" i="48"/>
  <c r="L229" i="48"/>
  <c r="L63" i="48"/>
  <c r="L226" i="48"/>
  <c r="AE300" i="42"/>
  <c r="L47" i="52" s="1"/>
  <c r="L31" i="52"/>
  <c r="AE344" i="42"/>
  <c r="L68" i="48" s="1"/>
  <c r="AE365" i="42"/>
  <c r="F42" i="53"/>
  <c r="E42" i="53"/>
  <c r="D42" i="53"/>
  <c r="F41" i="53"/>
  <c r="E41" i="53"/>
  <c r="D41" i="53"/>
  <c r="E206" i="53"/>
  <c r="D206" i="53"/>
  <c r="F180" i="53"/>
  <c r="E180" i="53"/>
  <c r="D180" i="53"/>
  <c r="F169" i="53"/>
  <c r="E169" i="53"/>
  <c r="D169" i="53"/>
  <c r="F168" i="53"/>
  <c r="E168" i="53"/>
  <c r="D168" i="53"/>
  <c r="F167" i="53"/>
  <c r="E167" i="53"/>
  <c r="D167" i="53"/>
  <c r="F123" i="53"/>
  <c r="E123" i="53"/>
  <c r="D123" i="53"/>
  <c r="F84" i="53"/>
  <c r="E84" i="53"/>
  <c r="D84" i="53"/>
  <c r="F81" i="53"/>
  <c r="E81" i="53"/>
  <c r="D81" i="53"/>
  <c r="A1" i="53"/>
  <c r="H210" i="53"/>
  <c r="G210" i="53"/>
  <c r="F210" i="53"/>
  <c r="E210" i="53"/>
  <c r="D210" i="53"/>
  <c r="G192" i="53"/>
  <c r="J192" i="53" s="1"/>
  <c r="F192" i="53"/>
  <c r="I192" i="53" s="1"/>
  <c r="E192" i="53"/>
  <c r="D192" i="53"/>
  <c r="H174" i="53"/>
  <c r="G174" i="53"/>
  <c r="F174" i="53"/>
  <c r="E174" i="53"/>
  <c r="D174" i="53"/>
  <c r="H164" i="53"/>
  <c r="G164" i="53"/>
  <c r="F164" i="53"/>
  <c r="E164" i="53"/>
  <c r="D164" i="53"/>
  <c r="H148" i="53"/>
  <c r="G148" i="53"/>
  <c r="F148" i="53"/>
  <c r="E148" i="53"/>
  <c r="D148" i="53"/>
  <c r="H140" i="53"/>
  <c r="G140" i="53"/>
  <c r="F140" i="53"/>
  <c r="E140" i="53"/>
  <c r="D140" i="53"/>
  <c r="H127" i="53"/>
  <c r="G127" i="53"/>
  <c r="F127" i="53"/>
  <c r="E127" i="53"/>
  <c r="D127" i="53"/>
  <c r="H112" i="53"/>
  <c r="G112" i="53"/>
  <c r="F112" i="53"/>
  <c r="E112" i="53"/>
  <c r="D112" i="53"/>
  <c r="I90" i="53"/>
  <c r="H90" i="53"/>
  <c r="G90" i="53"/>
  <c r="F90" i="53"/>
  <c r="E90" i="53"/>
  <c r="D90" i="53"/>
  <c r="I71" i="53"/>
  <c r="K71" i="53" s="1"/>
  <c r="H71" i="53"/>
  <c r="J71" i="53" s="1"/>
  <c r="G71" i="53"/>
  <c r="F71" i="53"/>
  <c r="E71" i="53"/>
  <c r="D71" i="53"/>
  <c r="K51" i="53"/>
  <c r="G51" i="53"/>
  <c r="J51" i="53" s="1"/>
  <c r="F51" i="53"/>
  <c r="I51" i="53" s="1"/>
  <c r="E51" i="53"/>
  <c r="D51" i="53"/>
  <c r="I33" i="53"/>
  <c r="AE222" i="42" l="1"/>
  <c r="AF680" i="24"/>
  <c r="L71" i="52"/>
  <c r="L70" i="52" s="1"/>
  <c r="L209" i="48"/>
  <c r="L195" i="48"/>
  <c r="AE360" i="42"/>
  <c r="L102" i="52"/>
  <c r="L52" i="48"/>
  <c r="L213" i="48"/>
  <c r="AE168" i="42"/>
  <c r="L89" i="48" s="1"/>
  <c r="AE349" i="42"/>
  <c r="L50" i="52" s="1"/>
  <c r="L67" i="48"/>
  <c r="L230" i="48"/>
  <c r="L306" i="48"/>
  <c r="L71" i="48"/>
  <c r="L305" i="48"/>
  <c r="L105" i="48"/>
  <c r="L32" i="48"/>
  <c r="L33" i="48" s="1"/>
  <c r="L18" i="48"/>
  <c r="L288" i="48"/>
  <c r="L237" i="48"/>
  <c r="L238" i="48" s="1"/>
  <c r="L70" i="48"/>
  <c r="E170" i="53"/>
  <c r="F170" i="53"/>
  <c r="I148" i="53"/>
  <c r="I127" i="53"/>
  <c r="I164" i="53"/>
  <c r="I174" i="53"/>
  <c r="I140" i="53"/>
  <c r="H192" i="53"/>
  <c r="K192" i="53" s="1"/>
  <c r="I112" i="53"/>
  <c r="I210" i="53"/>
  <c r="AE236" i="42" l="1"/>
  <c r="L122" i="48" s="1"/>
  <c r="AE355" i="42"/>
  <c r="AE234" i="42"/>
  <c r="L121" i="48" s="1"/>
  <c r="AE354" i="42"/>
  <c r="L101" i="52" s="1"/>
  <c r="L287" i="48"/>
  <c r="L95" i="48"/>
  <c r="AD375" i="42"/>
  <c r="L48" i="48" l="1"/>
  <c r="L55" i="48" s="1"/>
  <c r="L133" i="48"/>
  <c r="L7" i="48"/>
  <c r="AE456" i="24"/>
  <c r="AE455" i="24"/>
  <c r="AE454" i="24"/>
  <c r="AJ17" i="42" l="1"/>
  <c r="AJ21" i="42"/>
  <c r="AJ15" i="42"/>
  <c r="K248" i="48"/>
  <c r="C143" i="60" l="1"/>
  <c r="F60" i="66" l="1"/>
  <c r="F61" i="66" s="1"/>
  <c r="F62" i="66" s="1"/>
  <c r="F63" i="66" s="1"/>
  <c r="F64" i="66" s="1"/>
  <c r="F65" i="66" s="1"/>
  <c r="F66" i="66" s="1"/>
  <c r="E60" i="66"/>
  <c r="E61" i="66" s="1"/>
  <c r="E62" i="66" s="1"/>
  <c r="E63" i="66" s="1"/>
  <c r="E64" i="66" s="1"/>
  <c r="E65" i="66" s="1"/>
  <c r="E66" i="66" s="1"/>
  <c r="H60" i="66"/>
  <c r="H32" i="66"/>
  <c r="G32" i="66"/>
  <c r="F32" i="66"/>
  <c r="F33" i="66" s="1"/>
  <c r="F34" i="66" s="1"/>
  <c r="F35" i="66" s="1"/>
  <c r="F36" i="66" s="1"/>
  <c r="F37" i="66" s="1"/>
  <c r="F38" i="66" s="1"/>
  <c r="E32" i="66"/>
  <c r="E33" i="66" s="1"/>
  <c r="E34" i="66" s="1"/>
  <c r="E35" i="66" s="1"/>
  <c r="E36" i="66" s="1"/>
  <c r="E37" i="66" s="1"/>
  <c r="E38" i="66" s="1"/>
  <c r="A1" i="66"/>
  <c r="G5" i="59"/>
  <c r="H5" i="59"/>
  <c r="K167" i="60"/>
  <c r="L167" i="60" s="1"/>
  <c r="K142" i="60"/>
  <c r="G60" i="66" l="1"/>
  <c r="J62" i="60"/>
  <c r="AD262" i="42" l="1"/>
  <c r="AD310" i="42" l="1"/>
  <c r="AD307" i="42"/>
  <c r="AD306" i="42"/>
  <c r="AD304" i="42"/>
  <c r="AD303" i="42"/>
  <c r="AD302" i="42"/>
  <c r="AD298" i="42"/>
  <c r="AD297" i="42"/>
  <c r="AD296" i="42"/>
  <c r="AD295" i="42"/>
  <c r="AD291" i="42"/>
  <c r="AD290" i="42"/>
  <c r="AD289" i="42"/>
  <c r="AD288" i="42"/>
  <c r="AD287" i="42"/>
  <c r="AD284" i="42"/>
  <c r="AD283" i="42"/>
  <c r="AD281" i="42"/>
  <c r="AD280" i="42"/>
  <c r="AD279" i="42"/>
  <c r="AD278" i="42"/>
  <c r="AD277" i="42"/>
  <c r="AD282" i="42" s="1"/>
  <c r="Q282" i="42" s="1"/>
  <c r="I121" i="67" s="1"/>
  <c r="AD275" i="42"/>
  <c r="AD274" i="42"/>
  <c r="AD273" i="42"/>
  <c r="AD272" i="42"/>
  <c r="AD271" i="42"/>
  <c r="AD269" i="42"/>
  <c r="AD268" i="42"/>
  <c r="AD267" i="42"/>
  <c r="AD265" i="42"/>
  <c r="AD264" i="42"/>
  <c r="AD263" i="42"/>
  <c r="AD276" i="42" l="1"/>
  <c r="Q276" i="42" s="1"/>
  <c r="J6" i="60"/>
  <c r="K6" i="60"/>
  <c r="I143" i="60"/>
  <c r="I115" i="60"/>
  <c r="I112" i="60"/>
  <c r="I63" i="60"/>
  <c r="F8" i="59" s="1"/>
  <c r="I26" i="60"/>
  <c r="I109" i="60" s="1"/>
  <c r="Q375" i="42"/>
  <c r="Q374" i="42"/>
  <c r="Q332" i="42"/>
  <c r="Q331" i="42"/>
  <c r="Q330" i="42"/>
  <c r="Q329" i="42"/>
  <c r="Q321" i="42"/>
  <c r="Q320" i="42"/>
  <c r="Q319" i="42"/>
  <c r="Q318" i="42"/>
  <c r="Q310" i="42"/>
  <c r="Q307" i="42"/>
  <c r="I100" i="60" s="1"/>
  <c r="Q306" i="42"/>
  <c r="I98" i="60" s="1"/>
  <c r="Q304" i="42"/>
  <c r="Q303" i="42"/>
  <c r="Q302" i="42"/>
  <c r="Q298" i="42"/>
  <c r="Q297" i="42"/>
  <c r="Q296" i="42"/>
  <c r="Q295" i="42"/>
  <c r="Q291" i="42"/>
  <c r="Q290" i="42"/>
  <c r="Q289" i="42"/>
  <c r="Q288" i="42"/>
  <c r="Q287" i="42"/>
  <c r="Q284" i="42"/>
  <c r="Q283" i="42"/>
  <c r="Q281" i="42"/>
  <c r="Q280" i="42"/>
  <c r="I89" i="60" s="1"/>
  <c r="J89" i="60" s="1"/>
  <c r="K89" i="60" s="1"/>
  <c r="L89" i="60" s="1"/>
  <c r="Q279" i="42"/>
  <c r="Q278" i="42"/>
  <c r="Q277" i="42"/>
  <c r="Q275" i="42"/>
  <c r="I125" i="67" s="1"/>
  <c r="Q274" i="42"/>
  <c r="I97" i="60" s="1"/>
  <c r="J97" i="60" s="1"/>
  <c r="Q273" i="42"/>
  <c r="I177" i="53" s="1"/>
  <c r="Q272" i="42"/>
  <c r="Q271" i="42"/>
  <c r="Q269" i="42"/>
  <c r="Q268" i="42"/>
  <c r="Q267" i="42"/>
  <c r="Q265" i="42"/>
  <c r="Q264" i="42"/>
  <c r="Q263" i="42"/>
  <c r="I35" i="53" s="1"/>
  <c r="Q262" i="42"/>
  <c r="I34" i="53" s="1"/>
  <c r="Q52" i="42"/>
  <c r="Q51" i="42"/>
  <c r="Q48" i="42"/>
  <c r="Q47" i="42"/>
  <c r="Q46" i="42"/>
  <c r="Q45" i="42"/>
  <c r="Q39" i="42"/>
  <c r="E27" i="53" s="1"/>
  <c r="E28" i="53" s="1"/>
  <c r="Q35" i="42"/>
  <c r="I74" i="60" s="1"/>
  <c r="Q34" i="42"/>
  <c r="Q23" i="42"/>
  <c r="Q21" i="42"/>
  <c r="Q20" i="42"/>
  <c r="Q18" i="42"/>
  <c r="I81" i="53" s="1"/>
  <c r="Q17" i="42"/>
  <c r="Q16" i="42"/>
  <c r="I31" i="60" s="1"/>
  <c r="Q15" i="42"/>
  <c r="Q4" i="42"/>
  <c r="Q3" i="42"/>
  <c r="Q2" i="42"/>
  <c r="Q1" i="42"/>
  <c r="AD256" i="42"/>
  <c r="Q256" i="42" s="1"/>
  <c r="AD255" i="42"/>
  <c r="Q255" i="42" s="1"/>
  <c r="AD253" i="42"/>
  <c r="Q253" i="42" s="1"/>
  <c r="I59" i="60" s="1"/>
  <c r="AD252" i="42"/>
  <c r="Q252" i="42" s="1"/>
  <c r="AD250" i="42"/>
  <c r="Q250" i="42" s="1"/>
  <c r="AD249" i="42"/>
  <c r="Q249" i="42" s="1"/>
  <c r="AD248" i="42"/>
  <c r="Q248" i="42" s="1"/>
  <c r="AD247" i="42"/>
  <c r="Q247" i="42" s="1"/>
  <c r="AD246" i="42"/>
  <c r="Q246" i="42" s="1"/>
  <c r="AD244" i="42"/>
  <c r="Q244" i="42" s="1"/>
  <c r="AD243" i="42"/>
  <c r="Q243" i="42" s="1"/>
  <c r="AD242" i="42"/>
  <c r="Q242" i="42" s="1"/>
  <c r="AD241" i="42"/>
  <c r="Q241" i="42" s="1"/>
  <c r="AD240" i="42"/>
  <c r="Q240" i="42" s="1"/>
  <c r="AD233" i="42"/>
  <c r="AD230" i="42"/>
  <c r="Q230" i="42" s="1"/>
  <c r="I93" i="53" s="1"/>
  <c r="AD229" i="42"/>
  <c r="Q229" i="42" s="1"/>
  <c r="I92" i="53" s="1"/>
  <c r="AD228" i="42"/>
  <c r="Q228" i="42" s="1"/>
  <c r="AD226" i="42"/>
  <c r="Q226" i="42" s="1"/>
  <c r="AD224" i="42"/>
  <c r="Q224" i="42" s="1"/>
  <c r="AD209" i="42"/>
  <c r="Q209" i="42" s="1"/>
  <c r="AD208" i="42"/>
  <c r="Q208" i="42" s="1"/>
  <c r="AD205" i="42"/>
  <c r="Q205" i="42" s="1"/>
  <c r="AD204" i="42"/>
  <c r="AD203" i="42"/>
  <c r="Q203" i="42" s="1"/>
  <c r="AD202" i="42"/>
  <c r="AD201" i="42"/>
  <c r="Q201" i="42" s="1"/>
  <c r="AD200" i="42"/>
  <c r="Q200" i="42" s="1"/>
  <c r="AD199" i="42"/>
  <c r="Q199" i="42" s="1"/>
  <c r="AD197" i="42"/>
  <c r="Q197" i="42" s="1"/>
  <c r="AD196" i="42"/>
  <c r="Q196" i="42" s="1"/>
  <c r="AD195" i="42"/>
  <c r="Q195" i="42" s="1"/>
  <c r="AD194" i="42"/>
  <c r="Q194" i="42" s="1"/>
  <c r="AD192" i="42"/>
  <c r="AD191" i="42"/>
  <c r="AD30" i="42" s="1"/>
  <c r="Q30" i="42" s="1"/>
  <c r="AD190" i="42"/>
  <c r="Q190" i="42" s="1"/>
  <c r="AD189" i="42"/>
  <c r="Q189" i="42" s="1"/>
  <c r="AD185" i="42"/>
  <c r="Q185" i="42" s="1"/>
  <c r="AD183" i="42"/>
  <c r="Q183" i="42" s="1"/>
  <c r="AD182" i="42"/>
  <c r="Q182" i="42" s="1"/>
  <c r="I166" i="53" s="1"/>
  <c r="AD181" i="42"/>
  <c r="Q181" i="42" s="1"/>
  <c r="AD180" i="42"/>
  <c r="Q180" i="42" s="1"/>
  <c r="AD179" i="42"/>
  <c r="Q179" i="42" s="1"/>
  <c r="AD178" i="42"/>
  <c r="Q178" i="42" s="1"/>
  <c r="AD166" i="42"/>
  <c r="Q166" i="42" s="1"/>
  <c r="AD165" i="42"/>
  <c r="Q165" i="42" s="1"/>
  <c r="AD164" i="42"/>
  <c r="Q164" i="42" s="1"/>
  <c r="H205" i="53" s="1"/>
  <c r="AD163" i="42"/>
  <c r="Q163" i="42" s="1"/>
  <c r="AD161" i="42"/>
  <c r="Q161" i="42" s="1"/>
  <c r="H204" i="53" s="1"/>
  <c r="AD160" i="42"/>
  <c r="Q160" i="42" s="1"/>
  <c r="AD158" i="42"/>
  <c r="Q158" i="42" s="1"/>
  <c r="H197" i="53" s="1"/>
  <c r="AD157" i="42"/>
  <c r="Q157" i="42" s="1"/>
  <c r="AD156" i="42"/>
  <c r="Q156" i="42" s="1"/>
  <c r="AD155" i="42"/>
  <c r="Q155" i="42" s="1"/>
  <c r="AD154" i="42"/>
  <c r="AD153" i="42"/>
  <c r="Q153" i="42" s="1"/>
  <c r="H201" i="53" s="1"/>
  <c r="AD152" i="42"/>
  <c r="Q152" i="42" s="1"/>
  <c r="H196" i="53" s="1"/>
  <c r="AD151" i="42"/>
  <c r="Q151" i="42" s="1"/>
  <c r="H203" i="53" s="1"/>
  <c r="AD150" i="42"/>
  <c r="Q150" i="42" s="1"/>
  <c r="H195" i="53" s="1"/>
  <c r="AD149" i="42"/>
  <c r="Q149" i="42" s="1"/>
  <c r="H200" i="53" s="1"/>
  <c r="AD148" i="42"/>
  <c r="Q148" i="42" s="1"/>
  <c r="H199" i="53" s="1"/>
  <c r="AD144" i="42"/>
  <c r="AD139" i="42"/>
  <c r="Q139" i="42" s="1"/>
  <c r="AD137" i="42"/>
  <c r="Q137" i="42" s="1"/>
  <c r="AD136" i="42"/>
  <c r="Q136" i="42" s="1"/>
  <c r="AD135" i="42"/>
  <c r="Q135" i="42" s="1"/>
  <c r="AD134" i="42"/>
  <c r="Q134" i="42" s="1"/>
  <c r="AD133" i="42"/>
  <c r="Q133" i="42" s="1"/>
  <c r="I121" i="53" s="1"/>
  <c r="AD130" i="42"/>
  <c r="Q130" i="42" s="1"/>
  <c r="AD129" i="42"/>
  <c r="Q129" i="42" s="1"/>
  <c r="AD128" i="42"/>
  <c r="Q128" i="42" s="1"/>
  <c r="AD127" i="42"/>
  <c r="Q127" i="42" s="1"/>
  <c r="AD125" i="42"/>
  <c r="Q125" i="42" s="1"/>
  <c r="AD124" i="42"/>
  <c r="Q124" i="42" s="1"/>
  <c r="AD123" i="42"/>
  <c r="Q123" i="42" s="1"/>
  <c r="AD122" i="42"/>
  <c r="Q122" i="42" s="1"/>
  <c r="AD121" i="42"/>
  <c r="Q121" i="42" s="1"/>
  <c r="AD120" i="42"/>
  <c r="Q120" i="42" s="1"/>
  <c r="AD119" i="42"/>
  <c r="Q119" i="42" s="1"/>
  <c r="AD118" i="42"/>
  <c r="Q118" i="42" s="1"/>
  <c r="AD117" i="42"/>
  <c r="Q117" i="42" s="1"/>
  <c r="I117" i="53" s="1"/>
  <c r="AD116" i="42"/>
  <c r="Q116" i="42" s="1"/>
  <c r="AD115" i="42"/>
  <c r="Q115" i="42" s="1"/>
  <c r="I131" i="53" s="1"/>
  <c r="AD114" i="42"/>
  <c r="Q114" i="42" s="1"/>
  <c r="AD113" i="42"/>
  <c r="Q113" i="42" s="1"/>
  <c r="AD111" i="42"/>
  <c r="Q111" i="42" s="1"/>
  <c r="AD110" i="42"/>
  <c r="Q110" i="42" s="1"/>
  <c r="AD109" i="42"/>
  <c r="Q109" i="42" s="1"/>
  <c r="AD108" i="42"/>
  <c r="Q108" i="42" s="1"/>
  <c r="AD107" i="42"/>
  <c r="Q107" i="42" s="1"/>
  <c r="AD106" i="42"/>
  <c r="Q106" i="42" s="1"/>
  <c r="AD105" i="42"/>
  <c r="Q105" i="42" s="1"/>
  <c r="AD104" i="42"/>
  <c r="Q104" i="42" s="1"/>
  <c r="AD103" i="42"/>
  <c r="Q103" i="42" s="1"/>
  <c r="AD101" i="42"/>
  <c r="Q101" i="42" s="1"/>
  <c r="AD100" i="42"/>
  <c r="Q100" i="42" s="1"/>
  <c r="AD99" i="42"/>
  <c r="Q99" i="42" s="1"/>
  <c r="AD98" i="42"/>
  <c r="Q98" i="42" s="1"/>
  <c r="AD97" i="42"/>
  <c r="Q97" i="42" s="1"/>
  <c r="AD96" i="42"/>
  <c r="Q96" i="42" s="1"/>
  <c r="AD95" i="42"/>
  <c r="Q95" i="42" s="1"/>
  <c r="AD94" i="42"/>
  <c r="Q94" i="42" s="1"/>
  <c r="AD93" i="42"/>
  <c r="Q93" i="42" s="1"/>
  <c r="AD84" i="42"/>
  <c r="Q84" i="42" s="1"/>
  <c r="I28" i="60" s="1"/>
  <c r="AD82" i="42"/>
  <c r="Q82" i="42" s="1"/>
  <c r="AD81" i="42"/>
  <c r="Q81" i="42" s="1"/>
  <c r="AD80" i="42"/>
  <c r="Q80" i="42" s="1"/>
  <c r="AD79" i="42"/>
  <c r="Q79" i="42" s="1"/>
  <c r="AD78" i="42"/>
  <c r="Q78" i="42" s="1"/>
  <c r="AD77" i="42"/>
  <c r="Q77" i="42" s="1"/>
  <c r="AD76" i="42"/>
  <c r="AD75" i="42"/>
  <c r="Q75" i="42" s="1"/>
  <c r="AD74" i="42"/>
  <c r="Q74" i="42" s="1"/>
  <c r="AD73" i="42"/>
  <c r="Q73" i="42" s="1"/>
  <c r="AD72" i="42"/>
  <c r="Q72" i="42" s="1"/>
  <c r="AD68" i="42"/>
  <c r="Q68" i="42" s="1"/>
  <c r="AD67" i="42"/>
  <c r="Q67" i="42" s="1"/>
  <c r="AD66" i="42"/>
  <c r="AD64" i="42"/>
  <c r="Q64" i="42" s="1"/>
  <c r="AD63" i="42"/>
  <c r="Q63" i="42" s="1"/>
  <c r="AD61" i="42"/>
  <c r="Q61" i="42" s="1"/>
  <c r="AD60" i="42"/>
  <c r="Q60" i="42" s="1"/>
  <c r="I113" i="53" s="1"/>
  <c r="AD58" i="42"/>
  <c r="AD26" i="42" s="1"/>
  <c r="Q26" i="42" s="1"/>
  <c r="AD57" i="42"/>
  <c r="Q57" i="42" s="1"/>
  <c r="AG352" i="42" s="1"/>
  <c r="R352" i="42" s="1"/>
  <c r="AD7" i="42"/>
  <c r="AD364" i="42"/>
  <c r="Q364" i="42" s="1"/>
  <c r="AD363" i="42"/>
  <c r="Q363" i="42" s="1"/>
  <c r="AD347" i="42"/>
  <c r="Q347" i="42" s="1"/>
  <c r="T117" i="55" s="1"/>
  <c r="AD334" i="42"/>
  <c r="AD336" i="42" s="1"/>
  <c r="Q336" i="42" s="1"/>
  <c r="T107" i="55" s="1"/>
  <c r="AD333" i="42"/>
  <c r="Q333" i="42" s="1"/>
  <c r="AD324" i="42"/>
  <c r="Q324" i="42" s="1"/>
  <c r="AD323" i="42"/>
  <c r="Q323" i="42" s="1"/>
  <c r="AD322" i="42"/>
  <c r="Q322" i="42" s="1"/>
  <c r="AD348" i="42"/>
  <c r="Q348" i="42" s="1"/>
  <c r="I124" i="67" s="1"/>
  <c r="AD299" i="42"/>
  <c r="AD365" i="42" s="1"/>
  <c r="AD301" i="42"/>
  <c r="Q301" i="42" s="1"/>
  <c r="AD286" i="42"/>
  <c r="Q286" i="42" s="1"/>
  <c r="AD292" i="42"/>
  <c r="Q292" i="42" s="1"/>
  <c r="AD346" i="42"/>
  <c r="Q346" i="42" s="1"/>
  <c r="I178" i="53" s="1"/>
  <c r="AD359" i="42"/>
  <c r="AD44" i="42"/>
  <c r="Q44" i="42" s="1"/>
  <c r="AD22" i="42"/>
  <c r="Q22" i="42" s="1"/>
  <c r="AD19" i="42"/>
  <c r="AD12" i="42"/>
  <c r="Q12" i="42" s="1"/>
  <c r="I46" i="60" l="1"/>
  <c r="I71" i="60" s="1"/>
  <c r="AG367" i="42"/>
  <c r="R367" i="42" s="1"/>
  <c r="I114" i="67"/>
  <c r="I86" i="60"/>
  <c r="K78" i="48"/>
  <c r="I87" i="60"/>
  <c r="I17" i="60" s="1"/>
  <c r="K15" i="48"/>
  <c r="I88" i="60"/>
  <c r="K79" i="48"/>
  <c r="I85" i="60"/>
  <c r="J85" i="60" s="1"/>
  <c r="K77" i="48"/>
  <c r="I122" i="67"/>
  <c r="K16" i="48"/>
  <c r="K84" i="48"/>
  <c r="J86" i="60"/>
  <c r="K86" i="60" s="1"/>
  <c r="L86" i="60" s="1"/>
  <c r="AD27" i="42"/>
  <c r="Q27" i="42" s="1"/>
  <c r="AD223" i="42"/>
  <c r="I180" i="53"/>
  <c r="I120" i="67"/>
  <c r="I72" i="60"/>
  <c r="I169" i="53"/>
  <c r="J248" i="48"/>
  <c r="T103" i="55"/>
  <c r="K135" i="48"/>
  <c r="AD85" i="42"/>
  <c r="Q85" i="42" s="1"/>
  <c r="I135" i="53" s="1"/>
  <c r="J131" i="53" s="1"/>
  <c r="I60" i="60"/>
  <c r="F32" i="59" s="1"/>
  <c r="E71" i="59" s="1"/>
  <c r="I168" i="53"/>
  <c r="I84" i="53"/>
  <c r="AE352" i="42"/>
  <c r="AF352" i="42"/>
  <c r="I27" i="60"/>
  <c r="I123" i="53"/>
  <c r="J123" i="53" s="1"/>
  <c r="I41" i="53"/>
  <c r="I34" i="60"/>
  <c r="AF367" i="42"/>
  <c r="L100" i="52" s="1"/>
  <c r="AE367" i="42"/>
  <c r="I167" i="53"/>
  <c r="H206" i="53"/>
  <c r="I42" i="53"/>
  <c r="I165" i="53"/>
  <c r="L214" i="48"/>
  <c r="AD89" i="42"/>
  <c r="Q89" i="42" s="1"/>
  <c r="I132" i="53" s="1"/>
  <c r="AD90" i="42"/>
  <c r="Q90" i="42" s="1"/>
  <c r="I133" i="53" s="1"/>
  <c r="AD69" i="42"/>
  <c r="Q69" i="42" s="1"/>
  <c r="AD88" i="42"/>
  <c r="Q88" i="42" s="1"/>
  <c r="I129" i="53" s="1"/>
  <c r="AD62" i="42"/>
  <c r="Q62" i="42" s="1"/>
  <c r="I114" i="53"/>
  <c r="I130" i="60"/>
  <c r="J28" i="60"/>
  <c r="J40" i="60" s="1"/>
  <c r="I29" i="60"/>
  <c r="I134" i="60" s="1"/>
  <c r="H144" i="53"/>
  <c r="I144" i="53"/>
  <c r="I118" i="53"/>
  <c r="H141" i="53"/>
  <c r="I119" i="53"/>
  <c r="I141" i="53"/>
  <c r="I120" i="53"/>
  <c r="I142" i="53"/>
  <c r="H142" i="53"/>
  <c r="I75" i="60"/>
  <c r="J75" i="60" s="1"/>
  <c r="I151" i="53"/>
  <c r="I78" i="60"/>
  <c r="I149" i="53"/>
  <c r="I90" i="60"/>
  <c r="I175" i="53"/>
  <c r="T120" i="55"/>
  <c r="I211" i="53"/>
  <c r="I92" i="60"/>
  <c r="I176" i="53"/>
  <c r="I95" i="60"/>
  <c r="F39" i="59" s="1"/>
  <c r="E72" i="59" s="1"/>
  <c r="I179" i="53"/>
  <c r="AD254" i="42"/>
  <c r="Q254" i="42" s="1"/>
  <c r="I73" i="53" s="1"/>
  <c r="AD29" i="42"/>
  <c r="Q29" i="42" s="1"/>
  <c r="AD28" i="42"/>
  <c r="Q28" i="42" s="1"/>
  <c r="AD207" i="42"/>
  <c r="Q207" i="42" s="1"/>
  <c r="AD198" i="42"/>
  <c r="Q198" i="42" s="1"/>
  <c r="I45" i="53" s="1"/>
  <c r="I55" i="60"/>
  <c r="J55" i="60" s="1"/>
  <c r="I79" i="53"/>
  <c r="I95" i="53"/>
  <c r="J93" i="53" s="1"/>
  <c r="I58" i="60"/>
  <c r="F31" i="59" s="1"/>
  <c r="I83" i="53"/>
  <c r="Q204" i="42"/>
  <c r="AD206" i="42"/>
  <c r="Q206" i="42" s="1"/>
  <c r="I72" i="53" s="1"/>
  <c r="I117" i="60"/>
  <c r="I118" i="60" s="1"/>
  <c r="J98" i="60"/>
  <c r="J99" i="60" s="1"/>
  <c r="J100" i="60"/>
  <c r="I142" i="60"/>
  <c r="F7" i="59"/>
  <c r="AD193" i="42"/>
  <c r="Q193" i="42" s="1"/>
  <c r="I46" i="53" s="1"/>
  <c r="AD86" i="42"/>
  <c r="Q86" i="42" s="1"/>
  <c r="AD239" i="42"/>
  <c r="Q239" i="42" s="1"/>
  <c r="AD71" i="42"/>
  <c r="Q71" i="42" s="1"/>
  <c r="AD159" i="42"/>
  <c r="Q159" i="42" s="1"/>
  <c r="H202" i="53" s="1"/>
  <c r="AD142" i="42"/>
  <c r="Q142" i="42" s="1"/>
  <c r="AD143" i="42"/>
  <c r="AD357" i="42" s="1"/>
  <c r="Q357" i="42" s="1"/>
  <c r="AD351" i="42"/>
  <c r="Q351" i="42" s="1"/>
  <c r="AD245" i="42"/>
  <c r="Q245" i="42" s="1"/>
  <c r="AD368" i="42"/>
  <c r="Q368" i="42" s="1"/>
  <c r="I123" i="67" s="1"/>
  <c r="AD147" i="42"/>
  <c r="Q147" i="42" s="1"/>
  <c r="AD340" i="42"/>
  <c r="Q340" i="42" s="1"/>
  <c r="I118" i="67" s="1"/>
  <c r="Q191" i="42"/>
  <c r="Q19" i="42"/>
  <c r="Q144" i="42"/>
  <c r="Q192" i="42"/>
  <c r="Q154" i="42"/>
  <c r="Q202" i="42"/>
  <c r="Q66" i="42"/>
  <c r="AD87" i="42"/>
  <c r="Q87" i="42" s="1"/>
  <c r="AD131" i="42"/>
  <c r="Q131" i="42" s="1"/>
  <c r="AD162" i="42"/>
  <c r="Q162" i="42" s="1"/>
  <c r="Q76" i="42"/>
  <c r="Q233" i="42"/>
  <c r="I56" i="60" s="1"/>
  <c r="Q58" i="42"/>
  <c r="AG353" i="42" s="1"/>
  <c r="R353" i="42" s="1"/>
  <c r="Q334" i="42"/>
  <c r="AD335" i="42"/>
  <c r="Q335" i="42" s="1"/>
  <c r="AD325" i="42"/>
  <c r="Q325" i="42" s="1"/>
  <c r="T108" i="55" s="1"/>
  <c r="I104" i="60"/>
  <c r="AD349" i="42"/>
  <c r="Q349" i="42" s="1"/>
  <c r="Q365" i="42"/>
  <c r="Q299" i="42"/>
  <c r="Q359" i="42"/>
  <c r="I80" i="60" s="1"/>
  <c r="I140" i="60"/>
  <c r="I128" i="60"/>
  <c r="AD358" i="42"/>
  <c r="AD146" i="42"/>
  <c r="Q146" i="42" s="1"/>
  <c r="AD309" i="42"/>
  <c r="Q309" i="42" s="1"/>
  <c r="AD300" i="42"/>
  <c r="Q300" i="42" s="1"/>
  <c r="AD341" i="42"/>
  <c r="Q341" i="42" s="1"/>
  <c r="AD293" i="42"/>
  <c r="AD345" i="42"/>
  <c r="AD366" i="42"/>
  <c r="AD140" i="42"/>
  <c r="Q140" i="42" s="1"/>
  <c r="AD25" i="42"/>
  <c r="Q25" i="42" s="1"/>
  <c r="AD343" i="42"/>
  <c r="Q343" i="42" s="1"/>
  <c r="AE684" i="24"/>
  <c r="AE683" i="24"/>
  <c r="AE670" i="24"/>
  <c r="AE655" i="24"/>
  <c r="AE654" i="24"/>
  <c r="AE653" i="24"/>
  <c r="AE652" i="24"/>
  <c r="AE651" i="24"/>
  <c r="AE649" i="24"/>
  <c r="AE648" i="24"/>
  <c r="AE647" i="24"/>
  <c r="AE646" i="24"/>
  <c r="AE645" i="24"/>
  <c r="AE641" i="24"/>
  <c r="AE669" i="24" s="1"/>
  <c r="AE640" i="24"/>
  <c r="AE639" i="24"/>
  <c r="AE627" i="24"/>
  <c r="AE626" i="24"/>
  <c r="AE624" i="24"/>
  <c r="AE623" i="24"/>
  <c r="AE622" i="24"/>
  <c r="AE621" i="24"/>
  <c r="AE620" i="24"/>
  <c r="AE619" i="24"/>
  <c r="AE618" i="24"/>
  <c r="AE617" i="24"/>
  <c r="AE616" i="24"/>
  <c r="AE605" i="24"/>
  <c r="AE604" i="24"/>
  <c r="AE603" i="24"/>
  <c r="AE602" i="24"/>
  <c r="AE601" i="24"/>
  <c r="AE600" i="24"/>
  <c r="AE598" i="24"/>
  <c r="AE597" i="24"/>
  <c r="AE596" i="24"/>
  <c r="AE595" i="24"/>
  <c r="AE613" i="24"/>
  <c r="AE612" i="24"/>
  <c r="AE611" i="24"/>
  <c r="AE610" i="24"/>
  <c r="AE609" i="24"/>
  <c r="AE608" i="24"/>
  <c r="AE634" i="24"/>
  <c r="AE633" i="24"/>
  <c r="AE591" i="24"/>
  <c r="AE590" i="24"/>
  <c r="AE589" i="24"/>
  <c r="AE588" i="24"/>
  <c r="AE632" i="24"/>
  <c r="AE586" i="24"/>
  <c r="AE637" i="24"/>
  <c r="AE636" i="24"/>
  <c r="AE631" i="24"/>
  <c r="AE585" i="24"/>
  <c r="AE584" i="24"/>
  <c r="AE576" i="24"/>
  <c r="AE575" i="24"/>
  <c r="AE574" i="24"/>
  <c r="AE573" i="24"/>
  <c r="AE571" i="24"/>
  <c r="AE570" i="24"/>
  <c r="AE569" i="24"/>
  <c r="AE568" i="24"/>
  <c r="AE566" i="24"/>
  <c r="AD227" i="42" s="1"/>
  <c r="Q227" i="42" s="1"/>
  <c r="AE564" i="24"/>
  <c r="AE563" i="24"/>
  <c r="AE561" i="24"/>
  <c r="AE560" i="24"/>
  <c r="AE558" i="24"/>
  <c r="AE557" i="24"/>
  <c r="AE555" i="24"/>
  <c r="AE554" i="24"/>
  <c r="AE553" i="24"/>
  <c r="AE551" i="24"/>
  <c r="AE550" i="24"/>
  <c r="AE548" i="24"/>
  <c r="AE547" i="24"/>
  <c r="AE546" i="24"/>
  <c r="AE545" i="24"/>
  <c r="AE543" i="24"/>
  <c r="AE542" i="24"/>
  <c r="AE541" i="24"/>
  <c r="AE540" i="24"/>
  <c r="AE539" i="24"/>
  <c r="AE538" i="24"/>
  <c r="AE537" i="24"/>
  <c r="AE536" i="24"/>
  <c r="AE535" i="24"/>
  <c r="AE534" i="24"/>
  <c r="AE532" i="24"/>
  <c r="AE531" i="24"/>
  <c r="AE530" i="24"/>
  <c r="AE529" i="24"/>
  <c r="AE528" i="24"/>
  <c r="AE527" i="24"/>
  <c r="AE524" i="24"/>
  <c r="AE523" i="24"/>
  <c r="AE522" i="24"/>
  <c r="AE521" i="24"/>
  <c r="AE519" i="24"/>
  <c r="AE518" i="24"/>
  <c r="AE517" i="24"/>
  <c r="AE516" i="24"/>
  <c r="AE514" i="24"/>
  <c r="AE513" i="24"/>
  <c r="AE512" i="24"/>
  <c r="AE511" i="24"/>
  <c r="AE510" i="24"/>
  <c r="AE508" i="24"/>
  <c r="AE507" i="24"/>
  <c r="AE506" i="24"/>
  <c r="AE505" i="24"/>
  <c r="AE504" i="24"/>
  <c r="AD214" i="42" s="1"/>
  <c r="Q214" i="42" s="1"/>
  <c r="H55" i="53" s="1"/>
  <c r="AE503" i="24"/>
  <c r="AE502" i="24"/>
  <c r="AE501" i="24"/>
  <c r="AD213" i="42" s="1"/>
  <c r="Q213" i="42" s="1"/>
  <c r="H54" i="53" s="1"/>
  <c r="AE500" i="24"/>
  <c r="AE499" i="24"/>
  <c r="AE496" i="24"/>
  <c r="AE495" i="24"/>
  <c r="AE494" i="24"/>
  <c r="AE493" i="24"/>
  <c r="AE492" i="24"/>
  <c r="AE484" i="24"/>
  <c r="AE483" i="24"/>
  <c r="AE482" i="24"/>
  <c r="AE481" i="24"/>
  <c r="AE480" i="24"/>
  <c r="AE479" i="24"/>
  <c r="AE478" i="24"/>
  <c r="AE477" i="24"/>
  <c r="AE476" i="24"/>
  <c r="AE475" i="24"/>
  <c r="AE474" i="24"/>
  <c r="AE473" i="24"/>
  <c r="AE472" i="24"/>
  <c r="AE471" i="24"/>
  <c r="AE470" i="24"/>
  <c r="AE469" i="24"/>
  <c r="AE468" i="24"/>
  <c r="AE467" i="24"/>
  <c r="AE466" i="24"/>
  <c r="AE465" i="24"/>
  <c r="AE464" i="24"/>
  <c r="AE463" i="24"/>
  <c r="AE462" i="24"/>
  <c r="AE461" i="24"/>
  <c r="AE460" i="24"/>
  <c r="AE459" i="24"/>
  <c r="AE458" i="24"/>
  <c r="AE15" i="24"/>
  <c r="AE4" i="24"/>
  <c r="AE5" i="24" s="1"/>
  <c r="AE3" i="24"/>
  <c r="AE13" i="24" s="1"/>
  <c r="AE526" i="22"/>
  <c r="AE525" i="22"/>
  <c r="AE524" i="22"/>
  <c r="AE523" i="22"/>
  <c r="AE522" i="22" s="1"/>
  <c r="AE519" i="22"/>
  <c r="AE518" i="22"/>
  <c r="AE517" i="22"/>
  <c r="AE516" i="22"/>
  <c r="AE515" i="22"/>
  <c r="AE514" i="22"/>
  <c r="AE513" i="22"/>
  <c r="AE511" i="22"/>
  <c r="AE510" i="22"/>
  <c r="AE509" i="22"/>
  <c r="AE505" i="22"/>
  <c r="AE504" i="22"/>
  <c r="AE503" i="22"/>
  <c r="AE502" i="22"/>
  <c r="AE501" i="22"/>
  <c r="AE500" i="22"/>
  <c r="AE499" i="22"/>
  <c r="AE498" i="22"/>
  <c r="AE496" i="22"/>
  <c r="AE495" i="22"/>
  <c r="AE493" i="22"/>
  <c r="AD171" i="42" s="1"/>
  <c r="Q171" i="42" s="1"/>
  <c r="AE492" i="22"/>
  <c r="AD170" i="42" s="1"/>
  <c r="AE484" i="22"/>
  <c r="AE483" i="22"/>
  <c r="AE482" i="22"/>
  <c r="AE481" i="22"/>
  <c r="AE480" i="22"/>
  <c r="AE479" i="22"/>
  <c r="AE478" i="22"/>
  <c r="AE477" i="22"/>
  <c r="AE476" i="22"/>
  <c r="AE475" i="22"/>
  <c r="AE474" i="22"/>
  <c r="AE473" i="22"/>
  <c r="AE472" i="22"/>
  <c r="AE471" i="22"/>
  <c r="AE470" i="22"/>
  <c r="AE469" i="22"/>
  <c r="AE468" i="22"/>
  <c r="AE467" i="22"/>
  <c r="AE466" i="22"/>
  <c r="AE465" i="22"/>
  <c r="AE464" i="22"/>
  <c r="AE3" i="22"/>
  <c r="AE7" i="22" s="1"/>
  <c r="AE635" i="24" l="1"/>
  <c r="K85" i="60"/>
  <c r="J88" i="60"/>
  <c r="J87" i="60" s="1"/>
  <c r="J101" i="60"/>
  <c r="I91" i="60"/>
  <c r="I165" i="60" s="1"/>
  <c r="F27" i="59"/>
  <c r="I9" i="60"/>
  <c r="L99" i="52"/>
  <c r="J116" i="67"/>
  <c r="Q223" i="42"/>
  <c r="AD356" i="42"/>
  <c r="Q356" i="42" s="1"/>
  <c r="I117" i="67" s="1"/>
  <c r="E7" i="66"/>
  <c r="J117" i="53"/>
  <c r="J120" i="53"/>
  <c r="J113" i="53"/>
  <c r="J118" i="53"/>
  <c r="J114" i="53"/>
  <c r="L74" i="48"/>
  <c r="I19" i="60"/>
  <c r="F40" i="59" s="1"/>
  <c r="J119" i="53"/>
  <c r="L53" i="48"/>
  <c r="J121" i="53"/>
  <c r="J27" i="60"/>
  <c r="J5" i="66" s="1"/>
  <c r="G5" i="66" s="1"/>
  <c r="E5" i="66"/>
  <c r="L304" i="48"/>
  <c r="I36" i="60"/>
  <c r="F26" i="59"/>
  <c r="E69" i="59" s="1"/>
  <c r="L13" i="48"/>
  <c r="AE353" i="42"/>
  <c r="AF353" i="42"/>
  <c r="I93" i="60"/>
  <c r="Q170" i="42"/>
  <c r="AD172" i="42"/>
  <c r="Q172" i="42" s="1"/>
  <c r="AE512" i="22"/>
  <c r="J129" i="53"/>
  <c r="J141" i="53"/>
  <c r="J133" i="53"/>
  <c r="J132" i="53"/>
  <c r="I122" i="53"/>
  <c r="J122" i="53" s="1"/>
  <c r="I37" i="60"/>
  <c r="I152" i="60" s="1"/>
  <c r="I33" i="60"/>
  <c r="H198" i="53"/>
  <c r="I96" i="60"/>
  <c r="J144" i="53"/>
  <c r="I143" i="53"/>
  <c r="J143" i="53" s="1"/>
  <c r="H143" i="53"/>
  <c r="J29" i="60"/>
  <c r="AD167" i="42"/>
  <c r="AD168" i="42" s="1"/>
  <c r="Q168" i="42" s="1"/>
  <c r="I94" i="60"/>
  <c r="I18" i="60" s="1"/>
  <c r="I32" i="60"/>
  <c r="H193" i="53"/>
  <c r="I116" i="53"/>
  <c r="J116" i="53" s="1"/>
  <c r="I130" i="53"/>
  <c r="J130" i="53" s="1"/>
  <c r="I35" i="60"/>
  <c r="I30" i="60"/>
  <c r="I181" i="53"/>
  <c r="T118" i="55"/>
  <c r="I128" i="53"/>
  <c r="J128" i="53" s="1"/>
  <c r="I115" i="53"/>
  <c r="J115" i="53" s="1"/>
  <c r="J142" i="53"/>
  <c r="J135" i="53"/>
  <c r="T115" i="55"/>
  <c r="I152" i="53"/>
  <c r="I102" i="60"/>
  <c r="I105" i="60" s="1"/>
  <c r="E11" i="66" s="1"/>
  <c r="I213" i="53"/>
  <c r="I79" i="60"/>
  <c r="T121" i="55"/>
  <c r="I212" i="53"/>
  <c r="T114" i="55"/>
  <c r="I153" i="53"/>
  <c r="AE625" i="24"/>
  <c r="AE615" i="24" s="1"/>
  <c r="AE665" i="24" s="1"/>
  <c r="AE556" i="24"/>
  <c r="AE630" i="24"/>
  <c r="AE629" i="24" s="1"/>
  <c r="AE594" i="24"/>
  <c r="AE11" i="24"/>
  <c r="AE6" i="24" s="1"/>
  <c r="AE520" i="24"/>
  <c r="AD215" i="42" s="1"/>
  <c r="Q215" i="42" s="1"/>
  <c r="AE544" i="24"/>
  <c r="AE583" i="24"/>
  <c r="AE552" i="24"/>
  <c r="AD220" i="42" s="1"/>
  <c r="Q220" i="42" s="1"/>
  <c r="I77" i="53" s="1"/>
  <c r="AE607" i="24"/>
  <c r="AE664" i="24" s="1"/>
  <c r="AE599" i="24"/>
  <c r="AD225" i="42"/>
  <c r="Q225" i="42" s="1"/>
  <c r="I91" i="53" s="1"/>
  <c r="I94" i="53" s="1"/>
  <c r="J94" i="53" s="1"/>
  <c r="AE549" i="24"/>
  <c r="AE572" i="24"/>
  <c r="AE498" i="24"/>
  <c r="AE525" i="24"/>
  <c r="AE565" i="24"/>
  <c r="I61" i="60"/>
  <c r="I160" i="60" s="1"/>
  <c r="J92" i="53"/>
  <c r="AD238" i="42"/>
  <c r="Q238" i="42" s="1"/>
  <c r="I80" i="53" s="1"/>
  <c r="J95" i="53"/>
  <c r="I120" i="60"/>
  <c r="I44" i="53"/>
  <c r="I82" i="53"/>
  <c r="F30" i="59"/>
  <c r="I144" i="60"/>
  <c r="F9" i="59"/>
  <c r="I84" i="60"/>
  <c r="I21" i="60"/>
  <c r="F42" i="59"/>
  <c r="Q143" i="42"/>
  <c r="H194" i="53" s="1"/>
  <c r="AD350" i="42"/>
  <c r="Q350" i="42" s="1"/>
  <c r="Q358" i="42"/>
  <c r="I57" i="60"/>
  <c r="AD344" i="42"/>
  <c r="Q344" i="42" s="1"/>
  <c r="I119" i="67" s="1"/>
  <c r="Q345" i="42"/>
  <c r="AD342" i="42"/>
  <c r="Q342" i="42" s="1"/>
  <c r="Q293" i="42"/>
  <c r="AE8" i="24"/>
  <c r="AE559" i="24"/>
  <c r="AE509" i="24"/>
  <c r="AE526" i="24"/>
  <c r="AD218" i="42" s="1"/>
  <c r="Q218" i="42" s="1"/>
  <c r="I75" i="53" s="1"/>
  <c r="AE9" i="24"/>
  <c r="AE650" i="24"/>
  <c r="AE533" i="24"/>
  <c r="AD219" i="42" s="1"/>
  <c r="Q219" i="42" s="1"/>
  <c r="I76" i="53" s="1"/>
  <c r="AE644" i="24"/>
  <c r="AE497" i="24"/>
  <c r="AE567" i="24"/>
  <c r="AE12" i="24"/>
  <c r="AE508" i="22"/>
  <c r="AE520" i="22" s="1"/>
  <c r="AD176" i="42" s="1"/>
  <c r="Q176" i="42" s="1"/>
  <c r="I216" i="53" s="1"/>
  <c r="AE497" i="22"/>
  <c r="AE506" i="22"/>
  <c r="AD175" i="42" s="1"/>
  <c r="AE5" i="22"/>
  <c r="AE9" i="22"/>
  <c r="AE8" i="22"/>
  <c r="AE10" i="22" s="1"/>
  <c r="AE4" i="22" s="1"/>
  <c r="Y366" i="42"/>
  <c r="Y365" i="42"/>
  <c r="Y349" i="42" s="1"/>
  <c r="Y359" i="42"/>
  <c r="Y343" i="42" s="1"/>
  <c r="Y348" i="42"/>
  <c r="Y347" i="42"/>
  <c r="Y346" i="42"/>
  <c r="Y342" i="42"/>
  <c r="Y341" i="42"/>
  <c r="N51" i="48"/>
  <c r="N50" i="48"/>
  <c r="N41" i="48"/>
  <c r="AB364" i="42"/>
  <c r="AA364" i="42"/>
  <c r="AC364" i="42"/>
  <c r="AB363" i="42"/>
  <c r="AA363" i="42"/>
  <c r="AC363" i="42"/>
  <c r="Y7" i="42"/>
  <c r="W256" i="42"/>
  <c r="W255" i="42"/>
  <c r="W253" i="42"/>
  <c r="W252" i="42"/>
  <c r="W250" i="42"/>
  <c r="W249" i="42"/>
  <c r="W248" i="42"/>
  <c r="W247" i="42"/>
  <c r="W246" i="42"/>
  <c r="W244" i="42"/>
  <c r="W243" i="42"/>
  <c r="W242" i="42"/>
  <c r="W241" i="42"/>
  <c r="W240" i="42"/>
  <c r="W233" i="42"/>
  <c r="W230" i="42"/>
  <c r="W229" i="42"/>
  <c r="W228" i="42"/>
  <c r="W226" i="42"/>
  <c r="W224" i="42"/>
  <c r="W209" i="42"/>
  <c r="W208" i="42"/>
  <c r="W205" i="42"/>
  <c r="W204" i="42"/>
  <c r="W203" i="42"/>
  <c r="W202" i="42"/>
  <c r="W201" i="42"/>
  <c r="W200" i="42"/>
  <c r="W199" i="42"/>
  <c r="W197" i="42"/>
  <c r="W196" i="42"/>
  <c r="W195" i="42"/>
  <c r="W194" i="42"/>
  <c r="W192" i="42"/>
  <c r="W191" i="42"/>
  <c r="W190" i="42"/>
  <c r="W189" i="42"/>
  <c r="W185" i="42"/>
  <c r="W183" i="42"/>
  <c r="W182" i="42"/>
  <c r="W181" i="42"/>
  <c r="W180" i="42"/>
  <c r="W179" i="42"/>
  <c r="W178" i="42"/>
  <c r="W166" i="42"/>
  <c r="W165" i="42"/>
  <c r="W164" i="42"/>
  <c r="W163" i="42"/>
  <c r="W161" i="42"/>
  <c r="W160" i="42"/>
  <c r="W158" i="42"/>
  <c r="W157" i="42"/>
  <c r="W156" i="42"/>
  <c r="W155" i="42"/>
  <c r="W154" i="42"/>
  <c r="W153" i="42"/>
  <c r="W152" i="42"/>
  <c r="W151" i="42"/>
  <c r="W150" i="42"/>
  <c r="W149" i="42"/>
  <c r="W148" i="42"/>
  <c r="W144" i="42"/>
  <c r="W139" i="42"/>
  <c r="W137" i="42"/>
  <c r="W136" i="42"/>
  <c r="W135" i="42"/>
  <c r="W134" i="42"/>
  <c r="W133" i="42"/>
  <c r="W130" i="42"/>
  <c r="W129" i="42"/>
  <c r="W128" i="42"/>
  <c r="W127" i="42"/>
  <c r="W125" i="42"/>
  <c r="W124" i="42"/>
  <c r="W123" i="42"/>
  <c r="W122" i="42"/>
  <c r="W121" i="42"/>
  <c r="W120" i="42"/>
  <c r="W119" i="42"/>
  <c r="W118" i="42"/>
  <c r="W117" i="42"/>
  <c r="W116" i="42"/>
  <c r="W115" i="42"/>
  <c r="W114" i="42"/>
  <c r="W113" i="42"/>
  <c r="W111" i="42"/>
  <c r="W110" i="42"/>
  <c r="W109" i="42"/>
  <c r="W108" i="42"/>
  <c r="W107" i="42"/>
  <c r="W106" i="42"/>
  <c r="W105" i="42"/>
  <c r="W104" i="42"/>
  <c r="W103" i="42"/>
  <c r="W101" i="42"/>
  <c r="W100" i="42"/>
  <c r="W99" i="42"/>
  <c r="W98" i="42"/>
  <c r="W97" i="42"/>
  <c r="W96" i="42"/>
  <c r="W95" i="42"/>
  <c r="W94" i="42"/>
  <c r="W93" i="42"/>
  <c r="W84" i="42"/>
  <c r="W82" i="42"/>
  <c r="W81" i="42"/>
  <c r="W80" i="42"/>
  <c r="W79" i="42"/>
  <c r="W78" i="42"/>
  <c r="W77" i="42"/>
  <c r="W76" i="42"/>
  <c r="W75" i="42"/>
  <c r="W74" i="42"/>
  <c r="W73" i="42"/>
  <c r="W72" i="42"/>
  <c r="W68" i="42"/>
  <c r="W67" i="42"/>
  <c r="W66" i="42"/>
  <c r="W64" i="42"/>
  <c r="W63" i="42"/>
  <c r="W61" i="42"/>
  <c r="W60" i="42"/>
  <c r="W58" i="42"/>
  <c r="W57" i="42"/>
  <c r="X256" i="42"/>
  <c r="X255" i="42"/>
  <c r="X253" i="42"/>
  <c r="X252" i="42"/>
  <c r="X250" i="42"/>
  <c r="X249" i="42"/>
  <c r="X248" i="42"/>
  <c r="X247" i="42"/>
  <c r="X246" i="42"/>
  <c r="X244" i="42"/>
  <c r="X243" i="42"/>
  <c r="X242" i="42"/>
  <c r="X241" i="42"/>
  <c r="X240" i="42"/>
  <c r="X233" i="42"/>
  <c r="X230" i="42"/>
  <c r="X229" i="42"/>
  <c r="X228" i="42"/>
  <c r="X226" i="42"/>
  <c r="X224" i="42"/>
  <c r="X209" i="42"/>
  <c r="X208" i="42"/>
  <c r="X205" i="42"/>
  <c r="X204" i="42"/>
  <c r="X203" i="42"/>
  <c r="X202" i="42"/>
  <c r="X201" i="42"/>
  <c r="X200" i="42"/>
  <c r="X199" i="42"/>
  <c r="X197" i="42"/>
  <c r="X196" i="42"/>
  <c r="X195" i="42"/>
  <c r="X194" i="42"/>
  <c r="X192" i="42"/>
  <c r="X191" i="42"/>
  <c r="X190" i="42"/>
  <c r="X189" i="42"/>
  <c r="X185" i="42"/>
  <c r="X183" i="42"/>
  <c r="X182" i="42"/>
  <c r="X181" i="42"/>
  <c r="X180" i="42"/>
  <c r="X179" i="42"/>
  <c r="X178" i="42"/>
  <c r="X166" i="42"/>
  <c r="X165" i="42"/>
  <c r="X164" i="42"/>
  <c r="X163" i="42"/>
  <c r="X161" i="42"/>
  <c r="X160" i="42"/>
  <c r="X158" i="42"/>
  <c r="X157" i="42"/>
  <c r="X156" i="42"/>
  <c r="X155" i="42"/>
  <c r="X154" i="42"/>
  <c r="X153" i="42"/>
  <c r="X152" i="42"/>
  <c r="X151" i="42"/>
  <c r="X150" i="42"/>
  <c r="X149" i="42"/>
  <c r="X148" i="42"/>
  <c r="X144" i="42"/>
  <c r="X139" i="42"/>
  <c r="X137" i="42"/>
  <c r="X136" i="42"/>
  <c r="X135" i="42"/>
  <c r="X134" i="42"/>
  <c r="X133" i="42"/>
  <c r="X130" i="42"/>
  <c r="X129" i="42"/>
  <c r="X128" i="42"/>
  <c r="X127" i="42"/>
  <c r="X125" i="42"/>
  <c r="X124" i="42"/>
  <c r="X123" i="42"/>
  <c r="X122" i="42"/>
  <c r="X121" i="42"/>
  <c r="X120" i="42"/>
  <c r="X119" i="42"/>
  <c r="X118" i="42"/>
  <c r="X117" i="42"/>
  <c r="X116" i="42"/>
  <c r="X115" i="42"/>
  <c r="X114" i="42"/>
  <c r="X113" i="42"/>
  <c r="X111" i="42"/>
  <c r="X110" i="42"/>
  <c r="X109" i="42"/>
  <c r="X108" i="42"/>
  <c r="X107" i="42"/>
  <c r="X106" i="42"/>
  <c r="X105" i="42"/>
  <c r="X104" i="42"/>
  <c r="X103" i="42"/>
  <c r="X101" i="42"/>
  <c r="X100" i="42"/>
  <c r="X99" i="42"/>
  <c r="X98" i="42"/>
  <c r="X97" i="42"/>
  <c r="X96" i="42"/>
  <c r="X95" i="42"/>
  <c r="X94" i="42"/>
  <c r="X93" i="42"/>
  <c r="X84" i="42"/>
  <c r="X82" i="42"/>
  <c r="X81" i="42"/>
  <c r="X80" i="42"/>
  <c r="X79" i="42"/>
  <c r="X78" i="42"/>
  <c r="X77" i="42"/>
  <c r="X76" i="42"/>
  <c r="X75" i="42"/>
  <c r="X74" i="42"/>
  <c r="X73" i="42"/>
  <c r="X72" i="42"/>
  <c r="X68" i="42"/>
  <c r="X67" i="42"/>
  <c r="X66" i="42"/>
  <c r="X64" i="42"/>
  <c r="X63" i="42"/>
  <c r="X61" i="42"/>
  <c r="X60" i="42"/>
  <c r="X58" i="42"/>
  <c r="X57" i="42"/>
  <c r="Y256" i="42"/>
  <c r="Y255" i="42"/>
  <c r="Y253" i="42"/>
  <c r="Y252" i="42"/>
  <c r="Y250" i="42"/>
  <c r="Y249" i="42"/>
  <c r="Y248" i="42"/>
  <c r="Y247" i="42"/>
  <c r="Y246" i="42"/>
  <c r="Y244" i="42"/>
  <c r="Y243" i="42"/>
  <c r="Y242" i="42"/>
  <c r="Y241" i="42"/>
  <c r="Y240" i="42"/>
  <c r="Y233" i="42"/>
  <c r="Y230" i="42"/>
  <c r="Y229" i="42"/>
  <c r="Y228" i="42"/>
  <c r="Y226" i="42"/>
  <c r="Y224" i="42"/>
  <c r="N49" i="48" s="1"/>
  <c r="Y209" i="42"/>
  <c r="Y208" i="42"/>
  <c r="Y205" i="42"/>
  <c r="Y204" i="42"/>
  <c r="Y203" i="42"/>
  <c r="Y202" i="42"/>
  <c r="Y201" i="42"/>
  <c r="Y200" i="42"/>
  <c r="Y199" i="42"/>
  <c r="Y197" i="42"/>
  <c r="Y196" i="42"/>
  <c r="Y195" i="42"/>
  <c r="Y194" i="42"/>
  <c r="Y192" i="42"/>
  <c r="Y191" i="42"/>
  <c r="Y190" i="42"/>
  <c r="Y189" i="42"/>
  <c r="Y185" i="42"/>
  <c r="Y183" i="42"/>
  <c r="Y182" i="42"/>
  <c r="Y181" i="42"/>
  <c r="Y180" i="42"/>
  <c r="Y179" i="42"/>
  <c r="Y178" i="42"/>
  <c r="Y166" i="42"/>
  <c r="Y165" i="42"/>
  <c r="Y164" i="42"/>
  <c r="Y163" i="42"/>
  <c r="Y161" i="42"/>
  <c r="Y160" i="42"/>
  <c r="Y158" i="42"/>
  <c r="Y157" i="42"/>
  <c r="Y156" i="42"/>
  <c r="Y155" i="42"/>
  <c r="Y154" i="42"/>
  <c r="Y153" i="42"/>
  <c r="Y152" i="42"/>
  <c r="Y151" i="42"/>
  <c r="Y150" i="42"/>
  <c r="Y149" i="42"/>
  <c r="Y148" i="42"/>
  <c r="Y144" i="42"/>
  <c r="Y139" i="42"/>
  <c r="Y137" i="42"/>
  <c r="Y136" i="42"/>
  <c r="Y135" i="42"/>
  <c r="Y134" i="42"/>
  <c r="Y133" i="42"/>
  <c r="Y130" i="42"/>
  <c r="Y129" i="42"/>
  <c r="Y128" i="42"/>
  <c r="Y127" i="42"/>
  <c r="Y125" i="42"/>
  <c r="Y124" i="42"/>
  <c r="Y123" i="42"/>
  <c r="Y122" i="42"/>
  <c r="Y121" i="42"/>
  <c r="Y120" i="42"/>
  <c r="Y119" i="42"/>
  <c r="Y118" i="42"/>
  <c r="Y117" i="42"/>
  <c r="Y116" i="42"/>
  <c r="Y115" i="42"/>
  <c r="Y114" i="42"/>
  <c r="Y113" i="42"/>
  <c r="Y111" i="42"/>
  <c r="Y110" i="42"/>
  <c r="Y109" i="42"/>
  <c r="Y108" i="42"/>
  <c r="Y107" i="42"/>
  <c r="Y106" i="42"/>
  <c r="Y105" i="42"/>
  <c r="Y104" i="42"/>
  <c r="Y103" i="42"/>
  <c r="Y101" i="42"/>
  <c r="Y100" i="42"/>
  <c r="Y99" i="42"/>
  <c r="Y98" i="42"/>
  <c r="Y97" i="42"/>
  <c r="Y96" i="42"/>
  <c r="Y95" i="42"/>
  <c r="Y94" i="42"/>
  <c r="Y93" i="42"/>
  <c r="Y84" i="42"/>
  <c r="Y82" i="42"/>
  <c r="Y81" i="42"/>
  <c r="Y80" i="42"/>
  <c r="Y79" i="42"/>
  <c r="Y78" i="42"/>
  <c r="Y77" i="42"/>
  <c r="Y76" i="42"/>
  <c r="Y75" i="42"/>
  <c r="Y74" i="42"/>
  <c r="Y73" i="42"/>
  <c r="Y72" i="42"/>
  <c r="Y68" i="42"/>
  <c r="Y67" i="42"/>
  <c r="Y66" i="42"/>
  <c r="Y64" i="42"/>
  <c r="Y63" i="42"/>
  <c r="Y61" i="42"/>
  <c r="Y60" i="42"/>
  <c r="Y58" i="42"/>
  <c r="Y57" i="42"/>
  <c r="Y368" i="42" s="1"/>
  <c r="J17" i="60" l="1"/>
  <c r="L85" i="60"/>
  <c r="L88" i="60" s="1"/>
  <c r="L87" i="60" s="1"/>
  <c r="L17" i="60" s="1"/>
  <c r="K88" i="60"/>
  <c r="K87" i="60" s="1"/>
  <c r="K17" i="60" s="1"/>
  <c r="I166" i="60"/>
  <c r="E8" i="66"/>
  <c r="W223" i="42"/>
  <c r="W356" i="42" s="1"/>
  <c r="Y223" i="42"/>
  <c r="Y356" i="42" s="1"/>
  <c r="X223" i="42"/>
  <c r="X356" i="42" s="1"/>
  <c r="F5" i="66"/>
  <c r="Q167" i="42"/>
  <c r="W88" i="42"/>
  <c r="W85" i="42"/>
  <c r="Q175" i="42"/>
  <c r="I215" i="53" s="1"/>
  <c r="AD174" i="42"/>
  <c r="Q174" i="42" s="1"/>
  <c r="W89" i="42"/>
  <c r="I134" i="53"/>
  <c r="J134" i="53" s="1"/>
  <c r="W90" i="42"/>
  <c r="F28" i="59"/>
  <c r="F41" i="59" s="1"/>
  <c r="E74" i="59" s="1"/>
  <c r="E9" i="66"/>
  <c r="J102" i="60"/>
  <c r="J103" i="60" s="1"/>
  <c r="H207" i="53"/>
  <c r="K193" i="53" s="1"/>
  <c r="I38" i="60"/>
  <c r="X69" i="42"/>
  <c r="I39" i="60"/>
  <c r="I76" i="60"/>
  <c r="I77" i="60" s="1"/>
  <c r="I150" i="53"/>
  <c r="AE593" i="24"/>
  <c r="AE663" i="24" s="1"/>
  <c r="AE582" i="24"/>
  <c r="J91" i="53"/>
  <c r="AE676" i="24"/>
  <c r="AE515" i="24"/>
  <c r="AE677" i="24" s="1"/>
  <c r="AE577" i="24"/>
  <c r="AD232" i="42" s="1"/>
  <c r="Q232" i="42" s="1"/>
  <c r="I54" i="60" s="1"/>
  <c r="AE679" i="24"/>
  <c r="AD221" i="42"/>
  <c r="Q221" i="42" s="1"/>
  <c r="AE7" i="24"/>
  <c r="AE675" i="24"/>
  <c r="AD216" i="42"/>
  <c r="Q216" i="42" s="1"/>
  <c r="AE562" i="24"/>
  <c r="I49" i="60"/>
  <c r="J49" i="60" s="1"/>
  <c r="H56" i="53"/>
  <c r="AE674" i="24"/>
  <c r="AD211" i="42"/>
  <c r="X206" i="42"/>
  <c r="W207" i="42"/>
  <c r="AD360" i="42"/>
  <c r="Y206" i="42"/>
  <c r="W206" i="42"/>
  <c r="W254" i="42"/>
  <c r="Y207" i="42"/>
  <c r="I119" i="60"/>
  <c r="B63" i="66"/>
  <c r="F43" i="59"/>
  <c r="I14" i="60"/>
  <c r="F37" i="59"/>
  <c r="E73" i="59" s="1"/>
  <c r="X90" i="42"/>
  <c r="Y345" i="42"/>
  <c r="Y344" i="42" s="1"/>
  <c r="Y85" i="42"/>
  <c r="X87" i="42"/>
  <c r="X159" i="42"/>
  <c r="W69" i="42"/>
  <c r="Y87" i="42"/>
  <c r="Y159" i="42"/>
  <c r="W62" i="42"/>
  <c r="X62" i="42"/>
  <c r="X89" i="42"/>
  <c r="X85" i="42"/>
  <c r="X254" i="42"/>
  <c r="Y90" i="42"/>
  <c r="AE643" i="24"/>
  <c r="Y198" i="42"/>
  <c r="Y254" i="42"/>
  <c r="W193" i="42"/>
  <c r="W245" i="42"/>
  <c r="X207" i="42"/>
  <c r="Y62" i="42"/>
  <c r="Y89" i="42"/>
  <c r="Y88" i="42"/>
  <c r="Y162" i="42"/>
  <c r="W143" i="42"/>
  <c r="Y69" i="42"/>
  <c r="X86" i="42"/>
  <c r="X88" i="42"/>
  <c r="X198" i="42"/>
  <c r="W146" i="42"/>
  <c r="W162" i="42"/>
  <c r="W71" i="42"/>
  <c r="W142" i="42"/>
  <c r="X140" i="42"/>
  <c r="X162" i="42"/>
  <c r="W198" i="42"/>
  <c r="Y358" i="42"/>
  <c r="Y350" i="42" s="1"/>
  <c r="W87" i="42"/>
  <c r="W159" i="42"/>
  <c r="Y351" i="42"/>
  <c r="X193" i="42"/>
  <c r="Y340" i="42"/>
  <c r="Y239" i="42"/>
  <c r="X239" i="42"/>
  <c r="W147" i="42"/>
  <c r="Y131" i="42"/>
  <c r="X71" i="42"/>
  <c r="X245" i="42"/>
  <c r="Y143" i="42"/>
  <c r="Y357" i="42" s="1"/>
  <c r="X142" i="42"/>
  <c r="W86" i="42"/>
  <c r="W239" i="42"/>
  <c r="Y71" i="42"/>
  <c r="Y245" i="42"/>
  <c r="W131" i="42"/>
  <c r="Y86" i="42"/>
  <c r="Y146" i="42"/>
  <c r="Y193" i="42"/>
  <c r="X146" i="42"/>
  <c r="W140" i="42"/>
  <c r="X143" i="42"/>
  <c r="X147" i="42"/>
  <c r="X131" i="42"/>
  <c r="Y147" i="42"/>
  <c r="Y142" i="42"/>
  <c r="Y140" i="42"/>
  <c r="M87" i="60" l="1"/>
  <c r="I214" i="53"/>
  <c r="T122" i="55"/>
  <c r="I15" i="60"/>
  <c r="F38" i="59" s="1"/>
  <c r="K198" i="53"/>
  <c r="K194" i="53"/>
  <c r="K207" i="53"/>
  <c r="K206" i="53"/>
  <c r="K201" i="53"/>
  <c r="K205" i="53"/>
  <c r="K203" i="53"/>
  <c r="K195" i="53"/>
  <c r="K197" i="53"/>
  <c r="K196" i="53"/>
  <c r="K199" i="53"/>
  <c r="K200" i="53"/>
  <c r="K204" i="53"/>
  <c r="K202" i="53"/>
  <c r="AE662" i="24"/>
  <c r="AE659" i="24"/>
  <c r="AE682" i="24"/>
  <c r="AE681" i="24" s="1"/>
  <c r="AD212" i="42"/>
  <c r="Q212" i="42" s="1"/>
  <c r="H53" i="53" s="1"/>
  <c r="I50" i="60"/>
  <c r="J50" i="60" s="1"/>
  <c r="H57" i="53"/>
  <c r="Q211" i="42"/>
  <c r="H59" i="53"/>
  <c r="I53" i="60"/>
  <c r="I157" i="60" s="1"/>
  <c r="I81" i="60"/>
  <c r="I47" i="60"/>
  <c r="I52" i="60"/>
  <c r="I133" i="60" s="1"/>
  <c r="AE678" i="24"/>
  <c r="AE680" i="24" s="1"/>
  <c r="AD217" i="42"/>
  <c r="Q217" i="42" s="1"/>
  <c r="W238" i="42"/>
  <c r="AD354" i="42"/>
  <c r="Q354" i="42" s="1"/>
  <c r="Q360" i="42"/>
  <c r="I145" i="60"/>
  <c r="F10" i="59"/>
  <c r="I163" i="60"/>
  <c r="H63" i="66"/>
  <c r="G63" i="66"/>
  <c r="Y238" i="42"/>
  <c r="Y360" i="42" s="1"/>
  <c r="Y354" i="42" s="1"/>
  <c r="AE668" i="24"/>
  <c r="AE657" i="24"/>
  <c r="X238" i="42"/>
  <c r="X167" i="42"/>
  <c r="X168" i="42" s="1"/>
  <c r="W167" i="42"/>
  <c r="W168" i="42" s="1"/>
  <c r="Y167" i="42"/>
  <c r="Y168" i="42" s="1"/>
  <c r="AC310" i="42"/>
  <c r="AC307" i="42"/>
  <c r="AC306" i="42"/>
  <c r="AC304" i="42"/>
  <c r="AC303" i="42"/>
  <c r="AC302" i="42"/>
  <c r="AC298" i="42"/>
  <c r="AC297" i="42"/>
  <c r="AC296" i="42"/>
  <c r="AC295" i="42"/>
  <c r="AC291" i="42"/>
  <c r="AC290" i="42"/>
  <c r="AC289" i="42"/>
  <c r="AC288" i="42"/>
  <c r="AC287" i="42"/>
  <c r="AC281" i="42"/>
  <c r="AC280" i="42"/>
  <c r="AC279" i="42"/>
  <c r="AC278" i="42"/>
  <c r="AC277" i="42"/>
  <c r="AC282" i="42" s="1"/>
  <c r="AC275" i="42"/>
  <c r="AC274" i="42"/>
  <c r="AC273" i="42"/>
  <c r="AC272" i="42"/>
  <c r="AC271" i="42"/>
  <c r="AC269" i="42"/>
  <c r="AC268" i="42"/>
  <c r="AC267" i="42"/>
  <c r="AC265" i="42"/>
  <c r="AC264" i="42"/>
  <c r="AC263" i="42"/>
  <c r="AC262" i="42"/>
  <c r="AC276" i="42" l="1"/>
  <c r="I74" i="53"/>
  <c r="H58" i="53"/>
  <c r="I51" i="60"/>
  <c r="I129" i="60" s="1"/>
  <c r="AD222" i="42"/>
  <c r="I48" i="60"/>
  <c r="I121" i="60" s="1"/>
  <c r="H52" i="53"/>
  <c r="E6" i="66"/>
  <c r="F29" i="59"/>
  <c r="E70" i="59" s="1"/>
  <c r="I12" i="60"/>
  <c r="F34" i="59" s="1"/>
  <c r="E75" i="59" s="1"/>
  <c r="I65" i="60"/>
  <c r="I64" i="60"/>
  <c r="N48" i="48"/>
  <c r="AE667" i="24"/>
  <c r="AE658" i="24"/>
  <c r="AE666" i="24" s="1"/>
  <c r="AC284" i="42"/>
  <c r="AC283" i="42"/>
  <c r="I123" i="60" l="1"/>
  <c r="I122" i="60"/>
  <c r="I170" i="60" s="1"/>
  <c r="AD236" i="42"/>
  <c r="Q236" i="42" s="1"/>
  <c r="AD355" i="42"/>
  <c r="Q355" i="42" s="1"/>
  <c r="Q222" i="42"/>
  <c r="AD234" i="42"/>
  <c r="Q234" i="42" s="1"/>
  <c r="I8" i="60"/>
  <c r="F33" i="59"/>
  <c r="E76" i="59" s="1"/>
  <c r="AC256" i="42"/>
  <c r="AC255" i="42"/>
  <c r="AC253" i="42"/>
  <c r="AC252" i="42"/>
  <c r="AC250" i="42"/>
  <c r="AC249" i="42"/>
  <c r="AC248" i="42"/>
  <c r="AC247" i="42"/>
  <c r="AC246" i="42"/>
  <c r="AC244" i="42"/>
  <c r="AC243" i="42"/>
  <c r="AC242" i="42"/>
  <c r="AC241" i="42"/>
  <c r="AC240" i="42"/>
  <c r="AC233" i="42"/>
  <c r="AC230" i="42"/>
  <c r="AC229" i="42"/>
  <c r="AC228" i="42"/>
  <c r="AC226" i="42"/>
  <c r="AC224" i="42"/>
  <c r="AC209" i="42"/>
  <c r="AC208" i="42"/>
  <c r="AC205" i="42"/>
  <c r="AC204" i="42"/>
  <c r="AC203" i="42"/>
  <c r="AC202" i="42"/>
  <c r="AC201" i="42"/>
  <c r="AC200" i="42"/>
  <c r="AC199" i="42"/>
  <c r="AC197" i="42"/>
  <c r="AC196" i="42"/>
  <c r="AC195" i="42"/>
  <c r="AC194" i="42"/>
  <c r="AC192" i="42"/>
  <c r="AC191" i="42"/>
  <c r="AC190" i="42"/>
  <c r="AC189" i="42"/>
  <c r="AC185" i="42"/>
  <c r="AC183" i="42"/>
  <c r="AC182" i="42"/>
  <c r="AC181" i="42"/>
  <c r="AC180" i="42"/>
  <c r="AC179" i="42"/>
  <c r="AC178" i="42"/>
  <c r="AC166" i="42"/>
  <c r="AC165" i="42"/>
  <c r="AC164" i="42"/>
  <c r="AC163" i="42"/>
  <c r="AC161" i="42"/>
  <c r="AC160" i="42"/>
  <c r="AC158" i="42"/>
  <c r="AC157" i="42"/>
  <c r="AC156" i="42"/>
  <c r="AC155" i="42"/>
  <c r="AC154" i="42"/>
  <c r="AC153" i="42"/>
  <c r="AC152" i="42"/>
  <c r="AC151" i="42"/>
  <c r="AC150" i="42"/>
  <c r="AC149" i="42"/>
  <c r="AC148" i="42"/>
  <c r="AC144" i="42"/>
  <c r="AC139" i="42"/>
  <c r="AC137" i="42"/>
  <c r="AC136" i="42"/>
  <c r="AC135" i="42"/>
  <c r="AC134" i="42"/>
  <c r="AC133" i="42"/>
  <c r="AC130" i="42"/>
  <c r="AC129" i="42"/>
  <c r="AC128" i="42"/>
  <c r="AC127" i="42"/>
  <c r="AC125" i="42"/>
  <c r="AC124" i="42"/>
  <c r="AC123" i="42"/>
  <c r="AC122" i="42"/>
  <c r="AC121" i="42"/>
  <c r="AC120" i="42"/>
  <c r="AC119" i="42"/>
  <c r="AC118" i="42"/>
  <c r="AC117" i="42"/>
  <c r="AC116" i="42"/>
  <c r="AC115" i="42"/>
  <c r="AC114" i="42"/>
  <c r="AC113" i="42"/>
  <c r="AC111" i="42"/>
  <c r="AC110" i="42"/>
  <c r="AC109" i="42"/>
  <c r="AC108" i="42"/>
  <c r="AC107" i="42"/>
  <c r="AC106" i="42"/>
  <c r="AC105" i="42"/>
  <c r="AC104" i="42"/>
  <c r="AC103" i="42"/>
  <c r="AC101" i="42"/>
  <c r="AC100" i="42"/>
  <c r="AC99" i="42"/>
  <c r="AC98" i="42"/>
  <c r="AC97" i="42"/>
  <c r="AC96" i="42"/>
  <c r="AC95" i="42"/>
  <c r="AC94" i="42"/>
  <c r="AC93" i="42"/>
  <c r="AC84" i="42"/>
  <c r="AC82" i="42"/>
  <c r="AC81" i="42"/>
  <c r="AC80" i="42"/>
  <c r="AC79" i="42"/>
  <c r="AC78" i="42"/>
  <c r="AC77" i="42"/>
  <c r="AC76" i="42"/>
  <c r="AC75" i="42"/>
  <c r="AC74" i="42"/>
  <c r="AC73" i="42"/>
  <c r="AC72" i="42"/>
  <c r="AC68" i="42"/>
  <c r="AC67" i="42"/>
  <c r="AC66" i="42"/>
  <c r="AC64" i="42"/>
  <c r="AC63" i="42"/>
  <c r="AC61" i="42"/>
  <c r="AC60" i="42"/>
  <c r="AC58" i="42"/>
  <c r="AC57" i="42"/>
  <c r="AG361" i="42" s="1"/>
  <c r="R361" i="42" s="1"/>
  <c r="AC223" i="42" l="1"/>
  <c r="AC356" i="42" s="1"/>
  <c r="I96" i="53"/>
  <c r="T109" i="55"/>
  <c r="H60" i="53"/>
  <c r="I43" i="53"/>
  <c r="I78" i="53"/>
  <c r="AC206" i="42"/>
  <c r="AC361" i="42"/>
  <c r="AD454" i="24"/>
  <c r="AD455" i="24"/>
  <c r="AD456" i="24"/>
  <c r="AD458" i="24"/>
  <c r="AD459" i="24"/>
  <c r="AD460" i="24"/>
  <c r="AD461" i="24"/>
  <c r="AD462" i="24"/>
  <c r="AD463" i="24"/>
  <c r="AD464" i="24"/>
  <c r="AD465" i="24"/>
  <c r="AD466" i="24"/>
  <c r="AD467" i="24"/>
  <c r="AD468" i="24"/>
  <c r="AD469" i="24"/>
  <c r="AD470" i="24"/>
  <c r="AD471" i="24"/>
  <c r="AD472" i="24"/>
  <c r="AD473" i="24"/>
  <c r="AD474" i="24"/>
  <c r="AD475" i="24"/>
  <c r="AD476" i="24"/>
  <c r="AD477" i="24"/>
  <c r="AD478" i="24"/>
  <c r="AD479" i="24"/>
  <c r="AD480" i="24"/>
  <c r="AD481" i="24"/>
  <c r="AD482" i="24"/>
  <c r="AD483" i="24"/>
  <c r="AD484" i="24"/>
  <c r="AD492" i="24"/>
  <c r="AD493" i="24"/>
  <c r="AD494" i="24"/>
  <c r="AD495" i="24"/>
  <c r="AD496" i="24"/>
  <c r="AD499" i="24"/>
  <c r="AD500" i="24"/>
  <c r="AD501" i="24"/>
  <c r="AC213" i="42" s="1"/>
  <c r="AD502" i="24"/>
  <c r="AD503" i="24"/>
  <c r="AD504" i="24"/>
  <c r="AC214" i="42" s="1"/>
  <c r="AD505" i="24"/>
  <c r="AD506" i="24"/>
  <c r="AD507" i="24"/>
  <c r="AD508" i="24"/>
  <c r="AD510" i="24"/>
  <c r="AD511" i="24"/>
  <c r="AD512" i="24"/>
  <c r="AD513" i="24"/>
  <c r="AD514" i="24"/>
  <c r="AD516" i="24"/>
  <c r="AD517" i="24"/>
  <c r="AD518" i="24"/>
  <c r="AD519" i="24"/>
  <c r="AD521" i="24"/>
  <c r="AD522" i="24"/>
  <c r="AD523" i="24"/>
  <c r="AD524" i="24"/>
  <c r="AD527" i="24"/>
  <c r="AD528" i="24"/>
  <c r="AD529" i="24"/>
  <c r="AD530" i="24"/>
  <c r="AD531" i="24"/>
  <c r="AD532" i="24"/>
  <c r="AD534" i="24"/>
  <c r="AD535" i="24"/>
  <c r="AD536" i="24"/>
  <c r="AD537" i="24"/>
  <c r="AD538" i="24"/>
  <c r="AD539" i="24"/>
  <c r="AD540" i="24"/>
  <c r="AD541" i="24"/>
  <c r="AD542" i="24"/>
  <c r="AD543" i="24"/>
  <c r="AD545" i="24"/>
  <c r="AD546" i="24"/>
  <c r="AD547" i="24"/>
  <c r="AD548" i="24"/>
  <c r="AD550" i="24"/>
  <c r="AD551" i="24"/>
  <c r="AD553" i="24"/>
  <c r="AD554" i="24"/>
  <c r="AD555" i="24"/>
  <c r="AD557" i="24"/>
  <c r="AD558" i="24"/>
  <c r="AD560" i="24"/>
  <c r="AD561" i="24"/>
  <c r="AD684" i="24"/>
  <c r="AD683" i="24"/>
  <c r="AD670" i="24"/>
  <c r="AD655" i="24"/>
  <c r="AD654" i="24"/>
  <c r="AD653" i="24"/>
  <c r="AD652" i="24"/>
  <c r="AD651" i="24"/>
  <c r="AD649" i="24"/>
  <c r="AD648" i="24"/>
  <c r="AD647" i="24"/>
  <c r="AD646" i="24"/>
  <c r="AD645" i="24"/>
  <c r="AD641" i="24"/>
  <c r="AD669" i="24" s="1"/>
  <c r="AD640" i="24"/>
  <c r="AD639" i="24"/>
  <c r="AD627" i="24"/>
  <c r="AD626" i="24"/>
  <c r="AD624" i="24"/>
  <c r="AD623" i="24"/>
  <c r="AD622" i="24"/>
  <c r="AD621" i="24"/>
  <c r="AD620" i="24"/>
  <c r="AD619" i="24"/>
  <c r="AD618" i="24"/>
  <c r="AD617" i="24"/>
  <c r="AD616" i="24"/>
  <c r="AD605" i="24"/>
  <c r="AD604" i="24"/>
  <c r="AD603" i="24"/>
  <c r="AD602" i="24"/>
  <c r="AD601" i="24"/>
  <c r="AD600" i="24"/>
  <c r="AD598" i="24"/>
  <c r="AD597" i="24"/>
  <c r="AD596" i="24"/>
  <c r="AD595" i="24"/>
  <c r="AD613" i="24"/>
  <c r="AD612" i="24"/>
  <c r="AD611" i="24"/>
  <c r="AD610" i="24"/>
  <c r="AD609" i="24"/>
  <c r="AD608" i="24"/>
  <c r="AD634" i="24"/>
  <c r="AD633" i="24"/>
  <c r="AD591" i="24"/>
  <c r="AD590" i="24"/>
  <c r="AD589" i="24"/>
  <c r="AD588" i="24"/>
  <c r="AD632" i="24"/>
  <c r="AD586" i="24"/>
  <c r="AD637" i="24"/>
  <c r="AD636" i="24"/>
  <c r="AD631" i="24"/>
  <c r="AD585" i="24"/>
  <c r="AD584" i="24"/>
  <c r="AD576" i="24"/>
  <c r="AD575" i="24"/>
  <c r="AD574" i="24"/>
  <c r="AD573" i="24"/>
  <c r="AD571" i="24"/>
  <c r="AD570" i="24"/>
  <c r="AD569" i="24"/>
  <c r="AD568" i="24"/>
  <c r="AD566" i="24"/>
  <c r="AC227" i="42" s="1"/>
  <c r="AD564" i="24"/>
  <c r="AD563" i="24"/>
  <c r="AD15" i="24"/>
  <c r="AD4" i="24"/>
  <c r="AD5" i="24" s="1"/>
  <c r="AD3" i="24"/>
  <c r="AD13" i="24" s="1"/>
  <c r="AD635" i="24" l="1"/>
  <c r="AD630" i="24"/>
  <c r="AD629" i="24" s="1"/>
  <c r="AD583" i="24"/>
  <c r="K80" i="53"/>
  <c r="K81" i="53"/>
  <c r="K72" i="53"/>
  <c r="K78" i="53"/>
  <c r="K79" i="53"/>
  <c r="K82" i="53"/>
  <c r="K84" i="53"/>
  <c r="K83" i="53"/>
  <c r="K73" i="53"/>
  <c r="K75" i="53"/>
  <c r="K77" i="53"/>
  <c r="K76" i="53"/>
  <c r="K74" i="53"/>
  <c r="AJ13" i="24"/>
  <c r="K60" i="53"/>
  <c r="K55" i="53"/>
  <c r="K54" i="53"/>
  <c r="K53" i="53"/>
  <c r="K56" i="53"/>
  <c r="K57" i="53"/>
  <c r="K59" i="53"/>
  <c r="K52" i="53"/>
  <c r="K58" i="53"/>
  <c r="AD8" i="24"/>
  <c r="AD565" i="24"/>
  <c r="AC221" i="42" s="1"/>
  <c r="AD11" i="24"/>
  <c r="AD6" i="24" s="1"/>
  <c r="AD607" i="24"/>
  <c r="AD664" i="24" s="1"/>
  <c r="AD559" i="24"/>
  <c r="AD549" i="24"/>
  <c r="AD525" i="24"/>
  <c r="AD594" i="24"/>
  <c r="AD625" i="24"/>
  <c r="AD615" i="24" s="1"/>
  <c r="AD665" i="24" s="1"/>
  <c r="AD497" i="24"/>
  <c r="AD9" i="24"/>
  <c r="AD509" i="24"/>
  <c r="AD572" i="24"/>
  <c r="AD556" i="24"/>
  <c r="AD544" i="24"/>
  <c r="AD498" i="24"/>
  <c r="AD520" i="24"/>
  <c r="AD552" i="24"/>
  <c r="AC220" i="42" s="1"/>
  <c r="AD533" i="24"/>
  <c r="AC219" i="42" s="1"/>
  <c r="AD526" i="24"/>
  <c r="AC218" i="42" s="1"/>
  <c r="AD599" i="24"/>
  <c r="AD650" i="24"/>
  <c r="AD644" i="24"/>
  <c r="AD567" i="24"/>
  <c r="AD12" i="24"/>
  <c r="AD643" i="24" l="1"/>
  <c r="AD657" i="24" s="1"/>
  <c r="AD679" i="24"/>
  <c r="AD593" i="24"/>
  <c r="AD663" i="24" s="1"/>
  <c r="AD7" i="24"/>
  <c r="AJ12" i="24"/>
  <c r="AJ11" i="24"/>
  <c r="AD515" i="24"/>
  <c r="AD677" i="24" s="1"/>
  <c r="AD676" i="24"/>
  <c r="AC215" i="42"/>
  <c r="AD562" i="24"/>
  <c r="AD675" i="24"/>
  <c r="AC216" i="42"/>
  <c r="AD674" i="24"/>
  <c r="AC211" i="42"/>
  <c r="AD577" i="24"/>
  <c r="AD582" i="24"/>
  <c r="AD662" i="24" s="1"/>
  <c r="AD668" i="24"/>
  <c r="AC212" i="42" l="1"/>
  <c r="AD659" i="24"/>
  <c r="AD658" i="24" s="1"/>
  <c r="AD666" i="24" s="1"/>
  <c r="AD682" i="24"/>
  <c r="AD681" i="24" s="1"/>
  <c r="AC232" i="42"/>
  <c r="AD678" i="24"/>
  <c r="AD680" i="24" s="1"/>
  <c r="AC217" i="42"/>
  <c r="AD667" i="24"/>
  <c r="H483" i="22"/>
  <c r="K483" i="22"/>
  <c r="O483" i="22"/>
  <c r="S483" i="22"/>
  <c r="W483" i="22"/>
  <c r="AA483" i="22"/>
  <c r="AB483" i="22"/>
  <c r="AC483" i="22"/>
  <c r="AD483" i="22"/>
  <c r="AD526" i="22"/>
  <c r="AD525" i="22"/>
  <c r="AD524" i="22"/>
  <c r="AD523" i="22"/>
  <c r="AD519" i="22"/>
  <c r="AD518" i="22"/>
  <c r="AD517" i="22"/>
  <c r="AD516" i="22"/>
  <c r="AD515" i="22"/>
  <c r="AD514" i="22"/>
  <c r="AD513" i="22"/>
  <c r="AD511" i="22"/>
  <c r="AD510" i="22"/>
  <c r="AD509" i="22"/>
  <c r="AD505" i="22"/>
  <c r="AD504" i="22"/>
  <c r="AD503" i="22"/>
  <c r="AD502" i="22"/>
  <c r="AD501" i="22"/>
  <c r="AD500" i="22"/>
  <c r="AD499" i="22"/>
  <c r="AD498" i="22"/>
  <c r="AD496" i="22"/>
  <c r="AD495" i="22"/>
  <c r="AD493" i="22"/>
  <c r="AC171" i="42" s="1"/>
  <c r="AD492" i="22"/>
  <c r="AC170" i="42" s="1"/>
  <c r="AD484" i="22"/>
  <c r="AD482" i="22"/>
  <c r="AD481" i="22"/>
  <c r="AD480" i="22"/>
  <c r="AD479" i="22"/>
  <c r="AD478" i="22"/>
  <c r="AD477" i="22"/>
  <c r="AD476" i="22"/>
  <c r="AD475" i="22"/>
  <c r="AD474" i="22"/>
  <c r="AD473" i="22"/>
  <c r="AD472" i="22"/>
  <c r="AD471" i="22"/>
  <c r="AD470" i="22"/>
  <c r="AD469" i="22"/>
  <c r="AD468" i="22"/>
  <c r="AD467" i="22"/>
  <c r="AD466" i="22"/>
  <c r="AD465" i="22"/>
  <c r="AD464" i="22"/>
  <c r="AD3" i="22"/>
  <c r="AD7" i="22" s="1"/>
  <c r="AB22" i="42"/>
  <c r="AC22" i="42"/>
  <c r="AC7" i="42"/>
  <c r="AC368" i="42"/>
  <c r="AC351" i="42"/>
  <c r="AC334" i="42"/>
  <c r="AC333" i="42"/>
  <c r="AC324" i="42"/>
  <c r="AC323" i="42"/>
  <c r="AC322" i="42"/>
  <c r="AC348" i="42"/>
  <c r="AC346" i="42"/>
  <c r="AC254" i="42"/>
  <c r="AC245" i="42"/>
  <c r="AC239" i="42"/>
  <c r="AC225" i="42"/>
  <c r="AC207" i="42"/>
  <c r="AC198" i="42"/>
  <c r="AC193" i="42"/>
  <c r="AC30" i="42"/>
  <c r="AC162" i="42"/>
  <c r="AC159" i="42"/>
  <c r="AC146" i="42"/>
  <c r="AC358" i="42"/>
  <c r="AC147" i="42"/>
  <c r="AC309" i="42"/>
  <c r="AC143" i="42"/>
  <c r="AC142" i="42"/>
  <c r="AC131" i="42"/>
  <c r="AC140" i="42"/>
  <c r="AC90" i="42"/>
  <c r="AC89" i="42"/>
  <c r="AC88" i="42"/>
  <c r="AC87" i="42"/>
  <c r="AC86" i="42"/>
  <c r="AC85" i="42"/>
  <c r="AC71" i="42"/>
  <c r="AC69" i="42"/>
  <c r="AC62" i="42"/>
  <c r="AC44" i="42"/>
  <c r="AC29" i="42"/>
  <c r="AC27" i="42"/>
  <c r="AC25" i="42"/>
  <c r="AC19" i="42"/>
  <c r="AC12" i="42"/>
  <c r="AD8" i="22" l="1"/>
  <c r="AC357" i="42"/>
  <c r="AG362" i="42" s="1"/>
  <c r="R362" i="42" s="1"/>
  <c r="AD9" i="22"/>
  <c r="AC222" i="42"/>
  <c r="AD522" i="22"/>
  <c r="AC336" i="42"/>
  <c r="AC350" i="42"/>
  <c r="AC238" i="42"/>
  <c r="AC325" i="42"/>
  <c r="AC172" i="42"/>
  <c r="AC359" i="42"/>
  <c r="AC345" i="42" s="1"/>
  <c r="AC347" i="42"/>
  <c r="AC292" i="42"/>
  <c r="AD512" i="22"/>
  <c r="AC167" i="42"/>
  <c r="AC301" i="42"/>
  <c r="AD497" i="22"/>
  <c r="AD506" i="22" s="1"/>
  <c r="AC175" i="42" s="1"/>
  <c r="AD5" i="22"/>
  <c r="AD508" i="22"/>
  <c r="AC28" i="42"/>
  <c r="AC366" i="42"/>
  <c r="AC299" i="42"/>
  <c r="AC335" i="42"/>
  <c r="AC286" i="42"/>
  <c r="AC26" i="42"/>
  <c r="AB526" i="22"/>
  <c r="AB525" i="22"/>
  <c r="AB524" i="22"/>
  <c r="AB523" i="22"/>
  <c r="AC526" i="22"/>
  <c r="AA526" i="22"/>
  <c r="Z526" i="22"/>
  <c r="Y526" i="22"/>
  <c r="X526" i="22"/>
  <c r="W526" i="22"/>
  <c r="V526" i="22"/>
  <c r="U526" i="22"/>
  <c r="T526" i="22"/>
  <c r="S526" i="22"/>
  <c r="R526" i="22"/>
  <c r="Q526" i="22"/>
  <c r="P526" i="22"/>
  <c r="O526" i="22"/>
  <c r="N526" i="22"/>
  <c r="M526" i="22"/>
  <c r="L526" i="22"/>
  <c r="K526" i="22"/>
  <c r="J526" i="22"/>
  <c r="I526" i="22"/>
  <c r="H526" i="22"/>
  <c r="G526" i="22"/>
  <c r="F526" i="22"/>
  <c r="E526" i="22"/>
  <c r="D526" i="22"/>
  <c r="AC525" i="22"/>
  <c r="AA525" i="22"/>
  <c r="Z525" i="22"/>
  <c r="Y525" i="22"/>
  <c r="X525" i="22"/>
  <c r="W525" i="22"/>
  <c r="V525" i="22"/>
  <c r="U525" i="22"/>
  <c r="T525" i="22"/>
  <c r="S525" i="22"/>
  <c r="R525" i="22"/>
  <c r="Q525" i="22"/>
  <c r="P525" i="22"/>
  <c r="O525" i="22"/>
  <c r="N525" i="22"/>
  <c r="M525" i="22"/>
  <c r="L525" i="22"/>
  <c r="K525" i="22"/>
  <c r="J525" i="22"/>
  <c r="I525" i="22"/>
  <c r="H525" i="22"/>
  <c r="G525" i="22"/>
  <c r="F525" i="22"/>
  <c r="E525" i="22"/>
  <c r="D525" i="22"/>
  <c r="AC524" i="22"/>
  <c r="AA524" i="22"/>
  <c r="Z524" i="22"/>
  <c r="Y524" i="22"/>
  <c r="X524" i="22"/>
  <c r="W524" i="22"/>
  <c r="V524" i="22"/>
  <c r="U524" i="22"/>
  <c r="T524" i="22"/>
  <c r="S524" i="22"/>
  <c r="R524" i="22"/>
  <c r="Q524" i="22"/>
  <c r="P524" i="22"/>
  <c r="O524" i="22"/>
  <c r="N524" i="22"/>
  <c r="M524" i="22"/>
  <c r="L524" i="22"/>
  <c r="K524" i="22"/>
  <c r="J524" i="22"/>
  <c r="I524" i="22"/>
  <c r="H524" i="22"/>
  <c r="G524" i="22"/>
  <c r="F524" i="22"/>
  <c r="E524" i="22"/>
  <c r="D524" i="22"/>
  <c r="AC523" i="22"/>
  <c r="AA523" i="22"/>
  <c r="Z523" i="22"/>
  <c r="Y523" i="22"/>
  <c r="X523" i="22"/>
  <c r="W523" i="22"/>
  <c r="V523" i="22"/>
  <c r="U523" i="22"/>
  <c r="T523" i="22"/>
  <c r="S523" i="22"/>
  <c r="R523" i="22"/>
  <c r="Q523" i="22"/>
  <c r="P523" i="22"/>
  <c r="O523" i="22"/>
  <c r="N523" i="22"/>
  <c r="M523" i="22"/>
  <c r="L523" i="22"/>
  <c r="K523" i="22"/>
  <c r="J523" i="22"/>
  <c r="I523" i="22"/>
  <c r="H523" i="22"/>
  <c r="G523" i="22"/>
  <c r="F523" i="22"/>
  <c r="E523" i="22"/>
  <c r="D523" i="22"/>
  <c r="M522" i="22" l="1"/>
  <c r="N522" i="22"/>
  <c r="V522" i="22"/>
  <c r="F522" i="22"/>
  <c r="AB522" i="22"/>
  <c r="D522" i="22"/>
  <c r="AC234" i="42"/>
  <c r="J522" i="22"/>
  <c r="R522" i="22"/>
  <c r="Z522" i="22"/>
  <c r="AC168" i="42"/>
  <c r="AC360" i="42"/>
  <c r="E522" i="22"/>
  <c r="AC522" i="22"/>
  <c r="AC355" i="42"/>
  <c r="AC236" i="42"/>
  <c r="U522" i="22"/>
  <c r="T522" i="22"/>
  <c r="S522" i="22"/>
  <c r="AD10" i="22"/>
  <c r="AD4" i="22" s="1"/>
  <c r="AD520" i="22"/>
  <c r="AC176" i="42" s="1"/>
  <c r="AC362" i="42"/>
  <c r="L522" i="22"/>
  <c r="K522" i="22"/>
  <c r="AA522" i="22"/>
  <c r="H522" i="22"/>
  <c r="P522" i="22"/>
  <c r="X522" i="22"/>
  <c r="AC344" i="42"/>
  <c r="AC343" i="42"/>
  <c r="AC340" i="42"/>
  <c r="AC300" i="42"/>
  <c r="AC293" i="42"/>
  <c r="AC341" i="42"/>
  <c r="AC365" i="42"/>
  <c r="I522" i="22"/>
  <c r="Q522" i="22"/>
  <c r="Y522" i="22"/>
  <c r="G522" i="22"/>
  <c r="O522" i="22"/>
  <c r="W522" i="22"/>
  <c r="AC174" i="42" l="1"/>
  <c r="AC354" i="42"/>
  <c r="AC342" i="42"/>
  <c r="AC349" i="42"/>
  <c r="X7" i="42"/>
  <c r="X366" i="42"/>
  <c r="X365" i="42"/>
  <c r="X349" i="42" s="1"/>
  <c r="X359" i="42"/>
  <c r="X345" i="42" s="1"/>
  <c r="X358" i="42"/>
  <c r="X357" i="42"/>
  <c r="X348" i="42"/>
  <c r="X347" i="42"/>
  <c r="X346" i="42"/>
  <c r="X342" i="42"/>
  <c r="X341" i="42"/>
  <c r="X368" i="42"/>
  <c r="X344" i="42" l="1"/>
  <c r="X351" i="42"/>
  <c r="X350" i="42"/>
  <c r="X340" i="42"/>
  <c r="X343" i="42"/>
  <c r="X360" i="42" l="1"/>
  <c r="X354" i="42" s="1"/>
  <c r="AB310" i="42"/>
  <c r="AB307" i="42"/>
  <c r="AB306" i="42"/>
  <c r="AB304" i="42"/>
  <c r="AB303" i="42"/>
  <c r="AB302" i="42"/>
  <c r="AB298" i="42"/>
  <c r="AB297" i="42"/>
  <c r="AB296" i="42"/>
  <c r="AB295" i="42"/>
  <c r="AB291" i="42"/>
  <c r="AB290" i="42"/>
  <c r="AB289" i="42"/>
  <c r="AB288" i="42"/>
  <c r="AB287" i="42"/>
  <c r="AB281" i="42"/>
  <c r="AB280" i="42"/>
  <c r="AB279" i="42"/>
  <c r="AB278" i="42"/>
  <c r="AB277" i="42"/>
  <c r="AB282" i="42" s="1"/>
  <c r="AB275" i="42"/>
  <c r="AB274" i="42"/>
  <c r="AB273" i="42"/>
  <c r="AB272" i="42"/>
  <c r="AB271" i="42"/>
  <c r="AB276" i="42" s="1"/>
  <c r="AB269" i="42"/>
  <c r="AB268" i="42"/>
  <c r="AB267" i="42"/>
  <c r="AB265" i="42"/>
  <c r="AB264" i="42"/>
  <c r="AB263" i="42"/>
  <c r="AB262" i="42"/>
  <c r="AB284" i="42" l="1"/>
  <c r="AB283" i="42"/>
  <c r="AB256" i="42" l="1"/>
  <c r="AB255" i="42"/>
  <c r="AB253" i="42"/>
  <c r="AB252" i="42"/>
  <c r="AB250" i="42"/>
  <c r="AB249" i="42"/>
  <c r="AB248" i="42"/>
  <c r="AB247" i="42"/>
  <c r="AB246" i="42"/>
  <c r="AB244" i="42"/>
  <c r="AB243" i="42"/>
  <c r="AB242" i="42"/>
  <c r="AB241" i="42"/>
  <c r="AB240" i="42"/>
  <c r="AB233" i="42"/>
  <c r="AB223" i="42" s="1"/>
  <c r="AB356" i="42" s="1"/>
  <c r="AB230" i="42"/>
  <c r="AB229" i="42"/>
  <c r="AB228" i="42"/>
  <c r="AB226" i="42"/>
  <c r="AB224" i="42"/>
  <c r="AB209" i="42"/>
  <c r="AB208" i="42"/>
  <c r="AB205" i="42"/>
  <c r="AB204" i="42"/>
  <c r="AB203" i="42"/>
  <c r="AB202" i="42"/>
  <c r="AB201" i="42"/>
  <c r="AB200" i="42"/>
  <c r="AB199" i="42"/>
  <c r="AB197" i="42"/>
  <c r="AB196" i="42"/>
  <c r="AB195" i="42"/>
  <c r="AB194" i="42"/>
  <c r="AB192" i="42"/>
  <c r="AB191" i="42"/>
  <c r="AB190" i="42"/>
  <c r="AB189" i="42"/>
  <c r="AB185" i="42"/>
  <c r="AB183" i="42"/>
  <c r="AB182" i="42"/>
  <c r="AB181" i="42"/>
  <c r="AB180" i="42"/>
  <c r="AB179" i="42"/>
  <c r="AB178" i="42"/>
  <c r="AB166" i="42"/>
  <c r="AB165" i="42"/>
  <c r="AB164" i="42"/>
  <c r="AB163" i="42"/>
  <c r="AB161" i="42"/>
  <c r="AB160" i="42"/>
  <c r="AB158" i="42"/>
  <c r="AB157" i="42"/>
  <c r="AB156" i="42"/>
  <c r="AB155" i="42"/>
  <c r="AB154" i="42"/>
  <c r="AB153" i="42"/>
  <c r="AB152" i="42"/>
  <c r="AB151" i="42"/>
  <c r="AB150" i="42"/>
  <c r="AB149" i="42"/>
  <c r="AB148" i="42"/>
  <c r="AB144" i="42"/>
  <c r="AB139" i="42"/>
  <c r="AB137" i="42"/>
  <c r="AB136" i="42"/>
  <c r="AB135" i="42"/>
  <c r="AB134" i="42"/>
  <c r="AB133" i="42"/>
  <c r="AB130" i="42"/>
  <c r="AB129" i="42"/>
  <c r="AB128" i="42"/>
  <c r="AB127" i="42"/>
  <c r="AB125" i="42"/>
  <c r="AB124" i="42"/>
  <c r="AB123" i="42"/>
  <c r="AB122" i="42"/>
  <c r="AB121" i="42"/>
  <c r="AB120" i="42"/>
  <c r="AB119" i="42"/>
  <c r="AB118" i="42"/>
  <c r="AB117" i="42"/>
  <c r="AB116" i="42"/>
  <c r="AB115" i="42"/>
  <c r="AB114" i="42"/>
  <c r="AB113" i="42"/>
  <c r="AB111" i="42"/>
  <c r="AB110" i="42"/>
  <c r="AB109" i="42"/>
  <c r="AB108" i="42"/>
  <c r="AB107" i="42"/>
  <c r="AB106" i="42"/>
  <c r="AB105" i="42"/>
  <c r="AB104" i="42"/>
  <c r="AB103" i="42"/>
  <c r="AB101" i="42"/>
  <c r="AB100" i="42"/>
  <c r="AB99" i="42"/>
  <c r="AB98" i="42"/>
  <c r="AB97" i="42"/>
  <c r="AB96" i="42"/>
  <c r="AB95" i="42"/>
  <c r="AB94" i="42"/>
  <c r="AB93" i="42"/>
  <c r="AB84" i="42"/>
  <c r="AB82" i="42"/>
  <c r="AB81" i="42"/>
  <c r="AB80" i="42"/>
  <c r="AB79" i="42"/>
  <c r="AB78" i="42"/>
  <c r="AB77" i="42"/>
  <c r="AB76" i="42"/>
  <c r="AB75" i="42"/>
  <c r="AB74" i="42"/>
  <c r="AB73" i="42"/>
  <c r="AB72" i="42"/>
  <c r="AB68" i="42"/>
  <c r="AB67" i="42"/>
  <c r="AB66" i="42"/>
  <c r="AB64" i="42"/>
  <c r="AB63" i="42"/>
  <c r="AB61" i="42"/>
  <c r="AB60" i="42"/>
  <c r="AB58" i="42"/>
  <c r="AB57" i="42"/>
  <c r="AB361" i="42" l="1"/>
  <c r="AF361" i="42"/>
  <c r="AB206" i="42"/>
  <c r="AC684" i="24"/>
  <c r="AC683" i="24"/>
  <c r="AC670" i="24"/>
  <c r="AC655" i="24"/>
  <c r="AC654" i="24"/>
  <c r="AC653" i="24"/>
  <c r="AC652" i="24"/>
  <c r="AC651" i="24"/>
  <c r="AC649" i="24"/>
  <c r="AC648" i="24"/>
  <c r="AC647" i="24"/>
  <c r="AC646" i="24"/>
  <c r="AC645" i="24"/>
  <c r="AC641" i="24"/>
  <c r="AC640" i="24"/>
  <c r="AC639" i="24"/>
  <c r="AC627" i="24"/>
  <c r="AC626" i="24"/>
  <c r="AC624" i="24"/>
  <c r="AC623" i="24"/>
  <c r="AC622" i="24"/>
  <c r="AC621" i="24"/>
  <c r="AC620" i="24"/>
  <c r="AC619" i="24"/>
  <c r="AC618" i="24"/>
  <c r="AC617" i="24"/>
  <c r="AC616" i="24"/>
  <c r="AC605" i="24"/>
  <c r="AC604" i="24"/>
  <c r="AC603" i="24"/>
  <c r="AC602" i="24"/>
  <c r="AC601" i="24"/>
  <c r="AC600" i="24"/>
  <c r="AC598" i="24"/>
  <c r="AC597" i="24"/>
  <c r="AC596" i="24"/>
  <c r="AC595" i="24"/>
  <c r="AC613" i="24"/>
  <c r="AC612" i="24"/>
  <c r="AC611" i="24"/>
  <c r="AC610" i="24"/>
  <c r="AC609" i="24"/>
  <c r="AC608" i="24"/>
  <c r="AC634" i="24"/>
  <c r="AC633" i="24"/>
  <c r="AC591" i="24"/>
  <c r="AC590" i="24"/>
  <c r="AC589" i="24"/>
  <c r="AC588" i="24"/>
  <c r="AC632" i="24"/>
  <c r="AC586" i="24"/>
  <c r="AC637" i="24"/>
  <c r="AC636" i="24"/>
  <c r="AC635" i="24" s="1"/>
  <c r="AC631" i="24"/>
  <c r="AC585" i="24"/>
  <c r="AC584" i="24"/>
  <c r="AC576" i="24"/>
  <c r="AC575" i="24"/>
  <c r="AC574" i="24"/>
  <c r="AC573" i="24"/>
  <c r="AC571" i="24"/>
  <c r="AC570" i="24"/>
  <c r="AC569" i="24"/>
  <c r="AC568" i="24"/>
  <c r="AC566" i="24"/>
  <c r="AB227" i="42" s="1"/>
  <c r="AC564" i="24"/>
  <c r="AC563" i="24"/>
  <c r="AC561" i="24"/>
  <c r="AC560" i="24"/>
  <c r="AC558" i="24"/>
  <c r="AC557" i="24"/>
  <c r="AC555" i="24"/>
  <c r="AC554" i="24"/>
  <c r="AC553" i="24"/>
  <c r="AC551" i="24"/>
  <c r="AC550" i="24"/>
  <c r="AC548" i="24"/>
  <c r="AC547" i="24"/>
  <c r="AC546" i="24"/>
  <c r="AC545" i="24"/>
  <c r="AC543" i="24"/>
  <c r="AC542" i="24"/>
  <c r="AC541" i="24"/>
  <c r="AC540" i="24"/>
  <c r="AC539" i="24"/>
  <c r="AC538" i="24"/>
  <c r="AC537" i="24"/>
  <c r="AC536" i="24"/>
  <c r="AC535" i="24"/>
  <c r="AC534" i="24"/>
  <c r="AC532" i="24"/>
  <c r="AC531" i="24"/>
  <c r="AC530" i="24"/>
  <c r="AC529" i="24"/>
  <c r="AC528" i="24"/>
  <c r="AC527" i="24"/>
  <c r="AC524" i="24"/>
  <c r="AC523" i="24"/>
  <c r="AC522" i="24"/>
  <c r="AC521" i="24"/>
  <c r="AC519" i="24"/>
  <c r="AC518" i="24"/>
  <c r="AC517" i="24"/>
  <c r="AC516" i="24"/>
  <c r="AC514" i="24"/>
  <c r="AC513" i="24"/>
  <c r="AC512" i="24"/>
  <c r="AC511" i="24"/>
  <c r="AC510" i="24"/>
  <c r="AC508" i="24"/>
  <c r="AC507" i="24"/>
  <c r="AC506" i="24"/>
  <c r="AC505" i="24"/>
  <c r="AC504" i="24"/>
  <c r="AB214" i="42" s="1"/>
  <c r="AC503" i="24"/>
  <c r="AC502" i="24"/>
  <c r="AC501" i="24"/>
  <c r="AB213" i="42" s="1"/>
  <c r="AC500" i="24"/>
  <c r="AC499" i="24"/>
  <c r="AC496" i="24"/>
  <c r="AC495" i="24"/>
  <c r="AC494" i="24"/>
  <c r="AC493" i="24"/>
  <c r="AC492" i="24"/>
  <c r="AC484" i="24"/>
  <c r="AC483" i="24"/>
  <c r="AC482" i="24"/>
  <c r="AC481" i="24"/>
  <c r="AC480" i="24"/>
  <c r="AC479" i="24"/>
  <c r="AC478" i="24"/>
  <c r="AC477" i="24"/>
  <c r="AC476" i="24"/>
  <c r="AC475" i="24"/>
  <c r="AC474" i="24"/>
  <c r="AC473" i="24"/>
  <c r="AC472" i="24"/>
  <c r="AC471" i="24"/>
  <c r="AC470" i="24"/>
  <c r="AC469" i="24"/>
  <c r="AC468" i="24"/>
  <c r="AC467" i="24"/>
  <c r="AC466" i="24"/>
  <c r="AC465" i="24"/>
  <c r="AC464" i="24"/>
  <c r="AC463" i="24"/>
  <c r="AC462" i="24"/>
  <c r="AC461" i="24"/>
  <c r="AC460" i="24"/>
  <c r="AC459" i="24"/>
  <c r="AC458" i="24"/>
  <c r="AC456" i="24"/>
  <c r="AC455" i="24"/>
  <c r="AC454" i="24"/>
  <c r="AC15" i="24"/>
  <c r="AC4" i="24"/>
  <c r="AC5" i="24" s="1"/>
  <c r="AC3" i="24"/>
  <c r="AC12" i="24" s="1"/>
  <c r="AI12" i="24" s="1"/>
  <c r="AB466" i="22"/>
  <c r="AC466" i="22"/>
  <c r="AC552" i="24" l="1"/>
  <c r="AB220" i="42" s="1"/>
  <c r="AC630" i="24"/>
  <c r="AC629" i="24" s="1"/>
  <c r="AC549" i="24"/>
  <c r="AC559" i="24"/>
  <c r="AC565" i="24"/>
  <c r="AC679" i="24" s="1"/>
  <c r="AC583" i="24"/>
  <c r="AC544" i="24"/>
  <c r="AC644" i="24"/>
  <c r="AC625" i="24"/>
  <c r="AC615" i="24" s="1"/>
  <c r="AC665" i="24" s="1"/>
  <c r="AC526" i="24"/>
  <c r="AB218" i="42" s="1"/>
  <c r="AC556" i="24"/>
  <c r="AC13" i="24"/>
  <c r="AC525" i="24"/>
  <c r="AC509" i="24"/>
  <c r="AC650" i="24"/>
  <c r="AC567" i="24"/>
  <c r="AC594" i="24"/>
  <c r="AC572" i="24"/>
  <c r="AC607" i="24"/>
  <c r="AC664" i="24" s="1"/>
  <c r="AC520" i="24"/>
  <c r="AC533" i="24"/>
  <c r="AB219" i="42" s="1"/>
  <c r="AC7" i="24"/>
  <c r="AC599" i="24"/>
  <c r="AC9" i="24"/>
  <c r="AC498" i="24"/>
  <c r="AC497" i="24"/>
  <c r="AC669" i="24"/>
  <c r="AC11" i="24"/>
  <c r="AC519" i="22"/>
  <c r="AC518" i="22"/>
  <c r="AC517" i="22"/>
  <c r="AC516" i="22"/>
  <c r="AC515" i="22"/>
  <c r="AC514" i="22"/>
  <c r="AC513" i="22"/>
  <c r="AC511" i="22"/>
  <c r="AC510" i="22"/>
  <c r="AC509" i="22"/>
  <c r="AC508" i="22" s="1"/>
  <c r="AC505" i="22"/>
  <c r="AC504" i="22"/>
  <c r="AC503" i="22"/>
  <c r="AC502" i="22"/>
  <c r="AC501" i="22"/>
  <c r="AC500" i="22"/>
  <c r="AC499" i="22"/>
  <c r="AC498" i="22"/>
  <c r="AC496" i="22"/>
  <c r="AC495" i="22"/>
  <c r="AC493" i="22"/>
  <c r="AB171" i="42" s="1"/>
  <c r="AC492" i="22"/>
  <c r="AB170" i="42" s="1"/>
  <c r="AC484" i="22"/>
  <c r="AC482" i="22"/>
  <c r="AC481" i="22"/>
  <c r="AC480" i="22"/>
  <c r="AC479" i="22"/>
  <c r="AC478" i="22"/>
  <c r="AC477" i="22"/>
  <c r="AC476" i="22"/>
  <c r="AC475" i="22"/>
  <c r="AC474" i="22"/>
  <c r="AC473" i="22"/>
  <c r="AC472" i="22"/>
  <c r="AC471" i="22"/>
  <c r="AC470" i="22"/>
  <c r="AC469" i="22"/>
  <c r="AC468" i="22"/>
  <c r="AC467" i="22"/>
  <c r="AC465" i="22"/>
  <c r="AC464" i="22"/>
  <c r="AC3" i="22"/>
  <c r="AC7" i="22" s="1"/>
  <c r="AB221" i="42" l="1"/>
  <c r="AC593" i="24"/>
  <c r="AC663" i="24" s="1"/>
  <c r="AC8" i="24"/>
  <c r="AI13" i="24"/>
  <c r="AC6" i="24"/>
  <c r="AI11" i="24"/>
  <c r="AC643" i="24"/>
  <c r="AC668" i="24" s="1"/>
  <c r="AC515" i="24"/>
  <c r="AB212" i="42" s="1"/>
  <c r="AC577" i="24"/>
  <c r="AC682" i="24" s="1"/>
  <c r="AC681" i="24" s="1"/>
  <c r="AC562" i="24"/>
  <c r="AB217" i="42" s="1"/>
  <c r="AC8" i="22"/>
  <c r="AC9" i="22"/>
  <c r="AC582" i="24"/>
  <c r="AC662" i="24" s="1"/>
  <c r="AC676" i="24"/>
  <c r="AB215" i="42"/>
  <c r="AC675" i="24"/>
  <c r="AB216" i="42"/>
  <c r="AC512" i="22"/>
  <c r="AC520" i="22" s="1"/>
  <c r="AB176" i="42" s="1"/>
  <c r="AC674" i="24"/>
  <c r="AB211" i="42"/>
  <c r="AC497" i="22"/>
  <c r="AC506" i="22" s="1"/>
  <c r="AB175" i="42" s="1"/>
  <c r="AC5" i="22"/>
  <c r="AB7" i="42"/>
  <c r="AB334" i="42"/>
  <c r="AB333" i="42"/>
  <c r="AB324" i="42"/>
  <c r="AB323" i="42"/>
  <c r="AB322" i="42"/>
  <c r="AB359" i="42"/>
  <c r="AB27" i="42"/>
  <c r="AB30" i="42"/>
  <c r="AB29" i="42"/>
  <c r="AB172" i="42"/>
  <c r="AB26" i="42"/>
  <c r="AB368" i="42"/>
  <c r="AB44" i="42"/>
  <c r="K100" i="48" s="1"/>
  <c r="AB19" i="42"/>
  <c r="AB12" i="42"/>
  <c r="AC677" i="24" l="1"/>
  <c r="AB232" i="42"/>
  <c r="AC657" i="24"/>
  <c r="AC667" i="24" s="1"/>
  <c r="AC678" i="24"/>
  <c r="AC659" i="24"/>
  <c r="AC10" i="22"/>
  <c r="AC4" i="22" s="1"/>
  <c r="AB336" i="42"/>
  <c r="AB347" i="42"/>
  <c r="AB239" i="42"/>
  <c r="AB325" i="42"/>
  <c r="AB89" i="42"/>
  <c r="AB28" i="42"/>
  <c r="AB174" i="42"/>
  <c r="AB90" i="42"/>
  <c r="AB159" i="42"/>
  <c r="AB193" i="42"/>
  <c r="AB71" i="42"/>
  <c r="AB87" i="42"/>
  <c r="AB69" i="42"/>
  <c r="AB85" i="42"/>
  <c r="AB147" i="42"/>
  <c r="AB162" i="42"/>
  <c r="AB351" i="42"/>
  <c r="AB245" i="42"/>
  <c r="AB346" i="42"/>
  <c r="AB62" i="42"/>
  <c r="AB88" i="42"/>
  <c r="AB86" i="42"/>
  <c r="AB301" i="42"/>
  <c r="AB131" i="42"/>
  <c r="AB146" i="42"/>
  <c r="AB225" i="42"/>
  <c r="AB286" i="42"/>
  <c r="AB299" i="42"/>
  <c r="AB143" i="42"/>
  <c r="AB25" i="42"/>
  <c r="AB207" i="42"/>
  <c r="AB292" i="42"/>
  <c r="AB358" i="42"/>
  <c r="AB198" i="42"/>
  <c r="AB254" i="42"/>
  <c r="AB343" i="42"/>
  <c r="AB345" i="42"/>
  <c r="AB335" i="42"/>
  <c r="AB348" i="42"/>
  <c r="AB222" i="42"/>
  <c r="AB366" i="42"/>
  <c r="AB140" i="42"/>
  <c r="AB309" i="42"/>
  <c r="AB142" i="42"/>
  <c r="N324" i="42"/>
  <c r="N323" i="42"/>
  <c r="N322" i="42"/>
  <c r="V334" i="42"/>
  <c r="V336" i="42" s="1"/>
  <c r="V333" i="42"/>
  <c r="O334" i="42"/>
  <c r="N333" i="42"/>
  <c r="O333" i="42"/>
  <c r="AC658" i="24" l="1"/>
  <c r="AC666" i="24" s="1"/>
  <c r="AC680" i="24"/>
  <c r="K141" i="48"/>
  <c r="AB350" i="42"/>
  <c r="AB357" i="42"/>
  <c r="AB234" i="42"/>
  <c r="AB344" i="42"/>
  <c r="AB300" i="42"/>
  <c r="AB340" i="42"/>
  <c r="AB238" i="42"/>
  <c r="N325" i="42"/>
  <c r="AB167" i="42"/>
  <c r="AB293" i="42"/>
  <c r="AB341" i="42"/>
  <c r="AB365" i="42"/>
  <c r="AB236" i="42"/>
  <c r="AB355" i="42"/>
  <c r="V335" i="42"/>
  <c r="O335" i="42"/>
  <c r="AB362" i="42" l="1"/>
  <c r="AF362" i="42"/>
  <c r="AB168" i="42"/>
  <c r="AB360" i="42"/>
  <c r="AB342" i="42"/>
  <c r="AB349" i="42"/>
  <c r="P375" i="42"/>
  <c r="AB354" i="42" l="1"/>
  <c r="O375" i="42"/>
  <c r="G117" i="60" s="1"/>
  <c r="H117" i="60"/>
  <c r="F117" i="60"/>
  <c r="E117" i="60"/>
  <c r="D117" i="60"/>
  <c r="C117" i="60"/>
  <c r="C111" i="64" l="1"/>
  <c r="C111" i="65"/>
  <c r="D111" i="64"/>
  <c r="D111" i="65"/>
  <c r="E111" i="64"/>
  <c r="E111" i="65"/>
  <c r="F111" i="65"/>
  <c r="F111" i="64"/>
  <c r="H111" i="65"/>
  <c r="H111" i="64"/>
  <c r="G111" i="65"/>
  <c r="G111" i="64"/>
  <c r="K302" i="48"/>
  <c r="AA160" i="42" l="1"/>
  <c r="K279" i="48" s="1"/>
  <c r="Z160" i="42"/>
  <c r="P160" i="42" s="1"/>
  <c r="J279" i="48" s="1"/>
  <c r="V160" i="42"/>
  <c r="O160" i="42" s="1"/>
  <c r="I279" i="48" s="1"/>
  <c r="N160" i="42"/>
  <c r="H279" i="48" s="1"/>
  <c r="M160" i="42"/>
  <c r="G279" i="48" s="1"/>
  <c r="L160" i="42"/>
  <c r="F279" i="48" s="1"/>
  <c r="K160" i="42"/>
  <c r="E279" i="48" s="1"/>
  <c r="J160" i="42"/>
  <c r="D279" i="48" s="1"/>
  <c r="D223" i="48" l="1"/>
  <c r="N212" i="48" l="1"/>
  <c r="AA122" i="42" l="1"/>
  <c r="Z122" i="42"/>
  <c r="V122" i="42"/>
  <c r="N122" i="42"/>
  <c r="M122" i="42"/>
  <c r="L122" i="42"/>
  <c r="D120" i="53" s="1"/>
  <c r="K122" i="42"/>
  <c r="J122" i="42"/>
  <c r="G170" i="48"/>
  <c r="H170" i="48"/>
  <c r="E120" i="53" l="1"/>
  <c r="D142" i="53"/>
  <c r="F120" i="53"/>
  <c r="E142" i="53"/>
  <c r="AA284" i="42"/>
  <c r="K154" i="48" s="1"/>
  <c r="AA283" i="42"/>
  <c r="K153" i="48" l="1"/>
  <c r="P48" i="42" l="1"/>
  <c r="P47" i="42"/>
  <c r="P46" i="42"/>
  <c r="P45" i="42"/>
  <c r="Z44" i="42"/>
  <c r="P44" i="42" s="1"/>
  <c r="J100" i="48" s="1"/>
  <c r="AA44" i="42"/>
  <c r="J300" i="48" l="1"/>
  <c r="J92" i="48"/>
  <c r="K92" i="48"/>
  <c r="K300" i="48"/>
  <c r="H87" i="48"/>
  <c r="G87" i="48"/>
  <c r="F87" i="48"/>
  <c r="E87" i="48"/>
  <c r="D87" i="48"/>
  <c r="W368" i="42" l="1"/>
  <c r="N211" i="48"/>
  <c r="N185" i="48"/>
  <c r="N180" i="48"/>
  <c r="N183" i="48"/>
  <c r="N182" i="48"/>
  <c r="N181" i="48"/>
  <c r="N176" i="48"/>
  <c r="N178" i="48"/>
  <c r="N177" i="48"/>
  <c r="N175" i="48"/>
  <c r="N172" i="48"/>
  <c r="W7" i="42"/>
  <c r="AA265" i="42"/>
  <c r="Z265" i="42"/>
  <c r="P265" i="42" s="1"/>
  <c r="J28" i="48" s="1"/>
  <c r="V265" i="42"/>
  <c r="O265" i="42" s="1"/>
  <c r="I28" i="48" s="1"/>
  <c r="N265" i="42"/>
  <c r="H28" i="48" s="1"/>
  <c r="M265" i="42"/>
  <c r="G28" i="48" s="1"/>
  <c r="L265" i="42"/>
  <c r="F28" i="48" s="1"/>
  <c r="K265" i="42"/>
  <c r="AA264" i="42"/>
  <c r="Z264" i="42"/>
  <c r="V264" i="42"/>
  <c r="N264" i="42"/>
  <c r="H27" i="48" s="1"/>
  <c r="M264" i="42"/>
  <c r="G27" i="48" s="1"/>
  <c r="L264" i="42"/>
  <c r="F27" i="48" s="1"/>
  <c r="K264" i="42"/>
  <c r="O177" i="48" l="1"/>
  <c r="O178" i="48"/>
  <c r="O183" i="48"/>
  <c r="O176" i="48"/>
  <c r="O182" i="48"/>
  <c r="O181" i="48"/>
  <c r="O175" i="48"/>
  <c r="O180" i="48"/>
  <c r="N173" i="48"/>
  <c r="O173" i="48" s="1"/>
  <c r="N186" i="48"/>
  <c r="O172" i="48"/>
  <c r="N210" i="48"/>
  <c r="O185" i="48"/>
  <c r="K28" i="48"/>
  <c r="K114" i="48"/>
  <c r="N179" i="48"/>
  <c r="O179" i="48" s="1"/>
  <c r="W348" i="42"/>
  <c r="W351" i="42"/>
  <c r="W342" i="42"/>
  <c r="W359" i="42"/>
  <c r="W340" i="42" s="1"/>
  <c r="W358" i="42"/>
  <c r="W350" i="42" s="1"/>
  <c r="W346" i="42"/>
  <c r="W357" i="42"/>
  <c r="N174" i="48"/>
  <c r="O174" i="48" s="1"/>
  <c r="W347" i="42"/>
  <c r="W366" i="42"/>
  <c r="N184" i="48" l="1"/>
  <c r="O184" i="48" s="1"/>
  <c r="W360" i="42"/>
  <c r="W345" i="42"/>
  <c r="W344" i="42" s="1"/>
  <c r="W343" i="42"/>
  <c r="W341" i="42"/>
  <c r="W365" i="42"/>
  <c r="W349" i="42" s="1"/>
  <c r="P264" i="42"/>
  <c r="J27" i="48" s="1"/>
  <c r="O264" i="42"/>
  <c r="I27" i="48" s="1"/>
  <c r="K27" i="48" l="1"/>
  <c r="K113" i="48"/>
  <c r="W354" i="42"/>
  <c r="AA333" i="42"/>
  <c r="AA310" i="42" l="1"/>
  <c r="AA307" i="42"/>
  <c r="AA306" i="42"/>
  <c r="AA304" i="42"/>
  <c r="AA303" i="42"/>
  <c r="AA302" i="42"/>
  <c r="AA298" i="42"/>
  <c r="AA297" i="42"/>
  <c r="AA296" i="42"/>
  <c r="AA295" i="42"/>
  <c r="AA291" i="42"/>
  <c r="AA290" i="42"/>
  <c r="AA289" i="42"/>
  <c r="AA288" i="42"/>
  <c r="AA287" i="42"/>
  <c r="AA281" i="42"/>
  <c r="AA280" i="42"/>
  <c r="AA279" i="42"/>
  <c r="AA278" i="42"/>
  <c r="AA277" i="42"/>
  <c r="AA282" i="42" s="1"/>
  <c r="AA275" i="42"/>
  <c r="AA274" i="42"/>
  <c r="AA273" i="42"/>
  <c r="AA272" i="42"/>
  <c r="AA271" i="42"/>
  <c r="AA269" i="42"/>
  <c r="AA268" i="42"/>
  <c r="AA267" i="42"/>
  <c r="AA263" i="42"/>
  <c r="AA262" i="42"/>
  <c r="AA276" i="42" l="1"/>
  <c r="AA256" i="42"/>
  <c r="AA255" i="42"/>
  <c r="AA253" i="42"/>
  <c r="AA252" i="42"/>
  <c r="AA250" i="42"/>
  <c r="AA249" i="42"/>
  <c r="AA248" i="42"/>
  <c r="AA247" i="42"/>
  <c r="AA246" i="42"/>
  <c r="AA244" i="42"/>
  <c r="AA243" i="42"/>
  <c r="AA242" i="42"/>
  <c r="AA241" i="42"/>
  <c r="AA240" i="42"/>
  <c r="AA233" i="42"/>
  <c r="AA230" i="42"/>
  <c r="AA229" i="42"/>
  <c r="AA228" i="42"/>
  <c r="AA226" i="42"/>
  <c r="AA224" i="42"/>
  <c r="AA209" i="42"/>
  <c r="AA208" i="42"/>
  <c r="AA205" i="42"/>
  <c r="AA204" i="42"/>
  <c r="AA203" i="42"/>
  <c r="AA202" i="42"/>
  <c r="AA201" i="42"/>
  <c r="AA200" i="42"/>
  <c r="AA199" i="42"/>
  <c r="AA197" i="42"/>
  <c r="AA196" i="42"/>
  <c r="AA195" i="42"/>
  <c r="AA194" i="42"/>
  <c r="AA192" i="42"/>
  <c r="AA191" i="42"/>
  <c r="AA190" i="42"/>
  <c r="AA189" i="42"/>
  <c r="AA185" i="42"/>
  <c r="AA183" i="42"/>
  <c r="AA182" i="42"/>
  <c r="AA181" i="42"/>
  <c r="AA180" i="42"/>
  <c r="AA179" i="42"/>
  <c r="AA178" i="42"/>
  <c r="AA166" i="42"/>
  <c r="AA165" i="42"/>
  <c r="AA164" i="42"/>
  <c r="AA163" i="42"/>
  <c r="AA161" i="42"/>
  <c r="AA158" i="42"/>
  <c r="AA157" i="42"/>
  <c r="AA156" i="42"/>
  <c r="AA155" i="42"/>
  <c r="AA154" i="42"/>
  <c r="AA153" i="42"/>
  <c r="AA152" i="42"/>
  <c r="AA151" i="42"/>
  <c r="AA150" i="42"/>
  <c r="AA149" i="42"/>
  <c r="AA148" i="42"/>
  <c r="AA144" i="42"/>
  <c r="AA139" i="42"/>
  <c r="AA137" i="42"/>
  <c r="AA136" i="42"/>
  <c r="AA135" i="42"/>
  <c r="AA134" i="42"/>
  <c r="AA133" i="42"/>
  <c r="AA130" i="42"/>
  <c r="AA129" i="42"/>
  <c r="AA128" i="42"/>
  <c r="AA127" i="42"/>
  <c r="AA125" i="42"/>
  <c r="AA124" i="42"/>
  <c r="AA123" i="42"/>
  <c r="AA121" i="42"/>
  <c r="AA120" i="42"/>
  <c r="AA119" i="42"/>
  <c r="AA118" i="42"/>
  <c r="AA117" i="42"/>
  <c r="AA116" i="42"/>
  <c r="AA115" i="42"/>
  <c r="AA114" i="42"/>
  <c r="AA113" i="42"/>
  <c r="AA111" i="42"/>
  <c r="AA110" i="42"/>
  <c r="AA109" i="42"/>
  <c r="AA108" i="42"/>
  <c r="AA107" i="42"/>
  <c r="AA106" i="42"/>
  <c r="AA105" i="42"/>
  <c r="AA104" i="42"/>
  <c r="AA103" i="42"/>
  <c r="AA101" i="42"/>
  <c r="AA100" i="42"/>
  <c r="AA99" i="42"/>
  <c r="AA98" i="42"/>
  <c r="AA97" i="42"/>
  <c r="AA96" i="42"/>
  <c r="AA95" i="42"/>
  <c r="AA94" i="42"/>
  <c r="AA93" i="42"/>
  <c r="AA84" i="42"/>
  <c r="AA82" i="42"/>
  <c r="AA81" i="42"/>
  <c r="AA80" i="42"/>
  <c r="AA79" i="42"/>
  <c r="AA78" i="42"/>
  <c r="AA77" i="42"/>
  <c r="AA76" i="42"/>
  <c r="AA75" i="42"/>
  <c r="AA74" i="42"/>
  <c r="AA73" i="42"/>
  <c r="AA72" i="42"/>
  <c r="AA68" i="42"/>
  <c r="AA67" i="42"/>
  <c r="AA66" i="42"/>
  <c r="AA64" i="42"/>
  <c r="AA63" i="42"/>
  <c r="AA61" i="42"/>
  <c r="AA60" i="42"/>
  <c r="AA58" i="42"/>
  <c r="AA57" i="42"/>
  <c r="AB456" i="24"/>
  <c r="AB455" i="24"/>
  <c r="AB454" i="24"/>
  <c r="AA223" i="42" l="1"/>
  <c r="AA356" i="42" s="1"/>
  <c r="AA361" i="42"/>
  <c r="AE361" i="42"/>
  <c r="L104" i="52" s="1"/>
  <c r="AA206" i="42"/>
  <c r="AB684" i="24"/>
  <c r="AB683" i="24"/>
  <c r="AB670" i="24"/>
  <c r="AB655" i="24"/>
  <c r="AB654" i="24"/>
  <c r="AB653" i="24"/>
  <c r="AB652" i="24"/>
  <c r="AB651" i="24"/>
  <c r="AB649" i="24"/>
  <c r="AB648" i="24"/>
  <c r="AB647" i="24"/>
  <c r="AB646" i="24"/>
  <c r="AB645" i="24"/>
  <c r="AB641" i="24"/>
  <c r="AB669" i="24" s="1"/>
  <c r="AB640" i="24"/>
  <c r="AB639" i="24"/>
  <c r="AB627" i="24"/>
  <c r="AB626" i="24"/>
  <c r="AB624" i="24"/>
  <c r="AB623" i="24"/>
  <c r="AB622" i="24"/>
  <c r="AB621" i="24"/>
  <c r="AB620" i="24"/>
  <c r="AB619" i="24"/>
  <c r="AB618" i="24"/>
  <c r="AB617" i="24"/>
  <c r="AB616" i="24"/>
  <c r="AB605" i="24"/>
  <c r="AB604" i="24"/>
  <c r="AB603" i="24"/>
  <c r="AB602" i="24"/>
  <c r="AB601" i="24"/>
  <c r="AB600" i="24"/>
  <c r="AB598" i="24"/>
  <c r="AB597" i="24"/>
  <c r="AB596" i="24"/>
  <c r="AB595" i="24"/>
  <c r="AB613" i="24"/>
  <c r="AB612" i="24"/>
  <c r="AB611" i="24"/>
  <c r="AB610" i="24"/>
  <c r="AB609" i="24"/>
  <c r="AB608" i="24"/>
  <c r="AB634" i="24"/>
  <c r="AB633" i="24"/>
  <c r="AB591" i="24"/>
  <c r="AB590" i="24"/>
  <c r="AB589" i="24"/>
  <c r="AB588" i="24"/>
  <c r="AB632" i="24"/>
  <c r="AB586" i="24"/>
  <c r="AB637" i="24"/>
  <c r="AB636" i="24"/>
  <c r="AB635" i="24" s="1"/>
  <c r="AB631" i="24"/>
  <c r="AB585" i="24"/>
  <c r="AB584" i="24"/>
  <c r="AB576" i="24"/>
  <c r="AB575" i="24"/>
  <c r="AB574" i="24"/>
  <c r="AB573" i="24"/>
  <c r="AB571" i="24"/>
  <c r="AB570" i="24"/>
  <c r="AB569" i="24"/>
  <c r="AB568" i="24"/>
  <c r="AB566" i="24"/>
  <c r="AA227" i="42" s="1"/>
  <c r="AB564" i="24"/>
  <c r="AB563" i="24"/>
  <c r="AB561" i="24"/>
  <c r="AB560" i="24"/>
  <c r="AB558" i="24"/>
  <c r="AB557" i="24"/>
  <c r="AB555" i="24"/>
  <c r="AB554" i="24"/>
  <c r="AB553" i="24"/>
  <c r="AB551" i="24"/>
  <c r="AB550" i="24"/>
  <c r="AB548" i="24"/>
  <c r="AB547" i="24"/>
  <c r="AB546" i="24"/>
  <c r="AB545" i="24"/>
  <c r="AB543" i="24"/>
  <c r="AB542" i="24"/>
  <c r="AB541" i="24"/>
  <c r="AB540" i="24"/>
  <c r="AB539" i="24"/>
  <c r="AB538" i="24"/>
  <c r="AB537" i="24"/>
  <c r="AB536" i="24"/>
  <c r="AB535" i="24"/>
  <c r="AB534" i="24"/>
  <c r="AB532" i="24"/>
  <c r="AB531" i="24"/>
  <c r="AB530" i="24"/>
  <c r="AB529" i="24"/>
  <c r="AB528" i="24"/>
  <c r="AB527" i="24"/>
  <c r="AB524" i="24"/>
  <c r="AB523" i="24"/>
  <c r="AB522" i="24"/>
  <c r="AB521" i="24"/>
  <c r="AB519" i="24"/>
  <c r="AB518" i="24"/>
  <c r="AB517" i="24"/>
  <c r="AB516" i="24"/>
  <c r="AB514" i="24"/>
  <c r="AB513" i="24"/>
  <c r="AB512" i="24"/>
  <c r="AB511" i="24"/>
  <c r="AB510" i="24"/>
  <c r="AB508" i="24"/>
  <c r="AB507" i="24"/>
  <c r="AB506" i="24"/>
  <c r="AB505" i="24"/>
  <c r="AB504" i="24"/>
  <c r="AA214" i="42" s="1"/>
  <c r="AB503" i="24"/>
  <c r="AB502" i="24"/>
  <c r="AB501" i="24"/>
  <c r="AB500" i="24"/>
  <c r="AB499" i="24"/>
  <c r="AB496" i="24"/>
  <c r="AB495" i="24"/>
  <c r="AB494" i="24"/>
  <c r="AB493" i="24"/>
  <c r="AB492" i="24"/>
  <c r="AB484" i="24"/>
  <c r="AB483" i="24"/>
  <c r="AB482" i="24"/>
  <c r="AB481" i="24"/>
  <c r="AB480" i="24"/>
  <c r="AB479" i="24"/>
  <c r="AB478" i="24"/>
  <c r="AB477" i="24"/>
  <c r="AB476" i="24"/>
  <c r="AB475" i="24"/>
  <c r="AB474" i="24"/>
  <c r="AB473" i="24"/>
  <c r="AB472" i="24"/>
  <c r="AB471" i="24"/>
  <c r="AB470" i="24"/>
  <c r="AB469" i="24"/>
  <c r="AB468" i="24"/>
  <c r="AB467" i="24"/>
  <c r="AB466" i="24"/>
  <c r="AB465" i="24"/>
  <c r="AB464" i="24"/>
  <c r="AB463" i="24"/>
  <c r="AB462" i="24"/>
  <c r="AB461" i="24"/>
  <c r="AB460" i="24"/>
  <c r="AB459" i="24"/>
  <c r="AB458" i="24"/>
  <c r="AB15" i="24"/>
  <c r="AB4" i="24"/>
  <c r="AB5" i="24" s="1"/>
  <c r="AB3" i="24"/>
  <c r="AB13" i="24" s="1"/>
  <c r="AB8" i="24" s="1"/>
  <c r="AB630" i="24" l="1"/>
  <c r="AB629" i="24" s="1"/>
  <c r="AB583" i="24"/>
  <c r="AB549" i="24"/>
  <c r="AB556" i="24"/>
  <c r="AB526" i="24"/>
  <c r="AA218" i="42" s="1"/>
  <c r="AB497" i="24"/>
  <c r="AA211" i="42" s="1"/>
  <c r="AB559" i="24"/>
  <c r="AB572" i="24"/>
  <c r="AB565" i="24"/>
  <c r="AB594" i="24"/>
  <c r="AB11" i="24"/>
  <c r="AB6" i="24" s="1"/>
  <c r="AB607" i="24"/>
  <c r="AB664" i="24" s="1"/>
  <c r="AB498" i="24"/>
  <c r="AA213" i="42"/>
  <c r="AB582" i="24"/>
  <c r="AB599" i="24"/>
  <c r="AB525" i="24"/>
  <c r="AB625" i="24"/>
  <c r="AB615" i="24" s="1"/>
  <c r="AB665" i="24" s="1"/>
  <c r="AB520" i="24"/>
  <c r="AB552" i="24"/>
  <c r="AA220" i="42" s="1"/>
  <c r="AB509" i="24"/>
  <c r="AB9" i="24"/>
  <c r="AB544" i="24"/>
  <c r="AB644" i="24"/>
  <c r="AB533" i="24"/>
  <c r="AB567" i="24"/>
  <c r="AB650" i="24"/>
  <c r="AB12" i="24"/>
  <c r="AB7" i="24" s="1"/>
  <c r="AB515" i="24" l="1"/>
  <c r="AB674" i="24"/>
  <c r="AB593" i="24"/>
  <c r="AB663" i="24" s="1"/>
  <c r="AB577" i="24"/>
  <c r="AB682" i="24" s="1"/>
  <c r="AB681" i="24" s="1"/>
  <c r="AB662" i="24"/>
  <c r="AA232" i="42"/>
  <c r="AB676" i="24"/>
  <c r="AA215" i="42"/>
  <c r="AB675" i="24"/>
  <c r="AA216" i="42"/>
  <c r="AB679" i="24"/>
  <c r="AA221" i="42"/>
  <c r="AB562" i="24"/>
  <c r="AA219" i="42"/>
  <c r="AB677" i="24"/>
  <c r="AA212" i="42"/>
  <c r="AB643" i="24"/>
  <c r="AB659" i="24" l="1"/>
  <c r="AB678" i="24"/>
  <c r="AB680" i="24" s="1"/>
  <c r="AA217" i="42"/>
  <c r="AB668" i="24"/>
  <c r="AB657" i="24"/>
  <c r="AB667" i="24" l="1"/>
  <c r="AB658" i="24"/>
  <c r="AB666" i="24" s="1"/>
  <c r="AB519" i="22" l="1"/>
  <c r="AB518" i="22"/>
  <c r="AB517" i="22"/>
  <c r="AB516" i="22"/>
  <c r="AB515" i="22"/>
  <c r="AB514" i="22"/>
  <c r="AB513" i="22"/>
  <c r="AB512" i="22" s="1"/>
  <c r="AB511" i="22"/>
  <c r="AB510" i="22"/>
  <c r="AB509" i="22"/>
  <c r="AB505" i="22"/>
  <c r="AB504" i="22"/>
  <c r="AB503" i="22"/>
  <c r="AB502" i="22"/>
  <c r="AB501" i="22"/>
  <c r="AB500" i="22"/>
  <c r="AB499" i="22"/>
  <c r="AB498" i="22"/>
  <c r="AB496" i="22"/>
  <c r="AB495" i="22"/>
  <c r="AB493" i="22"/>
  <c r="AA171" i="42" s="1"/>
  <c r="AB492" i="22"/>
  <c r="AA170" i="42" s="1"/>
  <c r="AB484" i="22"/>
  <c r="AB482" i="22"/>
  <c r="AB481" i="22"/>
  <c r="AB480" i="22"/>
  <c r="AB479" i="22"/>
  <c r="AB478" i="22"/>
  <c r="AB477" i="22"/>
  <c r="AB476" i="22"/>
  <c r="AB475" i="22"/>
  <c r="AB474" i="22"/>
  <c r="AB473" i="22"/>
  <c r="AB472" i="22"/>
  <c r="AB471" i="22"/>
  <c r="AB470" i="22"/>
  <c r="AB469" i="22"/>
  <c r="AB468" i="22"/>
  <c r="AB467" i="22"/>
  <c r="AB465" i="22"/>
  <c r="AB464" i="22"/>
  <c r="AB3" i="22"/>
  <c r="AB9" i="22" s="1"/>
  <c r="AB497" i="22" l="1"/>
  <c r="AB508" i="22"/>
  <c r="AB520" i="22" s="1"/>
  <c r="AA176" i="42" s="1"/>
  <c r="AB5" i="22"/>
  <c r="AB506" i="22"/>
  <c r="AA175" i="42" s="1"/>
  <c r="AB7" i="22"/>
  <c r="AB8" i="22"/>
  <c r="AB10" i="22" s="1"/>
  <c r="K197" i="48"/>
  <c r="K68" i="52"/>
  <c r="K67" i="52"/>
  <c r="K80" i="52"/>
  <c r="K78" i="52"/>
  <c r="K65" i="52"/>
  <c r="K180" i="48"/>
  <c r="AH180" i="48" s="1"/>
  <c r="K183" i="48"/>
  <c r="AH183" i="48" s="1"/>
  <c r="K182" i="48"/>
  <c r="AH182" i="48" s="1"/>
  <c r="K181" i="48"/>
  <c r="AH181" i="48" s="1"/>
  <c r="K176" i="48"/>
  <c r="AH176" i="48" s="1"/>
  <c r="K178" i="48"/>
  <c r="AH178" i="48" s="1"/>
  <c r="K177" i="48"/>
  <c r="AH177" i="48" s="1"/>
  <c r="K175" i="48"/>
  <c r="AH175" i="48" s="1"/>
  <c r="K244" i="48"/>
  <c r="AH244" i="48" s="1"/>
  <c r="K243" i="48"/>
  <c r="AH243" i="48" s="1"/>
  <c r="K242" i="48"/>
  <c r="AH242" i="48" s="1"/>
  <c r="K297" i="48"/>
  <c r="K296" i="48"/>
  <c r="K273" i="48"/>
  <c r="AH273" i="48" s="1"/>
  <c r="K272" i="48"/>
  <c r="AH272" i="48" s="1"/>
  <c r="K268" i="48"/>
  <c r="AH268" i="48" s="1"/>
  <c r="K282" i="48"/>
  <c r="K281" i="48"/>
  <c r="K280" i="48"/>
  <c r="K278" i="48"/>
  <c r="K147" i="48"/>
  <c r="AH147" i="48" s="1"/>
  <c r="K149" i="48"/>
  <c r="AH149" i="48" s="1"/>
  <c r="AI149" i="48" s="1"/>
  <c r="K146" i="48"/>
  <c r="AH146" i="48" s="1"/>
  <c r="K145" i="48"/>
  <c r="AH145" i="48" s="1"/>
  <c r="K144" i="48"/>
  <c r="AH144" i="48" s="1"/>
  <c r="K143" i="48"/>
  <c r="AH143" i="48" s="1"/>
  <c r="K168" i="48"/>
  <c r="K167" i="48"/>
  <c r="K11" i="52"/>
  <c r="K10" i="52"/>
  <c r="K138" i="48"/>
  <c r="AH138" i="48" s="1"/>
  <c r="K250" i="48"/>
  <c r="K85" i="52"/>
  <c r="K84" i="52"/>
  <c r="K82" i="52"/>
  <c r="K23" i="52"/>
  <c r="K2" i="48"/>
  <c r="K6" i="52"/>
  <c r="K61" i="52" s="1"/>
  <c r="K5" i="52"/>
  <c r="K60" i="52" s="1"/>
  <c r="AA12" i="42"/>
  <c r="K9" i="52" s="1"/>
  <c r="N12" i="42"/>
  <c r="H9" i="52" s="1"/>
  <c r="M12" i="42"/>
  <c r="G9" i="52" s="1"/>
  <c r="L12" i="42"/>
  <c r="F9" i="52" s="1"/>
  <c r="K12" i="42"/>
  <c r="E9" i="52" s="1"/>
  <c r="J12" i="42"/>
  <c r="D9" i="52" s="1"/>
  <c r="V12" i="42"/>
  <c r="O12" i="42" s="1"/>
  <c r="I9" i="52" s="1"/>
  <c r="Z12" i="42"/>
  <c r="P12" i="42" s="1"/>
  <c r="J9" i="52" s="1"/>
  <c r="M9" i="52" l="1"/>
  <c r="K87" i="48"/>
  <c r="Q53" i="42"/>
  <c r="K299" i="48"/>
  <c r="K91" i="48"/>
  <c r="K211" i="48"/>
  <c r="AI144" i="48"/>
  <c r="AI138" i="48"/>
  <c r="AI143" i="48"/>
  <c r="AI147" i="48"/>
  <c r="AI145" i="48"/>
  <c r="AI146" i="48"/>
  <c r="K35" i="48"/>
  <c r="K57" i="48"/>
  <c r="K25" i="48"/>
  <c r="K119" i="48"/>
  <c r="K27" i="52"/>
  <c r="K117" i="48"/>
  <c r="K23" i="48"/>
  <c r="K11" i="48"/>
  <c r="K275" i="48"/>
  <c r="AH275" i="48" s="1"/>
  <c r="K231" i="48"/>
  <c r="K246" i="48"/>
  <c r="AH246" i="48" s="1"/>
  <c r="AI242" i="48" s="1"/>
  <c r="K293" i="48"/>
  <c r="K265" i="48"/>
  <c r="AH265" i="48" s="1"/>
  <c r="K130" i="48"/>
  <c r="K172" i="48"/>
  <c r="AH172" i="48" s="1"/>
  <c r="K99" i="48"/>
  <c r="K83" i="52"/>
  <c r="K81" i="52"/>
  <c r="K303" i="48"/>
  <c r="K51" i="48"/>
  <c r="K247" i="48"/>
  <c r="K9" i="48"/>
  <c r="K73" i="48"/>
  <c r="K212" i="48"/>
  <c r="K191" i="48"/>
  <c r="AH191" i="48" s="1"/>
  <c r="K205" i="48"/>
  <c r="K44" i="48"/>
  <c r="K142" i="48"/>
  <c r="AH142" i="48" s="1"/>
  <c r="AI142" i="48" s="1"/>
  <c r="K161" i="48"/>
  <c r="AH161" i="48" s="1"/>
  <c r="K18" i="52"/>
  <c r="K269" i="48"/>
  <c r="AH269" i="48" s="1"/>
  <c r="K69" i="52"/>
  <c r="K206" i="48"/>
  <c r="K45" i="48"/>
  <c r="K192" i="48"/>
  <c r="AH192" i="48" s="1"/>
  <c r="K165" i="48"/>
  <c r="K74" i="52"/>
  <c r="K210" i="48"/>
  <c r="K49" i="48"/>
  <c r="K291" i="48"/>
  <c r="K263" i="48"/>
  <c r="AH263" i="48" s="1"/>
  <c r="K7" i="52"/>
  <c r="K1" i="48"/>
  <c r="AH1" i="48" s="1"/>
  <c r="K21" i="52"/>
  <c r="K271" i="48"/>
  <c r="AH271" i="48" s="1"/>
  <c r="K208" i="48"/>
  <c r="K194" i="48"/>
  <c r="AH194" i="48" s="1"/>
  <c r="K47" i="48"/>
  <c r="K75" i="52"/>
  <c r="K77" i="52" s="1"/>
  <c r="K50" i="48"/>
  <c r="K8" i="48"/>
  <c r="K26" i="52"/>
  <c r="K245" i="48"/>
  <c r="AH245" i="48" s="1"/>
  <c r="K64" i="52"/>
  <c r="K63" i="52" s="1"/>
  <c r="K185" i="48"/>
  <c r="AH185" i="48" s="1"/>
  <c r="AI185" i="48" s="1"/>
  <c r="K292" i="48"/>
  <c r="K264" i="48"/>
  <c r="AH264" i="48" s="1"/>
  <c r="K13" i="52"/>
  <c r="K116" i="48"/>
  <c r="K22" i="48"/>
  <c r="K10" i="48"/>
  <c r="K294" i="48"/>
  <c r="K20" i="52"/>
  <c r="K270" i="48"/>
  <c r="AH270" i="48" s="1"/>
  <c r="K203" i="48"/>
  <c r="K42" i="48"/>
  <c r="K189" i="48"/>
  <c r="AH189" i="48" s="1"/>
  <c r="K43" i="48"/>
  <c r="K204" i="48"/>
  <c r="K190" i="48"/>
  <c r="AH190" i="48" s="1"/>
  <c r="K25" i="52"/>
  <c r="K241" i="48"/>
  <c r="AH241" i="48" s="1"/>
  <c r="K46" i="48"/>
  <c r="K193" i="48"/>
  <c r="AH193" i="48" s="1"/>
  <c r="K207" i="48"/>
  <c r="K73" i="52"/>
  <c r="K218" i="48"/>
  <c r="AB4" i="22"/>
  <c r="AA7" i="42"/>
  <c r="AA368" i="42"/>
  <c r="AA334" i="42"/>
  <c r="AA324" i="42"/>
  <c r="AA323" i="42"/>
  <c r="AA322" i="42"/>
  <c r="K235" i="48"/>
  <c r="K234" i="48"/>
  <c r="K256" i="48"/>
  <c r="AA254" i="42"/>
  <c r="K66" i="52" s="1"/>
  <c r="AA27" i="42"/>
  <c r="AA225" i="42"/>
  <c r="AA30" i="42"/>
  <c r="AA29" i="42"/>
  <c r="AA174" i="42"/>
  <c r="K295" i="48" s="1"/>
  <c r="AA140" i="42"/>
  <c r="K170" i="48" s="1"/>
  <c r="AA86" i="42"/>
  <c r="AA25" i="42"/>
  <c r="AA19" i="42"/>
  <c r="K216" i="48" l="1"/>
  <c r="K30" i="48"/>
  <c r="K166" i="48"/>
  <c r="K169" i="48"/>
  <c r="AI241" i="48"/>
  <c r="AI244" i="48"/>
  <c r="AI245" i="48"/>
  <c r="AI181" i="48"/>
  <c r="AI183" i="48"/>
  <c r="AI178" i="48"/>
  <c r="AI182" i="48"/>
  <c r="AI177" i="48"/>
  <c r="AI176" i="48"/>
  <c r="AI180" i="48"/>
  <c r="AI172" i="48"/>
  <c r="AI243" i="48"/>
  <c r="AI246" i="48"/>
  <c r="AI175" i="48"/>
  <c r="K46" i="52"/>
  <c r="K260" i="48"/>
  <c r="K14" i="48"/>
  <c r="K254" i="48"/>
  <c r="K83" i="48"/>
  <c r="K45" i="52"/>
  <c r="K255" i="48"/>
  <c r="K173" i="48"/>
  <c r="AH173" i="48" s="1"/>
  <c r="AI173" i="48" s="1"/>
  <c r="K186" i="48"/>
  <c r="K286" i="48"/>
  <c r="K103" i="48"/>
  <c r="K38" i="52"/>
  <c r="K62" i="52"/>
  <c r="K95" i="52" s="1"/>
  <c r="K258" i="48"/>
  <c r="K80" i="48"/>
  <c r="K157" i="48"/>
  <c r="AH157" i="48" s="1"/>
  <c r="K140" i="48"/>
  <c r="AH140" i="48" s="1"/>
  <c r="AI140" i="48" s="1"/>
  <c r="AI151" i="48" s="1"/>
  <c r="AA28" i="42"/>
  <c r="AA336" i="42"/>
  <c r="K200" i="48" s="1"/>
  <c r="K198" i="48"/>
  <c r="AA325" i="42"/>
  <c r="K201" i="48" s="1"/>
  <c r="AA348" i="42"/>
  <c r="AA359" i="42"/>
  <c r="AA346" i="42"/>
  <c r="K124" i="48"/>
  <c r="L127" i="48" s="1"/>
  <c r="AA62" i="42"/>
  <c r="K8" i="52" s="1"/>
  <c r="K12" i="52" s="1"/>
  <c r="AA89" i="42"/>
  <c r="K160" i="48" s="1"/>
  <c r="AH160" i="48" s="1"/>
  <c r="AA69" i="42"/>
  <c r="AA162" i="42"/>
  <c r="K274" i="48" s="1"/>
  <c r="AH274" i="48" s="1"/>
  <c r="AA207" i="42"/>
  <c r="AA147" i="42"/>
  <c r="K17" i="52" s="1"/>
  <c r="AA193" i="42"/>
  <c r="AA358" i="42"/>
  <c r="AA198" i="42"/>
  <c r="AA301" i="42"/>
  <c r="K233" i="48" s="1"/>
  <c r="AA143" i="42"/>
  <c r="AA142" i="42"/>
  <c r="K266" i="48" s="1"/>
  <c r="AH266" i="48" s="1"/>
  <c r="AA159" i="42"/>
  <c r="K19" i="52" s="1"/>
  <c r="AA309" i="42"/>
  <c r="AA85" i="42"/>
  <c r="AA131" i="42"/>
  <c r="AA245" i="42"/>
  <c r="AA87" i="42"/>
  <c r="K156" i="48" s="1"/>
  <c r="AH156" i="48" s="1"/>
  <c r="AA366" i="42"/>
  <c r="AA88" i="42"/>
  <c r="AA172" i="42"/>
  <c r="AA239" i="42"/>
  <c r="AA292" i="42"/>
  <c r="AA71" i="42"/>
  <c r="AA351" i="42"/>
  <c r="K97" i="52" s="1"/>
  <c r="AA299" i="42"/>
  <c r="AA347" i="42"/>
  <c r="AA286" i="42"/>
  <c r="AA146" i="42"/>
  <c r="K262" i="48" s="1"/>
  <c r="AH262" i="48" s="1"/>
  <c r="AA90" i="42"/>
  <c r="AA26" i="42"/>
  <c r="AA335" i="42"/>
  <c r="K199" i="48" s="1"/>
  <c r="AA222" i="42"/>
  <c r="C1" i="22"/>
  <c r="C1" i="24" s="1"/>
  <c r="B1" i="22"/>
  <c r="AA357" i="42" l="1"/>
  <c r="AE362" i="42" s="1"/>
  <c r="L105" i="52" s="1"/>
  <c r="AA345" i="42"/>
  <c r="AA344" i="42" s="1"/>
  <c r="K68" i="48" s="1"/>
  <c r="K60" i="48"/>
  <c r="K38" i="48"/>
  <c r="K37" i="48"/>
  <c r="K59" i="48"/>
  <c r="K39" i="48"/>
  <c r="K61" i="48"/>
  <c r="K36" i="48"/>
  <c r="K58" i="48"/>
  <c r="AA340" i="42"/>
  <c r="K226" i="48" s="1"/>
  <c r="K16" i="52"/>
  <c r="K139" i="48"/>
  <c r="K163" i="48"/>
  <c r="AH163" i="48" s="1"/>
  <c r="AI160" i="48" s="1"/>
  <c r="K44" i="52"/>
  <c r="K257" i="48"/>
  <c r="K112" i="48"/>
  <c r="K26" i="48"/>
  <c r="K125" i="48"/>
  <c r="K82" i="48"/>
  <c r="K253" i="48"/>
  <c r="K252" i="48"/>
  <c r="K227" i="48"/>
  <c r="K64" i="48"/>
  <c r="K158" i="48"/>
  <c r="AH158" i="48" s="1"/>
  <c r="K15" i="52"/>
  <c r="K267" i="48"/>
  <c r="AH267" i="48" s="1"/>
  <c r="K159" i="48"/>
  <c r="AH159" i="48" s="1"/>
  <c r="K102" i="48"/>
  <c r="K285" i="48"/>
  <c r="K49" i="52"/>
  <c r="K284" i="48"/>
  <c r="K94" i="48"/>
  <c r="K17" i="48"/>
  <c r="K90" i="48"/>
  <c r="AA343" i="42"/>
  <c r="AA300" i="42"/>
  <c r="AA341" i="42"/>
  <c r="AA350" i="42"/>
  <c r="AA234" i="42"/>
  <c r="K121" i="48" s="1"/>
  <c r="AA238" i="42"/>
  <c r="AA293" i="42"/>
  <c r="AA365" i="42"/>
  <c r="AA167" i="42"/>
  <c r="AA355" i="42"/>
  <c r="AA236" i="42"/>
  <c r="K122" i="48" s="1"/>
  <c r="L142" i="60"/>
  <c r="N125" i="48" l="1"/>
  <c r="L128" i="48"/>
  <c r="K29" i="52"/>
  <c r="AA362" i="42"/>
  <c r="K22" i="52"/>
  <c r="AI158" i="48"/>
  <c r="AI159" i="48"/>
  <c r="AI163" i="48"/>
  <c r="AI161" i="48"/>
  <c r="K148" i="48"/>
  <c r="AH148" i="48" s="1"/>
  <c r="AI148" i="48" s="1"/>
  <c r="AH139" i="48"/>
  <c r="AI139" i="48" s="1"/>
  <c r="AI157" i="48"/>
  <c r="AI156" i="48"/>
  <c r="K40" i="52"/>
  <c r="K230" i="48"/>
  <c r="K63" i="48"/>
  <c r="K51" i="52"/>
  <c r="K97" i="48"/>
  <c r="K289" i="48"/>
  <c r="K71" i="52"/>
  <c r="K70" i="52" s="1"/>
  <c r="K195" i="48"/>
  <c r="AH195" i="48" s="1"/>
  <c r="K209" i="48"/>
  <c r="K228" i="48"/>
  <c r="K65" i="48"/>
  <c r="K47" i="52"/>
  <c r="K71" i="48"/>
  <c r="K306" i="48"/>
  <c r="AH141" i="48"/>
  <c r="AI141" i="48" s="1"/>
  <c r="K179" i="48"/>
  <c r="AH179" i="48" s="1"/>
  <c r="AI179" i="48" s="1"/>
  <c r="K132" i="48"/>
  <c r="K174" i="48"/>
  <c r="AH174" i="48" s="1"/>
  <c r="AI174" i="48" s="1"/>
  <c r="K131" i="48"/>
  <c r="K41" i="52"/>
  <c r="K229" i="48"/>
  <c r="K66" i="48"/>
  <c r="K162" i="48"/>
  <c r="AH162" i="48" s="1"/>
  <c r="AI162" i="48" s="1"/>
  <c r="K102" i="52"/>
  <c r="K213" i="48"/>
  <c r="K52" i="48"/>
  <c r="K31" i="52"/>
  <c r="K70" i="48"/>
  <c r="K18" i="48"/>
  <c r="K105" i="48"/>
  <c r="K237" i="48"/>
  <c r="K238" i="48" s="1"/>
  <c r="K288" i="48"/>
  <c r="K305" i="48"/>
  <c r="K32" i="48"/>
  <c r="K33" i="48" s="1"/>
  <c r="K30" i="52"/>
  <c r="K290" i="48"/>
  <c r="K107" i="48"/>
  <c r="K12" i="48"/>
  <c r="AA349" i="42"/>
  <c r="AA342" i="42"/>
  <c r="K223" i="48"/>
  <c r="K224" i="48" s="1"/>
  <c r="AA168" i="42"/>
  <c r="K89" i="48" s="1"/>
  <c r="K276" i="48"/>
  <c r="AH276" i="48" s="1"/>
  <c r="AI267" i="48" s="1"/>
  <c r="AA360" i="42"/>
  <c r="AI276" i="48" l="1"/>
  <c r="AI273" i="48"/>
  <c r="AI268" i="48"/>
  <c r="AI272" i="48"/>
  <c r="AI265" i="48"/>
  <c r="AI270" i="48"/>
  <c r="AI269" i="48"/>
  <c r="AI275" i="48"/>
  <c r="AI264" i="48"/>
  <c r="AI271" i="48"/>
  <c r="AI263" i="48"/>
  <c r="AI262" i="48"/>
  <c r="AI274" i="48"/>
  <c r="AI266" i="48"/>
  <c r="AI195" i="48"/>
  <c r="AI193" i="48"/>
  <c r="AI192" i="48"/>
  <c r="AI194" i="48"/>
  <c r="AI191" i="48"/>
  <c r="AI189" i="48"/>
  <c r="AI190" i="48"/>
  <c r="K67" i="48"/>
  <c r="K184" i="48"/>
  <c r="AH184" i="48" s="1"/>
  <c r="AI184" i="48" s="1"/>
  <c r="K50" i="52"/>
  <c r="K95" i="48"/>
  <c r="K287" i="48"/>
  <c r="AA354" i="42"/>
  <c r="K101" i="52" s="1"/>
  <c r="K48" i="48" l="1"/>
  <c r="K55" i="48" s="1"/>
  <c r="K7" i="48"/>
  <c r="K133" i="48"/>
  <c r="J72" i="60"/>
  <c r="J73" i="60" s="1"/>
  <c r="K19" i="59" l="1"/>
  <c r="AA684" i="24" l="1"/>
  <c r="Z684" i="24"/>
  <c r="Y684" i="24"/>
  <c r="X684" i="24"/>
  <c r="W684" i="24"/>
  <c r="V684" i="24"/>
  <c r="U684" i="24"/>
  <c r="T684" i="24"/>
  <c r="S684" i="24"/>
  <c r="R684" i="24"/>
  <c r="Q684" i="24"/>
  <c r="P684" i="24"/>
  <c r="O684" i="24"/>
  <c r="N684" i="24"/>
  <c r="M684" i="24"/>
  <c r="L684" i="24"/>
  <c r="K684" i="24"/>
  <c r="J684" i="24"/>
  <c r="I684" i="24"/>
  <c r="H684" i="24"/>
  <c r="G684" i="24"/>
  <c r="F684" i="24"/>
  <c r="E684" i="24"/>
  <c r="D684" i="24"/>
  <c r="AA683" i="24"/>
  <c r="Z683" i="24"/>
  <c r="Y683" i="24"/>
  <c r="X683" i="24"/>
  <c r="W683" i="24"/>
  <c r="V683" i="24"/>
  <c r="U683" i="24"/>
  <c r="T683" i="24"/>
  <c r="S683" i="24"/>
  <c r="R683" i="24"/>
  <c r="Q683" i="24"/>
  <c r="P683" i="24"/>
  <c r="O683" i="24"/>
  <c r="N683" i="24"/>
  <c r="M683" i="24"/>
  <c r="L683" i="24"/>
  <c r="K683" i="24"/>
  <c r="J683" i="24"/>
  <c r="I683" i="24"/>
  <c r="H683" i="24"/>
  <c r="G683" i="24"/>
  <c r="F683" i="24"/>
  <c r="E683" i="24"/>
  <c r="D683" i="24"/>
  <c r="AA670" i="24" l="1"/>
  <c r="Z670" i="24"/>
  <c r="Y670" i="24"/>
  <c r="X670" i="24"/>
  <c r="W670" i="24"/>
  <c r="V670" i="24"/>
  <c r="U670" i="24"/>
  <c r="T670" i="24"/>
  <c r="S670" i="24"/>
  <c r="R670" i="24"/>
  <c r="Q670" i="24"/>
  <c r="P670" i="24"/>
  <c r="O670" i="24"/>
  <c r="N670" i="24"/>
  <c r="M670" i="24"/>
  <c r="L670" i="24"/>
  <c r="K670" i="24"/>
  <c r="J670" i="24"/>
  <c r="I670" i="24"/>
  <c r="H670" i="24"/>
  <c r="G670" i="24"/>
  <c r="F670" i="24"/>
  <c r="E670" i="24"/>
  <c r="D670" i="24"/>
  <c r="AA655" i="24"/>
  <c r="Z655" i="24"/>
  <c r="Y655" i="24"/>
  <c r="X655" i="24"/>
  <c r="W655" i="24"/>
  <c r="V655" i="24"/>
  <c r="U655" i="24"/>
  <c r="T655" i="24"/>
  <c r="S655" i="24"/>
  <c r="R655" i="24"/>
  <c r="Q655" i="24"/>
  <c r="P655" i="24"/>
  <c r="O655" i="24"/>
  <c r="N655" i="24"/>
  <c r="M655" i="24"/>
  <c r="L655" i="24"/>
  <c r="K655" i="24"/>
  <c r="J655" i="24"/>
  <c r="I655" i="24"/>
  <c r="H655" i="24"/>
  <c r="G655" i="24"/>
  <c r="F655" i="24"/>
  <c r="E655" i="24"/>
  <c r="D655" i="24"/>
  <c r="AA654" i="24"/>
  <c r="Z654" i="24"/>
  <c r="Y654" i="24"/>
  <c r="X654" i="24"/>
  <c r="W654" i="24"/>
  <c r="V654" i="24"/>
  <c r="U654" i="24"/>
  <c r="T654" i="24"/>
  <c r="S654" i="24"/>
  <c r="R654" i="24"/>
  <c r="Q654" i="24"/>
  <c r="P654" i="24"/>
  <c r="O654" i="24"/>
  <c r="N654" i="24"/>
  <c r="M654" i="24"/>
  <c r="L654" i="24"/>
  <c r="K654" i="24"/>
  <c r="J654" i="24"/>
  <c r="I654" i="24"/>
  <c r="H654" i="24"/>
  <c r="G654" i="24"/>
  <c r="F654" i="24"/>
  <c r="E654" i="24"/>
  <c r="D654" i="24"/>
  <c r="AA653" i="24"/>
  <c r="Z653" i="24"/>
  <c r="Y653" i="24"/>
  <c r="X653" i="24"/>
  <c r="W653" i="24"/>
  <c r="V653" i="24"/>
  <c r="U653" i="24"/>
  <c r="T653" i="24"/>
  <c r="S653" i="24"/>
  <c r="R653" i="24"/>
  <c r="Q653" i="24"/>
  <c r="P653" i="24"/>
  <c r="O653" i="24"/>
  <c r="N653" i="24"/>
  <c r="M653" i="24"/>
  <c r="L653" i="24"/>
  <c r="K653" i="24"/>
  <c r="J653" i="24"/>
  <c r="I653" i="24"/>
  <c r="H653" i="24"/>
  <c r="G653" i="24"/>
  <c r="F653" i="24"/>
  <c r="E653" i="24"/>
  <c r="D653" i="24"/>
  <c r="AA652" i="24"/>
  <c r="Z652" i="24"/>
  <c r="Y652" i="24"/>
  <c r="X652" i="24"/>
  <c r="W652" i="24"/>
  <c r="V652" i="24"/>
  <c r="U652" i="24"/>
  <c r="T652" i="24"/>
  <c r="S652" i="24"/>
  <c r="R652" i="24"/>
  <c r="Q652" i="24"/>
  <c r="P652" i="24"/>
  <c r="O652" i="24"/>
  <c r="N652" i="24"/>
  <c r="M652" i="24"/>
  <c r="L652" i="24"/>
  <c r="K652" i="24"/>
  <c r="J652" i="24"/>
  <c r="I652" i="24"/>
  <c r="H652" i="24"/>
  <c r="G652" i="24"/>
  <c r="F652" i="24"/>
  <c r="E652" i="24"/>
  <c r="D652" i="24"/>
  <c r="AA651" i="24"/>
  <c r="AA650" i="24" s="1"/>
  <c r="Z651" i="24"/>
  <c r="Z650" i="24" s="1"/>
  <c r="Y651" i="24"/>
  <c r="Y650" i="24" s="1"/>
  <c r="X651" i="24"/>
  <c r="X650" i="24" s="1"/>
  <c r="W651" i="24"/>
  <c r="V651" i="24"/>
  <c r="U651" i="24"/>
  <c r="T651" i="24"/>
  <c r="S651" i="24"/>
  <c r="R651" i="24"/>
  <c r="Q651" i="24"/>
  <c r="P651" i="24"/>
  <c r="O651" i="24"/>
  <c r="N651" i="24"/>
  <c r="M651" i="24"/>
  <c r="L651" i="24"/>
  <c r="K651" i="24"/>
  <c r="K650" i="24" s="1"/>
  <c r="J651" i="24"/>
  <c r="J650" i="24" s="1"/>
  <c r="I651" i="24"/>
  <c r="I650" i="24" s="1"/>
  <c r="H651" i="24"/>
  <c r="H650" i="24" s="1"/>
  <c r="G651" i="24"/>
  <c r="G650" i="24" s="1"/>
  <c r="F651" i="24"/>
  <c r="F650" i="24" s="1"/>
  <c r="E651" i="24"/>
  <c r="D651" i="24"/>
  <c r="D650" i="24" s="1"/>
  <c r="AA649" i="24"/>
  <c r="Z649" i="24"/>
  <c r="Y649" i="24"/>
  <c r="X649" i="24"/>
  <c r="W649" i="24"/>
  <c r="V649" i="24"/>
  <c r="U649" i="24"/>
  <c r="T649" i="24"/>
  <c r="S649" i="24"/>
  <c r="R649" i="24"/>
  <c r="Q649" i="24"/>
  <c r="P649" i="24"/>
  <c r="O649" i="24"/>
  <c r="N649" i="24"/>
  <c r="M649" i="24"/>
  <c r="L649" i="24"/>
  <c r="K649" i="24"/>
  <c r="J649" i="24"/>
  <c r="I649" i="24"/>
  <c r="H649" i="24"/>
  <c r="G649" i="24"/>
  <c r="F649" i="24"/>
  <c r="E649" i="24"/>
  <c r="D649" i="24"/>
  <c r="AA648" i="24"/>
  <c r="Z648" i="24"/>
  <c r="Y648" i="24"/>
  <c r="X648" i="24"/>
  <c r="W648" i="24"/>
  <c r="V648" i="24"/>
  <c r="U648" i="24"/>
  <c r="T648" i="24"/>
  <c r="S648" i="24"/>
  <c r="R648" i="24"/>
  <c r="Q648" i="24"/>
  <c r="P648" i="24"/>
  <c r="O648" i="24"/>
  <c r="N648" i="24"/>
  <c r="M648" i="24"/>
  <c r="L648" i="24"/>
  <c r="K648" i="24"/>
  <c r="J648" i="24"/>
  <c r="I648" i="24"/>
  <c r="H648" i="24"/>
  <c r="G648" i="24"/>
  <c r="F648" i="24"/>
  <c r="E648" i="24"/>
  <c r="D648" i="24"/>
  <c r="AA647" i="24"/>
  <c r="Z647" i="24"/>
  <c r="Y647" i="24"/>
  <c r="X647" i="24"/>
  <c r="W647" i="24"/>
  <c r="V647" i="24"/>
  <c r="U647" i="24"/>
  <c r="T647" i="24"/>
  <c r="S647" i="24"/>
  <c r="R647" i="24"/>
  <c r="Q647" i="24"/>
  <c r="P647" i="24"/>
  <c r="O647" i="24"/>
  <c r="N647" i="24"/>
  <c r="M647" i="24"/>
  <c r="L647" i="24"/>
  <c r="K647" i="24"/>
  <c r="J647" i="24"/>
  <c r="I647" i="24"/>
  <c r="H647" i="24"/>
  <c r="G647" i="24"/>
  <c r="F647" i="24"/>
  <c r="E647" i="24"/>
  <c r="D647" i="24"/>
  <c r="AA646" i="24"/>
  <c r="Z646" i="24"/>
  <c r="Y646" i="24"/>
  <c r="X646" i="24"/>
  <c r="W646" i="24"/>
  <c r="V646" i="24"/>
  <c r="U646" i="24"/>
  <c r="T646" i="24"/>
  <c r="S646" i="24"/>
  <c r="R646" i="24"/>
  <c r="Q646" i="24"/>
  <c r="P646" i="24"/>
  <c r="O646" i="24"/>
  <c r="N646" i="24"/>
  <c r="M646" i="24"/>
  <c r="L646" i="24"/>
  <c r="K646" i="24"/>
  <c r="J646" i="24"/>
  <c r="I646" i="24"/>
  <c r="H646" i="24"/>
  <c r="G646" i="24"/>
  <c r="F646" i="24"/>
  <c r="E646" i="24"/>
  <c r="D646" i="24"/>
  <c r="AA645" i="24"/>
  <c r="Z645" i="24"/>
  <c r="Y645" i="24"/>
  <c r="X645" i="24"/>
  <c r="W645" i="24"/>
  <c r="V645" i="24"/>
  <c r="V644" i="24" s="1"/>
  <c r="U645" i="24"/>
  <c r="U644" i="24" s="1"/>
  <c r="T645" i="24"/>
  <c r="T644" i="24" s="1"/>
  <c r="S645" i="24"/>
  <c r="S644" i="24" s="1"/>
  <c r="R645" i="24"/>
  <c r="R644" i="24" s="1"/>
  <c r="Q645" i="24"/>
  <c r="Q644" i="24" s="1"/>
  <c r="P645" i="24"/>
  <c r="P644" i="24" s="1"/>
  <c r="O645" i="24"/>
  <c r="N645" i="24"/>
  <c r="M645" i="24"/>
  <c r="L645" i="24"/>
  <c r="K645" i="24"/>
  <c r="J645" i="24"/>
  <c r="I645" i="24"/>
  <c r="H645" i="24"/>
  <c r="G645" i="24"/>
  <c r="G644" i="24" s="1"/>
  <c r="F645" i="24"/>
  <c r="F644" i="24" s="1"/>
  <c r="E645" i="24"/>
  <c r="E644" i="24" s="1"/>
  <c r="D645" i="24"/>
  <c r="AA644" i="24"/>
  <c r="Z644" i="24"/>
  <c r="Y644" i="24"/>
  <c r="AA641" i="24"/>
  <c r="AA669" i="24" s="1"/>
  <c r="Z641" i="24"/>
  <c r="Z669" i="24" s="1"/>
  <c r="Y641" i="24"/>
  <c r="Y669" i="24" s="1"/>
  <c r="X641" i="24"/>
  <c r="X669" i="24" s="1"/>
  <c r="W641" i="24"/>
  <c r="W669" i="24" s="1"/>
  <c r="V641" i="24"/>
  <c r="V669" i="24" s="1"/>
  <c r="U641" i="24"/>
  <c r="U669" i="24" s="1"/>
  <c r="T641" i="24"/>
  <c r="T669" i="24" s="1"/>
  <c r="S641" i="24"/>
  <c r="S669" i="24" s="1"/>
  <c r="R641" i="24"/>
  <c r="R669" i="24" s="1"/>
  <c r="Q641" i="24"/>
  <c r="Q669" i="24" s="1"/>
  <c r="P641" i="24"/>
  <c r="P669" i="24" s="1"/>
  <c r="O641" i="24"/>
  <c r="N641" i="24"/>
  <c r="N669" i="24" s="1"/>
  <c r="M641" i="24"/>
  <c r="M669" i="24" s="1"/>
  <c r="L641" i="24"/>
  <c r="L669" i="24" s="1"/>
  <c r="K641" i="24"/>
  <c r="K669" i="24" s="1"/>
  <c r="J641" i="24"/>
  <c r="J669" i="24" s="1"/>
  <c r="I641" i="24"/>
  <c r="I669" i="24" s="1"/>
  <c r="H641" i="24"/>
  <c r="H669" i="24" s="1"/>
  <c r="G641" i="24"/>
  <c r="F641" i="24"/>
  <c r="F669" i="24" s="1"/>
  <c r="E641" i="24"/>
  <c r="E669" i="24" s="1"/>
  <c r="D641" i="24"/>
  <c r="AA640" i="24"/>
  <c r="Z640" i="24"/>
  <c r="Y640" i="24"/>
  <c r="X640" i="24"/>
  <c r="W640" i="24"/>
  <c r="V640" i="24"/>
  <c r="U640" i="24"/>
  <c r="T640" i="24"/>
  <c r="S640" i="24"/>
  <c r="R640" i="24"/>
  <c r="Q640" i="24"/>
  <c r="P640" i="24"/>
  <c r="O640" i="24"/>
  <c r="N640" i="24"/>
  <c r="M640" i="24"/>
  <c r="L640" i="24"/>
  <c r="K640" i="24"/>
  <c r="J640" i="24"/>
  <c r="I640" i="24"/>
  <c r="H640" i="24"/>
  <c r="G640" i="24"/>
  <c r="F640" i="24"/>
  <c r="E640" i="24"/>
  <c r="D640" i="24"/>
  <c r="AA639" i="24"/>
  <c r="Z639" i="24"/>
  <c r="Y639" i="24"/>
  <c r="X639" i="24"/>
  <c r="W639" i="24"/>
  <c r="V639" i="24"/>
  <c r="U639" i="24"/>
  <c r="T639" i="24"/>
  <c r="S639" i="24"/>
  <c r="R639" i="24"/>
  <c r="Q639" i="24"/>
  <c r="P639" i="24"/>
  <c r="O639" i="24"/>
  <c r="N639" i="24"/>
  <c r="M639" i="24"/>
  <c r="L639" i="24"/>
  <c r="K639" i="24"/>
  <c r="J639" i="24"/>
  <c r="I639" i="24"/>
  <c r="H639" i="24"/>
  <c r="G639" i="24"/>
  <c r="F639" i="24"/>
  <c r="E639" i="24"/>
  <c r="D639" i="24"/>
  <c r="AA627" i="24"/>
  <c r="Z627" i="24"/>
  <c r="Y627" i="24"/>
  <c r="X627" i="24"/>
  <c r="W627" i="24"/>
  <c r="V627" i="24"/>
  <c r="U627" i="24"/>
  <c r="T627" i="24"/>
  <c r="S627" i="24"/>
  <c r="R627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AA626" i="24"/>
  <c r="AA625" i="24" s="1"/>
  <c r="Z626" i="24"/>
  <c r="Y626" i="24"/>
  <c r="X626" i="24"/>
  <c r="W626" i="24"/>
  <c r="V626" i="24"/>
  <c r="U626" i="24"/>
  <c r="T626" i="24"/>
  <c r="S626" i="24"/>
  <c r="R626" i="24"/>
  <c r="R625" i="24" s="1"/>
  <c r="Q626" i="24"/>
  <c r="Q625" i="24" s="1"/>
  <c r="P626" i="24"/>
  <c r="P625" i="24" s="1"/>
  <c r="O626" i="24"/>
  <c r="O625" i="24" s="1"/>
  <c r="N626" i="24"/>
  <c r="N625" i="24" s="1"/>
  <c r="M626" i="24"/>
  <c r="M625" i="24" s="1"/>
  <c r="L626" i="24"/>
  <c r="L625" i="24" s="1"/>
  <c r="K626" i="24"/>
  <c r="K625" i="24" s="1"/>
  <c r="J626" i="24"/>
  <c r="I626" i="24"/>
  <c r="H626" i="24"/>
  <c r="G626" i="24"/>
  <c r="F626" i="24"/>
  <c r="E626" i="24"/>
  <c r="D626" i="24"/>
  <c r="AA624" i="24"/>
  <c r="Z624" i="24"/>
  <c r="Y624" i="24"/>
  <c r="X624" i="24"/>
  <c r="W624" i="24"/>
  <c r="V624" i="24"/>
  <c r="U624" i="24"/>
  <c r="T624" i="24"/>
  <c r="S624" i="24"/>
  <c r="R624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AA623" i="24"/>
  <c r="Z623" i="24"/>
  <c r="Y623" i="24"/>
  <c r="X623" i="24"/>
  <c r="W623" i="24"/>
  <c r="V623" i="24"/>
  <c r="U623" i="24"/>
  <c r="T623" i="24"/>
  <c r="S623" i="24"/>
  <c r="R623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AA622" i="24"/>
  <c r="Z622" i="24"/>
  <c r="Y622" i="24"/>
  <c r="X622" i="24"/>
  <c r="W622" i="24"/>
  <c r="V622" i="24"/>
  <c r="U622" i="24"/>
  <c r="T622" i="24"/>
  <c r="S622" i="24"/>
  <c r="R622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AA621" i="24"/>
  <c r="Z621" i="24"/>
  <c r="Y621" i="24"/>
  <c r="X621" i="24"/>
  <c r="W621" i="24"/>
  <c r="V621" i="24"/>
  <c r="U621" i="24"/>
  <c r="T621" i="24"/>
  <c r="S621" i="24"/>
  <c r="R621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AA620" i="24"/>
  <c r="Z620" i="24"/>
  <c r="Y620" i="24"/>
  <c r="X620" i="24"/>
  <c r="W620" i="24"/>
  <c r="V620" i="24"/>
  <c r="U620" i="24"/>
  <c r="T620" i="24"/>
  <c r="S620" i="24"/>
  <c r="R620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AA619" i="24"/>
  <c r="Z619" i="24"/>
  <c r="Y619" i="24"/>
  <c r="X619" i="24"/>
  <c r="W619" i="24"/>
  <c r="V619" i="24"/>
  <c r="U619" i="24"/>
  <c r="T619" i="24"/>
  <c r="S619" i="24"/>
  <c r="R619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AA618" i="24"/>
  <c r="Z618" i="24"/>
  <c r="Y618" i="24"/>
  <c r="X618" i="24"/>
  <c r="W618" i="24"/>
  <c r="V618" i="24"/>
  <c r="U618" i="24"/>
  <c r="T618" i="24"/>
  <c r="S618" i="24"/>
  <c r="R618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AA617" i="24"/>
  <c r="Z617" i="24"/>
  <c r="Y617" i="24"/>
  <c r="X617" i="24"/>
  <c r="W617" i="24"/>
  <c r="V617" i="24"/>
  <c r="U617" i="24"/>
  <c r="T617" i="24"/>
  <c r="S617" i="24"/>
  <c r="R617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AA616" i="24"/>
  <c r="Z616" i="24"/>
  <c r="Y616" i="24"/>
  <c r="X616" i="24"/>
  <c r="W616" i="24"/>
  <c r="V616" i="24"/>
  <c r="U616" i="24"/>
  <c r="T616" i="24"/>
  <c r="S616" i="24"/>
  <c r="R616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AA605" i="24"/>
  <c r="Z605" i="24"/>
  <c r="Y605" i="24"/>
  <c r="X605" i="24"/>
  <c r="W605" i="24"/>
  <c r="V605" i="24"/>
  <c r="U605" i="24"/>
  <c r="T605" i="24"/>
  <c r="S605" i="24"/>
  <c r="R605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AA604" i="24"/>
  <c r="Z604" i="24"/>
  <c r="Y604" i="24"/>
  <c r="X604" i="24"/>
  <c r="W604" i="24"/>
  <c r="V604" i="24"/>
  <c r="U604" i="24"/>
  <c r="T604" i="24"/>
  <c r="S604" i="24"/>
  <c r="R604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AA603" i="24"/>
  <c r="Z603" i="24"/>
  <c r="Y603" i="24"/>
  <c r="X603" i="24"/>
  <c r="W603" i="24"/>
  <c r="V603" i="24"/>
  <c r="U603" i="24"/>
  <c r="T603" i="24"/>
  <c r="S603" i="24"/>
  <c r="R603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AA602" i="24"/>
  <c r="Z602" i="24"/>
  <c r="Y602" i="24"/>
  <c r="X602" i="24"/>
  <c r="W602" i="24"/>
  <c r="V602" i="24"/>
  <c r="U602" i="24"/>
  <c r="T602" i="24"/>
  <c r="S602" i="24"/>
  <c r="R602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AA601" i="24"/>
  <c r="Z601" i="24"/>
  <c r="Y601" i="24"/>
  <c r="X601" i="24"/>
  <c r="W601" i="24"/>
  <c r="V601" i="24"/>
  <c r="U601" i="24"/>
  <c r="T601" i="24"/>
  <c r="S601" i="24"/>
  <c r="R601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AA600" i="24"/>
  <c r="Z600" i="24"/>
  <c r="Z599" i="24" s="1"/>
  <c r="Y600" i="24"/>
  <c r="Y599" i="24" s="1"/>
  <c r="X600" i="24"/>
  <c r="X599" i="24" s="1"/>
  <c r="W600" i="24"/>
  <c r="W599" i="24" s="1"/>
  <c r="V600" i="24"/>
  <c r="V599" i="24" s="1"/>
  <c r="U600" i="24"/>
  <c r="U599" i="24" s="1"/>
  <c r="T600" i="24"/>
  <c r="T599" i="24" s="1"/>
  <c r="S600" i="24"/>
  <c r="S599" i="24" s="1"/>
  <c r="R600" i="24"/>
  <c r="Q600" i="24"/>
  <c r="P600" i="24"/>
  <c r="O600" i="24"/>
  <c r="N600" i="24"/>
  <c r="M600" i="24"/>
  <c r="L600" i="24"/>
  <c r="K600" i="24"/>
  <c r="J600" i="24"/>
  <c r="J599" i="24" s="1"/>
  <c r="I600" i="24"/>
  <c r="I599" i="24" s="1"/>
  <c r="H600" i="24"/>
  <c r="H599" i="24" s="1"/>
  <c r="G600" i="24"/>
  <c r="G599" i="24" s="1"/>
  <c r="F600" i="24"/>
  <c r="F599" i="24" s="1"/>
  <c r="E600" i="24"/>
  <c r="E599" i="24" s="1"/>
  <c r="D600" i="24"/>
  <c r="D599" i="24" s="1"/>
  <c r="AA599" i="24"/>
  <c r="AA598" i="24"/>
  <c r="Z598" i="24"/>
  <c r="Y598" i="24"/>
  <c r="X598" i="24"/>
  <c r="W598" i="24"/>
  <c r="V598" i="24"/>
  <c r="U598" i="24"/>
  <c r="T598" i="24"/>
  <c r="S598" i="24"/>
  <c r="R598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AA597" i="24"/>
  <c r="Z597" i="24"/>
  <c r="Y597" i="24"/>
  <c r="X597" i="24"/>
  <c r="W597" i="24"/>
  <c r="V597" i="24"/>
  <c r="U597" i="24"/>
  <c r="T597" i="24"/>
  <c r="S597" i="24"/>
  <c r="R597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AA596" i="24"/>
  <c r="Z596" i="24"/>
  <c r="Y596" i="24"/>
  <c r="X596" i="24"/>
  <c r="X594" i="24" s="1"/>
  <c r="W596" i="24"/>
  <c r="V596" i="24"/>
  <c r="V594" i="24" s="1"/>
  <c r="U596" i="24"/>
  <c r="U594" i="24" s="1"/>
  <c r="T596" i="24"/>
  <c r="S596" i="24"/>
  <c r="S594" i="24" s="1"/>
  <c r="R596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AA595" i="24"/>
  <c r="AA594" i="24" s="1"/>
  <c r="Z595" i="24"/>
  <c r="Z594" i="24" s="1"/>
  <c r="Y595" i="24"/>
  <c r="Y594" i="24" s="1"/>
  <c r="X595" i="24"/>
  <c r="W595" i="24"/>
  <c r="V595" i="24"/>
  <c r="U595" i="24"/>
  <c r="T595" i="24"/>
  <c r="S595" i="24"/>
  <c r="R595" i="24"/>
  <c r="Q595" i="24"/>
  <c r="P595" i="24"/>
  <c r="P594" i="24" s="1"/>
  <c r="O595" i="24"/>
  <c r="O594" i="24" s="1"/>
  <c r="N595" i="24"/>
  <c r="N594" i="24" s="1"/>
  <c r="M595" i="24"/>
  <c r="M594" i="24" s="1"/>
  <c r="L595" i="24"/>
  <c r="L594" i="24" s="1"/>
  <c r="K595" i="24"/>
  <c r="K594" i="24" s="1"/>
  <c r="J595" i="24"/>
  <c r="J594" i="24" s="1"/>
  <c r="I595" i="24"/>
  <c r="I594" i="24" s="1"/>
  <c r="H595" i="24"/>
  <c r="G595" i="24"/>
  <c r="F595" i="24"/>
  <c r="E595" i="24"/>
  <c r="D595" i="24"/>
  <c r="W594" i="24"/>
  <c r="AA613" i="24"/>
  <c r="Z613" i="24"/>
  <c r="Y613" i="24"/>
  <c r="X613" i="24"/>
  <c r="W613" i="24"/>
  <c r="V613" i="24"/>
  <c r="U613" i="24"/>
  <c r="T613" i="24"/>
  <c r="S613" i="24"/>
  <c r="R613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AA612" i="24"/>
  <c r="Z612" i="24"/>
  <c r="Y612" i="24"/>
  <c r="X612" i="24"/>
  <c r="W612" i="24"/>
  <c r="V612" i="24"/>
  <c r="U612" i="24"/>
  <c r="T612" i="24"/>
  <c r="S612" i="24"/>
  <c r="R612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AA611" i="24"/>
  <c r="Z611" i="24"/>
  <c r="Y611" i="24"/>
  <c r="X611" i="24"/>
  <c r="W611" i="24"/>
  <c r="V611" i="24"/>
  <c r="U611" i="24"/>
  <c r="T611" i="24"/>
  <c r="S611" i="24"/>
  <c r="R611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AA610" i="24"/>
  <c r="Z610" i="24"/>
  <c r="Y610" i="24"/>
  <c r="X610" i="24"/>
  <c r="W610" i="24"/>
  <c r="V610" i="24"/>
  <c r="U610" i="24"/>
  <c r="T610" i="24"/>
  <c r="S610" i="24"/>
  <c r="R610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AA609" i="24"/>
  <c r="Z609" i="24"/>
  <c r="Y609" i="24"/>
  <c r="X609" i="24"/>
  <c r="W609" i="24"/>
  <c r="V609" i="24"/>
  <c r="U609" i="24"/>
  <c r="T609" i="24"/>
  <c r="S609" i="24"/>
  <c r="R609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AA608" i="24"/>
  <c r="Z608" i="24"/>
  <c r="Y608" i="24"/>
  <c r="X608" i="24"/>
  <c r="W608" i="24"/>
  <c r="V608" i="24"/>
  <c r="V607" i="24" s="1"/>
  <c r="V664" i="24" s="1"/>
  <c r="U608" i="24"/>
  <c r="U607" i="24" s="1"/>
  <c r="U664" i="24" s="1"/>
  <c r="T608" i="24"/>
  <c r="T607" i="24" s="1"/>
  <c r="T664" i="24" s="1"/>
  <c r="S608" i="24"/>
  <c r="S607" i="24" s="1"/>
  <c r="S664" i="24" s="1"/>
  <c r="R608" i="24"/>
  <c r="R607" i="24" s="1"/>
  <c r="R664" i="24" s="1"/>
  <c r="Q608" i="24"/>
  <c r="Q607" i="24" s="1"/>
  <c r="Q664" i="24" s="1"/>
  <c r="P608" i="24"/>
  <c r="O608" i="24"/>
  <c r="N608" i="24"/>
  <c r="M608" i="24"/>
  <c r="L608" i="24"/>
  <c r="K608" i="24"/>
  <c r="J608" i="24"/>
  <c r="I608" i="24"/>
  <c r="H608" i="24"/>
  <c r="G608" i="24"/>
  <c r="F608" i="24"/>
  <c r="F607" i="24" s="1"/>
  <c r="F664" i="24" s="1"/>
  <c r="E608" i="24"/>
  <c r="E607" i="24" s="1"/>
  <c r="E664" i="24" s="1"/>
  <c r="D608" i="24"/>
  <c r="D607" i="24" s="1"/>
  <c r="D664" i="24" s="1"/>
  <c r="AA607" i="24"/>
  <c r="AA664" i="24" s="1"/>
  <c r="Z607" i="24"/>
  <c r="Z664" i="24" s="1"/>
  <c r="Y607" i="24"/>
  <c r="Y664" i="24" s="1"/>
  <c r="AA634" i="24"/>
  <c r="Z634" i="24"/>
  <c r="Y634" i="24"/>
  <c r="X634" i="24"/>
  <c r="W634" i="24"/>
  <c r="V634" i="24"/>
  <c r="U634" i="24"/>
  <c r="T634" i="24"/>
  <c r="S634" i="24"/>
  <c r="R634" i="24"/>
  <c r="Q634" i="24"/>
  <c r="P634" i="24"/>
  <c r="O634" i="24"/>
  <c r="N634" i="24"/>
  <c r="M634" i="24"/>
  <c r="L634" i="24"/>
  <c r="K634" i="24"/>
  <c r="J634" i="24"/>
  <c r="I634" i="24"/>
  <c r="H634" i="24"/>
  <c r="G634" i="24"/>
  <c r="F634" i="24"/>
  <c r="E634" i="24"/>
  <c r="D634" i="24"/>
  <c r="AA633" i="24"/>
  <c r="Z633" i="24"/>
  <c r="Y633" i="24"/>
  <c r="X633" i="24"/>
  <c r="W633" i="24"/>
  <c r="V633" i="24"/>
  <c r="U633" i="24"/>
  <c r="T633" i="24"/>
  <c r="S633" i="24"/>
  <c r="R633" i="24"/>
  <c r="Q633" i="24"/>
  <c r="P633" i="24"/>
  <c r="O633" i="24"/>
  <c r="N633" i="24"/>
  <c r="M633" i="24"/>
  <c r="L633" i="24"/>
  <c r="K633" i="24"/>
  <c r="J633" i="24"/>
  <c r="I633" i="24"/>
  <c r="H633" i="24"/>
  <c r="G633" i="24"/>
  <c r="F633" i="24"/>
  <c r="E633" i="24"/>
  <c r="D633" i="24"/>
  <c r="AA591" i="24"/>
  <c r="Z591" i="24"/>
  <c r="Y591" i="24"/>
  <c r="X591" i="24"/>
  <c r="W591" i="24"/>
  <c r="V591" i="24"/>
  <c r="U591" i="24"/>
  <c r="T591" i="24"/>
  <c r="S591" i="24"/>
  <c r="R591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AA590" i="24"/>
  <c r="Z590" i="24"/>
  <c r="Y590" i="24"/>
  <c r="X590" i="24"/>
  <c r="W590" i="24"/>
  <c r="V590" i="24"/>
  <c r="U590" i="24"/>
  <c r="T590" i="24"/>
  <c r="S590" i="24"/>
  <c r="R590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AA589" i="24"/>
  <c r="Z589" i="24"/>
  <c r="Y589" i="24"/>
  <c r="X589" i="24"/>
  <c r="W589" i="24"/>
  <c r="V589" i="24"/>
  <c r="U589" i="24"/>
  <c r="T589" i="24"/>
  <c r="S589" i="24"/>
  <c r="R589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AA588" i="24"/>
  <c r="Z588" i="24"/>
  <c r="Y588" i="24"/>
  <c r="X588" i="24"/>
  <c r="W588" i="24"/>
  <c r="V588" i="24"/>
  <c r="U588" i="24"/>
  <c r="T588" i="24"/>
  <c r="S588" i="24"/>
  <c r="R588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AA632" i="24"/>
  <c r="Z632" i="24"/>
  <c r="Y632" i="24"/>
  <c r="X632" i="24"/>
  <c r="W632" i="24"/>
  <c r="V632" i="24"/>
  <c r="U632" i="24"/>
  <c r="T632" i="24"/>
  <c r="S632" i="24"/>
  <c r="R632" i="24"/>
  <c r="Q632" i="24"/>
  <c r="P632" i="24"/>
  <c r="O632" i="24"/>
  <c r="N632" i="24"/>
  <c r="M632" i="24"/>
  <c r="L632" i="24"/>
  <c r="K632" i="24"/>
  <c r="J632" i="24"/>
  <c r="I632" i="24"/>
  <c r="H632" i="24"/>
  <c r="G632" i="24"/>
  <c r="F632" i="24"/>
  <c r="E632" i="24"/>
  <c r="D632" i="24"/>
  <c r="AA586" i="24"/>
  <c r="Z586" i="24"/>
  <c r="Y586" i="24"/>
  <c r="X586" i="24"/>
  <c r="W586" i="24"/>
  <c r="V586" i="24"/>
  <c r="U586" i="24"/>
  <c r="T586" i="24"/>
  <c r="S586" i="24"/>
  <c r="R586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AA637" i="24"/>
  <c r="Z637" i="24"/>
  <c r="Y637" i="24"/>
  <c r="X637" i="24"/>
  <c r="W637" i="24"/>
  <c r="V637" i="24"/>
  <c r="U637" i="24"/>
  <c r="T637" i="24"/>
  <c r="S637" i="24"/>
  <c r="R637" i="24"/>
  <c r="Q637" i="24"/>
  <c r="P637" i="24"/>
  <c r="O637" i="24"/>
  <c r="N637" i="24"/>
  <c r="M637" i="24"/>
  <c r="L637" i="24"/>
  <c r="K637" i="24"/>
  <c r="J637" i="24"/>
  <c r="I637" i="24"/>
  <c r="H637" i="24"/>
  <c r="G637" i="24"/>
  <c r="F637" i="24"/>
  <c r="E637" i="24"/>
  <c r="D637" i="24"/>
  <c r="AA636" i="24"/>
  <c r="Z636" i="24"/>
  <c r="Y636" i="24"/>
  <c r="Y635" i="24" s="1"/>
  <c r="X636" i="24"/>
  <c r="X635" i="24" s="1"/>
  <c r="W636" i="24"/>
  <c r="W635" i="24" s="1"/>
  <c r="V636" i="24"/>
  <c r="V635" i="24" s="1"/>
  <c r="U636" i="24"/>
  <c r="U635" i="24" s="1"/>
  <c r="T636" i="24"/>
  <c r="T635" i="24" s="1"/>
  <c r="S636" i="24"/>
  <c r="S635" i="24" s="1"/>
  <c r="R636" i="24"/>
  <c r="R635" i="24" s="1"/>
  <c r="Q636" i="24"/>
  <c r="P636" i="24"/>
  <c r="O636" i="24"/>
  <c r="N636" i="24"/>
  <c r="M636" i="24"/>
  <c r="L636" i="24"/>
  <c r="K636" i="24"/>
  <c r="J636" i="24"/>
  <c r="I636" i="24"/>
  <c r="I635" i="24" s="1"/>
  <c r="H636" i="24"/>
  <c r="H635" i="24" s="1"/>
  <c r="G636" i="24"/>
  <c r="G635" i="24" s="1"/>
  <c r="F636" i="24"/>
  <c r="F635" i="24" s="1"/>
  <c r="E636" i="24"/>
  <c r="E635" i="24" s="1"/>
  <c r="D636" i="24"/>
  <c r="D635" i="24" s="1"/>
  <c r="AA631" i="24"/>
  <c r="Z631" i="24"/>
  <c r="Z630" i="24" s="1"/>
  <c r="Y631" i="24"/>
  <c r="X631" i="24"/>
  <c r="W631" i="24"/>
  <c r="V631" i="24"/>
  <c r="U631" i="24"/>
  <c r="T631" i="24"/>
  <c r="S631" i="24"/>
  <c r="R631" i="24"/>
  <c r="Q631" i="24"/>
  <c r="Q630" i="24" s="1"/>
  <c r="P631" i="24"/>
  <c r="P630" i="24" s="1"/>
  <c r="O631" i="24"/>
  <c r="O630" i="24" s="1"/>
  <c r="N631" i="24"/>
  <c r="N630" i="24" s="1"/>
  <c r="M631" i="24"/>
  <c r="M630" i="24" s="1"/>
  <c r="L631" i="24"/>
  <c r="L630" i="24" s="1"/>
  <c r="K631" i="24"/>
  <c r="K630" i="24" s="1"/>
  <c r="J631" i="24"/>
  <c r="J630" i="24" s="1"/>
  <c r="I631" i="24"/>
  <c r="H631" i="24"/>
  <c r="G631" i="24"/>
  <c r="F631" i="24"/>
  <c r="E631" i="24"/>
  <c r="D631" i="24"/>
  <c r="AA585" i="24"/>
  <c r="Z585" i="24"/>
  <c r="Y585" i="24"/>
  <c r="X585" i="24"/>
  <c r="W585" i="24"/>
  <c r="V585" i="24"/>
  <c r="U585" i="24"/>
  <c r="T585" i="24"/>
  <c r="S585" i="24"/>
  <c r="R585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AA584" i="24"/>
  <c r="AA583" i="24" s="1"/>
  <c r="Z584" i="24"/>
  <c r="Z583" i="24" s="1"/>
  <c r="Y584" i="24"/>
  <c r="X584" i="24"/>
  <c r="W584" i="24"/>
  <c r="V584" i="24"/>
  <c r="U584" i="24"/>
  <c r="T584" i="24"/>
  <c r="S584" i="24"/>
  <c r="R584" i="24"/>
  <c r="Q584" i="24"/>
  <c r="Q583" i="24" s="1"/>
  <c r="P584" i="24"/>
  <c r="P583" i="24" s="1"/>
  <c r="O584" i="24"/>
  <c r="O583" i="24" s="1"/>
  <c r="N584" i="24"/>
  <c r="N583" i="24" s="1"/>
  <c r="M584" i="24"/>
  <c r="M583" i="24" s="1"/>
  <c r="L584" i="24"/>
  <c r="L583" i="24" s="1"/>
  <c r="K584" i="24"/>
  <c r="K583" i="24" s="1"/>
  <c r="J584" i="24"/>
  <c r="J583" i="24" s="1"/>
  <c r="I584" i="24"/>
  <c r="H584" i="24"/>
  <c r="G584" i="24"/>
  <c r="F584" i="24"/>
  <c r="E584" i="24"/>
  <c r="D584" i="24"/>
  <c r="AA643" i="24" l="1"/>
  <c r="AA668" i="24" s="1"/>
  <c r="R630" i="24"/>
  <c r="R629" i="24" s="1"/>
  <c r="K599" i="24"/>
  <c r="K593" i="24" s="1"/>
  <c r="K663" i="24" s="1"/>
  <c r="S625" i="24"/>
  <c r="S615" i="24" s="1"/>
  <c r="S665" i="24" s="1"/>
  <c r="H644" i="24"/>
  <c r="X644" i="24"/>
  <c r="X643" i="24" s="1"/>
  <c r="X668" i="24" s="1"/>
  <c r="Z629" i="24"/>
  <c r="S630" i="24"/>
  <c r="S629" i="24" s="1"/>
  <c r="K635" i="24"/>
  <c r="K629" i="24" s="1"/>
  <c r="AA635" i="24"/>
  <c r="H607" i="24"/>
  <c r="H664" i="24" s="1"/>
  <c r="L599" i="24"/>
  <c r="D625" i="24"/>
  <c r="T625" i="24"/>
  <c r="I644" i="24"/>
  <c r="M650" i="24"/>
  <c r="S583" i="24"/>
  <c r="L635" i="24"/>
  <c r="M599" i="24"/>
  <c r="E625" i="24"/>
  <c r="E615" i="24" s="1"/>
  <c r="E665" i="24" s="1"/>
  <c r="U625" i="24"/>
  <c r="U615" i="24" s="1"/>
  <c r="U665" i="24" s="1"/>
  <c r="J644" i="24"/>
  <c r="J643" i="24" s="1"/>
  <c r="J668" i="24" s="1"/>
  <c r="N650" i="24"/>
  <c r="J635" i="24"/>
  <c r="J629" i="24" s="1"/>
  <c r="T630" i="24"/>
  <c r="T629" i="24" s="1"/>
  <c r="U583" i="24"/>
  <c r="E630" i="24"/>
  <c r="E629" i="24" s="1"/>
  <c r="U630" i="24"/>
  <c r="U629" i="24" s="1"/>
  <c r="M635" i="24"/>
  <c r="M629" i="24" s="1"/>
  <c r="J607" i="24"/>
  <c r="J664" i="24" s="1"/>
  <c r="D594" i="24"/>
  <c r="T594" i="24"/>
  <c r="N599" i="24"/>
  <c r="N593" i="24" s="1"/>
  <c r="N663" i="24" s="1"/>
  <c r="F625" i="24"/>
  <c r="F615" i="24" s="1"/>
  <c r="F665" i="24" s="1"/>
  <c r="V625" i="24"/>
  <c r="V615" i="24" s="1"/>
  <c r="V665" i="24" s="1"/>
  <c r="K644" i="24"/>
  <c r="K643" i="24" s="1"/>
  <c r="K668" i="24" s="1"/>
  <c r="O650" i="24"/>
  <c r="L629" i="24"/>
  <c r="W607" i="24"/>
  <c r="W664" i="24" s="1"/>
  <c r="D630" i="24"/>
  <c r="D629" i="24" s="1"/>
  <c r="E583" i="24"/>
  <c r="E582" i="24" s="1"/>
  <c r="E662" i="24" s="1"/>
  <c r="F583" i="24"/>
  <c r="F630" i="24"/>
  <c r="F629" i="24" s="1"/>
  <c r="V630" i="24"/>
  <c r="V629" i="24" s="1"/>
  <c r="N635" i="24"/>
  <c r="N629" i="24" s="1"/>
  <c r="E594" i="24"/>
  <c r="O599" i="24"/>
  <c r="G625" i="24"/>
  <c r="W625" i="24"/>
  <c r="L644" i="24"/>
  <c r="L643" i="24" s="1"/>
  <c r="L668" i="24" s="1"/>
  <c r="P650" i="24"/>
  <c r="P643" i="24" s="1"/>
  <c r="P668" i="24" s="1"/>
  <c r="R583" i="24"/>
  <c r="R582" i="24" s="1"/>
  <c r="R662" i="24" s="1"/>
  <c r="D583" i="24"/>
  <c r="D582" i="24" s="1"/>
  <c r="D662" i="24" s="1"/>
  <c r="W583" i="24"/>
  <c r="W582" i="24" s="1"/>
  <c r="G630" i="24"/>
  <c r="G629" i="24" s="1"/>
  <c r="W630" i="24"/>
  <c r="W629" i="24" s="1"/>
  <c r="O635" i="24"/>
  <c r="O629" i="24" s="1"/>
  <c r="L607" i="24"/>
  <c r="L664" i="24" s="1"/>
  <c r="F594" i="24"/>
  <c r="P599" i="24"/>
  <c r="H625" i="24"/>
  <c r="M644" i="24"/>
  <c r="Q650" i="24"/>
  <c r="X583" i="24"/>
  <c r="H630" i="24"/>
  <c r="H629" i="24" s="1"/>
  <c r="X630" i="24"/>
  <c r="X629" i="24" s="1"/>
  <c r="P635" i="24"/>
  <c r="P629" i="24" s="1"/>
  <c r="M607" i="24"/>
  <c r="M664" i="24" s="1"/>
  <c r="G594" i="24"/>
  <c r="G593" i="24" s="1"/>
  <c r="G663" i="24" s="1"/>
  <c r="Q599" i="24"/>
  <c r="I625" i="24"/>
  <c r="I615" i="24" s="1"/>
  <c r="I665" i="24" s="1"/>
  <c r="Y625" i="24"/>
  <c r="N644" i="24"/>
  <c r="N643" i="24" s="1"/>
  <c r="N668" i="24" s="1"/>
  <c r="R650" i="24"/>
  <c r="Z635" i="24"/>
  <c r="G583" i="24"/>
  <c r="H583" i="24"/>
  <c r="I583" i="24"/>
  <c r="Y583" i="24"/>
  <c r="I630" i="24"/>
  <c r="I629" i="24" s="1"/>
  <c r="Y630" i="24"/>
  <c r="Y629" i="24" s="1"/>
  <c r="Q635" i="24"/>
  <c r="Q629" i="24" s="1"/>
  <c r="N607" i="24"/>
  <c r="N664" i="24" s="1"/>
  <c r="H594" i="24"/>
  <c r="R599" i="24"/>
  <c r="J625" i="24"/>
  <c r="Z625" i="24"/>
  <c r="Z615" i="24" s="1"/>
  <c r="Z665" i="24" s="1"/>
  <c r="O644" i="24"/>
  <c r="O643" i="24" s="1"/>
  <c r="O668" i="24" s="1"/>
  <c r="S650" i="24"/>
  <c r="S643" i="24" s="1"/>
  <c r="S668" i="24" s="1"/>
  <c r="T583" i="24"/>
  <c r="Q594" i="24"/>
  <c r="R594" i="24"/>
  <c r="L650" i="24"/>
  <c r="AA630" i="24"/>
  <c r="AA629" i="24" s="1"/>
  <c r="E650" i="24"/>
  <c r="E643" i="24" s="1"/>
  <c r="E668" i="24" s="1"/>
  <c r="V583" i="24"/>
  <c r="V582" i="24" s="1"/>
  <c r="V662" i="24" s="1"/>
  <c r="X625" i="24"/>
  <c r="X615" i="24" s="1"/>
  <c r="X665" i="24" s="1"/>
  <c r="Y643" i="24"/>
  <c r="Y668" i="24" s="1"/>
  <c r="O582" i="24"/>
  <c r="O662" i="24" s="1"/>
  <c r="W593" i="24"/>
  <c r="W663" i="24" s="1"/>
  <c r="N582" i="24"/>
  <c r="N662" i="24" s="1"/>
  <c r="U650" i="24"/>
  <c r="U643" i="24" s="1"/>
  <c r="U668" i="24" s="1"/>
  <c r="Y615" i="24"/>
  <c r="Y665" i="24" s="1"/>
  <c r="I607" i="24"/>
  <c r="I664" i="24" s="1"/>
  <c r="V650" i="24"/>
  <c r="V643" i="24" s="1"/>
  <c r="V668" i="24" s="1"/>
  <c r="W650" i="24"/>
  <c r="F643" i="24"/>
  <c r="F668" i="24" s="1"/>
  <c r="W644" i="24"/>
  <c r="K607" i="24"/>
  <c r="K664" i="24" s="1"/>
  <c r="S593" i="24"/>
  <c r="S663" i="24" s="1"/>
  <c r="AA593" i="24"/>
  <c r="AA663" i="24" s="1"/>
  <c r="O615" i="24"/>
  <c r="O665" i="24" s="1"/>
  <c r="H582" i="24"/>
  <c r="H662" i="24" s="1"/>
  <c r="W615" i="24"/>
  <c r="W665" i="24" s="1"/>
  <c r="X607" i="24"/>
  <c r="X664" i="24" s="1"/>
  <c r="P582" i="24"/>
  <c r="P662" i="24" s="1"/>
  <c r="X582" i="24"/>
  <c r="X662" i="24" s="1"/>
  <c r="O593" i="24"/>
  <c r="O663" i="24" s="1"/>
  <c r="P607" i="24"/>
  <c r="P664" i="24" s="1"/>
  <c r="R593" i="24"/>
  <c r="R663" i="24" s="1"/>
  <c r="D644" i="24"/>
  <c r="D643" i="24" s="1"/>
  <c r="D668" i="24" s="1"/>
  <c r="L582" i="24"/>
  <c r="L662" i="24" s="1"/>
  <c r="D593" i="24"/>
  <c r="D663" i="24" s="1"/>
  <c r="J593" i="24"/>
  <c r="J663" i="24" s="1"/>
  <c r="G582" i="24"/>
  <c r="G662" i="24" s="1"/>
  <c r="U593" i="24"/>
  <c r="U663" i="24" s="1"/>
  <c r="L593" i="24"/>
  <c r="L663" i="24" s="1"/>
  <c r="Q582" i="24"/>
  <c r="Q662" i="24" s="1"/>
  <c r="Y582" i="24"/>
  <c r="Y662" i="24" s="1"/>
  <c r="V593" i="24"/>
  <c r="V663" i="24" s="1"/>
  <c r="G607" i="24"/>
  <c r="G664" i="24" s="1"/>
  <c r="Z582" i="24"/>
  <c r="Z662" i="24" s="1"/>
  <c r="J582" i="24"/>
  <c r="J662" i="24" s="1"/>
  <c r="X593" i="24"/>
  <c r="X663" i="24" s="1"/>
  <c r="AA615" i="24"/>
  <c r="AA665" i="24" s="1"/>
  <c r="K615" i="24"/>
  <c r="K665" i="24" s="1"/>
  <c r="Z593" i="24"/>
  <c r="Z663" i="24" s="1"/>
  <c r="O607" i="24"/>
  <c r="O664" i="24" s="1"/>
  <c r="Y593" i="24"/>
  <c r="Y663" i="24" s="1"/>
  <c r="I593" i="24"/>
  <c r="I663" i="24" s="1"/>
  <c r="H643" i="24"/>
  <c r="H668" i="24" s="1"/>
  <c r="I643" i="24"/>
  <c r="I668" i="24" s="1"/>
  <c r="E593" i="24"/>
  <c r="E663" i="24" s="1"/>
  <c r="M593" i="24"/>
  <c r="M663" i="24" s="1"/>
  <c r="F593" i="24"/>
  <c r="F663" i="24" s="1"/>
  <c r="F582" i="24"/>
  <c r="F662" i="24" s="1"/>
  <c r="T593" i="24"/>
  <c r="T663" i="24" s="1"/>
  <c r="G615" i="24"/>
  <c r="G665" i="24" s="1"/>
  <c r="I582" i="24"/>
  <c r="I662" i="24" s="1"/>
  <c r="H593" i="24"/>
  <c r="H663" i="24" s="1"/>
  <c r="P593" i="24"/>
  <c r="P663" i="24" s="1"/>
  <c r="P615" i="24"/>
  <c r="P665" i="24" s="1"/>
  <c r="K582" i="24"/>
  <c r="K662" i="24" s="1"/>
  <c r="S582" i="24"/>
  <c r="S662" i="24" s="1"/>
  <c r="AA582" i="24"/>
  <c r="AA662" i="24" s="1"/>
  <c r="N615" i="24"/>
  <c r="N665" i="24" s="1"/>
  <c r="Q615" i="24"/>
  <c r="Q665" i="24" s="1"/>
  <c r="R615" i="24"/>
  <c r="R665" i="24" s="1"/>
  <c r="M582" i="24"/>
  <c r="M662" i="24" s="1"/>
  <c r="U582" i="24"/>
  <c r="U662" i="24" s="1"/>
  <c r="G643" i="24"/>
  <c r="G668" i="24" s="1"/>
  <c r="T582" i="24"/>
  <c r="T662" i="24" s="1"/>
  <c r="J615" i="24"/>
  <c r="J665" i="24" s="1"/>
  <c r="M615" i="24"/>
  <c r="M665" i="24" s="1"/>
  <c r="Q643" i="24"/>
  <c r="Q668" i="24" s="1"/>
  <c r="L615" i="24"/>
  <c r="L665" i="24" s="1"/>
  <c r="T615" i="24"/>
  <c r="Z643" i="24"/>
  <c r="Z668" i="24" s="1"/>
  <c r="R643" i="24"/>
  <c r="R668" i="24" s="1"/>
  <c r="M643" i="24"/>
  <c r="M668" i="24" s="1"/>
  <c r="H615" i="24"/>
  <c r="H665" i="24" s="1"/>
  <c r="D615" i="24"/>
  <c r="D665" i="24" s="1"/>
  <c r="G669" i="24"/>
  <c r="T650" i="24"/>
  <c r="T643" i="24" s="1"/>
  <c r="T668" i="24" s="1"/>
  <c r="O669" i="24"/>
  <c r="D669" i="24"/>
  <c r="Y657" i="24"/>
  <c r="AA657" i="24"/>
  <c r="Q593" i="24" l="1"/>
  <c r="Q663" i="24" s="1"/>
  <c r="X657" i="24"/>
  <c r="X667" i="24" s="1"/>
  <c r="F657" i="24"/>
  <c r="F667" i="24" s="1"/>
  <c r="W659" i="24"/>
  <c r="W643" i="24"/>
  <c r="W668" i="24" s="1"/>
  <c r="I657" i="24"/>
  <c r="I667" i="24" s="1"/>
  <c r="U657" i="24"/>
  <c r="U667" i="24" s="1"/>
  <c r="D657" i="24"/>
  <c r="D667" i="24" s="1"/>
  <c r="W662" i="24"/>
  <c r="X659" i="24"/>
  <c r="X658" i="24" s="1"/>
  <c r="X666" i="24" s="1"/>
  <c r="Z657" i="24"/>
  <c r="Z667" i="24" s="1"/>
  <c r="J657" i="24"/>
  <c r="J667" i="24" s="1"/>
  <c r="T659" i="24"/>
  <c r="H659" i="24"/>
  <c r="T665" i="24"/>
  <c r="S659" i="24"/>
  <c r="V659" i="24"/>
  <c r="Z659" i="24"/>
  <c r="J659" i="24"/>
  <c r="S657" i="24"/>
  <c r="S667" i="24" s="1"/>
  <c r="Y659" i="24"/>
  <c r="Y658" i="24" s="1"/>
  <c r="Y666" i="24" s="1"/>
  <c r="F659" i="24"/>
  <c r="O659" i="24"/>
  <c r="P659" i="24"/>
  <c r="N657" i="24"/>
  <c r="N667" i="24" s="1"/>
  <c r="T657" i="24"/>
  <c r="T667" i="24" s="1"/>
  <c r="H657" i="24"/>
  <c r="H667" i="24" s="1"/>
  <c r="K659" i="24"/>
  <c r="Q659" i="24"/>
  <c r="E659" i="24"/>
  <c r="K657" i="24"/>
  <c r="K667" i="24" s="1"/>
  <c r="M657" i="24"/>
  <c r="M667" i="24" s="1"/>
  <c r="E657" i="24"/>
  <c r="E667" i="24" s="1"/>
  <c r="G659" i="24"/>
  <c r="G657" i="24"/>
  <c r="G667" i="24" s="1"/>
  <c r="AA659" i="24"/>
  <c r="AA658" i="24" s="1"/>
  <c r="AA666" i="24" s="1"/>
  <c r="R659" i="24"/>
  <c r="N659" i="24"/>
  <c r="L657" i="24"/>
  <c r="L667" i="24" s="1"/>
  <c r="P657" i="24"/>
  <c r="P667" i="24" s="1"/>
  <c r="U659" i="24"/>
  <c r="R657" i="24"/>
  <c r="R667" i="24" s="1"/>
  <c r="V657" i="24"/>
  <c r="V667" i="24" s="1"/>
  <c r="O657" i="24"/>
  <c r="O667" i="24" s="1"/>
  <c r="I659" i="24"/>
  <c r="M659" i="24"/>
  <c r="Q657" i="24"/>
  <c r="Q667" i="24" s="1"/>
  <c r="L659" i="24"/>
  <c r="D659" i="24"/>
  <c r="Y667" i="24"/>
  <c r="AA667" i="24"/>
  <c r="F658" i="24" l="1"/>
  <c r="F666" i="24" s="1"/>
  <c r="D658" i="24"/>
  <c r="D666" i="24" s="1"/>
  <c r="U658" i="24"/>
  <c r="U666" i="24" s="1"/>
  <c r="W657" i="24"/>
  <c r="W667" i="24" s="1"/>
  <c r="I658" i="24"/>
  <c r="I666" i="24" s="1"/>
  <c r="T658" i="24"/>
  <c r="T666" i="24" s="1"/>
  <c r="Z658" i="24"/>
  <c r="Z666" i="24" s="1"/>
  <c r="H658" i="24"/>
  <c r="H666" i="24" s="1"/>
  <c r="G658" i="24"/>
  <c r="G666" i="24" s="1"/>
  <c r="J658" i="24"/>
  <c r="J666" i="24" s="1"/>
  <c r="S658" i="24"/>
  <c r="S666" i="24" s="1"/>
  <c r="N658" i="24"/>
  <c r="N666" i="24" s="1"/>
  <c r="Q658" i="24"/>
  <c r="Q666" i="24" s="1"/>
  <c r="E658" i="24"/>
  <c r="E666" i="24" s="1"/>
  <c r="M658" i="24"/>
  <c r="M666" i="24" s="1"/>
  <c r="K658" i="24"/>
  <c r="K666" i="24" s="1"/>
  <c r="V658" i="24"/>
  <c r="V666" i="24" s="1"/>
  <c r="L658" i="24"/>
  <c r="L666" i="24" s="1"/>
  <c r="P658" i="24"/>
  <c r="P666" i="24" s="1"/>
  <c r="R658" i="24"/>
  <c r="R666" i="24" s="1"/>
  <c r="O658" i="24"/>
  <c r="O666" i="24" s="1"/>
  <c r="D505" i="22"/>
  <c r="W658" i="24" l="1"/>
  <c r="W666" i="24" s="1"/>
  <c r="Z514" i="22"/>
  <c r="AA514" i="22"/>
  <c r="P52" i="42" l="1"/>
  <c r="O52" i="42"/>
  <c r="P51" i="42"/>
  <c r="O51" i="42"/>
  <c r="O53" i="42" l="1"/>
  <c r="P53" i="42"/>
  <c r="K72" i="64"/>
  <c r="J72" i="64"/>
  <c r="I71" i="64"/>
  <c r="J72" i="65"/>
  <c r="K72" i="65"/>
  <c r="L73" i="60"/>
  <c r="K73" i="60"/>
  <c r="I71" i="65"/>
  <c r="J216" i="48" l="1"/>
  <c r="J30" i="48"/>
  <c r="I216" i="48"/>
  <c r="I30" i="48"/>
  <c r="K145" i="60"/>
  <c r="L145" i="60" s="1"/>
  <c r="K144" i="60" l="1"/>
  <c r="L144" i="60" s="1"/>
  <c r="D32" i="48" l="1"/>
  <c r="Z34" i="42" l="1"/>
  <c r="Z190" i="42"/>
  <c r="V190" i="42"/>
  <c r="O190" i="42" s="1"/>
  <c r="N190" i="42"/>
  <c r="M190" i="42"/>
  <c r="L190" i="42"/>
  <c r="K190" i="42"/>
  <c r="J190" i="42"/>
  <c r="P190" i="42" l="1"/>
  <c r="Z333" i="42"/>
  <c r="K310" i="42" l="1"/>
  <c r="K307" i="42"/>
  <c r="K306" i="42"/>
  <c r="K298" i="42"/>
  <c r="K297" i="42"/>
  <c r="K296" i="42"/>
  <c r="K301" i="42" s="1"/>
  <c r="K295" i="42"/>
  <c r="K291" i="42"/>
  <c r="K290" i="42"/>
  <c r="K289" i="42"/>
  <c r="K288" i="42"/>
  <c r="K287" i="42"/>
  <c r="K273" i="42"/>
  <c r="K272" i="42"/>
  <c r="E83" i="48" s="1"/>
  <c r="K271" i="42"/>
  <c r="E82" i="48" s="1"/>
  <c r="K269" i="42"/>
  <c r="K268" i="42"/>
  <c r="K267" i="42"/>
  <c r="K263" i="42"/>
  <c r="K262" i="42"/>
  <c r="L273" i="42"/>
  <c r="D177" i="53" s="1"/>
  <c r="L272" i="42"/>
  <c r="L310" i="42"/>
  <c r="L307" i="42"/>
  <c r="L306" i="42"/>
  <c r="L298" i="42"/>
  <c r="L297" i="42"/>
  <c r="L296" i="42"/>
  <c r="L301" i="42" s="1"/>
  <c r="L295" i="42"/>
  <c r="L291" i="42"/>
  <c r="L290" i="42"/>
  <c r="L289" i="42"/>
  <c r="L288" i="42"/>
  <c r="L287" i="42"/>
  <c r="L271" i="42"/>
  <c r="F82" i="48" s="1"/>
  <c r="L269" i="42"/>
  <c r="D149" i="53" s="1"/>
  <c r="L268" i="42"/>
  <c r="L267" i="42"/>
  <c r="L263" i="42"/>
  <c r="D35" i="53" s="1"/>
  <c r="L262" i="42"/>
  <c r="D34" i="53" s="1"/>
  <c r="M273" i="42"/>
  <c r="E177" i="53" s="1"/>
  <c r="M272" i="42"/>
  <c r="M271" i="42"/>
  <c r="G82" i="48" s="1"/>
  <c r="M310" i="42"/>
  <c r="M307" i="42"/>
  <c r="M306" i="42"/>
  <c r="M298" i="42"/>
  <c r="M297" i="42"/>
  <c r="M296" i="42"/>
  <c r="M295" i="42"/>
  <c r="M291" i="42"/>
  <c r="M290" i="42"/>
  <c r="M289" i="42"/>
  <c r="M288" i="42"/>
  <c r="M287" i="42"/>
  <c r="M269" i="42"/>
  <c r="E149" i="53" s="1"/>
  <c r="M268" i="42"/>
  <c r="M267" i="42"/>
  <c r="M263" i="42"/>
  <c r="E35" i="53" s="1"/>
  <c r="M262" i="42"/>
  <c r="E34" i="53" s="1"/>
  <c r="D176" i="53" l="1"/>
  <c r="F83" i="48"/>
  <c r="E176" i="53"/>
  <c r="G83" i="48"/>
  <c r="K276" i="42"/>
  <c r="E175" i="53"/>
  <c r="M276" i="42"/>
  <c r="D175" i="53"/>
  <c r="L276" i="42"/>
  <c r="K292" i="42"/>
  <c r="K293" i="42" s="1"/>
  <c r="E223" i="48" s="1"/>
  <c r="L286" i="42"/>
  <c r="K286" i="42"/>
  <c r="K275" i="42"/>
  <c r="K299" i="42"/>
  <c r="E32" i="48" s="1"/>
  <c r="L299" i="42"/>
  <c r="L275" i="42"/>
  <c r="D179" i="53" s="1"/>
  <c r="L292" i="42"/>
  <c r="E84" i="48" l="1"/>
  <c r="E16" i="48"/>
  <c r="G84" i="48"/>
  <c r="G16" i="48"/>
  <c r="F16" i="48"/>
  <c r="F84" i="48"/>
  <c r="L293" i="42"/>
  <c r="D151" i="53"/>
  <c r="F32" i="48"/>
  <c r="D213" i="53"/>
  <c r="E179" i="53"/>
  <c r="N274" i="42"/>
  <c r="H256" i="48" s="1"/>
  <c r="N273" i="42"/>
  <c r="F177" i="53" s="1"/>
  <c r="N272" i="42"/>
  <c r="N271" i="42"/>
  <c r="N276" i="42" l="1"/>
  <c r="H83" i="48"/>
  <c r="F176" i="53"/>
  <c r="H82" i="48"/>
  <c r="F175" i="53"/>
  <c r="F223" i="48"/>
  <c r="D150" i="53"/>
  <c r="N310" i="42"/>
  <c r="N307" i="42"/>
  <c r="N306" i="42"/>
  <c r="N304" i="42"/>
  <c r="N303" i="42"/>
  <c r="N302" i="42"/>
  <c r="N298" i="42"/>
  <c r="N297" i="42"/>
  <c r="N296" i="42"/>
  <c r="N295" i="42"/>
  <c r="N291" i="42"/>
  <c r="N290" i="42"/>
  <c r="N289" i="42"/>
  <c r="N288" i="42"/>
  <c r="N287" i="42"/>
  <c r="N269" i="42"/>
  <c r="F149" i="53" s="1"/>
  <c r="N268" i="42"/>
  <c r="N267" i="42"/>
  <c r="N263" i="42"/>
  <c r="F35" i="53" s="1"/>
  <c r="N262" i="42"/>
  <c r="F34" i="53" s="1"/>
  <c r="F122" i="67" l="1"/>
  <c r="H16" i="48"/>
  <c r="H84" i="48"/>
  <c r="F179" i="53"/>
  <c r="V310" i="42"/>
  <c r="V307" i="42"/>
  <c r="V306" i="42"/>
  <c r="V304" i="42"/>
  <c r="V303" i="42"/>
  <c r="V302" i="42"/>
  <c r="V298" i="42"/>
  <c r="V297" i="42"/>
  <c r="V296" i="42"/>
  <c r="V295" i="42"/>
  <c r="V291" i="42"/>
  <c r="V290" i="42"/>
  <c r="V289" i="42"/>
  <c r="V288" i="42"/>
  <c r="V287" i="42"/>
  <c r="V281" i="42"/>
  <c r="V280" i="42"/>
  <c r="V279" i="42"/>
  <c r="V278" i="42"/>
  <c r="V277" i="42"/>
  <c r="V275" i="42"/>
  <c r="V274" i="42"/>
  <c r="V273" i="42"/>
  <c r="V272" i="42"/>
  <c r="V271" i="42"/>
  <c r="V276" i="42" s="1"/>
  <c r="O276" i="42" s="1"/>
  <c r="V269" i="42"/>
  <c r="V268" i="42"/>
  <c r="V267" i="42"/>
  <c r="V263" i="42"/>
  <c r="V262" i="42"/>
  <c r="G122" i="67" l="1"/>
  <c r="I16" i="48"/>
  <c r="I84" i="48"/>
  <c r="V282" i="42"/>
  <c r="O282" i="42" s="1"/>
  <c r="G121" i="67" s="1"/>
  <c r="Z310" i="42"/>
  <c r="Z307" i="42"/>
  <c r="Z306" i="42"/>
  <c r="Z304" i="42"/>
  <c r="Z303" i="42"/>
  <c r="Z302" i="42"/>
  <c r="Z298" i="42"/>
  <c r="Z297" i="42"/>
  <c r="Z296" i="42"/>
  <c r="Z295" i="42"/>
  <c r="Z291" i="42"/>
  <c r="Z290" i="42"/>
  <c r="Z289" i="42"/>
  <c r="Z288" i="42"/>
  <c r="Z287" i="42"/>
  <c r="Z281" i="42"/>
  <c r="Z280" i="42"/>
  <c r="Z279" i="42"/>
  <c r="Z278" i="42"/>
  <c r="Z277" i="42"/>
  <c r="Z282" i="42" s="1"/>
  <c r="P282" i="42" s="1"/>
  <c r="H121" i="67" s="1"/>
  <c r="Z275" i="42"/>
  <c r="Z274" i="42"/>
  <c r="Z273" i="42"/>
  <c r="Z272" i="42"/>
  <c r="Z271" i="42"/>
  <c r="Z269" i="42"/>
  <c r="Z268" i="42"/>
  <c r="Z267" i="42"/>
  <c r="Z263" i="42"/>
  <c r="Z262" i="42"/>
  <c r="L121" i="67" l="1"/>
  <c r="K121" i="67" s="1"/>
  <c r="Z276" i="42"/>
  <c r="P276" i="42" s="1"/>
  <c r="Z359" i="42"/>
  <c r="AA475" i="22"/>
  <c r="H122" i="67" l="1"/>
  <c r="L122" i="67" s="1"/>
  <c r="K122" i="67" s="1"/>
  <c r="F20" i="67" s="1"/>
  <c r="R18" i="60" s="1"/>
  <c r="J16" i="48"/>
  <c r="J84" i="48"/>
  <c r="I20" i="67"/>
  <c r="Z124" i="42"/>
  <c r="P124" i="42" s="1"/>
  <c r="V124" i="42"/>
  <c r="O124" i="42" s="1"/>
  <c r="N124" i="42"/>
  <c r="M124" i="42"/>
  <c r="L124" i="42"/>
  <c r="K124" i="42"/>
  <c r="J124" i="42"/>
  <c r="Z125" i="42"/>
  <c r="P125" i="42" s="1"/>
  <c r="V125" i="42"/>
  <c r="O125" i="42" s="1"/>
  <c r="N125" i="42"/>
  <c r="M125" i="42"/>
  <c r="L125" i="42"/>
  <c r="K125" i="42"/>
  <c r="J125" i="42"/>
  <c r="G20" i="67" l="1"/>
  <c r="J154" i="64"/>
  <c r="K154" i="64" s="1"/>
  <c r="H108" i="65" l="1"/>
  <c r="G108" i="65"/>
  <c r="F108" i="65"/>
  <c r="E108" i="65"/>
  <c r="D108" i="65"/>
  <c r="C108" i="65"/>
  <c r="H105" i="65"/>
  <c r="G105" i="65"/>
  <c r="F105" i="65"/>
  <c r="E105" i="65"/>
  <c r="D105" i="65"/>
  <c r="C105" i="65"/>
  <c r="G104" i="65"/>
  <c r="F104" i="65"/>
  <c r="E104" i="65"/>
  <c r="D104" i="65"/>
  <c r="C104" i="65"/>
  <c r="H104" i="65"/>
  <c r="G105" i="64"/>
  <c r="F105" i="64"/>
  <c r="E105" i="64"/>
  <c r="D105" i="64"/>
  <c r="C105" i="64"/>
  <c r="G104" i="64"/>
  <c r="F104" i="64"/>
  <c r="E104" i="64"/>
  <c r="D104" i="64"/>
  <c r="C104" i="64"/>
  <c r="H108" i="64"/>
  <c r="G108" i="64"/>
  <c r="F108" i="64"/>
  <c r="E108" i="64"/>
  <c r="D108" i="64"/>
  <c r="H105" i="64"/>
  <c r="H104" i="64"/>
  <c r="H112" i="60"/>
  <c r="I113" i="60" l="1"/>
  <c r="F6" i="59" s="1"/>
  <c r="I141" i="60"/>
  <c r="H106" i="65"/>
  <c r="G106" i="65"/>
  <c r="H107" i="65" s="1"/>
  <c r="E106" i="65"/>
  <c r="H106" i="64"/>
  <c r="F106" i="65"/>
  <c r="C106" i="65"/>
  <c r="D106" i="65"/>
  <c r="F107" i="65" l="1"/>
  <c r="D107" i="65"/>
  <c r="E107" i="65"/>
  <c r="G107" i="65"/>
  <c r="K359" i="42"/>
  <c r="J359" i="42" l="1"/>
  <c r="AA524" i="24" l="1"/>
  <c r="L359" i="42" l="1"/>
  <c r="F26" i="48"/>
  <c r="M359" i="42"/>
  <c r="G26" i="48"/>
  <c r="N359" i="42" l="1"/>
  <c r="H26" i="48"/>
  <c r="O304" i="42" l="1"/>
  <c r="O303" i="42"/>
  <c r="O302" i="42"/>
  <c r="V359" i="42"/>
  <c r="P304" i="42" l="1"/>
  <c r="P303" i="42"/>
  <c r="P302" i="42"/>
  <c r="H483" i="24" l="1"/>
  <c r="K483" i="24"/>
  <c r="O483" i="24"/>
  <c r="W483" i="24"/>
  <c r="S468" i="22"/>
  <c r="D468" i="22"/>
  <c r="H468" i="22"/>
  <c r="K468" i="22"/>
  <c r="AA511" i="22" l="1"/>
  <c r="S510" i="22" l="1"/>
  <c r="W510" i="22"/>
  <c r="AA510" i="22"/>
  <c r="P268" i="42" l="1"/>
  <c r="O268" i="42"/>
  <c r="D68" i="48" l="1"/>
  <c r="D67" i="48"/>
  <c r="F97" i="60" l="1"/>
  <c r="F95" i="60"/>
  <c r="F73" i="64"/>
  <c r="E73" i="64"/>
  <c r="D73" i="64"/>
  <c r="C73" i="64"/>
  <c r="F73" i="65"/>
  <c r="E73" i="65"/>
  <c r="D73" i="65"/>
  <c r="C73" i="65"/>
  <c r="F74" i="60"/>
  <c r="E74" i="60"/>
  <c r="D74" i="60"/>
  <c r="C74" i="60"/>
  <c r="F71" i="64" l="1"/>
  <c r="E71" i="64"/>
  <c r="D71" i="64"/>
  <c r="C71" i="64"/>
  <c r="F71" i="65"/>
  <c r="E71" i="65"/>
  <c r="D71" i="65"/>
  <c r="C71" i="65"/>
  <c r="F72" i="60"/>
  <c r="E72" i="60"/>
  <c r="D72" i="60"/>
  <c r="C72" i="60"/>
  <c r="J150" i="60" l="1"/>
  <c r="J32" i="60" s="1"/>
  <c r="Z185" i="42"/>
  <c r="P185" i="42" s="1"/>
  <c r="V185" i="42"/>
  <c r="O185" i="42" s="1"/>
  <c r="N185" i="42"/>
  <c r="M185" i="42"/>
  <c r="L185" i="42"/>
  <c r="K185" i="42"/>
  <c r="J185" i="42"/>
  <c r="N19" i="42" l="1"/>
  <c r="N28" i="42" s="1"/>
  <c r="M19" i="42"/>
  <c r="M28" i="42" s="1"/>
  <c r="L19" i="42"/>
  <c r="L28" i="42" s="1"/>
  <c r="K19" i="42"/>
  <c r="K28" i="42" s="1"/>
  <c r="V19" i="42"/>
  <c r="V28" i="42" s="1"/>
  <c r="O28" i="42" s="1"/>
  <c r="O18" i="42"/>
  <c r="G81" i="53" s="1"/>
  <c r="O17" i="42"/>
  <c r="G114" i="67" s="1"/>
  <c r="O11" i="42"/>
  <c r="O10" i="42"/>
  <c r="Y367" i="42" l="1"/>
  <c r="G42" i="53"/>
  <c r="G167" i="53"/>
  <c r="F206" i="53"/>
  <c r="O336" i="42"/>
  <c r="I200" i="48" s="1"/>
  <c r="X367" i="42"/>
  <c r="W367" i="42"/>
  <c r="I87" i="48"/>
  <c r="C2" i="52"/>
  <c r="G2" i="55"/>
  <c r="A1" i="59"/>
  <c r="I38" i="48" l="1"/>
  <c r="R107" i="55"/>
  <c r="I60" i="48"/>
  <c r="C57" i="52"/>
  <c r="R519" i="22"/>
  <c r="Q519" i="22"/>
  <c r="P519" i="22"/>
  <c r="R518" i="22"/>
  <c r="Q518" i="22"/>
  <c r="P518" i="22"/>
  <c r="R517" i="22"/>
  <c r="Q517" i="22"/>
  <c r="P517" i="22"/>
  <c r="R516" i="22"/>
  <c r="Q516" i="22"/>
  <c r="P516" i="22"/>
  <c r="R515" i="22"/>
  <c r="Q515" i="22"/>
  <c r="P515" i="22"/>
  <c r="R513" i="22"/>
  <c r="Q513" i="22"/>
  <c r="P513" i="22"/>
  <c r="R511" i="22"/>
  <c r="Q511" i="22"/>
  <c r="P511" i="22"/>
  <c r="R510" i="22"/>
  <c r="Q510" i="22"/>
  <c r="P510" i="22"/>
  <c r="R509" i="22"/>
  <c r="Q509" i="22"/>
  <c r="P509" i="22"/>
  <c r="R505" i="22"/>
  <c r="Q505" i="22"/>
  <c r="P505" i="22"/>
  <c r="R504" i="22"/>
  <c r="Q504" i="22"/>
  <c r="P504" i="22"/>
  <c r="R503" i="22"/>
  <c r="Q503" i="22"/>
  <c r="P503" i="22"/>
  <c r="R502" i="22"/>
  <c r="Q502" i="22"/>
  <c r="P502" i="22"/>
  <c r="R501" i="22"/>
  <c r="Q501" i="22"/>
  <c r="P501" i="22"/>
  <c r="R500" i="22"/>
  <c r="Q500" i="22"/>
  <c r="P500" i="22"/>
  <c r="R499" i="22"/>
  <c r="Q499" i="22"/>
  <c r="P499" i="22"/>
  <c r="R498" i="22"/>
  <c r="Q498" i="22"/>
  <c r="P498" i="22"/>
  <c r="R496" i="22"/>
  <c r="Q496" i="22"/>
  <c r="P496" i="22"/>
  <c r="R495" i="22"/>
  <c r="Q495" i="22"/>
  <c r="P495" i="22"/>
  <c r="R493" i="22"/>
  <c r="Q493" i="22"/>
  <c r="P493" i="22"/>
  <c r="R492" i="22"/>
  <c r="Q492" i="22"/>
  <c r="P492" i="22"/>
  <c r="H519" i="22"/>
  <c r="G519" i="22"/>
  <c r="F519" i="22"/>
  <c r="E519" i="22"/>
  <c r="H518" i="22"/>
  <c r="G518" i="22"/>
  <c r="F518" i="22"/>
  <c r="E518" i="22"/>
  <c r="H517" i="22"/>
  <c r="G517" i="22"/>
  <c r="F517" i="22"/>
  <c r="E517" i="22"/>
  <c r="H516" i="22"/>
  <c r="G516" i="22"/>
  <c r="F516" i="22"/>
  <c r="E516" i="22"/>
  <c r="H515" i="22"/>
  <c r="G515" i="22"/>
  <c r="F515" i="22"/>
  <c r="E515" i="22"/>
  <c r="H513" i="22"/>
  <c r="G513" i="22"/>
  <c r="F513" i="22"/>
  <c r="E513" i="22"/>
  <c r="H511" i="22"/>
  <c r="G511" i="22"/>
  <c r="F511" i="22"/>
  <c r="E511" i="22"/>
  <c r="H510" i="22"/>
  <c r="G510" i="22"/>
  <c r="F510" i="22"/>
  <c r="E510" i="22"/>
  <c r="H509" i="22"/>
  <c r="G509" i="22"/>
  <c r="F509" i="22"/>
  <c r="E509" i="22"/>
  <c r="H505" i="22"/>
  <c r="G505" i="22"/>
  <c r="F505" i="22"/>
  <c r="E505" i="22"/>
  <c r="H504" i="22"/>
  <c r="G504" i="22"/>
  <c r="F504" i="22"/>
  <c r="E504" i="22"/>
  <c r="H503" i="22"/>
  <c r="G503" i="22"/>
  <c r="F503" i="22"/>
  <c r="E503" i="22"/>
  <c r="H502" i="22"/>
  <c r="G502" i="22"/>
  <c r="F502" i="22"/>
  <c r="E502" i="22"/>
  <c r="H501" i="22"/>
  <c r="G501" i="22"/>
  <c r="F501" i="22"/>
  <c r="E501" i="22"/>
  <c r="H500" i="22"/>
  <c r="G500" i="22"/>
  <c r="F500" i="22"/>
  <c r="E500" i="22"/>
  <c r="H499" i="22"/>
  <c r="G499" i="22"/>
  <c r="F499" i="22"/>
  <c r="E499" i="22"/>
  <c r="H498" i="22"/>
  <c r="G498" i="22"/>
  <c r="F498" i="22"/>
  <c r="E498" i="22"/>
  <c r="H496" i="22"/>
  <c r="G496" i="22"/>
  <c r="F496" i="22"/>
  <c r="E496" i="22"/>
  <c r="H495" i="22"/>
  <c r="G495" i="22"/>
  <c r="F495" i="22"/>
  <c r="E495" i="22"/>
  <c r="H493" i="22"/>
  <c r="G493" i="22"/>
  <c r="F493" i="22"/>
  <c r="E493" i="22"/>
  <c r="H492" i="22"/>
  <c r="G492" i="22"/>
  <c r="F492" i="22"/>
  <c r="E492" i="22"/>
  <c r="O519" i="22"/>
  <c r="N519" i="22"/>
  <c r="M519" i="22"/>
  <c r="L519" i="22"/>
  <c r="K519" i="22"/>
  <c r="J519" i="22"/>
  <c r="I519" i="22"/>
  <c r="O518" i="22"/>
  <c r="N518" i="22"/>
  <c r="M518" i="22"/>
  <c r="L518" i="22"/>
  <c r="K518" i="22"/>
  <c r="J518" i="22"/>
  <c r="I518" i="22"/>
  <c r="O517" i="22"/>
  <c r="N517" i="22"/>
  <c r="M517" i="22"/>
  <c r="L517" i="22"/>
  <c r="K517" i="22"/>
  <c r="J517" i="22"/>
  <c r="I517" i="22"/>
  <c r="O516" i="22"/>
  <c r="N516" i="22"/>
  <c r="M516" i="22"/>
  <c r="L516" i="22"/>
  <c r="K516" i="22"/>
  <c r="J516" i="22"/>
  <c r="I516" i="22"/>
  <c r="O515" i="22"/>
  <c r="N515" i="22"/>
  <c r="M515" i="22"/>
  <c r="L515" i="22"/>
  <c r="K515" i="22"/>
  <c r="J515" i="22"/>
  <c r="I515" i="22"/>
  <c r="O513" i="22"/>
  <c r="N513" i="22"/>
  <c r="M513" i="22"/>
  <c r="L513" i="22"/>
  <c r="K513" i="22"/>
  <c r="J513" i="22"/>
  <c r="I513" i="22"/>
  <c r="O511" i="22"/>
  <c r="N511" i="22"/>
  <c r="M511" i="22"/>
  <c r="L511" i="22"/>
  <c r="K511" i="22"/>
  <c r="J511" i="22"/>
  <c r="I511" i="22"/>
  <c r="O510" i="22"/>
  <c r="N510" i="22"/>
  <c r="M510" i="22"/>
  <c r="L510" i="22"/>
  <c r="K510" i="22"/>
  <c r="J510" i="22"/>
  <c r="I510" i="22"/>
  <c r="O509" i="22"/>
  <c r="N509" i="22"/>
  <c r="M509" i="22"/>
  <c r="L509" i="22"/>
  <c r="K509" i="22"/>
  <c r="J509" i="22"/>
  <c r="I509" i="22"/>
  <c r="O505" i="22"/>
  <c r="N505" i="22"/>
  <c r="M505" i="22"/>
  <c r="L505" i="22"/>
  <c r="K505" i="22"/>
  <c r="J505" i="22"/>
  <c r="I505" i="22"/>
  <c r="O504" i="22"/>
  <c r="N504" i="22"/>
  <c r="M504" i="22"/>
  <c r="L504" i="22"/>
  <c r="K504" i="22"/>
  <c r="J504" i="22"/>
  <c r="I504" i="22"/>
  <c r="O503" i="22"/>
  <c r="N503" i="22"/>
  <c r="M503" i="22"/>
  <c r="L503" i="22"/>
  <c r="K503" i="22"/>
  <c r="J503" i="22"/>
  <c r="I503" i="22"/>
  <c r="O502" i="22"/>
  <c r="N502" i="22"/>
  <c r="M502" i="22"/>
  <c r="L502" i="22"/>
  <c r="K502" i="22"/>
  <c r="J502" i="22"/>
  <c r="I502" i="22"/>
  <c r="O501" i="22"/>
  <c r="N501" i="22"/>
  <c r="M501" i="22"/>
  <c r="L501" i="22"/>
  <c r="K501" i="22"/>
  <c r="J501" i="22"/>
  <c r="I501" i="22"/>
  <c r="O500" i="22"/>
  <c r="N500" i="22"/>
  <c r="M500" i="22"/>
  <c r="L500" i="22"/>
  <c r="K500" i="22"/>
  <c r="J500" i="22"/>
  <c r="I500" i="22"/>
  <c r="O499" i="22"/>
  <c r="N499" i="22"/>
  <c r="M499" i="22"/>
  <c r="L499" i="22"/>
  <c r="K499" i="22"/>
  <c r="J499" i="22"/>
  <c r="I499" i="22"/>
  <c r="O498" i="22"/>
  <c r="N498" i="22"/>
  <c r="M498" i="22"/>
  <c r="L498" i="22"/>
  <c r="K498" i="22"/>
  <c r="J498" i="22"/>
  <c r="I498" i="22"/>
  <c r="O496" i="22"/>
  <c r="N496" i="22"/>
  <c r="M496" i="22"/>
  <c r="L496" i="22"/>
  <c r="K496" i="22"/>
  <c r="J496" i="22"/>
  <c r="I496" i="22"/>
  <c r="O495" i="22"/>
  <c r="N495" i="22"/>
  <c r="M495" i="22"/>
  <c r="L495" i="22"/>
  <c r="K495" i="22"/>
  <c r="J495" i="22"/>
  <c r="I495" i="22"/>
  <c r="O493" i="22"/>
  <c r="N493" i="22"/>
  <c r="M493" i="22"/>
  <c r="L493" i="22"/>
  <c r="K493" i="22"/>
  <c r="J493" i="22"/>
  <c r="I493" i="22"/>
  <c r="O492" i="22"/>
  <c r="N492" i="22"/>
  <c r="M492" i="22"/>
  <c r="L492" i="22"/>
  <c r="K492" i="22"/>
  <c r="J492" i="22"/>
  <c r="I492" i="22"/>
  <c r="G497" i="22" l="1"/>
  <c r="G512" i="22"/>
  <c r="E497" i="22"/>
  <c r="E508" i="22"/>
  <c r="P512" i="22"/>
  <c r="M508" i="22"/>
  <c r="F497" i="22"/>
  <c r="H497" i="22"/>
  <c r="H506" i="22" s="1"/>
  <c r="M512" i="22"/>
  <c r="H508" i="22"/>
  <c r="E506" i="22"/>
  <c r="H512" i="22"/>
  <c r="K512" i="22"/>
  <c r="K497" i="22"/>
  <c r="K506" i="22" s="1"/>
  <c r="F508" i="22"/>
  <c r="F512" i="22"/>
  <c r="I512" i="22"/>
  <c r="R497" i="22"/>
  <c r="R506" i="22" s="1"/>
  <c r="J497" i="22"/>
  <c r="J506" i="22" s="1"/>
  <c r="E512" i="22"/>
  <c r="G508" i="22"/>
  <c r="G520" i="22" s="1"/>
  <c r="Q512" i="22"/>
  <c r="F506" i="22"/>
  <c r="L508" i="22"/>
  <c r="N512" i="22"/>
  <c r="O512" i="22"/>
  <c r="Q497" i="22"/>
  <c r="Q506" i="22" s="1"/>
  <c r="Q508" i="22"/>
  <c r="N508" i="22"/>
  <c r="R508" i="22"/>
  <c r="L497" i="22"/>
  <c r="L506" i="22" s="1"/>
  <c r="G506" i="22"/>
  <c r="O497" i="22"/>
  <c r="O506" i="22" s="1"/>
  <c r="P497" i="22"/>
  <c r="P506" i="22" s="1"/>
  <c r="R512" i="22"/>
  <c r="N497" i="22"/>
  <c r="N506" i="22" s="1"/>
  <c r="O508" i="22"/>
  <c r="I508" i="22"/>
  <c r="P508" i="22"/>
  <c r="J508" i="22"/>
  <c r="L512" i="22"/>
  <c r="K508" i="22"/>
  <c r="M497" i="22"/>
  <c r="M506" i="22" s="1"/>
  <c r="I497" i="22"/>
  <c r="I506" i="22" s="1"/>
  <c r="J512" i="22"/>
  <c r="D306" i="48"/>
  <c r="E520" i="22" l="1"/>
  <c r="M520" i="22"/>
  <c r="L520" i="22"/>
  <c r="K520" i="22"/>
  <c r="R520" i="22"/>
  <c r="O520" i="22"/>
  <c r="Q520" i="22"/>
  <c r="I520" i="22"/>
  <c r="P520" i="22"/>
  <c r="F520" i="22"/>
  <c r="J520" i="22"/>
  <c r="H520" i="22"/>
  <c r="N520" i="22"/>
  <c r="Z154" i="42"/>
  <c r="Z165" i="42"/>
  <c r="P165" i="42" s="1"/>
  <c r="J273" i="48" s="1"/>
  <c r="AF273" i="48" s="1"/>
  <c r="V165" i="42"/>
  <c r="O165" i="42" s="1"/>
  <c r="I273" i="48" s="1"/>
  <c r="AD273" i="48" s="1"/>
  <c r="N165" i="42"/>
  <c r="H273" i="48" s="1"/>
  <c r="AB273" i="48" s="1"/>
  <c r="M165" i="42"/>
  <c r="G273" i="48" s="1"/>
  <c r="Z273" i="48" s="1"/>
  <c r="L165" i="42"/>
  <c r="F273" i="48" s="1"/>
  <c r="X273" i="48" s="1"/>
  <c r="K165" i="42"/>
  <c r="E273" i="48" s="1"/>
  <c r="V273" i="48" s="1"/>
  <c r="J165" i="42"/>
  <c r="D273" i="48" s="1"/>
  <c r="T273" i="48" s="1"/>
  <c r="G254" i="48"/>
  <c r="F254" i="48"/>
  <c r="E254" i="48"/>
  <c r="D254" i="48"/>
  <c r="G253" i="48"/>
  <c r="F253" i="48"/>
  <c r="E253" i="48"/>
  <c r="D253" i="48"/>
  <c r="Z183" i="42" l="1"/>
  <c r="P183" i="42" s="1"/>
  <c r="V183" i="42"/>
  <c r="O183" i="42" s="1"/>
  <c r="N183" i="42"/>
  <c r="M183" i="42"/>
  <c r="L183" i="42"/>
  <c r="K183" i="42"/>
  <c r="J183" i="42"/>
  <c r="Z181" i="42"/>
  <c r="P181" i="42" s="1"/>
  <c r="J243" i="48" s="1"/>
  <c r="AF243" i="48" s="1"/>
  <c r="V181" i="42"/>
  <c r="O181" i="42" s="1"/>
  <c r="I243" i="48" s="1"/>
  <c r="AD243" i="48" s="1"/>
  <c r="N181" i="42"/>
  <c r="H243" i="48" s="1"/>
  <c r="AB243" i="48" s="1"/>
  <c r="M181" i="42"/>
  <c r="G243" i="48" s="1"/>
  <c r="Z243" i="48" s="1"/>
  <c r="L181" i="42"/>
  <c r="F243" i="48" s="1"/>
  <c r="X243" i="48" s="1"/>
  <c r="K181" i="42"/>
  <c r="E243" i="48" s="1"/>
  <c r="V243" i="48" s="1"/>
  <c r="J181" i="42"/>
  <c r="D243" i="48" s="1"/>
  <c r="T243" i="48" s="1"/>
  <c r="Z179" i="42"/>
  <c r="P179" i="42" s="1"/>
  <c r="V179" i="42"/>
  <c r="O179" i="42" s="1"/>
  <c r="N179" i="42"/>
  <c r="M179" i="42"/>
  <c r="L179" i="42"/>
  <c r="K179" i="42"/>
  <c r="E25" i="52" s="1"/>
  <c r="J179" i="42"/>
  <c r="D25" i="52" s="1"/>
  <c r="J25" i="52" l="1"/>
  <c r="F25" i="52"/>
  <c r="G25" i="52"/>
  <c r="H25" i="52"/>
  <c r="I25" i="52"/>
  <c r="M25" i="52" l="1"/>
  <c r="Z201" i="42"/>
  <c r="P201" i="42" s="1"/>
  <c r="J183" i="48" s="1"/>
  <c r="V201" i="42"/>
  <c r="O201" i="42" s="1"/>
  <c r="I183" i="48" s="1"/>
  <c r="N201" i="42"/>
  <c r="H183" i="48" s="1"/>
  <c r="M201" i="42"/>
  <c r="G183" i="48" s="1"/>
  <c r="L201" i="42"/>
  <c r="F183" i="48" s="1"/>
  <c r="K201" i="42"/>
  <c r="E183" i="48" s="1"/>
  <c r="J201" i="42"/>
  <c r="D183" i="48" s="1"/>
  <c r="Z196" i="42"/>
  <c r="P196" i="42" s="1"/>
  <c r="J178" i="48" s="1"/>
  <c r="V196" i="42"/>
  <c r="O196" i="42" s="1"/>
  <c r="I178" i="48" s="1"/>
  <c r="N196" i="42"/>
  <c r="H178" i="48" s="1"/>
  <c r="M196" i="42"/>
  <c r="G178" i="48" s="1"/>
  <c r="L196" i="42"/>
  <c r="F178" i="48" s="1"/>
  <c r="K196" i="42"/>
  <c r="E178" i="48" s="1"/>
  <c r="J196" i="42"/>
  <c r="D178" i="48" s="1"/>
  <c r="Z127" i="42" l="1"/>
  <c r="P127" i="42" s="1"/>
  <c r="V127" i="42"/>
  <c r="O127" i="42" s="1"/>
  <c r="N127" i="42"/>
  <c r="M127" i="42"/>
  <c r="L127" i="42"/>
  <c r="K127" i="42"/>
  <c r="J127" i="42"/>
  <c r="H117" i="48" l="1"/>
  <c r="G117" i="48"/>
  <c r="F117" i="48"/>
  <c r="E117" i="48"/>
  <c r="D117" i="48"/>
  <c r="H116" i="48"/>
  <c r="G116" i="48"/>
  <c r="F116" i="48"/>
  <c r="E116" i="48"/>
  <c r="D116" i="48"/>
  <c r="P39" i="42"/>
  <c r="D27" i="53" s="1"/>
  <c r="D28" i="53" s="1"/>
  <c r="P34" i="42"/>
  <c r="H169" i="53" s="1"/>
  <c r="O34" i="42"/>
  <c r="G169" i="53" s="1"/>
  <c r="G170" i="53" s="1"/>
  <c r="J119" i="48" l="1"/>
  <c r="J25" i="48"/>
  <c r="G72" i="60"/>
  <c r="G71" i="65"/>
  <c r="G71" i="64"/>
  <c r="H71" i="65"/>
  <c r="H71" i="64"/>
  <c r="H72" i="60"/>
  <c r="Z256" i="42"/>
  <c r="P256" i="42" s="1"/>
  <c r="V256" i="42"/>
  <c r="O256" i="42" s="1"/>
  <c r="N256" i="42"/>
  <c r="M256" i="42"/>
  <c r="L256" i="42"/>
  <c r="K256" i="42"/>
  <c r="J256" i="42"/>
  <c r="Z255" i="42"/>
  <c r="P255" i="42" s="1"/>
  <c r="V255" i="42"/>
  <c r="O255" i="42" s="1"/>
  <c r="N255" i="42"/>
  <c r="M255" i="42"/>
  <c r="L255" i="42"/>
  <c r="K255" i="42"/>
  <c r="J255" i="42"/>
  <c r="Z205" i="42"/>
  <c r="P205" i="42" s="1"/>
  <c r="V205" i="42"/>
  <c r="O205" i="42" s="1"/>
  <c r="N205" i="42"/>
  <c r="M205" i="42"/>
  <c r="L205" i="42"/>
  <c r="K205" i="42"/>
  <c r="J205" i="42"/>
  <c r="D47" i="52"/>
  <c r="G45" i="52"/>
  <c r="F45" i="52"/>
  <c r="E45" i="52"/>
  <c r="M346" i="42"/>
  <c r="E178" i="53" s="1"/>
  <c r="L346" i="42"/>
  <c r="D178" i="53" s="1"/>
  <c r="K346" i="42"/>
  <c r="Z254" i="42" l="1"/>
  <c r="V254" i="42"/>
  <c r="N254" i="42"/>
  <c r="F73" i="53" s="1"/>
  <c r="M254" i="42"/>
  <c r="E73" i="53" s="1"/>
  <c r="L254" i="42"/>
  <c r="D73" i="53" s="1"/>
  <c r="K254" i="42"/>
  <c r="Z180" i="42" l="1"/>
  <c r="P180" i="42" s="1"/>
  <c r="H165" i="53" s="1"/>
  <c r="V180" i="42"/>
  <c r="O180" i="42" s="1"/>
  <c r="N180" i="42"/>
  <c r="M180" i="42"/>
  <c r="L180" i="42"/>
  <c r="K180" i="42"/>
  <c r="E242" i="48" s="1"/>
  <c r="V242" i="48" s="1"/>
  <c r="J180" i="42"/>
  <c r="D242" i="48" s="1"/>
  <c r="T242" i="48" s="1"/>
  <c r="Z182" i="42"/>
  <c r="P182" i="42" s="1"/>
  <c r="H166" i="53" s="1"/>
  <c r="V182" i="42"/>
  <c r="O182" i="42" s="1"/>
  <c r="G166" i="53" s="1"/>
  <c r="N182" i="42"/>
  <c r="F166" i="53" s="1"/>
  <c r="M182" i="42"/>
  <c r="E166" i="53" s="1"/>
  <c r="L182" i="42"/>
  <c r="D166" i="53" s="1"/>
  <c r="K182" i="42"/>
  <c r="J182" i="42"/>
  <c r="V153" i="42"/>
  <c r="O153" i="42" s="1"/>
  <c r="N153" i="42"/>
  <c r="M153" i="42"/>
  <c r="L153" i="42"/>
  <c r="F280" i="48" s="1"/>
  <c r="K153" i="42"/>
  <c r="E280" i="48" s="1"/>
  <c r="J153" i="42"/>
  <c r="D280" i="48" s="1"/>
  <c r="H280" i="48" l="1"/>
  <c r="E201" i="53"/>
  <c r="F242" i="48"/>
  <c r="X242" i="48" s="1"/>
  <c r="D165" i="53"/>
  <c r="G242" i="48"/>
  <c r="Z242" i="48" s="1"/>
  <c r="E165" i="53"/>
  <c r="H242" i="48"/>
  <c r="AB242" i="48" s="1"/>
  <c r="F165" i="53"/>
  <c r="I280" i="48"/>
  <c r="F201" i="53"/>
  <c r="I242" i="48"/>
  <c r="AD242" i="48" s="1"/>
  <c r="G165" i="53"/>
  <c r="G280" i="48"/>
  <c r="D201" i="53"/>
  <c r="F26" i="52"/>
  <c r="F245" i="48"/>
  <c r="X245" i="48" s="1"/>
  <c r="I26" i="52"/>
  <c r="I245" i="48"/>
  <c r="AD245" i="48" s="1"/>
  <c r="J26" i="52"/>
  <c r="J245" i="48"/>
  <c r="AF245" i="48" s="1"/>
  <c r="D26" i="52"/>
  <c r="D245" i="48"/>
  <c r="T245" i="48" s="1"/>
  <c r="E26" i="52"/>
  <c r="E245" i="48"/>
  <c r="V245" i="48" s="1"/>
  <c r="G26" i="52"/>
  <c r="G245" i="48"/>
  <c r="Z245" i="48" s="1"/>
  <c r="H26" i="52"/>
  <c r="H245" i="48"/>
  <c r="AB245" i="48" s="1"/>
  <c r="J242" i="48"/>
  <c r="AF242" i="48" s="1"/>
  <c r="L19" i="59"/>
  <c r="J19" i="59"/>
  <c r="M26" i="52" l="1"/>
  <c r="Z64" i="42"/>
  <c r="P64" i="42" s="1"/>
  <c r="V64" i="42"/>
  <c r="O64" i="42" s="1"/>
  <c r="N64" i="42"/>
  <c r="M64" i="42"/>
  <c r="L64" i="42"/>
  <c r="K64" i="42"/>
  <c r="J64" i="42"/>
  <c r="D11" i="52" s="1"/>
  <c r="Z63" i="42"/>
  <c r="P63" i="42" s="1"/>
  <c r="V63" i="42"/>
  <c r="O63" i="42" s="1"/>
  <c r="N63" i="42"/>
  <c r="M63" i="42"/>
  <c r="L63" i="42"/>
  <c r="K63" i="42"/>
  <c r="J63" i="42"/>
  <c r="D10" i="52" s="1"/>
  <c r="D5" i="52"/>
  <c r="D60" i="52" s="1"/>
  <c r="D6" i="52"/>
  <c r="D61" i="52" s="1"/>
  <c r="D7" i="52"/>
  <c r="D62" i="52" s="1"/>
  <c r="D13" i="52"/>
  <c r="D23" i="52"/>
  <c r="D27" i="52"/>
  <c r="D65" i="52"/>
  <c r="D67" i="52"/>
  <c r="D68" i="52"/>
  <c r="D75" i="52"/>
  <c r="D82" i="52"/>
  <c r="D84" i="52"/>
  <c r="D85" i="52"/>
  <c r="D99" i="52"/>
  <c r="Z61" i="42" l="1"/>
  <c r="P61" i="42" s="1"/>
  <c r="V61" i="42"/>
  <c r="O61" i="42" s="1"/>
  <c r="N61" i="42"/>
  <c r="M61" i="42"/>
  <c r="L61" i="42"/>
  <c r="K61" i="42"/>
  <c r="J61" i="42"/>
  <c r="Z60" i="42"/>
  <c r="V60" i="42"/>
  <c r="N60" i="42"/>
  <c r="F113" i="53" s="1"/>
  <c r="M60" i="42"/>
  <c r="E113" i="53" s="1"/>
  <c r="L60" i="42"/>
  <c r="D113" i="53" s="1"/>
  <c r="K60" i="42"/>
  <c r="J60" i="42"/>
  <c r="D138" i="48" l="1"/>
  <c r="E138" i="48"/>
  <c r="F138" i="48"/>
  <c r="H138" i="48"/>
  <c r="G138" i="48"/>
  <c r="M62" i="42"/>
  <c r="G8" i="52" s="1"/>
  <c r="N62" i="42"/>
  <c r="H8" i="52" s="1"/>
  <c r="V62" i="42"/>
  <c r="O62" i="42" s="1"/>
  <c r="I8" i="52" s="1"/>
  <c r="J62" i="42"/>
  <c r="D8" i="52" s="1"/>
  <c r="D12" i="52" s="1"/>
  <c r="L62" i="42"/>
  <c r="F8" i="52" s="1"/>
  <c r="P60" i="42"/>
  <c r="Z62" i="42"/>
  <c r="P62" i="42" s="1"/>
  <c r="J8" i="52" s="1"/>
  <c r="K62" i="42"/>
  <c r="E8" i="52" s="1"/>
  <c r="O60" i="42"/>
  <c r="G113" i="53" s="1"/>
  <c r="H137" i="65"/>
  <c r="G137" i="65"/>
  <c r="F137" i="65"/>
  <c r="E137" i="65"/>
  <c r="D137" i="65"/>
  <c r="G135" i="65"/>
  <c r="F135" i="65"/>
  <c r="K122" i="65"/>
  <c r="J122" i="65"/>
  <c r="I122" i="65"/>
  <c r="H112" i="65"/>
  <c r="H138" i="65" s="1"/>
  <c r="G112" i="65"/>
  <c r="G138" i="65" s="1"/>
  <c r="F112" i="65"/>
  <c r="F138" i="65" s="1"/>
  <c r="E112" i="65"/>
  <c r="E138" i="65" s="1"/>
  <c r="D112" i="65"/>
  <c r="D138" i="65" s="1"/>
  <c r="C112" i="65"/>
  <c r="H109" i="65"/>
  <c r="H136" i="65" s="1"/>
  <c r="G109" i="65"/>
  <c r="G136" i="65" s="1"/>
  <c r="F109" i="65"/>
  <c r="F136" i="65" s="1"/>
  <c r="E109" i="65"/>
  <c r="D109" i="65"/>
  <c r="D136" i="65" s="1"/>
  <c r="C109" i="65"/>
  <c r="L105" i="65"/>
  <c r="K103" i="65"/>
  <c r="J103" i="65"/>
  <c r="I103" i="65"/>
  <c r="K87" i="65"/>
  <c r="J87" i="65"/>
  <c r="I87" i="65"/>
  <c r="E86" i="65"/>
  <c r="D86" i="65"/>
  <c r="C86" i="65"/>
  <c r="E84" i="65"/>
  <c r="D84" i="65"/>
  <c r="C84" i="65"/>
  <c r="K82" i="65"/>
  <c r="J82" i="65"/>
  <c r="I82" i="65"/>
  <c r="L73" i="65"/>
  <c r="K70" i="65"/>
  <c r="J70" i="65"/>
  <c r="I70" i="65"/>
  <c r="G62" i="65"/>
  <c r="F62" i="65"/>
  <c r="E62" i="65"/>
  <c r="D62" i="65"/>
  <c r="C137" i="65"/>
  <c r="C62" i="65"/>
  <c r="C72" i="65"/>
  <c r="K45" i="65"/>
  <c r="J45" i="65"/>
  <c r="I45" i="65"/>
  <c r="F33" i="65"/>
  <c r="E33" i="65"/>
  <c r="D33" i="65"/>
  <c r="C33" i="65"/>
  <c r="F30" i="65"/>
  <c r="E30" i="65"/>
  <c r="D30" i="65"/>
  <c r="C30" i="65"/>
  <c r="F26" i="65"/>
  <c r="E26" i="65"/>
  <c r="D26" i="65"/>
  <c r="C26" i="65"/>
  <c r="H25" i="65"/>
  <c r="H122" i="65" s="1"/>
  <c r="G25" i="65"/>
  <c r="G122" i="65" s="1"/>
  <c r="F25" i="65"/>
  <c r="E25" i="65"/>
  <c r="E134" i="65" s="1"/>
  <c r="D25" i="65"/>
  <c r="C25" i="65"/>
  <c r="C122" i="65" s="1"/>
  <c r="P20" i="65"/>
  <c r="N20" i="65"/>
  <c r="O20" i="65" s="1"/>
  <c r="P19" i="65"/>
  <c r="N19" i="65"/>
  <c r="O19" i="65" s="1"/>
  <c r="P17" i="65"/>
  <c r="N17" i="65"/>
  <c r="O17" i="65" s="1"/>
  <c r="P16" i="65"/>
  <c r="N16" i="65"/>
  <c r="O16" i="65" s="1"/>
  <c r="P14" i="65"/>
  <c r="N14" i="65"/>
  <c r="O14" i="65" s="1"/>
  <c r="P13" i="65"/>
  <c r="N13" i="65"/>
  <c r="O13" i="65" s="1"/>
  <c r="P11" i="65"/>
  <c r="N11" i="65"/>
  <c r="O11" i="65" s="1"/>
  <c r="P10" i="65"/>
  <c r="N10" i="65"/>
  <c r="O10" i="65" s="1"/>
  <c r="P8" i="65"/>
  <c r="N8" i="65"/>
  <c r="O8" i="65" s="1"/>
  <c r="K6" i="65"/>
  <c r="J6" i="65"/>
  <c r="I6" i="65"/>
  <c r="G137" i="64"/>
  <c r="F137" i="64"/>
  <c r="E137" i="64"/>
  <c r="D137" i="64"/>
  <c r="K122" i="64"/>
  <c r="J122" i="64"/>
  <c r="I122" i="64"/>
  <c r="H112" i="64"/>
  <c r="H138" i="64" s="1"/>
  <c r="G112" i="64"/>
  <c r="G138" i="64" s="1"/>
  <c r="F112" i="64"/>
  <c r="F138" i="64" s="1"/>
  <c r="E112" i="64"/>
  <c r="E138" i="64" s="1"/>
  <c r="D112" i="64"/>
  <c r="D138" i="64" s="1"/>
  <c r="C112" i="64"/>
  <c r="G109" i="64"/>
  <c r="G136" i="64" s="1"/>
  <c r="F109" i="64"/>
  <c r="F136" i="64" s="1"/>
  <c r="E109" i="64"/>
  <c r="E136" i="64" s="1"/>
  <c r="D109" i="64"/>
  <c r="D136" i="64" s="1"/>
  <c r="C109" i="64"/>
  <c r="H109" i="64"/>
  <c r="H136" i="64" s="1"/>
  <c r="G106" i="64"/>
  <c r="F106" i="64"/>
  <c r="E106" i="64"/>
  <c r="D106" i="64"/>
  <c r="C106" i="64"/>
  <c r="L105" i="64"/>
  <c r="K103" i="64"/>
  <c r="J103" i="64"/>
  <c r="I103" i="64"/>
  <c r="E86" i="64"/>
  <c r="D86" i="64"/>
  <c r="C86" i="64"/>
  <c r="E84" i="64"/>
  <c r="D84" i="64"/>
  <c r="C84" i="64"/>
  <c r="K82" i="64"/>
  <c r="J82" i="64"/>
  <c r="I82" i="64"/>
  <c r="L73" i="64"/>
  <c r="K70" i="64"/>
  <c r="J70" i="64"/>
  <c r="I70" i="64"/>
  <c r="G62" i="64"/>
  <c r="F62" i="64"/>
  <c r="E62" i="64"/>
  <c r="D62" i="64"/>
  <c r="C62" i="64"/>
  <c r="C72" i="64"/>
  <c r="K45" i="64"/>
  <c r="J45" i="64"/>
  <c r="I45" i="64"/>
  <c r="F33" i="64"/>
  <c r="E33" i="64"/>
  <c r="D33" i="64"/>
  <c r="C33" i="64"/>
  <c r="F30" i="64"/>
  <c r="E30" i="64"/>
  <c r="D30" i="64"/>
  <c r="C30" i="64"/>
  <c r="F26" i="64"/>
  <c r="E26" i="64"/>
  <c r="D26" i="64"/>
  <c r="C26" i="64"/>
  <c r="H25" i="64"/>
  <c r="G25" i="64"/>
  <c r="G134" i="64" s="1"/>
  <c r="F25" i="64"/>
  <c r="F122" i="64" s="1"/>
  <c r="E25" i="64"/>
  <c r="E45" i="64" s="1"/>
  <c r="E70" i="64" s="1"/>
  <c r="D25" i="64"/>
  <c r="D134" i="64" s="1"/>
  <c r="C25" i="64"/>
  <c r="P20" i="64"/>
  <c r="N20" i="64"/>
  <c r="O20" i="64" s="1"/>
  <c r="P19" i="64"/>
  <c r="N19" i="64"/>
  <c r="O19" i="64" s="1"/>
  <c r="P17" i="64"/>
  <c r="N17" i="64"/>
  <c r="O17" i="64" s="1"/>
  <c r="P16" i="64"/>
  <c r="N16" i="64"/>
  <c r="O16" i="64" s="1"/>
  <c r="P14" i="64"/>
  <c r="N14" i="64"/>
  <c r="O14" i="64" s="1"/>
  <c r="P13" i="64"/>
  <c r="N13" i="64"/>
  <c r="O13" i="64" s="1"/>
  <c r="P11" i="64"/>
  <c r="N11" i="64"/>
  <c r="O11" i="64" s="1"/>
  <c r="P10" i="64"/>
  <c r="N10" i="64"/>
  <c r="O10" i="64" s="1"/>
  <c r="P8" i="64"/>
  <c r="N8" i="64"/>
  <c r="O8" i="64" s="1"/>
  <c r="K6" i="64"/>
  <c r="J6" i="64"/>
  <c r="I6" i="64"/>
  <c r="I19" i="59"/>
  <c r="K163" i="64" s="1"/>
  <c r="H19" i="59"/>
  <c r="J163" i="64" s="1"/>
  <c r="G19" i="59"/>
  <c r="I163" i="64" s="1"/>
  <c r="O19" i="59"/>
  <c r="K163" i="65" s="1"/>
  <c r="N19" i="59"/>
  <c r="J163" i="65" s="1"/>
  <c r="M19" i="59"/>
  <c r="I163" i="65" s="1"/>
  <c r="J138" i="48" l="1"/>
  <c r="AF138" i="48" s="1"/>
  <c r="H113" i="53"/>
  <c r="M8" i="52"/>
  <c r="G103" i="65"/>
  <c r="G134" i="65"/>
  <c r="G45" i="65"/>
  <c r="G70" i="65" s="1"/>
  <c r="H62" i="65"/>
  <c r="C103" i="65"/>
  <c r="H134" i="65"/>
  <c r="H103" i="65"/>
  <c r="C45" i="65"/>
  <c r="C70" i="65" s="1"/>
  <c r="H45" i="65"/>
  <c r="H70" i="65" s="1"/>
  <c r="L82" i="65"/>
  <c r="E122" i="65"/>
  <c r="D45" i="64"/>
  <c r="D70" i="64" s="1"/>
  <c r="G45" i="64"/>
  <c r="G70" i="64" s="1"/>
  <c r="F45" i="64"/>
  <c r="F70" i="64" s="1"/>
  <c r="H135" i="64"/>
  <c r="D107" i="64"/>
  <c r="E107" i="64"/>
  <c r="G135" i="64"/>
  <c r="D135" i="64"/>
  <c r="I138" i="48"/>
  <c r="C135" i="65"/>
  <c r="H135" i="65"/>
  <c r="C135" i="64"/>
  <c r="E140" i="65"/>
  <c r="D88" i="64"/>
  <c r="D88" i="65"/>
  <c r="E87" i="65"/>
  <c r="E160" i="65" s="1"/>
  <c r="E17" i="65"/>
  <c r="C90" i="65"/>
  <c r="D85" i="64"/>
  <c r="D159" i="64" s="1"/>
  <c r="C90" i="64"/>
  <c r="D87" i="65"/>
  <c r="D160" i="65" s="1"/>
  <c r="D90" i="65"/>
  <c r="C17" i="64"/>
  <c r="C88" i="64"/>
  <c r="E90" i="65"/>
  <c r="E88" i="65"/>
  <c r="E85" i="65"/>
  <c r="E159" i="65" s="1"/>
  <c r="D140" i="64"/>
  <c r="D17" i="64"/>
  <c r="E90" i="64"/>
  <c r="E88" i="64"/>
  <c r="E85" i="64"/>
  <c r="E159" i="64" s="1"/>
  <c r="C87" i="65"/>
  <c r="C17" i="65"/>
  <c r="F17" i="64"/>
  <c r="D140" i="65"/>
  <c r="D90" i="64"/>
  <c r="C85" i="64"/>
  <c r="E136" i="65"/>
  <c r="C136" i="65"/>
  <c r="D17" i="65"/>
  <c r="D85" i="65"/>
  <c r="F103" i="65"/>
  <c r="F45" i="65"/>
  <c r="F70" i="65" s="1"/>
  <c r="F122" i="65"/>
  <c r="F134" i="65"/>
  <c r="F17" i="65"/>
  <c r="F140" i="65"/>
  <c r="C138" i="65"/>
  <c r="C88" i="65"/>
  <c r="E135" i="65"/>
  <c r="D135" i="65"/>
  <c r="C85" i="65"/>
  <c r="D134" i="65"/>
  <c r="D103" i="65"/>
  <c r="D45" i="65"/>
  <c r="D70" i="65" s="1"/>
  <c r="E103" i="65"/>
  <c r="E45" i="65"/>
  <c r="E70" i="65" s="1"/>
  <c r="D122" i="65"/>
  <c r="L82" i="64"/>
  <c r="C136" i="64"/>
  <c r="H103" i="64"/>
  <c r="H45" i="64"/>
  <c r="H70" i="64" s="1"/>
  <c r="H122" i="64"/>
  <c r="H134" i="64"/>
  <c r="E134" i="64"/>
  <c r="E103" i="64"/>
  <c r="E122" i="64"/>
  <c r="H137" i="64"/>
  <c r="C137" i="64"/>
  <c r="H62" i="64"/>
  <c r="E87" i="64"/>
  <c r="E160" i="64" s="1"/>
  <c r="E140" i="64"/>
  <c r="E17" i="64"/>
  <c r="C103" i="64"/>
  <c r="C45" i="64"/>
  <c r="C70" i="64" s="1"/>
  <c r="C122" i="64"/>
  <c r="C87" i="64"/>
  <c r="C138" i="64"/>
  <c r="F134" i="64"/>
  <c r="F103" i="64"/>
  <c r="F140" i="64"/>
  <c r="D122" i="64"/>
  <c r="G103" i="64"/>
  <c r="G122" i="64"/>
  <c r="D103" i="64"/>
  <c r="F135" i="64"/>
  <c r="E135" i="64"/>
  <c r="F107" i="64"/>
  <c r="G107" i="64"/>
  <c r="D87" i="64"/>
  <c r="H107" i="64"/>
  <c r="D159" i="65" l="1"/>
  <c r="D160" i="64"/>
  <c r="E92" i="60" l="1"/>
  <c r="D92" i="60"/>
  <c r="C92" i="60"/>
  <c r="E90" i="60"/>
  <c r="D90" i="60"/>
  <c r="C90" i="60"/>
  <c r="Z253" i="42" l="1"/>
  <c r="P253" i="42" s="1"/>
  <c r="V253" i="42"/>
  <c r="O253" i="42" s="1"/>
  <c r="N253" i="42"/>
  <c r="M253" i="42"/>
  <c r="L253" i="42"/>
  <c r="K253" i="42"/>
  <c r="C59" i="60" s="1"/>
  <c r="J253" i="42"/>
  <c r="J233" i="42"/>
  <c r="K233" i="42"/>
  <c r="L233" i="42"/>
  <c r="M233" i="42"/>
  <c r="N233" i="42"/>
  <c r="V233" i="42"/>
  <c r="Z233" i="42"/>
  <c r="Z252" i="42"/>
  <c r="P252" i="42" s="1"/>
  <c r="H83" i="53" s="1"/>
  <c r="V252" i="42"/>
  <c r="O252" i="42" s="1"/>
  <c r="G83" i="53" s="1"/>
  <c r="G82" i="53" s="1"/>
  <c r="N252" i="42"/>
  <c r="F83" i="53" s="1"/>
  <c r="F82" i="53" s="1"/>
  <c r="M252" i="42"/>
  <c r="E83" i="53" s="1"/>
  <c r="E82" i="53" s="1"/>
  <c r="L252" i="42"/>
  <c r="D83" i="53" s="1"/>
  <c r="D82" i="53" s="1"/>
  <c r="K252" i="42"/>
  <c r="J252" i="42"/>
  <c r="D78" i="52" s="1"/>
  <c r="D77" i="52" s="1"/>
  <c r="J27" i="42" l="1"/>
  <c r="Z27" i="42"/>
  <c r="P27" i="42" s="1"/>
  <c r="V27" i="42"/>
  <c r="O27" i="42" s="1"/>
  <c r="N27" i="42"/>
  <c r="L27" i="42"/>
  <c r="M27" i="42"/>
  <c r="K27" i="42"/>
  <c r="D58" i="60"/>
  <c r="D57" i="65"/>
  <c r="D57" i="64"/>
  <c r="F59" i="60"/>
  <c r="F58" i="65"/>
  <c r="F58" i="64"/>
  <c r="G59" i="60"/>
  <c r="G58" i="65"/>
  <c r="G58" i="64"/>
  <c r="F58" i="60"/>
  <c r="C31" i="59" s="1"/>
  <c r="F57" i="65"/>
  <c r="F57" i="64"/>
  <c r="C55" i="65"/>
  <c r="C55" i="64"/>
  <c r="G58" i="60"/>
  <c r="D31" i="59" s="1"/>
  <c r="G57" i="65"/>
  <c r="G57" i="64"/>
  <c r="H58" i="60"/>
  <c r="E31" i="59" s="1"/>
  <c r="J78" i="52"/>
  <c r="H57" i="65"/>
  <c r="H57" i="64"/>
  <c r="C58" i="65"/>
  <c r="C58" i="64"/>
  <c r="E55" i="65"/>
  <c r="E55" i="64"/>
  <c r="E58" i="60"/>
  <c r="B31" i="59" s="1"/>
  <c r="E57" i="65"/>
  <c r="E57" i="64"/>
  <c r="H59" i="60"/>
  <c r="H58" i="65"/>
  <c r="J80" i="52"/>
  <c r="H58" i="64"/>
  <c r="D59" i="60"/>
  <c r="D58" i="65"/>
  <c r="D58" i="64"/>
  <c r="D55" i="65"/>
  <c r="D55" i="64"/>
  <c r="C58" i="60"/>
  <c r="C57" i="65"/>
  <c r="C57" i="64"/>
  <c r="F55" i="65"/>
  <c r="F55" i="64"/>
  <c r="E59" i="60"/>
  <c r="E58" i="65"/>
  <c r="E58" i="64"/>
  <c r="F34" i="60"/>
  <c r="E34" i="60"/>
  <c r="D34" i="60"/>
  <c r="D9" i="60" s="1"/>
  <c r="C34" i="60"/>
  <c r="B27" i="59" l="1"/>
  <c r="E9" i="60"/>
  <c r="C27" i="59"/>
  <c r="F9" i="60"/>
  <c r="E60" i="65"/>
  <c r="E154" i="65" s="1"/>
  <c r="E56" i="64"/>
  <c r="H60" i="65"/>
  <c r="H154" i="65" s="1"/>
  <c r="G60" i="65"/>
  <c r="G154" i="65" s="1"/>
  <c r="E60" i="64"/>
  <c r="E154" i="64" s="1"/>
  <c r="F60" i="64"/>
  <c r="F154" i="64" s="1"/>
  <c r="C56" i="65"/>
  <c r="D60" i="64"/>
  <c r="D154" i="64" s="1"/>
  <c r="E56" i="65"/>
  <c r="F60" i="65"/>
  <c r="F154" i="65" s="1"/>
  <c r="D60" i="65"/>
  <c r="D154" i="65" s="1"/>
  <c r="C60" i="65"/>
  <c r="H60" i="64"/>
  <c r="H154" i="64" s="1"/>
  <c r="C56" i="64"/>
  <c r="F56" i="64"/>
  <c r="G60" i="64"/>
  <c r="G154" i="64" s="1"/>
  <c r="F56" i="65"/>
  <c r="D56" i="64"/>
  <c r="D56" i="65"/>
  <c r="C60" i="64"/>
  <c r="Z158" i="42"/>
  <c r="P158" i="42" s="1"/>
  <c r="V158" i="42"/>
  <c r="O158" i="42" s="1"/>
  <c r="N158" i="42"/>
  <c r="M158" i="42"/>
  <c r="L158" i="42"/>
  <c r="F268" i="48" s="1"/>
  <c r="K158" i="42"/>
  <c r="E268" i="48" s="1"/>
  <c r="J158" i="42"/>
  <c r="D268" i="48" s="1"/>
  <c r="F31" i="60"/>
  <c r="E31" i="60"/>
  <c r="D31" i="60"/>
  <c r="C31" i="60"/>
  <c r="F27" i="60"/>
  <c r="C26" i="59" s="1"/>
  <c r="E27" i="60"/>
  <c r="B26" i="59" s="1"/>
  <c r="D27" i="60"/>
  <c r="C146" i="60" s="1"/>
  <c r="C27" i="60"/>
  <c r="G268" i="48" l="1"/>
  <c r="D197" i="53"/>
  <c r="H268" i="48"/>
  <c r="E197" i="53"/>
  <c r="I268" i="48"/>
  <c r="F197" i="53"/>
  <c r="J268" i="48"/>
  <c r="AF268" i="48" s="1"/>
  <c r="G197" i="53"/>
  <c r="C154" i="65"/>
  <c r="C154" i="64"/>
  <c r="L151" i="60"/>
  <c r="K151" i="60"/>
  <c r="J151" i="60"/>
  <c r="J33" i="60" s="1"/>
  <c r="L150" i="60"/>
  <c r="K150" i="60"/>
  <c r="E146" i="60"/>
  <c r="B11" i="59" s="1"/>
  <c r="L131" i="60"/>
  <c r="K131" i="60"/>
  <c r="J131" i="60"/>
  <c r="L128" i="60"/>
  <c r="K128" i="60"/>
  <c r="J128" i="60"/>
  <c r="H118" i="60"/>
  <c r="G118" i="60"/>
  <c r="E115" i="60"/>
  <c r="L113" i="60"/>
  <c r="K113" i="60"/>
  <c r="J113" i="60"/>
  <c r="J112" i="60" s="1"/>
  <c r="M111" i="60"/>
  <c r="F112" i="60"/>
  <c r="E112" i="60"/>
  <c r="D112" i="60"/>
  <c r="C141" i="60" s="1"/>
  <c r="C112" i="60"/>
  <c r="L109" i="60"/>
  <c r="K109" i="60"/>
  <c r="J109" i="60"/>
  <c r="E93" i="60"/>
  <c r="C93" i="60"/>
  <c r="C94" i="60"/>
  <c r="L83" i="60"/>
  <c r="K83" i="60"/>
  <c r="J83" i="60"/>
  <c r="L82" i="60"/>
  <c r="K82" i="60"/>
  <c r="J82" i="60"/>
  <c r="J81" i="60" s="1"/>
  <c r="M74" i="60"/>
  <c r="L71" i="60"/>
  <c r="K71" i="60"/>
  <c r="J71" i="60"/>
  <c r="K62" i="60"/>
  <c r="L62" i="60" s="1"/>
  <c r="F63" i="60"/>
  <c r="C8" i="59" s="1"/>
  <c r="E143" i="60"/>
  <c r="C61" i="60"/>
  <c r="F61" i="60"/>
  <c r="F160" i="60" s="1"/>
  <c r="E61" i="60"/>
  <c r="D61" i="60"/>
  <c r="L46" i="60"/>
  <c r="K46" i="60"/>
  <c r="J46" i="60"/>
  <c r="D91" i="60"/>
  <c r="C91" i="60"/>
  <c r="F146" i="60"/>
  <c r="C11" i="59" s="1"/>
  <c r="H26" i="60"/>
  <c r="H140" i="60" s="1"/>
  <c r="G26" i="60"/>
  <c r="G109" i="60" s="1"/>
  <c r="F26" i="60"/>
  <c r="F46" i="60" s="1"/>
  <c r="F71" i="60" s="1"/>
  <c r="E26" i="60"/>
  <c r="E140" i="60" s="1"/>
  <c r="D26" i="60"/>
  <c r="D109" i="60" s="1"/>
  <c r="C26" i="60"/>
  <c r="L6" i="60"/>
  <c r="P266" i="59"/>
  <c r="P267" i="59" s="1"/>
  <c r="P268" i="59" s="1"/>
  <c r="P269" i="59" s="1"/>
  <c r="P270" i="59" s="1"/>
  <c r="P271" i="59" s="1"/>
  <c r="P272" i="59" s="1"/>
  <c r="O266" i="59"/>
  <c r="O267" i="59" s="1"/>
  <c r="O268" i="59" s="1"/>
  <c r="O269" i="59" s="1"/>
  <c r="O270" i="59" s="1"/>
  <c r="O271" i="59" s="1"/>
  <c r="O272" i="59" s="1"/>
  <c r="F266" i="59"/>
  <c r="F267" i="59" s="1"/>
  <c r="F268" i="59" s="1"/>
  <c r="F269" i="59" s="1"/>
  <c r="F270" i="59" s="1"/>
  <c r="F271" i="59" s="1"/>
  <c r="F272" i="59" s="1"/>
  <c r="E266" i="59"/>
  <c r="E267" i="59" s="1"/>
  <c r="E268" i="59" s="1"/>
  <c r="E269" i="59" s="1"/>
  <c r="E270" i="59" s="1"/>
  <c r="E271" i="59" s="1"/>
  <c r="E272" i="59" s="1"/>
  <c r="F150" i="59"/>
  <c r="F151" i="59" s="1"/>
  <c r="F152" i="59" s="1"/>
  <c r="F153" i="59" s="1"/>
  <c r="F154" i="59" s="1"/>
  <c r="F155" i="59" s="1"/>
  <c r="F156" i="59" s="1"/>
  <c r="E150" i="59"/>
  <c r="E151" i="59" s="1"/>
  <c r="E152" i="59" s="1"/>
  <c r="E153" i="59" s="1"/>
  <c r="E154" i="59" s="1"/>
  <c r="E155" i="59" s="1"/>
  <c r="E156" i="59" s="1"/>
  <c r="F240" i="59"/>
  <c r="F241" i="59" s="1"/>
  <c r="F242" i="59" s="1"/>
  <c r="F243" i="59" s="1"/>
  <c r="F244" i="59" s="1"/>
  <c r="F245" i="59" s="1"/>
  <c r="F246" i="59" s="1"/>
  <c r="E240" i="59"/>
  <c r="E241" i="59" s="1"/>
  <c r="E242" i="59" s="1"/>
  <c r="E243" i="59" s="1"/>
  <c r="E244" i="59" s="1"/>
  <c r="E245" i="59" s="1"/>
  <c r="E246" i="59" s="1"/>
  <c r="R215" i="59"/>
  <c r="Q215" i="59"/>
  <c r="R214" i="59"/>
  <c r="Q214" i="59"/>
  <c r="P214" i="59"/>
  <c r="P215" i="59" s="1"/>
  <c r="P216" i="59" s="1"/>
  <c r="P217" i="59" s="1"/>
  <c r="P218" i="59" s="1"/>
  <c r="P219" i="59" s="1"/>
  <c r="P220" i="59" s="1"/>
  <c r="O214" i="59"/>
  <c r="O215" i="59" s="1"/>
  <c r="O216" i="59" s="1"/>
  <c r="O217" i="59" s="1"/>
  <c r="O218" i="59" s="1"/>
  <c r="O219" i="59" s="1"/>
  <c r="O220" i="59" s="1"/>
  <c r="F214" i="59"/>
  <c r="F215" i="59" s="1"/>
  <c r="F216" i="59" s="1"/>
  <c r="F217" i="59" s="1"/>
  <c r="F218" i="59" s="1"/>
  <c r="F219" i="59" s="1"/>
  <c r="F220" i="59" s="1"/>
  <c r="E214" i="59"/>
  <c r="E215" i="59" s="1"/>
  <c r="E216" i="59" s="1"/>
  <c r="E217" i="59" s="1"/>
  <c r="E218" i="59" s="1"/>
  <c r="E219" i="59" s="1"/>
  <c r="E220" i="59" s="1"/>
  <c r="F179" i="59"/>
  <c r="F180" i="59" s="1"/>
  <c r="F181" i="59" s="1"/>
  <c r="F182" i="59" s="1"/>
  <c r="F183" i="59" s="1"/>
  <c r="F184" i="59" s="1"/>
  <c r="F185" i="59" s="1"/>
  <c r="E179" i="59"/>
  <c r="E180" i="59" s="1"/>
  <c r="E181" i="59" s="1"/>
  <c r="E182" i="59" s="1"/>
  <c r="E183" i="59" s="1"/>
  <c r="E184" i="59" s="1"/>
  <c r="E185" i="59" s="1"/>
  <c r="F123" i="59"/>
  <c r="F124" i="59" s="1"/>
  <c r="F125" i="59" s="1"/>
  <c r="F126" i="59" s="1"/>
  <c r="F127" i="59" s="1"/>
  <c r="F128" i="59" s="1"/>
  <c r="F129" i="59" s="1"/>
  <c r="E123" i="59"/>
  <c r="E124" i="59" s="1"/>
  <c r="E125" i="59" s="1"/>
  <c r="E126" i="59" s="1"/>
  <c r="E127" i="59" s="1"/>
  <c r="E128" i="59" s="1"/>
  <c r="E129" i="59" s="1"/>
  <c r="O25" i="59"/>
  <c r="N25" i="59"/>
  <c r="M25" i="59"/>
  <c r="I25" i="59"/>
  <c r="H25" i="59"/>
  <c r="G25" i="59"/>
  <c r="E25" i="59"/>
  <c r="D25" i="59"/>
  <c r="C25" i="59"/>
  <c r="B25" i="59"/>
  <c r="G24" i="59"/>
  <c r="L21" i="59"/>
  <c r="K21" i="59"/>
  <c r="J21" i="59"/>
  <c r="L20" i="59"/>
  <c r="K20" i="59"/>
  <c r="J20" i="59"/>
  <c r="L18" i="59"/>
  <c r="K18" i="59"/>
  <c r="J18" i="59"/>
  <c r="L17" i="59"/>
  <c r="K17" i="59"/>
  <c r="J17" i="59"/>
  <c r="L13" i="59"/>
  <c r="K13" i="59"/>
  <c r="J13" i="59"/>
  <c r="L11" i="59"/>
  <c r="K11" i="59"/>
  <c r="J11" i="59"/>
  <c r="L8" i="59"/>
  <c r="K8" i="59"/>
  <c r="J8" i="59"/>
  <c r="L6" i="59"/>
  <c r="K6" i="59"/>
  <c r="J6" i="59"/>
  <c r="O5" i="59"/>
  <c r="N5" i="59"/>
  <c r="M5" i="59"/>
  <c r="I5" i="59"/>
  <c r="J80" i="60" l="1"/>
  <c r="B7" i="59"/>
  <c r="E160" i="60"/>
  <c r="E166" i="60"/>
  <c r="M8" i="59"/>
  <c r="I137" i="65" s="1"/>
  <c r="I61" i="65" s="1"/>
  <c r="G8" i="59"/>
  <c r="I137" i="64" s="1"/>
  <c r="I61" i="64" s="1"/>
  <c r="G18" i="59"/>
  <c r="M18" i="59"/>
  <c r="I18" i="59"/>
  <c r="K152" i="64" s="1"/>
  <c r="K81" i="64" s="1"/>
  <c r="O18" i="59"/>
  <c r="M11" i="59"/>
  <c r="I140" i="65" s="1"/>
  <c r="G11" i="59"/>
  <c r="I140" i="64" s="1"/>
  <c r="I13" i="59"/>
  <c r="O13" i="59"/>
  <c r="G21" i="59"/>
  <c r="M21" i="59"/>
  <c r="I162" i="65" s="1"/>
  <c r="M13" i="59"/>
  <c r="G13" i="59"/>
  <c r="I8" i="59"/>
  <c r="K137" i="64" s="1"/>
  <c r="O8" i="59"/>
  <c r="I11" i="59"/>
  <c r="O11" i="59"/>
  <c r="G17" i="59"/>
  <c r="M17" i="59"/>
  <c r="I21" i="59"/>
  <c r="O21" i="59"/>
  <c r="D9" i="59"/>
  <c r="G144" i="60"/>
  <c r="H20" i="59"/>
  <c r="N20" i="59"/>
  <c r="I20" i="59"/>
  <c r="O20" i="59"/>
  <c r="H6" i="59"/>
  <c r="J135" i="64" s="1"/>
  <c r="N6" i="59"/>
  <c r="H17" i="59"/>
  <c r="N17" i="59"/>
  <c r="E9" i="59"/>
  <c r="H144" i="60"/>
  <c r="M20" i="59"/>
  <c r="G20" i="59"/>
  <c r="N8" i="59"/>
  <c r="H8" i="59"/>
  <c r="J137" i="64" s="1"/>
  <c r="N18" i="59"/>
  <c r="H18" i="59"/>
  <c r="N13" i="59"/>
  <c r="J149" i="65" s="1"/>
  <c r="J125" i="65" s="1"/>
  <c r="H13" i="59"/>
  <c r="J149" i="64" s="1"/>
  <c r="N11" i="59"/>
  <c r="H11" i="59"/>
  <c r="H21" i="59"/>
  <c r="N21" i="59"/>
  <c r="J162" i="65" s="1"/>
  <c r="I6" i="59"/>
  <c r="O6" i="59"/>
  <c r="K135" i="65" s="1"/>
  <c r="K107" i="65" s="1"/>
  <c r="O17" i="59"/>
  <c r="I17" i="59"/>
  <c r="M6" i="59"/>
  <c r="G6" i="59"/>
  <c r="M83" i="60"/>
  <c r="H128" i="60"/>
  <c r="H46" i="60"/>
  <c r="H71" i="60" s="1"/>
  <c r="F140" i="60"/>
  <c r="E109" i="60"/>
  <c r="D128" i="60"/>
  <c r="G140" i="60"/>
  <c r="H109" i="60"/>
  <c r="E128" i="60"/>
  <c r="G46" i="60"/>
  <c r="G71" i="60" s="1"/>
  <c r="G128" i="60"/>
  <c r="G61" i="60"/>
  <c r="G160" i="60" s="1"/>
  <c r="D113" i="60"/>
  <c r="D141" i="60"/>
  <c r="D115" i="60"/>
  <c r="D142" i="60" s="1"/>
  <c r="D118" i="60"/>
  <c r="D144" i="60" s="1"/>
  <c r="H61" i="60"/>
  <c r="H160" i="60" s="1"/>
  <c r="C96" i="60"/>
  <c r="H115" i="60"/>
  <c r="E7" i="59" s="1"/>
  <c r="E63" i="60"/>
  <c r="B8" i="59" s="1"/>
  <c r="F143" i="60"/>
  <c r="K112" i="60"/>
  <c r="C115" i="60"/>
  <c r="C118" i="60"/>
  <c r="C19" i="60"/>
  <c r="D19" i="60"/>
  <c r="D160" i="60"/>
  <c r="E142" i="60"/>
  <c r="H143" i="60"/>
  <c r="H63" i="60"/>
  <c r="E8" i="59" s="1"/>
  <c r="G143" i="60"/>
  <c r="D165" i="60"/>
  <c r="G63" i="60"/>
  <c r="D8" i="59" s="1"/>
  <c r="E94" i="60"/>
  <c r="E18" i="60" s="1"/>
  <c r="E96" i="60"/>
  <c r="E141" i="60"/>
  <c r="E113" i="60"/>
  <c r="B6" i="59" s="1"/>
  <c r="F109" i="60"/>
  <c r="F128" i="60"/>
  <c r="F19" i="60"/>
  <c r="C40" i="59" s="1"/>
  <c r="D96" i="60"/>
  <c r="D93" i="60"/>
  <c r="F141" i="60"/>
  <c r="F113" i="60"/>
  <c r="C6" i="59" s="1"/>
  <c r="G112" i="60"/>
  <c r="G115" i="60"/>
  <c r="D7" i="59" s="1"/>
  <c r="D146" i="60"/>
  <c r="D46" i="60"/>
  <c r="D71" i="60" s="1"/>
  <c r="D143" i="60"/>
  <c r="D63" i="60"/>
  <c r="M62" i="60"/>
  <c r="D140" i="60"/>
  <c r="C128" i="60"/>
  <c r="C46" i="60"/>
  <c r="C71" i="60" s="1"/>
  <c r="C109" i="60"/>
  <c r="E118" i="60"/>
  <c r="E46" i="60"/>
  <c r="E71" i="60" s="1"/>
  <c r="D94" i="60"/>
  <c r="D18" i="60" s="1"/>
  <c r="F115" i="60"/>
  <c r="C7" i="59" s="1"/>
  <c r="F118" i="60"/>
  <c r="M131" i="60"/>
  <c r="Z153" i="42"/>
  <c r="P153" i="42" s="1"/>
  <c r="C142" i="60" l="1"/>
  <c r="J280" i="48"/>
  <c r="G201" i="53"/>
  <c r="C160" i="60"/>
  <c r="J156" i="65"/>
  <c r="K161" i="65"/>
  <c r="K152" i="65"/>
  <c r="K81" i="65" s="1"/>
  <c r="K156" i="65"/>
  <c r="J140" i="65"/>
  <c r="I161" i="65"/>
  <c r="J135" i="65"/>
  <c r="J107" i="65" s="1"/>
  <c r="J161" i="65"/>
  <c r="I156" i="65"/>
  <c r="K137" i="65"/>
  <c r="K149" i="65"/>
  <c r="K125" i="65" s="1"/>
  <c r="I152" i="65"/>
  <c r="I81" i="65" s="1"/>
  <c r="I135" i="65"/>
  <c r="I107" i="65" s="1"/>
  <c r="I106" i="65" s="1"/>
  <c r="J137" i="65"/>
  <c r="J61" i="65" s="1"/>
  <c r="K162" i="65"/>
  <c r="J152" i="65"/>
  <c r="J81" i="65" s="1"/>
  <c r="K140" i="65"/>
  <c r="I149" i="65"/>
  <c r="I125" i="65" s="1"/>
  <c r="I145" i="65"/>
  <c r="I144" i="65"/>
  <c r="J140" i="64"/>
  <c r="I161" i="64"/>
  <c r="J161" i="64"/>
  <c r="I156" i="64"/>
  <c r="K140" i="64"/>
  <c r="K162" i="64"/>
  <c r="J152" i="64"/>
  <c r="J81" i="64" s="1"/>
  <c r="K149" i="64"/>
  <c r="I152" i="64"/>
  <c r="I81" i="64" s="1"/>
  <c r="J162" i="64"/>
  <c r="I162" i="64"/>
  <c r="K156" i="64"/>
  <c r="K135" i="64"/>
  <c r="K107" i="64" s="1"/>
  <c r="J156" i="64"/>
  <c r="K161" i="64"/>
  <c r="I145" i="64"/>
  <c r="I144" i="64"/>
  <c r="J61" i="64"/>
  <c r="I135" i="64"/>
  <c r="I107" i="64" s="1"/>
  <c r="I106" i="64" s="1"/>
  <c r="J107" i="64"/>
  <c r="I149" i="64"/>
  <c r="J9" i="59"/>
  <c r="M9" i="59" s="1"/>
  <c r="K9" i="59"/>
  <c r="H9" i="59" s="1"/>
  <c r="J118" i="60"/>
  <c r="B9" i="59"/>
  <c r="E144" i="60"/>
  <c r="C9" i="59"/>
  <c r="F144" i="60"/>
  <c r="K118" i="60"/>
  <c r="L118" i="60"/>
  <c r="H142" i="60"/>
  <c r="J7" i="59" s="1"/>
  <c r="J110" i="60"/>
  <c r="H141" i="60"/>
  <c r="E19" i="60"/>
  <c r="B40" i="59" s="1"/>
  <c r="B62" i="59"/>
  <c r="B77" i="59" s="1"/>
  <c r="B151" i="59"/>
  <c r="K110" i="60"/>
  <c r="L112" i="60"/>
  <c r="L110" i="60" s="1"/>
  <c r="G142" i="60"/>
  <c r="G113" i="60"/>
  <c r="D6" i="59" s="1"/>
  <c r="G141" i="60"/>
  <c r="D166" i="60"/>
  <c r="B69" i="59"/>
  <c r="H113" i="60"/>
  <c r="E6" i="59" s="1"/>
  <c r="F142" i="60"/>
  <c r="E91" i="60"/>
  <c r="C144" i="60" l="1"/>
  <c r="J117" i="60"/>
  <c r="K61" i="65"/>
  <c r="L61" i="65" s="1"/>
  <c r="B54" i="59"/>
  <c r="N9" i="59"/>
  <c r="L125" i="65"/>
  <c r="I138" i="65"/>
  <c r="I112" i="65" s="1"/>
  <c r="G9" i="59"/>
  <c r="K144" i="65"/>
  <c r="K145" i="65"/>
  <c r="I104" i="65"/>
  <c r="J106" i="65"/>
  <c r="J145" i="65"/>
  <c r="J144" i="65"/>
  <c r="K144" i="64"/>
  <c r="K145" i="64"/>
  <c r="J138" i="64"/>
  <c r="J144" i="64"/>
  <c r="J145" i="64"/>
  <c r="K61" i="64"/>
  <c r="L61" i="64" s="1"/>
  <c r="J106" i="64"/>
  <c r="I104" i="64"/>
  <c r="I125" i="64"/>
  <c r="G7" i="59"/>
  <c r="I136" i="64" s="1"/>
  <c r="I109" i="64" s="1"/>
  <c r="M7" i="59"/>
  <c r="L9" i="59"/>
  <c r="J115" i="60"/>
  <c r="J114" i="60" s="1"/>
  <c r="K7" i="59"/>
  <c r="B150" i="59"/>
  <c r="G150" i="59" s="1"/>
  <c r="G151" i="59"/>
  <c r="H151" i="59"/>
  <c r="E165" i="60"/>
  <c r="M112" i="60"/>
  <c r="L117" i="60"/>
  <c r="K117" i="60"/>
  <c r="V322" i="42"/>
  <c r="O322" i="42" s="1"/>
  <c r="Z322" i="42"/>
  <c r="P322" i="42" s="1"/>
  <c r="Z324" i="42"/>
  <c r="P324" i="42" s="1"/>
  <c r="V324" i="42"/>
  <c r="O324" i="42" s="1"/>
  <c r="Z323" i="42"/>
  <c r="V323" i="42"/>
  <c r="P321" i="42"/>
  <c r="O321" i="42"/>
  <c r="P320" i="42"/>
  <c r="O320" i="42"/>
  <c r="P319" i="42"/>
  <c r="O319" i="42"/>
  <c r="P318" i="42"/>
  <c r="O318" i="42"/>
  <c r="N334" i="42"/>
  <c r="N336" i="42" s="1"/>
  <c r="Q107" i="55" s="1"/>
  <c r="Z334" i="42"/>
  <c r="H197" i="48"/>
  <c r="I197" i="48"/>
  <c r="P333" i="42"/>
  <c r="J197" i="48" s="1"/>
  <c r="P332" i="42"/>
  <c r="P331" i="42"/>
  <c r="P330" i="42"/>
  <c r="P329" i="42"/>
  <c r="AA564" i="24"/>
  <c r="Z564" i="24"/>
  <c r="Y564" i="24"/>
  <c r="X564" i="24"/>
  <c r="V564" i="24"/>
  <c r="U564" i="24"/>
  <c r="T564" i="24"/>
  <c r="S564" i="24"/>
  <c r="R564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AA563" i="24"/>
  <c r="Z563" i="24"/>
  <c r="Y563" i="24"/>
  <c r="X563" i="24"/>
  <c r="V563" i="24"/>
  <c r="U563" i="24"/>
  <c r="T563" i="24"/>
  <c r="S563" i="24"/>
  <c r="R563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H58" i="48" l="1"/>
  <c r="H198" i="48"/>
  <c r="J35" i="48"/>
  <c r="J57" i="48"/>
  <c r="I35" i="48"/>
  <c r="I57" i="48"/>
  <c r="H35" i="48"/>
  <c r="H57" i="48"/>
  <c r="P334" i="42"/>
  <c r="J198" i="48" s="1"/>
  <c r="Z336" i="42"/>
  <c r="P336" i="42" s="1"/>
  <c r="D565" i="24"/>
  <c r="D679" i="24" s="1"/>
  <c r="H565" i="24"/>
  <c r="H679" i="24" s="1"/>
  <c r="P565" i="24"/>
  <c r="P679" i="24" s="1"/>
  <c r="Y565" i="24"/>
  <c r="X221" i="42" s="1"/>
  <c r="F565" i="24"/>
  <c r="F679" i="24" s="1"/>
  <c r="N565" i="24"/>
  <c r="N679" i="24" s="1"/>
  <c r="V565" i="24"/>
  <c r="V679" i="24" s="1"/>
  <c r="K115" i="60"/>
  <c r="K114" i="60" s="1"/>
  <c r="T565" i="24"/>
  <c r="T679" i="24" s="1"/>
  <c r="G565" i="24"/>
  <c r="G679" i="24" s="1"/>
  <c r="O565" i="24"/>
  <c r="O679" i="24" s="1"/>
  <c r="X565" i="24"/>
  <c r="W221" i="42" s="1"/>
  <c r="S565" i="24"/>
  <c r="S679" i="24" s="1"/>
  <c r="L565" i="24"/>
  <c r="L679" i="24" s="1"/>
  <c r="E565" i="24"/>
  <c r="E679" i="24" s="1"/>
  <c r="M565" i="24"/>
  <c r="M679" i="24" s="1"/>
  <c r="U565" i="24"/>
  <c r="U679" i="24" s="1"/>
  <c r="K565" i="24"/>
  <c r="K679" i="24" s="1"/>
  <c r="Z565" i="24"/>
  <c r="J565" i="24"/>
  <c r="J679" i="24" s="1"/>
  <c r="Q565" i="24"/>
  <c r="Q679" i="24" s="1"/>
  <c r="I565" i="24"/>
  <c r="I679" i="24" s="1"/>
  <c r="R565" i="24"/>
  <c r="R679" i="24" s="1"/>
  <c r="AA565" i="24"/>
  <c r="AA679" i="24" s="1"/>
  <c r="I138" i="64"/>
  <c r="I112" i="64" s="1"/>
  <c r="I111" i="64" s="1"/>
  <c r="I111" i="65"/>
  <c r="I136" i="65"/>
  <c r="I109" i="65" s="1"/>
  <c r="I108" i="65" s="1"/>
  <c r="J104" i="65"/>
  <c r="K106" i="65"/>
  <c r="K104" i="65" s="1"/>
  <c r="J138" i="65"/>
  <c r="J112" i="65" s="1"/>
  <c r="I108" i="64"/>
  <c r="J104" i="64"/>
  <c r="K106" i="64"/>
  <c r="K125" i="64"/>
  <c r="J125" i="64"/>
  <c r="L115" i="60"/>
  <c r="L114" i="60" s="1"/>
  <c r="N7" i="59"/>
  <c r="H7" i="59"/>
  <c r="J136" i="64" s="1"/>
  <c r="O9" i="59"/>
  <c r="I9" i="59"/>
  <c r="H150" i="59"/>
  <c r="V325" i="42"/>
  <c r="O325" i="42" s="1"/>
  <c r="M117" i="60"/>
  <c r="Z325" i="42"/>
  <c r="P325" i="42" s="1"/>
  <c r="O323" i="42"/>
  <c r="P323" i="42"/>
  <c r="I199" i="48"/>
  <c r="H36" i="48"/>
  <c r="N335" i="42"/>
  <c r="Z335" i="42"/>
  <c r="P335" i="42" s="1"/>
  <c r="I198" i="48"/>
  <c r="Z679" i="24" l="1"/>
  <c r="Y221" i="42"/>
  <c r="N47" i="48" s="1"/>
  <c r="X679" i="24"/>
  <c r="Y679" i="24"/>
  <c r="J59" i="48"/>
  <c r="J199" i="48"/>
  <c r="J60" i="48"/>
  <c r="J200" i="48"/>
  <c r="I61" i="48"/>
  <c r="I201" i="48"/>
  <c r="J61" i="48"/>
  <c r="J201" i="48"/>
  <c r="I37" i="48"/>
  <c r="I59" i="48"/>
  <c r="J36" i="48"/>
  <c r="J58" i="48"/>
  <c r="I36" i="48"/>
  <c r="I58" i="48"/>
  <c r="J39" i="48"/>
  <c r="S108" i="55"/>
  <c r="I39" i="48"/>
  <c r="R108" i="55"/>
  <c r="J38" i="48"/>
  <c r="S107" i="55"/>
  <c r="M114" i="60"/>
  <c r="L7" i="59"/>
  <c r="O7" i="59" s="1"/>
  <c r="K138" i="65"/>
  <c r="K112" i="65" s="1"/>
  <c r="K111" i="65" s="1"/>
  <c r="J136" i="65"/>
  <c r="J109" i="65" s="1"/>
  <c r="J108" i="65" s="1"/>
  <c r="J111" i="65"/>
  <c r="L106" i="65"/>
  <c r="K138" i="64"/>
  <c r="K112" i="64" s="1"/>
  <c r="J112" i="64"/>
  <c r="J111" i="64" s="1"/>
  <c r="L125" i="64"/>
  <c r="J109" i="64"/>
  <c r="J108" i="64" s="1"/>
  <c r="K104" i="64"/>
  <c r="L106" i="64"/>
  <c r="J37" i="48"/>
  <c r="N194" i="48" l="1"/>
  <c r="N208" i="48"/>
  <c r="I7" i="59"/>
  <c r="K136" i="64" s="1"/>
  <c r="K109" i="64" s="1"/>
  <c r="K108" i="64" s="1"/>
  <c r="L108" i="64" s="1"/>
  <c r="K136" i="65"/>
  <c r="K109" i="65" s="1"/>
  <c r="K108" i="65" s="1"/>
  <c r="L108" i="65" s="1"/>
  <c r="L111" i="65"/>
  <c r="K111" i="64"/>
  <c r="L111" i="64" s="1"/>
  <c r="AA519" i="24"/>
  <c r="Z519" i="24"/>
  <c r="Y519" i="24"/>
  <c r="X519" i="24"/>
  <c r="W519" i="24"/>
  <c r="V519" i="24"/>
  <c r="U519" i="24"/>
  <c r="T519" i="24"/>
  <c r="R519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W563" i="24"/>
  <c r="S519" i="24"/>
  <c r="H50" i="48"/>
  <c r="G50" i="48"/>
  <c r="F50" i="48"/>
  <c r="E50" i="48"/>
  <c r="D50" i="48"/>
  <c r="D74" i="48"/>
  <c r="D70" i="48" l="1"/>
  <c r="H23" i="48"/>
  <c r="G23" i="48"/>
  <c r="F23" i="48"/>
  <c r="E23" i="48"/>
  <c r="D23" i="48"/>
  <c r="H22" i="48"/>
  <c r="G22" i="48"/>
  <c r="F22" i="48"/>
  <c r="E22" i="48"/>
  <c r="D22" i="48"/>
  <c r="D18" i="48"/>
  <c r="D13" i="48"/>
  <c r="G11" i="48"/>
  <c r="F11" i="48"/>
  <c r="E11" i="48"/>
  <c r="D11" i="48"/>
  <c r="G10" i="48"/>
  <c r="F10" i="48"/>
  <c r="E10" i="48"/>
  <c r="D10" i="48"/>
  <c r="G8" i="48"/>
  <c r="F8" i="48"/>
  <c r="E8" i="48"/>
  <c r="D8" i="48"/>
  <c r="H11" i="48"/>
  <c r="H10" i="48"/>
  <c r="H8" i="48"/>
  <c r="F33" i="48" l="1"/>
  <c r="F224" i="48"/>
  <c r="E33" i="48"/>
  <c r="E224" i="48"/>
  <c r="M286" i="42"/>
  <c r="E92" i="65"/>
  <c r="E92" i="64"/>
  <c r="E98" i="60"/>
  <c r="Z286" i="42"/>
  <c r="P286" i="42" s="1"/>
  <c r="E94" i="65"/>
  <c r="E94" i="64"/>
  <c r="E100" i="60"/>
  <c r="N286" i="42" l="1"/>
  <c r="V286" i="42"/>
  <c r="O286" i="42" s="1"/>
  <c r="E98" i="64"/>
  <c r="E19" i="64" s="1"/>
  <c r="E104" i="60"/>
  <c r="E98" i="65"/>
  <c r="E19" i="65" s="1"/>
  <c r="C77" i="64" l="1"/>
  <c r="C36" i="64" s="1"/>
  <c r="C77" i="65"/>
  <c r="C78" i="60"/>
  <c r="C37" i="60" s="1"/>
  <c r="C92" i="64"/>
  <c r="C92" i="65"/>
  <c r="C98" i="60"/>
  <c r="C94" i="65"/>
  <c r="C95" i="65" s="1"/>
  <c r="C94" i="64"/>
  <c r="C95" i="64" s="1"/>
  <c r="C100" i="60"/>
  <c r="B42" i="59"/>
  <c r="E21" i="60"/>
  <c r="B266" i="59" s="1"/>
  <c r="E31" i="52"/>
  <c r="C104" i="60" l="1"/>
  <c r="C21" i="60" s="1"/>
  <c r="H266" i="59"/>
  <c r="G266" i="59"/>
  <c r="C96" i="65"/>
  <c r="C97" i="65" s="1"/>
  <c r="C96" i="64"/>
  <c r="C102" i="60"/>
  <c r="C98" i="65"/>
  <c r="C19" i="65" s="1"/>
  <c r="C93" i="65"/>
  <c r="C93" i="64"/>
  <c r="C98" i="64"/>
  <c r="C19" i="64" s="1"/>
  <c r="C36" i="65"/>
  <c r="E70" i="48"/>
  <c r="E18" i="48"/>
  <c r="C97" i="64" l="1"/>
  <c r="C74" i="64"/>
  <c r="C78" i="64" s="1"/>
  <c r="C74" i="65"/>
  <c r="C75" i="60"/>
  <c r="C99" i="64"/>
  <c r="C20" i="64" s="1"/>
  <c r="C99" i="65"/>
  <c r="C20" i="65" s="1"/>
  <c r="C105" i="60"/>
  <c r="L7" i="42"/>
  <c r="C79" i="60" l="1"/>
  <c r="C78" i="65"/>
  <c r="C75" i="64"/>
  <c r="C75" i="65"/>
  <c r="C76" i="60"/>
  <c r="Z7" i="42"/>
  <c r="Z367" i="42" s="1"/>
  <c r="V7" i="42"/>
  <c r="N230" i="42"/>
  <c r="F93" i="53" s="1"/>
  <c r="N229" i="42"/>
  <c r="F92" i="53" s="1"/>
  <c r="N228" i="42"/>
  <c r="N226" i="42"/>
  <c r="N224" i="42"/>
  <c r="N223" i="42" s="1"/>
  <c r="N356" i="42" s="1"/>
  <c r="F117" i="67" s="1"/>
  <c r="N209" i="42"/>
  <c r="N208" i="42"/>
  <c r="N204" i="42"/>
  <c r="N203" i="42"/>
  <c r="H180" i="48" s="1"/>
  <c r="N202" i="42"/>
  <c r="N200" i="42"/>
  <c r="H182" i="48" s="1"/>
  <c r="N199" i="42"/>
  <c r="N197" i="42"/>
  <c r="H176" i="48" s="1"/>
  <c r="N195" i="42"/>
  <c r="H177" i="48" s="1"/>
  <c r="N194" i="42"/>
  <c r="N192" i="42"/>
  <c r="F44" i="53" s="1"/>
  <c r="N191" i="42"/>
  <c r="N189" i="42"/>
  <c r="N68" i="42"/>
  <c r="N67" i="42"/>
  <c r="N66" i="42"/>
  <c r="N166" i="42"/>
  <c r="N164" i="42"/>
  <c r="E205" i="53" s="1"/>
  <c r="N163" i="42"/>
  <c r="N161" i="42"/>
  <c r="E204" i="53" s="1"/>
  <c r="N157" i="42"/>
  <c r="N144" i="42"/>
  <c r="N309" i="42" s="1"/>
  <c r="N156" i="42"/>
  <c r="N155" i="42"/>
  <c r="H282" i="48" s="1"/>
  <c r="N154" i="42"/>
  <c r="H281" i="48" s="1"/>
  <c r="N152" i="42"/>
  <c r="N151" i="42"/>
  <c r="N150" i="42"/>
  <c r="E195" i="53" s="1"/>
  <c r="N149" i="42"/>
  <c r="N148" i="42"/>
  <c r="N82" i="42"/>
  <c r="N81" i="42"/>
  <c r="N80" i="42"/>
  <c r="N79" i="42"/>
  <c r="H168" i="48" s="1"/>
  <c r="N78" i="42"/>
  <c r="N77" i="42"/>
  <c r="N76" i="42"/>
  <c r="N75" i="42"/>
  <c r="N74" i="42"/>
  <c r="N73" i="42"/>
  <c r="H167" i="48" s="1"/>
  <c r="N72" i="42"/>
  <c r="N58" i="42"/>
  <c r="N57" i="42"/>
  <c r="N250" i="42"/>
  <c r="N249" i="42"/>
  <c r="N248" i="42"/>
  <c r="N247" i="42"/>
  <c r="N246" i="42"/>
  <c r="N244" i="42"/>
  <c r="N243" i="42"/>
  <c r="N242" i="42"/>
  <c r="N241" i="42"/>
  <c r="N240" i="42"/>
  <c r="N178" i="42"/>
  <c r="N139" i="42"/>
  <c r="N137" i="42"/>
  <c r="H147" i="48" s="1"/>
  <c r="AB147" i="48" s="1"/>
  <c r="N136" i="42"/>
  <c r="N135" i="42"/>
  <c r="N134" i="42"/>
  <c r="N133" i="42"/>
  <c r="F121" i="53" s="1"/>
  <c r="N130" i="42"/>
  <c r="N129" i="42"/>
  <c r="N128" i="42"/>
  <c r="N123" i="42"/>
  <c r="N121" i="42"/>
  <c r="N120" i="42"/>
  <c r="N119" i="42"/>
  <c r="N118" i="42"/>
  <c r="N117" i="42"/>
  <c r="F117" i="53" s="1"/>
  <c r="N116" i="42"/>
  <c r="H143" i="48" s="1"/>
  <c r="AB143" i="48" s="1"/>
  <c r="N115" i="42"/>
  <c r="F131" i="53" s="1"/>
  <c r="N114" i="42"/>
  <c r="N113" i="42"/>
  <c r="N111" i="42"/>
  <c r="N110" i="42"/>
  <c r="N109" i="42"/>
  <c r="N108" i="42"/>
  <c r="N107" i="42"/>
  <c r="N106" i="42"/>
  <c r="N105" i="42"/>
  <c r="N104" i="42"/>
  <c r="N103" i="42"/>
  <c r="N101" i="42"/>
  <c r="N100" i="42"/>
  <c r="N99" i="42"/>
  <c r="N98" i="42"/>
  <c r="N97" i="42"/>
  <c r="N96" i="42"/>
  <c r="N95" i="42"/>
  <c r="N94" i="42"/>
  <c r="N93" i="42"/>
  <c r="N84" i="42"/>
  <c r="Z250" i="42"/>
  <c r="Z249" i="42"/>
  <c r="Z248" i="42"/>
  <c r="Z247" i="42"/>
  <c r="Z246" i="42"/>
  <c r="Z244" i="42"/>
  <c r="Z243" i="42"/>
  <c r="Z242" i="42"/>
  <c r="Z241" i="42"/>
  <c r="Z240" i="42"/>
  <c r="Z230" i="42"/>
  <c r="Z229" i="42"/>
  <c r="Z228" i="42"/>
  <c r="Z226" i="42"/>
  <c r="Z224" i="42"/>
  <c r="Z223" i="42" s="1"/>
  <c r="Z209" i="42"/>
  <c r="Z208" i="42"/>
  <c r="Z204" i="42"/>
  <c r="Z206" i="42" s="1"/>
  <c r="P206" i="42" s="1"/>
  <c r="H72" i="53" s="1"/>
  <c r="Z203" i="42"/>
  <c r="Z202" i="42"/>
  <c r="Z200" i="42"/>
  <c r="Z199" i="42"/>
  <c r="Z197" i="42"/>
  <c r="Z195" i="42"/>
  <c r="Z194" i="42"/>
  <c r="Z192" i="42"/>
  <c r="Z191" i="42"/>
  <c r="Z189" i="42"/>
  <c r="Z178" i="42"/>
  <c r="Z139" i="42"/>
  <c r="Z137" i="42"/>
  <c r="Z136" i="42"/>
  <c r="Z135" i="42"/>
  <c r="Z134" i="42"/>
  <c r="Z133" i="42"/>
  <c r="Z130" i="42"/>
  <c r="Z129" i="42"/>
  <c r="Z128" i="42"/>
  <c r="Z123" i="42"/>
  <c r="Z121" i="42"/>
  <c r="Z120" i="42"/>
  <c r="Z119" i="42"/>
  <c r="Z118" i="42"/>
  <c r="Z117" i="42"/>
  <c r="Z116" i="42"/>
  <c r="Z115" i="42"/>
  <c r="Z114" i="42"/>
  <c r="Z113" i="42"/>
  <c r="Z111" i="42"/>
  <c r="Z110" i="42"/>
  <c r="Z109" i="42"/>
  <c r="Z108" i="42"/>
  <c r="Z107" i="42"/>
  <c r="Z106" i="42"/>
  <c r="Z105" i="42"/>
  <c r="Z104" i="42"/>
  <c r="Z103" i="42"/>
  <c r="Z101" i="42"/>
  <c r="Z100" i="42"/>
  <c r="Z99" i="42"/>
  <c r="Z98" i="42"/>
  <c r="Z97" i="42"/>
  <c r="Z96" i="42"/>
  <c r="Z95" i="42"/>
  <c r="Z94" i="42"/>
  <c r="Z93" i="42"/>
  <c r="Z84" i="42"/>
  <c r="Z68" i="42"/>
  <c r="Z67" i="42"/>
  <c r="Z66" i="42"/>
  <c r="Z166" i="42"/>
  <c r="Z164" i="42"/>
  <c r="Z163" i="42"/>
  <c r="Z161" i="42"/>
  <c r="Z157" i="42"/>
  <c r="Z144" i="42"/>
  <c r="Z309" i="42" s="1"/>
  <c r="Z156" i="42"/>
  <c r="Z155" i="42"/>
  <c r="Z152" i="42"/>
  <c r="Z151" i="42"/>
  <c r="Z150" i="42"/>
  <c r="Z149" i="42"/>
  <c r="Z148" i="42"/>
  <c r="Z82" i="42"/>
  <c r="Z81" i="42"/>
  <c r="Z80" i="42"/>
  <c r="Z79" i="42"/>
  <c r="Z78" i="42"/>
  <c r="Z77" i="42"/>
  <c r="Z76" i="42"/>
  <c r="Z75" i="42"/>
  <c r="Z74" i="42"/>
  <c r="Z73" i="42"/>
  <c r="Z72" i="42"/>
  <c r="Z58" i="42"/>
  <c r="Z57" i="42"/>
  <c r="AD361" i="42" s="1"/>
  <c r="Q361" i="42" s="1"/>
  <c r="V250" i="42"/>
  <c r="V249" i="42"/>
  <c r="V248" i="42"/>
  <c r="V247" i="42"/>
  <c r="V246" i="42"/>
  <c r="V244" i="42"/>
  <c r="V243" i="42"/>
  <c r="V242" i="42"/>
  <c r="V241" i="42"/>
  <c r="V240" i="42"/>
  <c r="V230" i="42"/>
  <c r="V229" i="42"/>
  <c r="V228" i="42"/>
  <c r="V226" i="42"/>
  <c r="V224" i="42"/>
  <c r="V223" i="42" s="1"/>
  <c r="V209" i="42"/>
  <c r="V208" i="42"/>
  <c r="V204" i="42"/>
  <c r="V206" i="42" s="1"/>
  <c r="O206" i="42" s="1"/>
  <c r="G72" i="53" s="1"/>
  <c r="V203" i="42"/>
  <c r="V202" i="42"/>
  <c r="V200" i="42"/>
  <c r="V199" i="42"/>
  <c r="V197" i="42"/>
  <c r="V195" i="42"/>
  <c r="V194" i="42"/>
  <c r="V192" i="42"/>
  <c r="V191" i="42"/>
  <c r="V189" i="42"/>
  <c r="V178" i="42"/>
  <c r="V139" i="42"/>
  <c r="V137" i="42"/>
  <c r="V136" i="42"/>
  <c r="V135" i="42"/>
  <c r="V134" i="42"/>
  <c r="V133" i="42"/>
  <c r="V130" i="42"/>
  <c r="V129" i="42"/>
  <c r="V128" i="42"/>
  <c r="V123" i="42"/>
  <c r="V121" i="42"/>
  <c r="V120" i="42"/>
  <c r="V119" i="42"/>
  <c r="V118" i="42"/>
  <c r="V117" i="42"/>
  <c r="V116" i="42"/>
  <c r="V115" i="42"/>
  <c r="V114" i="42"/>
  <c r="V113" i="42"/>
  <c r="V111" i="42"/>
  <c r="V110" i="42"/>
  <c r="V109" i="42"/>
  <c r="V108" i="42"/>
  <c r="V107" i="42"/>
  <c r="V106" i="42"/>
  <c r="V105" i="42"/>
  <c r="V104" i="42"/>
  <c r="V103" i="42"/>
  <c r="V101" i="42"/>
  <c r="V100" i="42"/>
  <c r="V99" i="42"/>
  <c r="V98" i="42"/>
  <c r="V97" i="42"/>
  <c r="V96" i="42"/>
  <c r="V95" i="42"/>
  <c r="V94" i="42"/>
  <c r="V93" i="42"/>
  <c r="V84" i="42"/>
  <c r="V68" i="42"/>
  <c r="V67" i="42"/>
  <c r="V66" i="42"/>
  <c r="V166" i="42"/>
  <c r="V164" i="42"/>
  <c r="V163" i="42"/>
  <c r="V161" i="42"/>
  <c r="V157" i="42"/>
  <c r="V144" i="42"/>
  <c r="V309" i="42" s="1"/>
  <c r="V156" i="42"/>
  <c r="V155" i="42"/>
  <c r="V154" i="42"/>
  <c r="V152" i="42"/>
  <c r="V151" i="42"/>
  <c r="V150" i="42"/>
  <c r="V149" i="42"/>
  <c r="V148" i="42"/>
  <c r="V82" i="42"/>
  <c r="V81" i="42"/>
  <c r="V80" i="42"/>
  <c r="V79" i="42"/>
  <c r="V78" i="42"/>
  <c r="V77" i="42"/>
  <c r="V76" i="42"/>
  <c r="V75" i="42"/>
  <c r="V74" i="42"/>
  <c r="V73" i="42"/>
  <c r="V72" i="42"/>
  <c r="V58" i="42"/>
  <c r="V57" i="42"/>
  <c r="V356" i="42" l="1"/>
  <c r="O356" i="42" s="1"/>
  <c r="G117" i="67" s="1"/>
  <c r="O223" i="42"/>
  <c r="Z356" i="42"/>
  <c r="P356" i="42" s="1"/>
  <c r="H117" i="67" s="1"/>
  <c r="P223" i="42"/>
  <c r="E144" i="53"/>
  <c r="F118" i="53"/>
  <c r="H21" i="52"/>
  <c r="E203" i="53"/>
  <c r="F119" i="53"/>
  <c r="E141" i="53"/>
  <c r="H20" i="52"/>
  <c r="E196" i="53"/>
  <c r="H291" i="48"/>
  <c r="E199" i="53"/>
  <c r="H278" i="48"/>
  <c r="H264" i="48" s="1"/>
  <c r="E200" i="53"/>
  <c r="H64" i="52"/>
  <c r="N206" i="42"/>
  <c r="F72" i="53" s="1"/>
  <c r="F95" i="53"/>
  <c r="F79" i="53"/>
  <c r="H299" i="48"/>
  <c r="H91" i="48"/>
  <c r="N351" i="42"/>
  <c r="Z351" i="42"/>
  <c r="V352" i="42"/>
  <c r="V353" i="42"/>
  <c r="V198" i="42"/>
  <c r="Z198" i="42"/>
  <c r="H181" i="48"/>
  <c r="AB181" i="48" s="1"/>
  <c r="N198" i="42"/>
  <c r="F45" i="53" s="1"/>
  <c r="V140" i="42"/>
  <c r="Z142" i="42"/>
  <c r="Z143" i="42"/>
  <c r="Z357" i="42" s="1"/>
  <c r="AD362" i="42" s="1"/>
  <c r="Q362" i="42" s="1"/>
  <c r="V142" i="42"/>
  <c r="V143" i="42"/>
  <c r="V357" i="42" s="1"/>
  <c r="H165" i="48"/>
  <c r="H169" i="48" s="1"/>
  <c r="Z140" i="42"/>
  <c r="N143" i="42"/>
  <c r="N142" i="42"/>
  <c r="E193" i="53" s="1"/>
  <c r="H99" i="48"/>
  <c r="Z363" i="42"/>
  <c r="V368" i="42"/>
  <c r="V25" i="42"/>
  <c r="V361" i="42"/>
  <c r="N368" i="42"/>
  <c r="N25" i="42"/>
  <c r="N361" i="42"/>
  <c r="Z368" i="42"/>
  <c r="Z25" i="42"/>
  <c r="H293" i="48"/>
  <c r="N162" i="42"/>
  <c r="Z162" i="42"/>
  <c r="H265" i="48"/>
  <c r="AB265" i="48" s="1"/>
  <c r="N146" i="42"/>
  <c r="E198" i="53" s="1"/>
  <c r="V146" i="42"/>
  <c r="V162" i="42"/>
  <c r="Z146" i="42"/>
  <c r="V193" i="42"/>
  <c r="H175" i="48"/>
  <c r="AB175" i="48" s="1"/>
  <c r="N193" i="42"/>
  <c r="F46" i="53" s="1"/>
  <c r="Z193" i="42"/>
  <c r="N85" i="42"/>
  <c r="AB182" i="48"/>
  <c r="AB177" i="48"/>
  <c r="AB176" i="48"/>
  <c r="Z88" i="42"/>
  <c r="V87" i="42"/>
  <c r="N87" i="42"/>
  <c r="Z87" i="42"/>
  <c r="Z85" i="42"/>
  <c r="P85" i="42" s="1"/>
  <c r="V85" i="42"/>
  <c r="O85" i="42" s="1"/>
  <c r="V351" i="42"/>
  <c r="H18" i="52"/>
  <c r="N159" i="42"/>
  <c r="E202" i="53" s="1"/>
  <c r="V159" i="42"/>
  <c r="Z159" i="42"/>
  <c r="V358" i="42"/>
  <c r="V350" i="42" s="1"/>
  <c r="N358" i="42"/>
  <c r="Z147" i="42"/>
  <c r="P147" i="42" s="1"/>
  <c r="J17" i="52" s="1"/>
  <c r="Z358" i="42"/>
  <c r="Z350" i="42" s="1"/>
  <c r="N147" i="42"/>
  <c r="H17" i="52" s="1"/>
  <c r="V147" i="42"/>
  <c r="O147" i="42" s="1"/>
  <c r="I17" i="52" s="1"/>
  <c r="C77" i="60"/>
  <c r="C76" i="65"/>
  <c r="F54" i="64"/>
  <c r="F54" i="65"/>
  <c r="C76" i="64"/>
  <c r="F114" i="65"/>
  <c r="F114" i="64"/>
  <c r="F120" i="60"/>
  <c r="F119" i="60" s="1"/>
  <c r="F28" i="60"/>
  <c r="F27" i="65"/>
  <c r="F27" i="64"/>
  <c r="F29" i="60"/>
  <c r="F28" i="64"/>
  <c r="F28" i="65"/>
  <c r="F55" i="60"/>
  <c r="C30" i="59" s="1"/>
  <c r="H74" i="52"/>
  <c r="H270" i="48"/>
  <c r="AB270" i="48" s="1"/>
  <c r="M301" i="42"/>
  <c r="M292" i="42"/>
  <c r="E151" i="53" s="1"/>
  <c r="H45" i="52"/>
  <c r="H254" i="48"/>
  <c r="H253" i="48"/>
  <c r="H112" i="48"/>
  <c r="F181" i="53" l="1"/>
  <c r="F123" i="67"/>
  <c r="H292" i="48"/>
  <c r="G114" i="53"/>
  <c r="G135" i="53"/>
  <c r="H135" i="53"/>
  <c r="H114" i="53"/>
  <c r="H139" i="48"/>
  <c r="F114" i="53"/>
  <c r="F122" i="53" s="1"/>
  <c r="F135" i="53"/>
  <c r="E207" i="53"/>
  <c r="F130" i="53"/>
  <c r="F116" i="53"/>
  <c r="N357" i="42"/>
  <c r="E194" i="53"/>
  <c r="E143" i="53"/>
  <c r="V167" i="42"/>
  <c r="Z167" i="42"/>
  <c r="N167" i="42"/>
  <c r="H12" i="48"/>
  <c r="N350" i="42"/>
  <c r="H163" i="48"/>
  <c r="J139" i="48"/>
  <c r="AF139" i="48" s="1"/>
  <c r="J163" i="48"/>
  <c r="I139" i="48"/>
  <c r="I163" i="48"/>
  <c r="N346" i="42"/>
  <c r="F178" i="53" s="1"/>
  <c r="F35" i="60"/>
  <c r="F36" i="60"/>
  <c r="F130" i="60"/>
  <c r="F30" i="60"/>
  <c r="F94" i="65"/>
  <c r="F94" i="64"/>
  <c r="F100" i="60"/>
  <c r="F113" i="64"/>
  <c r="F139" i="64" s="1"/>
  <c r="F84" i="65"/>
  <c r="F84" i="64"/>
  <c r="F90" i="60"/>
  <c r="D92" i="64"/>
  <c r="D92" i="65"/>
  <c r="D98" i="60"/>
  <c r="C167" i="60" s="1"/>
  <c r="F34" i="64"/>
  <c r="F35" i="64"/>
  <c r="F29" i="64"/>
  <c r="F128" i="64"/>
  <c r="F124" i="64"/>
  <c r="F113" i="65"/>
  <c r="F139" i="65" s="1"/>
  <c r="F86" i="64"/>
  <c r="F87" i="64" s="1"/>
  <c r="F86" i="65"/>
  <c r="F87" i="65" s="1"/>
  <c r="F92" i="60"/>
  <c r="F93" i="60" s="1"/>
  <c r="D94" i="65"/>
  <c r="D94" i="64"/>
  <c r="D100" i="60"/>
  <c r="F124" i="65"/>
  <c r="F34" i="65"/>
  <c r="F35" i="65"/>
  <c r="F128" i="65"/>
  <c r="F29" i="65"/>
  <c r="F32" i="60"/>
  <c r="F38" i="60" s="1"/>
  <c r="F31" i="64"/>
  <c r="F31" i="65"/>
  <c r="E74" i="65"/>
  <c r="E74" i="64"/>
  <c r="E75" i="60"/>
  <c r="F134" i="60"/>
  <c r="F91" i="64"/>
  <c r="F91" i="65"/>
  <c r="D77" i="65"/>
  <c r="D36" i="65" s="1"/>
  <c r="D146" i="65" s="1"/>
  <c r="D77" i="64"/>
  <c r="D36" i="64" s="1"/>
  <c r="D146" i="64" s="1"/>
  <c r="D78" i="60"/>
  <c r="D37" i="60" s="1"/>
  <c r="D152" i="60" s="1"/>
  <c r="E77" i="65"/>
  <c r="E36" i="65" s="1"/>
  <c r="E146" i="65" s="1"/>
  <c r="E77" i="64"/>
  <c r="E36" i="64" s="1"/>
  <c r="E146" i="64" s="1"/>
  <c r="E78" i="60"/>
  <c r="C10" i="59"/>
  <c r="F145" i="60"/>
  <c r="F77" i="65"/>
  <c r="F36" i="65" s="1"/>
  <c r="F77" i="64"/>
  <c r="F36" i="64" s="1"/>
  <c r="F78" i="60"/>
  <c r="F37" i="60" s="1"/>
  <c r="F152" i="60" s="1"/>
  <c r="F89" i="65"/>
  <c r="F16" i="65" s="1"/>
  <c r="F89" i="64"/>
  <c r="F16" i="64" s="1"/>
  <c r="F92" i="64"/>
  <c r="F92" i="65"/>
  <c r="F98" i="60"/>
  <c r="N347" i="42"/>
  <c r="M293" i="42"/>
  <c r="M299" i="42"/>
  <c r="N301" i="42"/>
  <c r="N299" i="42"/>
  <c r="F213" i="53" s="1"/>
  <c r="N292" i="42"/>
  <c r="F151" i="53" s="1"/>
  <c r="O281" i="42"/>
  <c r="O280" i="42"/>
  <c r="G89" i="60" s="1"/>
  <c r="O279" i="42"/>
  <c r="O278" i="42"/>
  <c r="O277" i="42"/>
  <c r="O275" i="42"/>
  <c r="O274" i="42"/>
  <c r="O273" i="42"/>
  <c r="O272" i="42"/>
  <c r="G85" i="60" l="1"/>
  <c r="I77" i="48"/>
  <c r="G86" i="60"/>
  <c r="I78" i="48"/>
  <c r="G88" i="60"/>
  <c r="I79" i="48"/>
  <c r="G87" i="60"/>
  <c r="G17" i="60" s="1"/>
  <c r="I15" i="48"/>
  <c r="C168" i="60"/>
  <c r="G179" i="53"/>
  <c r="G125" i="67"/>
  <c r="G180" i="53"/>
  <c r="G120" i="67"/>
  <c r="G32" i="48"/>
  <c r="G33" i="48" s="1"/>
  <c r="E213" i="53"/>
  <c r="G223" i="48"/>
  <c r="G224" i="48" s="1"/>
  <c r="E150" i="53"/>
  <c r="I254" i="48"/>
  <c r="G176" i="53"/>
  <c r="I45" i="52"/>
  <c r="G177" i="53"/>
  <c r="F166" i="60"/>
  <c r="H32" i="48"/>
  <c r="H33" i="48" s="1"/>
  <c r="H305" i="48"/>
  <c r="H31" i="52"/>
  <c r="N300" i="42"/>
  <c r="H306" i="48" s="1"/>
  <c r="F31" i="52"/>
  <c r="G31" i="52"/>
  <c r="O271" i="42"/>
  <c r="V346" i="42"/>
  <c r="H44" i="52"/>
  <c r="E75" i="65"/>
  <c r="E75" i="64"/>
  <c r="E76" i="60"/>
  <c r="E37" i="60"/>
  <c r="E78" i="65"/>
  <c r="D162" i="64"/>
  <c r="D95" i="64"/>
  <c r="E162" i="64"/>
  <c r="E95" i="64"/>
  <c r="D161" i="65"/>
  <c r="D93" i="65"/>
  <c r="D98" i="65"/>
  <c r="D19" i="65" s="1"/>
  <c r="E161" i="65"/>
  <c r="E93" i="65"/>
  <c r="F104" i="60"/>
  <c r="F167" i="60"/>
  <c r="F99" i="60"/>
  <c r="C20" i="59" s="1"/>
  <c r="D162" i="65"/>
  <c r="D95" i="65"/>
  <c r="E162" i="65"/>
  <c r="E95" i="65"/>
  <c r="D98" i="64"/>
  <c r="D19" i="64" s="1"/>
  <c r="D161" i="64"/>
  <c r="D93" i="64"/>
  <c r="E161" i="64"/>
  <c r="E93" i="64"/>
  <c r="N293" i="42"/>
  <c r="F74" i="65"/>
  <c r="F74" i="64"/>
  <c r="F75" i="60"/>
  <c r="F94" i="60"/>
  <c r="F18" i="60" s="1"/>
  <c r="F96" i="60"/>
  <c r="F91" i="60"/>
  <c r="F96" i="65"/>
  <c r="F99" i="65" s="1"/>
  <c r="F20" i="65" s="1"/>
  <c r="F96" i="64"/>
  <c r="F99" i="64" s="1"/>
  <c r="F20" i="64" s="1"/>
  <c r="F102" i="60"/>
  <c r="F98" i="64"/>
  <c r="F19" i="64" s="1"/>
  <c r="F161" i="64"/>
  <c r="F93" i="64"/>
  <c r="F37" i="65"/>
  <c r="F160" i="65"/>
  <c r="F90" i="64"/>
  <c r="F88" i="64"/>
  <c r="F85" i="64"/>
  <c r="F168" i="60"/>
  <c r="F101" i="60"/>
  <c r="C21" i="59" s="1"/>
  <c r="G86" i="65"/>
  <c r="G86" i="64"/>
  <c r="G92" i="60"/>
  <c r="E78" i="64"/>
  <c r="D101" i="60"/>
  <c r="D168" i="60"/>
  <c r="E168" i="60"/>
  <c r="E101" i="60"/>
  <c r="B21" i="59" s="1"/>
  <c r="D104" i="60"/>
  <c r="D21" i="60" s="1"/>
  <c r="D99" i="60"/>
  <c r="D167" i="60"/>
  <c r="E99" i="60"/>
  <c r="B20" i="59" s="1"/>
  <c r="E167" i="60"/>
  <c r="G89" i="64"/>
  <c r="G16" i="64" s="1"/>
  <c r="G89" i="65"/>
  <c r="G16" i="65" s="1"/>
  <c r="G95" i="60"/>
  <c r="D96" i="65"/>
  <c r="D99" i="65" s="1"/>
  <c r="D20" i="65" s="1"/>
  <c r="D96" i="64"/>
  <c r="D99" i="64" s="1"/>
  <c r="D20" i="64" s="1"/>
  <c r="D102" i="60"/>
  <c r="C169" i="60" s="1"/>
  <c r="F161" i="65"/>
  <c r="F93" i="65"/>
  <c r="F98" i="65"/>
  <c r="F19" i="65" s="1"/>
  <c r="C39" i="59"/>
  <c r="B72" i="59" s="1"/>
  <c r="F146" i="64"/>
  <c r="F37" i="64"/>
  <c r="F160" i="64"/>
  <c r="F90" i="65"/>
  <c r="F85" i="65"/>
  <c r="F88" i="65"/>
  <c r="F162" i="64"/>
  <c r="F95" i="64"/>
  <c r="D74" i="65"/>
  <c r="D74" i="64"/>
  <c r="D75" i="60"/>
  <c r="C162" i="60" s="1"/>
  <c r="E79" i="60"/>
  <c r="E96" i="64"/>
  <c r="E96" i="65"/>
  <c r="E102" i="60"/>
  <c r="G91" i="65"/>
  <c r="G91" i="64"/>
  <c r="G97" i="60"/>
  <c r="F146" i="65"/>
  <c r="F95" i="65"/>
  <c r="F162" i="65"/>
  <c r="G18" i="48"/>
  <c r="G70" i="48"/>
  <c r="F70" i="48"/>
  <c r="F18" i="48"/>
  <c r="H18" i="48"/>
  <c r="H70" i="48"/>
  <c r="L365" i="42"/>
  <c r="V301" i="42"/>
  <c r="V299" i="42"/>
  <c r="V300" i="42" s="1"/>
  <c r="V292" i="42"/>
  <c r="V293" i="42" s="1"/>
  <c r="G84" i="64" l="1"/>
  <c r="G90" i="64" s="1"/>
  <c r="G175" i="53"/>
  <c r="H223" i="48"/>
  <c r="H224" i="48" s="1"/>
  <c r="F150" i="53"/>
  <c r="E152" i="60"/>
  <c r="F165" i="60"/>
  <c r="G90" i="60"/>
  <c r="G94" i="60" s="1"/>
  <c r="G18" i="60" s="1"/>
  <c r="F105" i="60"/>
  <c r="C43" i="59" s="1"/>
  <c r="B64" i="59" s="1"/>
  <c r="B80" i="59" s="1"/>
  <c r="E162" i="60"/>
  <c r="B17" i="59" s="1"/>
  <c r="D162" i="60"/>
  <c r="D105" i="60"/>
  <c r="G84" i="65"/>
  <c r="G90" i="65" s="1"/>
  <c r="I253" i="48"/>
  <c r="H71" i="48"/>
  <c r="H47" i="52"/>
  <c r="B57" i="59"/>
  <c r="D78" i="64"/>
  <c r="D156" i="64"/>
  <c r="B28" i="59"/>
  <c r="B41" i="59" s="1"/>
  <c r="E103" i="60"/>
  <c r="B19" i="59" s="1"/>
  <c r="E169" i="60"/>
  <c r="E105" i="60"/>
  <c r="D75" i="65"/>
  <c r="D75" i="64"/>
  <c r="D76" i="60"/>
  <c r="F75" i="65"/>
  <c r="F75" i="64"/>
  <c r="F76" i="60"/>
  <c r="F163" i="65"/>
  <c r="E97" i="65"/>
  <c r="E163" i="65"/>
  <c r="E99" i="65"/>
  <c r="E20" i="65" s="1"/>
  <c r="F97" i="65"/>
  <c r="E97" i="64"/>
  <c r="E163" i="64"/>
  <c r="E99" i="64"/>
  <c r="E20" i="64" s="1"/>
  <c r="D163" i="64"/>
  <c r="D97" i="64"/>
  <c r="F159" i="64"/>
  <c r="E77" i="60"/>
  <c r="D39" i="59"/>
  <c r="F156" i="64"/>
  <c r="F78" i="64"/>
  <c r="D156" i="65"/>
  <c r="D78" i="65"/>
  <c r="C28" i="59"/>
  <c r="C41" i="59" s="1"/>
  <c r="B74" i="59" s="1"/>
  <c r="F169" i="60"/>
  <c r="F103" i="60"/>
  <c r="C19" i="59" s="1"/>
  <c r="F163" i="64"/>
  <c r="F97" i="64"/>
  <c r="C42" i="59"/>
  <c r="B63" i="59" s="1"/>
  <c r="B78" i="59" s="1"/>
  <c r="F21" i="60"/>
  <c r="B267" i="59" s="1"/>
  <c r="D169" i="60"/>
  <c r="D103" i="60"/>
  <c r="G88" i="64"/>
  <c r="F159" i="65"/>
  <c r="D163" i="65"/>
  <c r="D97" i="65"/>
  <c r="E76" i="64"/>
  <c r="E157" i="64" s="1"/>
  <c r="F156" i="65"/>
  <c r="F78" i="65"/>
  <c r="E156" i="65"/>
  <c r="D79" i="60"/>
  <c r="E156" i="64"/>
  <c r="F162" i="60"/>
  <c r="C17" i="59" s="1"/>
  <c r="F79" i="60"/>
  <c r="E76" i="65"/>
  <c r="E157" i="65" s="1"/>
  <c r="E163" i="60" l="1"/>
  <c r="G96" i="60"/>
  <c r="L267" i="59"/>
  <c r="Q267" i="59" s="1"/>
  <c r="G88" i="65"/>
  <c r="Z346" i="42"/>
  <c r="B59" i="59"/>
  <c r="D76" i="65"/>
  <c r="F77" i="60"/>
  <c r="F163" i="60" s="1"/>
  <c r="F76" i="65"/>
  <c r="F157" i="65" s="1"/>
  <c r="H267" i="59"/>
  <c r="G267" i="59"/>
  <c r="F76" i="64"/>
  <c r="F157" i="64" s="1"/>
  <c r="C72" i="59"/>
  <c r="C88" i="59" s="1"/>
  <c r="D77" i="60"/>
  <c r="D163" i="60" s="1"/>
  <c r="B43" i="59"/>
  <c r="L266" i="59"/>
  <c r="D76" i="64"/>
  <c r="R267" i="59" l="1"/>
  <c r="R266" i="59"/>
  <c r="Q266" i="59"/>
  <c r="C57" i="59"/>
  <c r="L217" i="59"/>
  <c r="D157" i="64"/>
  <c r="D157" i="65"/>
  <c r="AA576" i="24"/>
  <c r="AA575" i="24"/>
  <c r="AA574" i="24"/>
  <c r="AA573" i="24"/>
  <c r="AA571" i="24"/>
  <c r="AA570" i="24"/>
  <c r="AA569" i="24"/>
  <c r="AA568" i="24"/>
  <c r="AA566" i="24"/>
  <c r="Z227" i="42" s="1"/>
  <c r="Z221" i="42"/>
  <c r="AA561" i="24"/>
  <c r="AA560" i="24"/>
  <c r="AA558" i="24"/>
  <c r="AA557" i="24"/>
  <c r="AA555" i="24"/>
  <c r="AA554" i="24"/>
  <c r="AA553" i="24"/>
  <c r="AA551" i="24"/>
  <c r="AA550" i="24"/>
  <c r="AA548" i="24"/>
  <c r="AA547" i="24"/>
  <c r="AA546" i="24"/>
  <c r="AA545" i="24"/>
  <c r="AA543" i="24"/>
  <c r="AA542" i="24"/>
  <c r="AA541" i="24"/>
  <c r="AA540" i="24"/>
  <c r="AA539" i="24"/>
  <c r="AA538" i="24"/>
  <c r="AA537" i="24"/>
  <c r="AA536" i="24"/>
  <c r="AA535" i="24"/>
  <c r="AA534" i="24"/>
  <c r="AA532" i="24"/>
  <c r="AA531" i="24"/>
  <c r="AA530" i="24"/>
  <c r="AA529" i="24"/>
  <c r="AA528" i="24"/>
  <c r="AA527" i="24"/>
  <c r="AA523" i="24"/>
  <c r="AA522" i="24"/>
  <c r="AA521" i="24"/>
  <c r="AA518" i="24"/>
  <c r="AA517" i="24"/>
  <c r="AA516" i="24"/>
  <c r="AA514" i="24"/>
  <c r="AA513" i="24"/>
  <c r="AA512" i="24"/>
  <c r="AA511" i="24"/>
  <c r="AA510" i="24"/>
  <c r="AA508" i="24"/>
  <c r="AA507" i="24"/>
  <c r="AA506" i="24"/>
  <c r="AA505" i="24"/>
  <c r="AA504" i="24"/>
  <c r="Z214" i="42" s="1"/>
  <c r="AA503" i="24"/>
  <c r="AA502" i="24"/>
  <c r="AA501" i="24"/>
  <c r="Z213" i="42" s="1"/>
  <c r="AA500" i="24"/>
  <c r="AA499" i="24"/>
  <c r="AA496" i="24"/>
  <c r="AA495" i="24"/>
  <c r="AA494" i="24"/>
  <c r="AA493" i="24"/>
  <c r="AA492" i="24"/>
  <c r="AA484" i="24"/>
  <c r="AA483" i="24"/>
  <c r="AA482" i="24"/>
  <c r="AA481" i="24"/>
  <c r="AA480" i="24"/>
  <c r="AA479" i="24"/>
  <c r="AA478" i="24"/>
  <c r="AA477" i="24"/>
  <c r="AA476" i="24"/>
  <c r="AA475" i="24"/>
  <c r="AA474" i="24"/>
  <c r="AA473" i="24"/>
  <c r="AA472" i="24"/>
  <c r="AA471" i="24"/>
  <c r="AA470" i="24"/>
  <c r="AA469" i="24"/>
  <c r="AA468" i="24"/>
  <c r="AA467" i="24"/>
  <c r="AA466" i="24"/>
  <c r="AA465" i="24"/>
  <c r="AA464" i="24"/>
  <c r="AA463" i="24"/>
  <c r="AA462" i="24"/>
  <c r="AA461" i="24"/>
  <c r="AA460" i="24"/>
  <c r="AA459" i="24"/>
  <c r="AA458" i="24"/>
  <c r="AA15" i="24"/>
  <c r="AA4" i="24"/>
  <c r="AA5" i="24" s="1"/>
  <c r="AA3" i="24"/>
  <c r="AA12" i="24" s="1"/>
  <c r="AA7" i="24" s="1"/>
  <c r="Z576" i="24"/>
  <c r="Z575" i="24"/>
  <c r="Z574" i="24"/>
  <c r="Z573" i="24"/>
  <c r="Z571" i="24"/>
  <c r="Z570" i="24"/>
  <c r="Z569" i="24"/>
  <c r="Z568" i="24"/>
  <c r="Z566" i="24"/>
  <c r="Y227" i="42" s="1"/>
  <c r="Y225" i="42" s="1"/>
  <c r="Z561" i="24"/>
  <c r="Z560" i="24"/>
  <c r="Z558" i="24"/>
  <c r="Z557" i="24"/>
  <c r="Z555" i="24"/>
  <c r="Z554" i="24"/>
  <c r="Z553" i="24"/>
  <c r="Z551" i="24"/>
  <c r="Z550" i="24"/>
  <c r="Z548" i="24"/>
  <c r="Z547" i="24"/>
  <c r="Z546" i="24"/>
  <c r="Z545" i="24"/>
  <c r="Z543" i="24"/>
  <c r="Z542" i="24"/>
  <c r="Z541" i="24"/>
  <c r="Z540" i="24"/>
  <c r="Z539" i="24"/>
  <c r="Z538" i="24"/>
  <c r="Z537" i="24"/>
  <c r="Z536" i="24"/>
  <c r="Z535" i="24"/>
  <c r="Z534" i="24"/>
  <c r="Z532" i="24"/>
  <c r="Z531" i="24"/>
  <c r="Z530" i="24"/>
  <c r="Z529" i="24"/>
  <c r="Z528" i="24"/>
  <c r="Z527" i="24"/>
  <c r="Z524" i="24"/>
  <c r="Z523" i="24"/>
  <c r="Z522" i="24"/>
  <c r="Z521" i="24"/>
  <c r="Z518" i="24"/>
  <c r="Z517" i="24"/>
  <c r="Z516" i="24"/>
  <c r="Z514" i="24"/>
  <c r="Z513" i="24"/>
  <c r="Z512" i="24"/>
  <c r="Z511" i="24"/>
  <c r="Z510" i="24"/>
  <c r="Z508" i="24"/>
  <c r="Z507" i="24"/>
  <c r="Z506" i="24"/>
  <c r="Z505" i="24"/>
  <c r="Z504" i="24"/>
  <c r="Y214" i="42" s="1"/>
  <c r="Z503" i="24"/>
  <c r="Z502" i="24"/>
  <c r="Z501" i="24"/>
  <c r="Y213" i="42" s="1"/>
  <c r="Z500" i="24"/>
  <c r="Z499" i="24"/>
  <c r="Z496" i="24"/>
  <c r="Z495" i="24"/>
  <c r="Z494" i="24"/>
  <c r="Z493" i="24"/>
  <c r="Z492" i="24"/>
  <c r="Z484" i="24"/>
  <c r="Z483" i="24"/>
  <c r="Z482" i="24"/>
  <c r="Z481" i="24"/>
  <c r="Z480" i="24"/>
  <c r="Z479" i="24"/>
  <c r="Z478" i="24"/>
  <c r="Z477" i="24"/>
  <c r="Z476" i="24"/>
  <c r="Z475" i="24"/>
  <c r="Z474" i="24"/>
  <c r="Z473" i="24"/>
  <c r="Z472" i="24"/>
  <c r="Z471" i="24"/>
  <c r="Z470" i="24"/>
  <c r="Z469" i="24"/>
  <c r="Z468" i="24"/>
  <c r="Z467" i="24"/>
  <c r="Z466" i="24"/>
  <c r="Z465" i="24"/>
  <c r="Z464" i="24"/>
  <c r="Z463" i="24"/>
  <c r="Z462" i="24"/>
  <c r="Z461" i="24"/>
  <c r="Z460" i="24"/>
  <c r="Z459" i="24"/>
  <c r="Z458" i="24"/>
  <c r="Z15" i="24"/>
  <c r="Z4" i="24"/>
  <c r="Z5" i="24" s="1"/>
  <c r="Z3" i="24"/>
  <c r="Z13" i="24" s="1"/>
  <c r="Z8" i="24" s="1"/>
  <c r="Y576" i="24"/>
  <c r="Y575" i="24"/>
  <c r="Y574" i="24"/>
  <c r="Y573" i="24"/>
  <c r="Y571" i="24"/>
  <c r="Y570" i="24"/>
  <c r="Y569" i="24"/>
  <c r="Y568" i="24"/>
  <c r="Y566" i="24"/>
  <c r="X227" i="42" s="1"/>
  <c r="X225" i="42" s="1"/>
  <c r="Y561" i="24"/>
  <c r="Y560" i="24"/>
  <c r="Y558" i="24"/>
  <c r="Y557" i="24"/>
  <c r="Y555" i="24"/>
  <c r="Y554" i="24"/>
  <c r="Y553" i="24"/>
  <c r="Y551" i="24"/>
  <c r="Y550" i="24"/>
  <c r="Y548" i="24"/>
  <c r="Y547" i="24"/>
  <c r="Y546" i="24"/>
  <c r="Y545" i="24"/>
  <c r="Y543" i="24"/>
  <c r="Y542" i="24"/>
  <c r="Y541" i="24"/>
  <c r="Y540" i="24"/>
  <c r="Y539" i="24"/>
  <c r="Y538" i="24"/>
  <c r="Y537" i="24"/>
  <c r="Y536" i="24"/>
  <c r="Y535" i="24"/>
  <c r="Y534" i="24"/>
  <c r="Y532" i="24"/>
  <c r="Y531" i="24"/>
  <c r="Y530" i="24"/>
  <c r="Y529" i="24"/>
  <c r="Y528" i="24"/>
  <c r="Y527" i="24"/>
  <c r="Y524" i="24"/>
  <c r="Y523" i="24"/>
  <c r="Y522" i="24"/>
  <c r="Y521" i="24"/>
  <c r="Y518" i="24"/>
  <c r="Y517" i="24"/>
  <c r="Y516" i="24"/>
  <c r="Y514" i="24"/>
  <c r="Y513" i="24"/>
  <c r="Y512" i="24"/>
  <c r="Y511" i="24"/>
  <c r="Y510" i="24"/>
  <c r="Y508" i="24"/>
  <c r="Y507" i="24"/>
  <c r="Y506" i="24"/>
  <c r="Y505" i="24"/>
  <c r="Y504" i="24"/>
  <c r="X214" i="42" s="1"/>
  <c r="Y503" i="24"/>
  <c r="Y502" i="24"/>
  <c r="Y501" i="24"/>
  <c r="X213" i="42" s="1"/>
  <c r="Y500" i="24"/>
  <c r="Y499" i="24"/>
  <c r="Y496" i="24"/>
  <c r="Y495" i="24"/>
  <c r="Y494" i="24"/>
  <c r="Y493" i="24"/>
  <c r="Y492" i="24"/>
  <c r="Y484" i="24"/>
  <c r="Y483" i="24"/>
  <c r="Y482" i="24"/>
  <c r="Y481" i="24"/>
  <c r="Y480" i="24"/>
  <c r="Y479" i="24"/>
  <c r="Y478" i="24"/>
  <c r="Y477" i="24"/>
  <c r="Y476" i="24"/>
  <c r="Y475" i="24"/>
  <c r="Y474" i="24"/>
  <c r="Y473" i="24"/>
  <c r="Y472" i="24"/>
  <c r="Y471" i="24"/>
  <c r="Y470" i="24"/>
  <c r="Y469" i="24"/>
  <c r="Y468" i="24"/>
  <c r="Y467" i="24"/>
  <c r="Y466" i="24"/>
  <c r="Y465" i="24"/>
  <c r="Y464" i="24"/>
  <c r="Y463" i="24"/>
  <c r="Y462" i="24"/>
  <c r="Y461" i="24"/>
  <c r="Y460" i="24"/>
  <c r="Y459" i="24"/>
  <c r="Y458" i="24"/>
  <c r="Y15" i="24"/>
  <c r="Y4" i="24"/>
  <c r="Y5" i="24" s="1"/>
  <c r="Y3" i="24"/>
  <c r="Y12" i="24" s="1"/>
  <c r="Y7" i="24" s="1"/>
  <c r="X576" i="24"/>
  <c r="X575" i="24"/>
  <c r="X574" i="24"/>
  <c r="X573" i="24"/>
  <c r="X571" i="24"/>
  <c r="X570" i="24"/>
  <c r="X569" i="24"/>
  <c r="X568" i="24"/>
  <c r="X566" i="24"/>
  <c r="W227" i="42" s="1"/>
  <c r="W225" i="42" s="1"/>
  <c r="X561" i="24"/>
  <c r="X560" i="24"/>
  <c r="X558" i="24"/>
  <c r="X557" i="24"/>
  <c r="X555" i="24"/>
  <c r="X554" i="24"/>
  <c r="X553" i="24"/>
  <c r="X551" i="24"/>
  <c r="X550" i="24"/>
  <c r="X548" i="24"/>
  <c r="X547" i="24"/>
  <c r="X546" i="24"/>
  <c r="X545" i="24"/>
  <c r="X543" i="24"/>
  <c r="X542" i="24"/>
  <c r="X541" i="24"/>
  <c r="X540" i="24"/>
  <c r="X539" i="24"/>
  <c r="X538" i="24"/>
  <c r="X537" i="24"/>
  <c r="X536" i="24"/>
  <c r="X535" i="24"/>
  <c r="X534" i="24"/>
  <c r="X532" i="24"/>
  <c r="X531" i="24"/>
  <c r="X530" i="24"/>
  <c r="X529" i="24"/>
  <c r="X528" i="24"/>
  <c r="X527" i="24"/>
  <c r="X524" i="24"/>
  <c r="X523" i="24"/>
  <c r="X522" i="24"/>
  <c r="X521" i="24"/>
  <c r="X518" i="24"/>
  <c r="X517" i="24"/>
  <c r="X516" i="24"/>
  <c r="X514" i="24"/>
  <c r="X513" i="24"/>
  <c r="X512" i="24"/>
  <c r="X511" i="24"/>
  <c r="X510" i="24"/>
  <c r="X508" i="24"/>
  <c r="X507" i="24"/>
  <c r="X506" i="24"/>
  <c r="X505" i="24"/>
  <c r="X504" i="24"/>
  <c r="W214" i="42" s="1"/>
  <c r="X503" i="24"/>
  <c r="X502" i="24"/>
  <c r="X501" i="24"/>
  <c r="W213" i="42" s="1"/>
  <c r="X500" i="24"/>
  <c r="X499" i="24"/>
  <c r="X496" i="24"/>
  <c r="X495" i="24"/>
  <c r="X494" i="24"/>
  <c r="X493" i="24"/>
  <c r="X492" i="24"/>
  <c r="X484" i="24"/>
  <c r="X483" i="24"/>
  <c r="X482" i="24"/>
  <c r="X481" i="24"/>
  <c r="X480" i="24"/>
  <c r="X479" i="24"/>
  <c r="X478" i="24"/>
  <c r="X477" i="24"/>
  <c r="X476" i="24"/>
  <c r="X475" i="24"/>
  <c r="X474" i="24"/>
  <c r="X473" i="24"/>
  <c r="X472" i="24"/>
  <c r="X471" i="24"/>
  <c r="X470" i="24"/>
  <c r="X469" i="24"/>
  <c r="X468" i="24"/>
  <c r="X467" i="24"/>
  <c r="X466" i="24"/>
  <c r="X465" i="24"/>
  <c r="X464" i="24"/>
  <c r="X463" i="24"/>
  <c r="X462" i="24"/>
  <c r="X461" i="24"/>
  <c r="X460" i="24"/>
  <c r="X459" i="24"/>
  <c r="X458" i="24"/>
  <c r="X15" i="24"/>
  <c r="X4" i="24"/>
  <c r="X5" i="24" s="1"/>
  <c r="X3" i="24"/>
  <c r="X13" i="24" s="1"/>
  <c r="X8" i="24" s="1"/>
  <c r="W576" i="24"/>
  <c r="W575" i="24"/>
  <c r="W574" i="24"/>
  <c r="W573" i="24"/>
  <c r="W571" i="24"/>
  <c r="W570" i="24"/>
  <c r="W569" i="24"/>
  <c r="W568" i="24"/>
  <c r="W566" i="24"/>
  <c r="V227" i="42" s="1"/>
  <c r="W564" i="24"/>
  <c r="W565" i="24" s="1"/>
  <c r="W561" i="24"/>
  <c r="W560" i="24"/>
  <c r="W558" i="24"/>
  <c r="W557" i="24"/>
  <c r="W555" i="24"/>
  <c r="W554" i="24"/>
  <c r="W553" i="24"/>
  <c r="W551" i="24"/>
  <c r="W550" i="24"/>
  <c r="W548" i="24"/>
  <c r="W547" i="24"/>
  <c r="W546" i="24"/>
  <c r="W545" i="24"/>
  <c r="W543" i="24"/>
  <c r="W542" i="24"/>
  <c r="W541" i="24"/>
  <c r="W540" i="24"/>
  <c r="W539" i="24"/>
  <c r="W538" i="24"/>
  <c r="W537" i="24"/>
  <c r="W536" i="24"/>
  <c r="W535" i="24"/>
  <c r="W534" i="24"/>
  <c r="W532" i="24"/>
  <c r="W531" i="24"/>
  <c r="W530" i="24"/>
  <c r="W529" i="24"/>
  <c r="W528" i="24"/>
  <c r="W527" i="24"/>
  <c r="W524" i="24"/>
  <c r="W523" i="24"/>
  <c r="W522" i="24"/>
  <c r="W521" i="24"/>
  <c r="W518" i="24"/>
  <c r="W517" i="24"/>
  <c r="W516" i="24"/>
  <c r="W514" i="24"/>
  <c r="W513" i="24"/>
  <c r="W512" i="24"/>
  <c r="W511" i="24"/>
  <c r="W510" i="24"/>
  <c r="W508" i="24"/>
  <c r="W507" i="24"/>
  <c r="W506" i="24"/>
  <c r="W505" i="24"/>
  <c r="W504" i="24"/>
  <c r="V214" i="42" s="1"/>
  <c r="W503" i="24"/>
  <c r="W502" i="24"/>
  <c r="W501" i="24"/>
  <c r="V213" i="42" s="1"/>
  <c r="W500" i="24"/>
  <c r="W499" i="24"/>
  <c r="W496" i="24"/>
  <c r="W495" i="24"/>
  <c r="W494" i="24"/>
  <c r="W493" i="24"/>
  <c r="W492" i="24"/>
  <c r="W484" i="24"/>
  <c r="W482" i="24"/>
  <c r="W481" i="24"/>
  <c r="W480" i="24"/>
  <c r="W479" i="24"/>
  <c r="W478" i="24"/>
  <c r="W477" i="24"/>
  <c r="W476" i="24"/>
  <c r="W475" i="24"/>
  <c r="W474" i="24"/>
  <c r="W473" i="24"/>
  <c r="W472" i="24"/>
  <c r="W471" i="24"/>
  <c r="W470" i="24"/>
  <c r="W469" i="24"/>
  <c r="W468" i="24"/>
  <c r="W467" i="24"/>
  <c r="W466" i="24"/>
  <c r="W465" i="24"/>
  <c r="W464" i="24"/>
  <c r="W463" i="24"/>
  <c r="W462" i="24"/>
  <c r="W461" i="24"/>
  <c r="W460" i="24"/>
  <c r="W459" i="24"/>
  <c r="W458" i="24"/>
  <c r="W15" i="24"/>
  <c r="W4" i="24"/>
  <c r="W5" i="24" s="1"/>
  <c r="W3" i="24"/>
  <c r="W12" i="24" s="1"/>
  <c r="W7" i="24" s="1"/>
  <c r="Y559" i="24" l="1"/>
  <c r="W556" i="24"/>
  <c r="X556" i="24"/>
  <c r="V221" i="42"/>
  <c r="W679" i="24"/>
  <c r="AA556" i="24"/>
  <c r="X559" i="24"/>
  <c r="Y549" i="24"/>
  <c r="W544" i="24"/>
  <c r="Z556" i="24"/>
  <c r="Z549" i="24"/>
  <c r="X549" i="24"/>
  <c r="W526" i="24"/>
  <c r="V218" i="42" s="1"/>
  <c r="W13" i="24"/>
  <c r="W8" i="24" s="1"/>
  <c r="W11" i="24"/>
  <c r="W6" i="24" s="1"/>
  <c r="AA11" i="24"/>
  <c r="AA6" i="24" s="1"/>
  <c r="X520" i="24"/>
  <c r="W215" i="42" s="1"/>
  <c r="Y544" i="24"/>
  <c r="Z520" i="24"/>
  <c r="X11" i="24"/>
  <c r="X6" i="24" s="1"/>
  <c r="Y11" i="24"/>
  <c r="Y6" i="24" s="1"/>
  <c r="Z572" i="24"/>
  <c r="AA509" i="24"/>
  <c r="X497" i="24"/>
  <c r="W211" i="42" s="1"/>
  <c r="Y572" i="24"/>
  <c r="Y520" i="24"/>
  <c r="X215" i="42" s="1"/>
  <c r="X572" i="24"/>
  <c r="Y556" i="24"/>
  <c r="W498" i="24"/>
  <c r="W9" i="24"/>
  <c r="W520" i="24"/>
  <c r="Y497" i="24"/>
  <c r="X211" i="42" s="1"/>
  <c r="Z559" i="24"/>
  <c r="W525" i="24"/>
  <c r="Z533" i="24"/>
  <c r="Y219" i="42" s="1"/>
  <c r="Y533" i="24"/>
  <c r="X219" i="42" s="1"/>
  <c r="W497" i="24"/>
  <c r="W572" i="24"/>
  <c r="X533" i="24"/>
  <c r="W219" i="42" s="1"/>
  <c r="Z497" i="24"/>
  <c r="W552" i="24"/>
  <c r="V220" i="42" s="1"/>
  <c r="Z526" i="24"/>
  <c r="Y218" i="42" s="1"/>
  <c r="AA549" i="24"/>
  <c r="AA559" i="24"/>
  <c r="AA520" i="24"/>
  <c r="AA572" i="24"/>
  <c r="AA552" i="24"/>
  <c r="Z220" i="42" s="1"/>
  <c r="AA497" i="24"/>
  <c r="AA544" i="24"/>
  <c r="AA567" i="24"/>
  <c r="Q217" i="59"/>
  <c r="R217" i="59"/>
  <c r="X526" i="24"/>
  <c r="W218" i="42" s="1"/>
  <c r="AA498" i="24"/>
  <c r="AA9" i="24"/>
  <c r="X525" i="24"/>
  <c r="W216" i="42" s="1"/>
  <c r="Z9" i="24"/>
  <c r="AA533" i="24"/>
  <c r="Z219" i="42" s="1"/>
  <c r="W549" i="24"/>
  <c r="W559" i="24"/>
  <c r="X509" i="24"/>
  <c r="X552" i="24"/>
  <c r="W220" i="42" s="1"/>
  <c r="Y509" i="24"/>
  <c r="Y526" i="24"/>
  <c r="X218" i="42" s="1"/>
  <c r="Z509" i="24"/>
  <c r="Z552" i="24"/>
  <c r="Y220" i="42" s="1"/>
  <c r="W567" i="24"/>
  <c r="Z498" i="24"/>
  <c r="X567" i="24"/>
  <c r="Y525" i="24"/>
  <c r="X216" i="42" s="1"/>
  <c r="Z544" i="24"/>
  <c r="W509" i="24"/>
  <c r="X498" i="24"/>
  <c r="X544" i="24"/>
  <c r="Y498" i="24"/>
  <c r="Y552" i="24"/>
  <c r="X220" i="42" s="1"/>
  <c r="Z567" i="24"/>
  <c r="AA525" i="24"/>
  <c r="AA526" i="24"/>
  <c r="W533" i="24"/>
  <c r="V219" i="42" s="1"/>
  <c r="X9" i="24"/>
  <c r="Y9" i="24"/>
  <c r="Y567" i="24"/>
  <c r="Z525" i="24"/>
  <c r="AA13" i="24"/>
  <c r="AA8" i="24" s="1"/>
  <c r="Z11" i="24"/>
  <c r="Z6" i="24" s="1"/>
  <c r="Z12" i="24"/>
  <c r="Z7" i="24" s="1"/>
  <c r="Y13" i="24"/>
  <c r="Y8" i="24" s="1"/>
  <c r="X12" i="24"/>
  <c r="X7" i="24" s="1"/>
  <c r="J468" i="22"/>
  <c r="I468" i="22"/>
  <c r="G468" i="22"/>
  <c r="F468" i="22"/>
  <c r="E468" i="22"/>
  <c r="AA468" i="22"/>
  <c r="Z468" i="22"/>
  <c r="Y468" i="22"/>
  <c r="X468" i="22"/>
  <c r="W468" i="22"/>
  <c r="V468" i="22"/>
  <c r="U468" i="22"/>
  <c r="T468" i="22"/>
  <c r="AA519" i="22"/>
  <c r="AA518" i="22"/>
  <c r="AA517" i="22"/>
  <c r="AA516" i="22"/>
  <c r="AA515" i="22"/>
  <c r="AA513" i="22"/>
  <c r="AA509" i="22"/>
  <c r="AA505" i="22"/>
  <c r="AA504" i="22"/>
  <c r="AA503" i="22"/>
  <c r="AA502" i="22"/>
  <c r="AA501" i="22"/>
  <c r="AA500" i="22"/>
  <c r="AA499" i="22"/>
  <c r="AA498" i="22"/>
  <c r="AA496" i="22"/>
  <c r="AA495" i="22"/>
  <c r="AA493" i="22"/>
  <c r="Z171" i="42" s="1"/>
  <c r="AA492" i="22"/>
  <c r="Z170" i="42" s="1"/>
  <c r="AA484" i="22"/>
  <c r="AA482" i="22"/>
  <c r="AA481" i="22"/>
  <c r="AA480" i="22"/>
  <c r="AA479" i="22"/>
  <c r="AA478" i="22"/>
  <c r="AA477" i="22"/>
  <c r="AA476" i="22"/>
  <c r="AA474" i="22"/>
  <c r="AA473" i="22"/>
  <c r="AA472" i="22"/>
  <c r="AA471" i="22"/>
  <c r="AA470" i="22"/>
  <c r="AA469" i="22"/>
  <c r="AA467" i="22"/>
  <c r="AA466" i="22"/>
  <c r="AA465" i="22"/>
  <c r="AA464" i="22"/>
  <c r="AA3" i="22"/>
  <c r="AA8" i="22" s="1"/>
  <c r="Z519" i="22"/>
  <c r="Z518" i="22"/>
  <c r="Z517" i="22"/>
  <c r="Z516" i="22"/>
  <c r="Z515" i="22"/>
  <c r="Z513" i="22"/>
  <c r="Z511" i="22"/>
  <c r="Z510" i="22"/>
  <c r="Z509" i="22"/>
  <c r="Z505" i="22"/>
  <c r="Z504" i="22"/>
  <c r="Z503" i="22"/>
  <c r="Z502" i="22"/>
  <c r="Z501" i="22"/>
  <c r="Z500" i="22"/>
  <c r="Z499" i="22"/>
  <c r="Z498" i="22"/>
  <c r="Z496" i="22"/>
  <c r="Z495" i="22"/>
  <c r="Z493" i="22"/>
  <c r="Y171" i="42" s="1"/>
  <c r="Z492" i="22"/>
  <c r="Y170" i="42" s="1"/>
  <c r="Z484" i="22"/>
  <c r="Z483" i="22"/>
  <c r="Z482" i="22"/>
  <c r="Z481" i="22"/>
  <c r="Z480" i="22"/>
  <c r="Z479" i="22"/>
  <c r="Z478" i="22"/>
  <c r="Z477" i="22"/>
  <c r="Z476" i="22"/>
  <c r="Z475" i="22"/>
  <c r="Z474" i="22"/>
  <c r="Z473" i="22"/>
  <c r="Z472" i="22"/>
  <c r="Z471" i="22"/>
  <c r="Z470" i="22"/>
  <c r="Z469" i="22"/>
  <c r="Z467" i="22"/>
  <c r="Z466" i="22"/>
  <c r="Z465" i="22"/>
  <c r="Z464" i="22"/>
  <c r="Z3" i="22"/>
  <c r="Z8" i="22" s="1"/>
  <c r="Y519" i="22"/>
  <c r="Y518" i="22"/>
  <c r="Y517" i="22"/>
  <c r="Y516" i="22"/>
  <c r="Y515" i="22"/>
  <c r="Y513" i="22"/>
  <c r="Y511" i="22"/>
  <c r="Y510" i="22"/>
  <c r="Y509" i="22"/>
  <c r="Y505" i="22"/>
  <c r="Y504" i="22"/>
  <c r="Y503" i="22"/>
  <c r="Y502" i="22"/>
  <c r="Y501" i="22"/>
  <c r="Y500" i="22"/>
  <c r="Y499" i="22"/>
  <c r="Y498" i="22"/>
  <c r="Y496" i="22"/>
  <c r="Y495" i="22"/>
  <c r="Y493" i="22"/>
  <c r="X171" i="42" s="1"/>
  <c r="Y492" i="22"/>
  <c r="X170" i="42" s="1"/>
  <c r="Y484" i="22"/>
  <c r="Y483" i="22"/>
  <c r="Y482" i="22"/>
  <c r="Y481" i="22"/>
  <c r="Y480" i="22"/>
  <c r="Y479" i="22"/>
  <c r="Y478" i="22"/>
  <c r="Y477" i="22"/>
  <c r="Y476" i="22"/>
  <c r="Y475" i="22"/>
  <c r="Y474" i="22"/>
  <c r="Y473" i="22"/>
  <c r="Y472" i="22"/>
  <c r="Y471" i="22"/>
  <c r="Y470" i="22"/>
  <c r="Y469" i="22"/>
  <c r="Y467" i="22"/>
  <c r="Y466" i="22"/>
  <c r="Y465" i="22"/>
  <c r="Y464" i="22"/>
  <c r="Y3" i="22"/>
  <c r="Y9" i="22" s="1"/>
  <c r="X519" i="22"/>
  <c r="X518" i="22"/>
  <c r="X517" i="22"/>
  <c r="X516" i="22"/>
  <c r="X515" i="22"/>
  <c r="X513" i="22"/>
  <c r="X511" i="22"/>
  <c r="X510" i="22"/>
  <c r="X509" i="22"/>
  <c r="X505" i="22"/>
  <c r="X504" i="22"/>
  <c r="X503" i="22"/>
  <c r="X502" i="22"/>
  <c r="X501" i="22"/>
  <c r="X500" i="22"/>
  <c r="X499" i="22"/>
  <c r="X498" i="22"/>
  <c r="X496" i="22"/>
  <c r="X495" i="22"/>
  <c r="X493" i="22"/>
  <c r="W171" i="42" s="1"/>
  <c r="X492" i="22"/>
  <c r="W170" i="42" s="1"/>
  <c r="X484" i="22"/>
  <c r="X483" i="22"/>
  <c r="X482" i="22"/>
  <c r="X481" i="22"/>
  <c r="X480" i="22"/>
  <c r="X479" i="22"/>
  <c r="X478" i="22"/>
  <c r="X477" i="22"/>
  <c r="X476" i="22"/>
  <c r="X475" i="22"/>
  <c r="X474" i="22"/>
  <c r="X473" i="22"/>
  <c r="X472" i="22"/>
  <c r="X471" i="22"/>
  <c r="X470" i="22"/>
  <c r="X469" i="22"/>
  <c r="X467" i="22"/>
  <c r="X466" i="22"/>
  <c r="X465" i="22"/>
  <c r="X464" i="22"/>
  <c r="X3" i="22"/>
  <c r="X9" i="22" s="1"/>
  <c r="W519" i="22"/>
  <c r="W518" i="22"/>
  <c r="W517" i="22"/>
  <c r="W516" i="22"/>
  <c r="W515" i="22"/>
  <c r="W513" i="22"/>
  <c r="W511" i="22"/>
  <c r="W509" i="22"/>
  <c r="W505" i="22"/>
  <c r="W504" i="22"/>
  <c r="W503" i="22"/>
  <c r="W502" i="22"/>
  <c r="W501" i="22"/>
  <c r="W500" i="22"/>
  <c r="W499" i="22"/>
  <c r="W498" i="22"/>
  <c r="W496" i="22"/>
  <c r="W495" i="22"/>
  <c r="W493" i="22"/>
  <c r="V171" i="42" s="1"/>
  <c r="W492" i="22"/>
  <c r="V170" i="42" s="1"/>
  <c r="W484" i="22"/>
  <c r="W482" i="22"/>
  <c r="W481" i="22"/>
  <c r="W480" i="22"/>
  <c r="W479" i="22"/>
  <c r="W478" i="22"/>
  <c r="W477" i="22"/>
  <c r="W476" i="22"/>
  <c r="W475" i="22"/>
  <c r="W474" i="22"/>
  <c r="W473" i="22"/>
  <c r="W472" i="22"/>
  <c r="W471" i="22"/>
  <c r="W470" i="22"/>
  <c r="W469" i="22"/>
  <c r="W467" i="22"/>
  <c r="W466" i="22"/>
  <c r="W465" i="22"/>
  <c r="W464" i="22"/>
  <c r="W3" i="22"/>
  <c r="W9" i="22" s="1"/>
  <c r="X172" i="42" l="1"/>
  <c r="W172" i="42"/>
  <c r="Z674" i="24"/>
  <c r="Y211" i="42"/>
  <c r="Z676" i="24"/>
  <c r="Y215" i="42"/>
  <c r="N43" i="48" s="1"/>
  <c r="Z675" i="24"/>
  <c r="Y216" i="42"/>
  <c r="N44" i="48" s="1"/>
  <c r="Y172" i="42"/>
  <c r="X675" i="24"/>
  <c r="Y674" i="24"/>
  <c r="Y675" i="24"/>
  <c r="Y676" i="24"/>
  <c r="X676" i="24"/>
  <c r="X674" i="24"/>
  <c r="W577" i="24"/>
  <c r="W682" i="24" s="1"/>
  <c r="W681" i="24" s="1"/>
  <c r="AA515" i="24"/>
  <c r="AA677" i="24" s="1"/>
  <c r="X577" i="24"/>
  <c r="W232" i="42" s="1"/>
  <c r="Z215" i="42"/>
  <c r="AA676" i="24"/>
  <c r="V216" i="42"/>
  <c r="W675" i="24"/>
  <c r="Z216" i="42"/>
  <c r="AA675" i="24"/>
  <c r="V215" i="42"/>
  <c r="W676" i="24"/>
  <c r="V211" i="42"/>
  <c r="W674" i="24"/>
  <c r="W515" i="24"/>
  <c r="Z211" i="42"/>
  <c r="AA674" i="24"/>
  <c r="Y515" i="24"/>
  <c r="X212" i="42" s="1"/>
  <c r="Y512" i="22"/>
  <c r="Y577" i="24"/>
  <c r="X232" i="42" s="1"/>
  <c r="Z577" i="24"/>
  <c r="X515" i="24"/>
  <c r="W212" i="42" s="1"/>
  <c r="W562" i="24"/>
  <c r="X562" i="24"/>
  <c r="W217" i="42" s="1"/>
  <c r="AA512" i="22"/>
  <c r="X497" i="22"/>
  <c r="X506" i="22" s="1"/>
  <c r="W175" i="42" s="1"/>
  <c r="W497" i="22"/>
  <c r="W506" i="22" s="1"/>
  <c r="V175" i="42" s="1"/>
  <c r="Y562" i="24"/>
  <c r="X217" i="42" s="1"/>
  <c r="Z562" i="24"/>
  <c r="AA577" i="24"/>
  <c r="AA562" i="24"/>
  <c r="Z218" i="42"/>
  <c r="W512" i="22"/>
  <c r="Z512" i="22"/>
  <c r="X508" i="22"/>
  <c r="W508" i="22"/>
  <c r="Y508" i="22"/>
  <c r="AA497" i="22"/>
  <c r="Y497" i="22"/>
  <c r="Y506" i="22" s="1"/>
  <c r="X175" i="42" s="1"/>
  <c r="Z508" i="22"/>
  <c r="Z497" i="22"/>
  <c r="Z506" i="22" s="1"/>
  <c r="Y175" i="42" s="1"/>
  <c r="Z515" i="24"/>
  <c r="AA5" i="22"/>
  <c r="Z5" i="22"/>
  <c r="Y5" i="22"/>
  <c r="X512" i="22"/>
  <c r="AA508" i="22"/>
  <c r="X5" i="22"/>
  <c r="W5" i="22"/>
  <c r="AA7" i="22"/>
  <c r="AA9" i="22"/>
  <c r="AA10" i="22" s="1"/>
  <c r="Z9" i="22"/>
  <c r="Z10" i="22" s="1"/>
  <c r="Z7" i="22"/>
  <c r="Y7" i="22"/>
  <c r="Y8" i="22"/>
  <c r="Y10" i="22" s="1"/>
  <c r="X8" i="22"/>
  <c r="X10" i="22" s="1"/>
  <c r="X7" i="22"/>
  <c r="W7" i="22"/>
  <c r="W8" i="22"/>
  <c r="W10" i="22" s="1"/>
  <c r="X222" i="42" l="1"/>
  <c r="X234" i="42" s="1"/>
  <c r="W222" i="42"/>
  <c r="W234" i="42" s="1"/>
  <c r="Z678" i="24"/>
  <c r="Y217" i="42"/>
  <c r="N45" i="48" s="1"/>
  <c r="Z682" i="24"/>
  <c r="Z681" i="24" s="1"/>
  <c r="Y232" i="42"/>
  <c r="N42" i="48"/>
  <c r="Z677" i="24"/>
  <c r="Z680" i="24" s="1"/>
  <c r="Y212" i="42"/>
  <c r="V232" i="42"/>
  <c r="X678" i="24"/>
  <c r="X682" i="24"/>
  <c r="X681" i="24" s="1"/>
  <c r="N204" i="48"/>
  <c r="N190" i="48"/>
  <c r="N205" i="48"/>
  <c r="N191" i="48"/>
  <c r="Y677" i="24"/>
  <c r="Y678" i="24"/>
  <c r="Y682" i="24"/>
  <c r="Y681" i="24" s="1"/>
  <c r="X677" i="24"/>
  <c r="N189" i="48"/>
  <c r="N203" i="48"/>
  <c r="Z212" i="42"/>
  <c r="V217" i="42"/>
  <c r="W678" i="24"/>
  <c r="V212" i="42"/>
  <c r="W677" i="24"/>
  <c r="Z217" i="42"/>
  <c r="AA678" i="24"/>
  <c r="AA680" i="24" s="1"/>
  <c r="Z232" i="42"/>
  <c r="AA682" i="24"/>
  <c r="AA681" i="24" s="1"/>
  <c r="Y520" i="22"/>
  <c r="X176" i="42" s="1"/>
  <c r="X174" i="42" s="1"/>
  <c r="AA506" i="22"/>
  <c r="Z175" i="42" s="1"/>
  <c r="Z520" i="22"/>
  <c r="Y176" i="42" s="1"/>
  <c r="Y174" i="42" s="1"/>
  <c r="W520" i="22"/>
  <c r="V176" i="42" s="1"/>
  <c r="AA520" i="22"/>
  <c r="Z176" i="42" s="1"/>
  <c r="X520" i="22"/>
  <c r="W176" i="42" s="1"/>
  <c r="W174" i="42" s="1"/>
  <c r="W4" i="22"/>
  <c r="AA4" i="22"/>
  <c r="Z4" i="22"/>
  <c r="Y4" i="22"/>
  <c r="X4" i="22"/>
  <c r="X680" i="24" l="1"/>
  <c r="X236" i="42"/>
  <c r="W236" i="42"/>
  <c r="Y680" i="24"/>
  <c r="Y222" i="42"/>
  <c r="N46" i="48"/>
  <c r="N206" i="48"/>
  <c r="N192" i="48"/>
  <c r="N193" i="48"/>
  <c r="N207" i="48"/>
  <c r="N209" i="48"/>
  <c r="N195" i="48"/>
  <c r="O189" i="48" s="1"/>
  <c r="W355" i="42"/>
  <c r="W680" i="24"/>
  <c r="P4" i="42"/>
  <c r="P3" i="42"/>
  <c r="J2" i="48" s="1"/>
  <c r="P2" i="42"/>
  <c r="J6" i="52" s="1"/>
  <c r="P1" i="42"/>
  <c r="J5" i="52" s="1"/>
  <c r="P368" i="42"/>
  <c r="H123" i="67" s="1"/>
  <c r="P351" i="42"/>
  <c r="J97" i="52" s="1"/>
  <c r="P346" i="42"/>
  <c r="H178" i="53" s="1"/>
  <c r="P307" i="42"/>
  <c r="P306" i="42"/>
  <c r="J235" i="48"/>
  <c r="J234" i="48"/>
  <c r="P291" i="42"/>
  <c r="P290" i="42"/>
  <c r="P288" i="42"/>
  <c r="P287" i="42"/>
  <c r="P281" i="42"/>
  <c r="P280" i="42"/>
  <c r="H89" i="60" s="1"/>
  <c r="P278" i="42"/>
  <c r="P277" i="42"/>
  <c r="P275" i="42"/>
  <c r="P274" i="42"/>
  <c r="P273" i="42"/>
  <c r="P272" i="42"/>
  <c r="P271" i="42"/>
  <c r="P267" i="42"/>
  <c r="P262" i="42"/>
  <c r="P250" i="42"/>
  <c r="P249" i="42"/>
  <c r="P248" i="42"/>
  <c r="P247" i="42"/>
  <c r="P244" i="42"/>
  <c r="P243" i="42"/>
  <c r="P242" i="42"/>
  <c r="P241" i="42"/>
  <c r="P240" i="42"/>
  <c r="P230" i="42"/>
  <c r="H93" i="53" s="1"/>
  <c r="P229" i="42"/>
  <c r="H92" i="53" s="1"/>
  <c r="P228" i="42"/>
  <c r="P226" i="42"/>
  <c r="P224" i="42"/>
  <c r="P209" i="42"/>
  <c r="P204" i="42"/>
  <c r="P203" i="42"/>
  <c r="J180" i="48" s="1"/>
  <c r="P202" i="42"/>
  <c r="P200" i="42"/>
  <c r="J182" i="48" s="1"/>
  <c r="P197" i="42"/>
  <c r="J176" i="48" s="1"/>
  <c r="P195" i="42"/>
  <c r="J177" i="48" s="1"/>
  <c r="P191" i="42"/>
  <c r="P189" i="42"/>
  <c r="P178" i="42"/>
  <c r="P139" i="42"/>
  <c r="P137" i="42"/>
  <c r="P136" i="42"/>
  <c r="J149" i="48" s="1"/>
  <c r="P135" i="42"/>
  <c r="P134" i="42"/>
  <c r="P133" i="42"/>
  <c r="P130" i="42"/>
  <c r="P129" i="42"/>
  <c r="P128" i="42"/>
  <c r="P123" i="42"/>
  <c r="P122" i="42"/>
  <c r="P121" i="42"/>
  <c r="P120" i="42"/>
  <c r="P119" i="42"/>
  <c r="P118" i="42"/>
  <c r="P117" i="42"/>
  <c r="P116" i="42"/>
  <c r="J143" i="48" s="1"/>
  <c r="AF143" i="48" s="1"/>
  <c r="P115" i="42"/>
  <c r="H131" i="53" s="1"/>
  <c r="P114" i="42"/>
  <c r="P113" i="42"/>
  <c r="P111" i="42"/>
  <c r="P110" i="42"/>
  <c r="P109" i="42"/>
  <c r="P108" i="42"/>
  <c r="P107" i="42"/>
  <c r="P106" i="42"/>
  <c r="P105" i="42"/>
  <c r="P104" i="42"/>
  <c r="P101" i="42"/>
  <c r="P99" i="42"/>
  <c r="P97" i="42"/>
  <c r="P96" i="42"/>
  <c r="P94" i="42"/>
  <c r="P93" i="42"/>
  <c r="P84" i="42"/>
  <c r="P68" i="42"/>
  <c r="P67" i="42"/>
  <c r="P66" i="42"/>
  <c r="P166" i="42"/>
  <c r="P164" i="42"/>
  <c r="G205" i="53" s="1"/>
  <c r="P163" i="42"/>
  <c r="P161" i="42"/>
  <c r="P157" i="42"/>
  <c r="P144" i="42"/>
  <c r="P156" i="42"/>
  <c r="P155" i="42"/>
  <c r="J282" i="48" s="1"/>
  <c r="P154" i="42"/>
  <c r="J281" i="48" s="1"/>
  <c r="P152" i="42"/>
  <c r="P151" i="42"/>
  <c r="G203" i="53" s="1"/>
  <c r="P150" i="42"/>
  <c r="G195" i="53" s="1"/>
  <c r="P149" i="42"/>
  <c r="G200" i="53" s="1"/>
  <c r="P82" i="42"/>
  <c r="P81" i="42"/>
  <c r="P80" i="42"/>
  <c r="P79" i="42"/>
  <c r="J168" i="48" s="1"/>
  <c r="P78" i="42"/>
  <c r="P77" i="42"/>
  <c r="P76" i="42"/>
  <c r="P75" i="42"/>
  <c r="P74" i="42"/>
  <c r="P72" i="42"/>
  <c r="Z26" i="42"/>
  <c r="P26" i="42" s="1"/>
  <c r="P25" i="42"/>
  <c r="P254" i="42"/>
  <c r="P363" i="42"/>
  <c r="J106" i="52" s="1"/>
  <c r="O4" i="42"/>
  <c r="O3" i="42"/>
  <c r="O2" i="42"/>
  <c r="O1" i="42"/>
  <c r="N363" i="42"/>
  <c r="N348" i="42"/>
  <c r="F124" i="67" s="1"/>
  <c r="N365" i="42"/>
  <c r="N349" i="42" s="1"/>
  <c r="F212" i="53" s="1"/>
  <c r="N341" i="42"/>
  <c r="N30" i="42"/>
  <c r="N26" i="42"/>
  <c r="H303" i="48"/>
  <c r="O15" i="42"/>
  <c r="O16" i="42"/>
  <c r="I117" i="48"/>
  <c r="O19" i="42"/>
  <c r="O20" i="42"/>
  <c r="O22" i="42"/>
  <c r="O23" i="42"/>
  <c r="O35" i="42"/>
  <c r="O159" i="42"/>
  <c r="F202" i="53" s="1"/>
  <c r="P298" i="42"/>
  <c r="P297" i="42"/>
  <c r="P296" i="42"/>
  <c r="P279" i="42"/>
  <c r="P100" i="42"/>
  <c r="P159" i="42"/>
  <c r="P35" i="42"/>
  <c r="I248" i="48"/>
  <c r="P23" i="42"/>
  <c r="J85" i="52" s="1"/>
  <c r="P22" i="42"/>
  <c r="J84" i="52" s="1"/>
  <c r="P20" i="42"/>
  <c r="J82" i="52" s="1"/>
  <c r="P18" i="42"/>
  <c r="H81" i="53" s="1"/>
  <c r="H82" i="53" s="1"/>
  <c r="J68" i="52"/>
  <c r="J65" i="52"/>
  <c r="J67" i="52"/>
  <c r="P17" i="42"/>
  <c r="H114" i="67" s="1"/>
  <c r="L114" i="67" s="1"/>
  <c r="J244" i="48"/>
  <c r="AF244" i="48" s="1"/>
  <c r="J241" i="48"/>
  <c r="AF241" i="48" s="1"/>
  <c r="P16" i="42"/>
  <c r="P15" i="42"/>
  <c r="J11" i="52"/>
  <c r="J10" i="52"/>
  <c r="P11" i="42"/>
  <c r="P10" i="42"/>
  <c r="H86" i="60" l="1"/>
  <c r="J78" i="48"/>
  <c r="H88" i="60"/>
  <c r="J79" i="48"/>
  <c r="H87" i="60"/>
  <c r="H17" i="60" s="1"/>
  <c r="J15" i="48"/>
  <c r="H85" i="60"/>
  <c r="H171" i="60" s="1"/>
  <c r="J77" i="48"/>
  <c r="H172" i="60"/>
  <c r="I172" i="60"/>
  <c r="H180" i="53"/>
  <c r="H120" i="67"/>
  <c r="L120" i="67" s="1"/>
  <c r="K120" i="67" s="1"/>
  <c r="F19" i="67" s="1"/>
  <c r="R17" i="60" s="1"/>
  <c r="H179" i="53"/>
  <c r="H125" i="67"/>
  <c r="L125" i="67" s="1"/>
  <c r="K125" i="67" s="1"/>
  <c r="H123" i="53"/>
  <c r="H41" i="53"/>
  <c r="G206" i="53"/>
  <c r="H42" i="53"/>
  <c r="H167" i="53"/>
  <c r="G41" i="53"/>
  <c r="G123" i="53"/>
  <c r="J144" i="48"/>
  <c r="AF144" i="48" s="1"/>
  <c r="H117" i="53"/>
  <c r="H118" i="53"/>
  <c r="G144" i="53"/>
  <c r="J146" i="48"/>
  <c r="AF146" i="48" s="1"/>
  <c r="H121" i="53"/>
  <c r="G141" i="53"/>
  <c r="H119" i="53"/>
  <c r="J19" i="52"/>
  <c r="G202" i="53"/>
  <c r="H120" i="53"/>
  <c r="G142" i="53"/>
  <c r="J46" i="52"/>
  <c r="H181" i="53"/>
  <c r="J20" i="52"/>
  <c r="G196" i="53"/>
  <c r="J272" i="48"/>
  <c r="AF272" i="48" s="1"/>
  <c r="G204" i="53"/>
  <c r="J124" i="48"/>
  <c r="K127" i="48" s="1"/>
  <c r="H34" i="53"/>
  <c r="H17" i="48"/>
  <c r="F211" i="53"/>
  <c r="J254" i="48"/>
  <c r="H176" i="53"/>
  <c r="J45" i="52"/>
  <c r="M45" i="52" s="1"/>
  <c r="H177" i="53"/>
  <c r="J253" i="48"/>
  <c r="H175" i="53"/>
  <c r="J66" i="52"/>
  <c r="H73" i="53"/>
  <c r="H79" i="53"/>
  <c r="H95" i="53"/>
  <c r="AC367" i="42"/>
  <c r="AD367" i="42"/>
  <c r="Q367" i="42" s="1"/>
  <c r="K100" i="52" s="1"/>
  <c r="X363" i="42"/>
  <c r="Y363" i="42"/>
  <c r="X361" i="42"/>
  <c r="Y361" i="42"/>
  <c r="Y355" i="42"/>
  <c r="N52" i="48" s="1"/>
  <c r="Y236" i="42"/>
  <c r="Y234" i="42"/>
  <c r="J87" i="48"/>
  <c r="AB367" i="42"/>
  <c r="AA367" i="42"/>
  <c r="X355" i="42"/>
  <c r="N213" i="48"/>
  <c r="O195" i="48"/>
  <c r="O192" i="48"/>
  <c r="O191" i="48"/>
  <c r="O193" i="48"/>
  <c r="O194" i="48"/>
  <c r="O190" i="48"/>
  <c r="W361" i="42"/>
  <c r="W363" i="42"/>
  <c r="K106" i="52"/>
  <c r="J299" i="48"/>
  <c r="J91" i="48"/>
  <c r="J61" i="52"/>
  <c r="J60" i="52"/>
  <c r="J75" i="52"/>
  <c r="J77" i="52" s="1"/>
  <c r="J116" i="48"/>
  <c r="J117" i="48"/>
  <c r="Z361" i="42"/>
  <c r="P361" i="42" s="1"/>
  <c r="J104" i="52" s="1"/>
  <c r="AF180" i="48"/>
  <c r="J165" i="48"/>
  <c r="J99" i="48"/>
  <c r="I116" i="48"/>
  <c r="J250" i="48"/>
  <c r="H73" i="64"/>
  <c r="H74" i="60"/>
  <c r="H73" i="65"/>
  <c r="G73" i="64"/>
  <c r="G73" i="65"/>
  <c r="G74" i="60"/>
  <c r="J293" i="48"/>
  <c r="J265" i="48"/>
  <c r="AF265" i="48" s="1"/>
  <c r="J278" i="48"/>
  <c r="J18" i="52"/>
  <c r="J252" i="48"/>
  <c r="AF177" i="48"/>
  <c r="AF176" i="48"/>
  <c r="AF182" i="48"/>
  <c r="AF149" i="48"/>
  <c r="J147" i="48"/>
  <c r="AF147" i="48" s="1"/>
  <c r="H14" i="48"/>
  <c r="H46" i="52"/>
  <c r="J185" i="48"/>
  <c r="J64" i="52"/>
  <c r="J271" i="48"/>
  <c r="AF271" i="48" s="1"/>
  <c r="J21" i="52"/>
  <c r="J269" i="48"/>
  <c r="AF269" i="48" s="1"/>
  <c r="F59" i="65"/>
  <c r="G72" i="65" s="1"/>
  <c r="G155" i="65" s="1"/>
  <c r="F59" i="64"/>
  <c r="G72" i="64" s="1"/>
  <c r="G155" i="64" s="1"/>
  <c r="F60" i="60"/>
  <c r="F79" i="65"/>
  <c r="F79" i="64"/>
  <c r="F80" i="60"/>
  <c r="G27" i="60"/>
  <c r="G26" i="65"/>
  <c r="G26" i="64"/>
  <c r="G34" i="60"/>
  <c r="G33" i="65"/>
  <c r="G85" i="65" s="1"/>
  <c r="G33" i="64"/>
  <c r="G30" i="65"/>
  <c r="G30" i="64"/>
  <c r="J83" i="48"/>
  <c r="H86" i="64"/>
  <c r="H86" i="65"/>
  <c r="H92" i="60"/>
  <c r="H89" i="64"/>
  <c r="H16" i="64" s="1"/>
  <c r="H89" i="65"/>
  <c r="H16" i="65" s="1"/>
  <c r="H95" i="60"/>
  <c r="H28" i="64"/>
  <c r="H28" i="65"/>
  <c r="J23" i="52"/>
  <c r="H30" i="64"/>
  <c r="H30" i="65"/>
  <c r="J256" i="48"/>
  <c r="H91" i="64"/>
  <c r="I91" i="64" s="1"/>
  <c r="H91" i="65"/>
  <c r="I91" i="65" s="1"/>
  <c r="J91" i="65" s="1"/>
  <c r="K91" i="65" s="1"/>
  <c r="L91" i="65" s="1"/>
  <c r="H97" i="60"/>
  <c r="H27" i="60"/>
  <c r="D5" i="66" s="1"/>
  <c r="H26" i="65"/>
  <c r="H26" i="64"/>
  <c r="J13" i="52"/>
  <c r="J12" i="52" s="1"/>
  <c r="H34" i="60"/>
  <c r="J27" i="52"/>
  <c r="H33" i="65"/>
  <c r="H33" i="64"/>
  <c r="H92" i="64"/>
  <c r="H92" i="65"/>
  <c r="H98" i="60"/>
  <c r="H28" i="60"/>
  <c r="H27" i="64"/>
  <c r="H27" i="65"/>
  <c r="H55" i="60"/>
  <c r="H54" i="64"/>
  <c r="H54" i="65"/>
  <c r="J74" i="52"/>
  <c r="J82" i="48"/>
  <c r="H84" i="65"/>
  <c r="H84" i="64"/>
  <c r="H90" i="60"/>
  <c r="H94" i="65"/>
  <c r="H94" i="64"/>
  <c r="H100" i="60"/>
  <c r="J1" i="48"/>
  <c r="AF1" i="48" s="1"/>
  <c r="J7" i="52"/>
  <c r="H31" i="60"/>
  <c r="J145" i="48"/>
  <c r="H29" i="60"/>
  <c r="I148" i="60" s="1"/>
  <c r="G31" i="60"/>
  <c r="N367" i="42"/>
  <c r="H9" i="48"/>
  <c r="I11" i="48"/>
  <c r="I23" i="48"/>
  <c r="I10" i="48"/>
  <c r="I22" i="48"/>
  <c r="J270" i="48"/>
  <c r="AF270" i="48" s="1"/>
  <c r="J10" i="48"/>
  <c r="J22" i="48"/>
  <c r="J11" i="48"/>
  <c r="J23" i="48"/>
  <c r="I50" i="48"/>
  <c r="I8" i="48"/>
  <c r="J50" i="48"/>
  <c r="J8" i="48"/>
  <c r="S118" i="55"/>
  <c r="J14" i="48"/>
  <c r="J260" i="48"/>
  <c r="J294" i="48"/>
  <c r="AF163" i="48"/>
  <c r="AG163" i="48" s="1"/>
  <c r="J142" i="48"/>
  <c r="AF142" i="48" s="1"/>
  <c r="J161" i="48"/>
  <c r="AF161" i="48" s="1"/>
  <c r="J285" i="48"/>
  <c r="J102" i="48"/>
  <c r="J255" i="48"/>
  <c r="J231" i="48"/>
  <c r="J246" i="48"/>
  <c r="AF246" i="48" s="1"/>
  <c r="J275" i="48"/>
  <c r="AF275" i="48" s="1"/>
  <c r="J49" i="48"/>
  <c r="J210" i="48"/>
  <c r="J80" i="48"/>
  <c r="J258" i="48"/>
  <c r="J103" i="48"/>
  <c r="J286" i="48"/>
  <c r="Z245" i="42"/>
  <c r="P245" i="42" s="1"/>
  <c r="N88" i="42"/>
  <c r="F129" i="53" s="1"/>
  <c r="N90" i="42"/>
  <c r="F133" i="53" s="1"/>
  <c r="P192" i="42"/>
  <c r="H44" i="53" s="1"/>
  <c r="P57" i="42"/>
  <c r="AD352" i="42" s="1"/>
  <c r="Q352" i="42" s="1"/>
  <c r="I116" i="67" s="1"/>
  <c r="N69" i="42"/>
  <c r="Z299" i="42"/>
  <c r="Z365" i="42" s="1"/>
  <c r="Z349" i="42" s="1"/>
  <c r="P58" i="42"/>
  <c r="AD353" i="42" s="1"/>
  <c r="Q353" i="42" s="1"/>
  <c r="P140" i="42"/>
  <c r="J170" i="48" s="1"/>
  <c r="Z301" i="42"/>
  <c r="P301" i="42" s="1"/>
  <c r="J233" i="48" s="1"/>
  <c r="N245" i="42"/>
  <c r="N89" i="42"/>
  <c r="F132" i="53" s="1"/>
  <c r="N207" i="42"/>
  <c r="Z89" i="42"/>
  <c r="P89" i="42" s="1"/>
  <c r="Z348" i="42"/>
  <c r="P348" i="42" s="1"/>
  <c r="Z71" i="42"/>
  <c r="P71" i="42" s="1"/>
  <c r="P73" i="42"/>
  <c r="J167" i="48" s="1"/>
  <c r="Z86" i="42"/>
  <c r="P86" i="42" s="1"/>
  <c r="P95" i="42"/>
  <c r="P199" i="42"/>
  <c r="J181" i="48" s="1"/>
  <c r="P146" i="42"/>
  <c r="G198" i="53" s="1"/>
  <c r="P358" i="42"/>
  <c r="P350" i="42"/>
  <c r="J51" i="52" s="1"/>
  <c r="Z207" i="42"/>
  <c r="P207" i="42" s="1"/>
  <c r="P208" i="42"/>
  <c r="P263" i="42"/>
  <c r="Z292" i="42"/>
  <c r="P289" i="42"/>
  <c r="P103" i="42"/>
  <c r="P87" i="42"/>
  <c r="P98" i="42"/>
  <c r="P295" i="42"/>
  <c r="Z90" i="42"/>
  <c r="P90" i="42" s="1"/>
  <c r="H133" i="53" s="1"/>
  <c r="P309" i="42"/>
  <c r="N239" i="42"/>
  <c r="P359" i="42"/>
  <c r="N131" i="42"/>
  <c r="P246" i="42"/>
  <c r="N71" i="42"/>
  <c r="N86" i="42"/>
  <c r="P193" i="42"/>
  <c r="Z347" i="42"/>
  <c r="P347" i="42" s="1"/>
  <c r="J44" i="52" s="1"/>
  <c r="P88" i="42"/>
  <c r="H129" i="53" s="1"/>
  <c r="P269" i="42"/>
  <c r="H149" i="53" s="1"/>
  <c r="Z30" i="42"/>
  <c r="P30" i="42" s="1"/>
  <c r="Z69" i="42"/>
  <c r="P69" i="42" s="1"/>
  <c r="Z366" i="42"/>
  <c r="P148" i="42"/>
  <c r="G199" i="53" s="1"/>
  <c r="P310" i="42"/>
  <c r="Z131" i="42"/>
  <c r="P131" i="42" s="1"/>
  <c r="P142" i="42"/>
  <c r="G193" i="53" s="1"/>
  <c r="Z239" i="42"/>
  <c r="P194" i="42"/>
  <c r="J175" i="48" s="1"/>
  <c r="N345" i="42"/>
  <c r="N343" i="42"/>
  <c r="N340" i="42"/>
  <c r="N342" i="42"/>
  <c r="N29" i="42"/>
  <c r="I171" i="60" l="1"/>
  <c r="E27" i="59"/>
  <c r="H9" i="60"/>
  <c r="D27" i="59"/>
  <c r="G9" i="60"/>
  <c r="H211" i="53"/>
  <c r="H124" i="67"/>
  <c r="I19" i="67"/>
  <c r="G19" i="67"/>
  <c r="F153" i="53"/>
  <c r="F118" i="67"/>
  <c r="AG144" i="48"/>
  <c r="H128" i="53"/>
  <c r="H115" i="53"/>
  <c r="G143" i="53"/>
  <c r="F128" i="53"/>
  <c r="F134" i="53" s="1"/>
  <c r="F115" i="53"/>
  <c r="H122" i="53"/>
  <c r="I66" i="60"/>
  <c r="I85" i="53"/>
  <c r="T106" i="55"/>
  <c r="D26" i="59"/>
  <c r="C5" i="66"/>
  <c r="G207" i="53"/>
  <c r="J196" i="53" s="1"/>
  <c r="J156" i="48"/>
  <c r="AF156" i="48" s="1"/>
  <c r="AG156" i="48" s="1"/>
  <c r="H130" i="53"/>
  <c r="H116" i="53"/>
  <c r="J160" i="48"/>
  <c r="AF160" i="48" s="1"/>
  <c r="AG160" i="48" s="1"/>
  <c r="H132" i="53"/>
  <c r="J26" i="48"/>
  <c r="H35" i="53"/>
  <c r="H66" i="48"/>
  <c r="F152" i="53"/>
  <c r="AF178" i="48"/>
  <c r="H46" i="53"/>
  <c r="I67" i="60"/>
  <c r="I86" i="53"/>
  <c r="I40" i="60"/>
  <c r="I147" i="60"/>
  <c r="I167" i="60"/>
  <c r="I99" i="60"/>
  <c r="F20" i="59" s="1"/>
  <c r="I101" i="60"/>
  <c r="F21" i="59" s="1"/>
  <c r="I168" i="60"/>
  <c r="I146" i="60"/>
  <c r="F11" i="59" s="1"/>
  <c r="E30" i="59"/>
  <c r="I159" i="60"/>
  <c r="F12" i="59" s="1"/>
  <c r="J141" i="48"/>
  <c r="AF141" i="48" s="1"/>
  <c r="AG141" i="48" s="1"/>
  <c r="AC353" i="42"/>
  <c r="Y353" i="42"/>
  <c r="AB352" i="42"/>
  <c r="AC352" i="42"/>
  <c r="AB353" i="42"/>
  <c r="X353" i="42"/>
  <c r="K104" i="52"/>
  <c r="H141" i="48"/>
  <c r="AB141" i="48" s="1"/>
  <c r="J169" i="48"/>
  <c r="J166" i="48"/>
  <c r="AA353" i="42"/>
  <c r="W353" i="42"/>
  <c r="AA352" i="42"/>
  <c r="J63" i="52"/>
  <c r="P299" i="42"/>
  <c r="Z300" i="42"/>
  <c r="P300" i="42" s="1"/>
  <c r="J306" i="48" s="1"/>
  <c r="AF145" i="48"/>
  <c r="AG145" i="48" s="1"/>
  <c r="H67" i="48"/>
  <c r="N344" i="42"/>
  <c r="J263" i="48"/>
  <c r="AF263" i="48" s="1"/>
  <c r="J291" i="48"/>
  <c r="J264" i="48"/>
  <c r="AF264" i="48" s="1"/>
  <c r="J292" i="48"/>
  <c r="J16" i="52"/>
  <c r="AG246" i="48"/>
  <c r="AG243" i="48"/>
  <c r="AG245" i="48"/>
  <c r="AG242" i="48"/>
  <c r="AG244" i="48"/>
  <c r="AF185" i="48"/>
  <c r="AF175" i="48"/>
  <c r="AF181" i="48"/>
  <c r="AB183" i="48"/>
  <c r="J159" i="48"/>
  <c r="AF159" i="48" s="1"/>
  <c r="AG159" i="48" s="1"/>
  <c r="AB178" i="48"/>
  <c r="AG142" i="48"/>
  <c r="AG147" i="48"/>
  <c r="AG143" i="48"/>
  <c r="AG146" i="48"/>
  <c r="AG241" i="48"/>
  <c r="AG161" i="48"/>
  <c r="AG149" i="48"/>
  <c r="AG138" i="48"/>
  <c r="AG139" i="48"/>
  <c r="J148" i="48"/>
  <c r="AF148" i="48" s="1"/>
  <c r="AG148" i="48" s="1"/>
  <c r="J158" i="48"/>
  <c r="J125" i="48"/>
  <c r="K128" i="48" s="1"/>
  <c r="J112" i="48"/>
  <c r="H15" i="52"/>
  <c r="P143" i="42"/>
  <c r="C32" i="59"/>
  <c r="B71" i="59" s="1"/>
  <c r="G73" i="60"/>
  <c r="G161" i="60" s="1"/>
  <c r="H93" i="60"/>
  <c r="H85" i="65"/>
  <c r="H159" i="65" s="1"/>
  <c r="H130" i="60"/>
  <c r="I131" i="60" s="1"/>
  <c r="H146" i="60"/>
  <c r="E11" i="59" s="1"/>
  <c r="H35" i="60"/>
  <c r="H36" i="60"/>
  <c r="H85" i="64"/>
  <c r="H159" i="64" s="1"/>
  <c r="H104" i="60"/>
  <c r="H17" i="64"/>
  <c r="H140" i="64"/>
  <c r="H35" i="64"/>
  <c r="C140" i="64"/>
  <c r="I26" i="64"/>
  <c r="H79" i="65"/>
  <c r="H79" i="64"/>
  <c r="H80" i="60"/>
  <c r="I83" i="60" s="1"/>
  <c r="C162" i="65"/>
  <c r="I94" i="65"/>
  <c r="H98" i="64"/>
  <c r="H19" i="64" s="1"/>
  <c r="C161" i="64"/>
  <c r="I92" i="64"/>
  <c r="J91" i="64"/>
  <c r="K91" i="64" s="1"/>
  <c r="H88" i="64"/>
  <c r="H87" i="64"/>
  <c r="H160" i="64" s="1"/>
  <c r="H90" i="64"/>
  <c r="I27" i="64"/>
  <c r="H124" i="64"/>
  <c r="H128" i="64"/>
  <c r="H34" i="64"/>
  <c r="H29" i="64"/>
  <c r="I28" i="64"/>
  <c r="J28" i="64" s="1"/>
  <c r="K28" i="64" s="1"/>
  <c r="F84" i="60"/>
  <c r="F15" i="60"/>
  <c r="C38" i="59" s="1"/>
  <c r="J12" i="48"/>
  <c r="J30" i="52"/>
  <c r="G93" i="60"/>
  <c r="C8" i="66" s="1"/>
  <c r="H88" i="65"/>
  <c r="H90" i="65"/>
  <c r="E39" i="59"/>
  <c r="D72" i="59" s="1"/>
  <c r="D88" i="59" s="1"/>
  <c r="F83" i="64"/>
  <c r="F13" i="64" s="1"/>
  <c r="F14" i="64"/>
  <c r="H77" i="65"/>
  <c r="H77" i="64"/>
  <c r="H78" i="60"/>
  <c r="I82" i="60" s="1"/>
  <c r="C162" i="64"/>
  <c r="I94" i="64"/>
  <c r="H98" i="65"/>
  <c r="H19" i="65" s="1"/>
  <c r="C161" i="65"/>
  <c r="I92" i="65"/>
  <c r="H140" i="65"/>
  <c r="H17" i="65"/>
  <c r="C140" i="65"/>
  <c r="H29" i="65"/>
  <c r="H35" i="65"/>
  <c r="I26" i="65"/>
  <c r="H87" i="65"/>
  <c r="H160" i="65" s="1"/>
  <c r="H114" i="65"/>
  <c r="H114" i="64"/>
  <c r="H120" i="60"/>
  <c r="H119" i="60" s="1"/>
  <c r="E26" i="59"/>
  <c r="D69" i="59" s="1"/>
  <c r="D85" i="59" s="1"/>
  <c r="G140" i="65"/>
  <c r="G17" i="65"/>
  <c r="G87" i="65"/>
  <c r="H94" i="60"/>
  <c r="H18" i="60" s="1"/>
  <c r="H96" i="60"/>
  <c r="I27" i="65"/>
  <c r="H128" i="65"/>
  <c r="H34" i="65"/>
  <c r="H124" i="65"/>
  <c r="I28" i="65"/>
  <c r="J28" i="65" s="1"/>
  <c r="K28" i="65" s="1"/>
  <c r="F33" i="60"/>
  <c r="F39" i="60" s="1"/>
  <c r="F32" i="64"/>
  <c r="F32" i="65"/>
  <c r="H32" i="65"/>
  <c r="H32" i="64"/>
  <c r="J17" i="48"/>
  <c r="J49" i="52"/>
  <c r="G146" i="60"/>
  <c r="D11" i="59" s="1"/>
  <c r="J38" i="52"/>
  <c r="J62" i="52"/>
  <c r="G85" i="64"/>
  <c r="F83" i="65"/>
  <c r="F13" i="65" s="1"/>
  <c r="F14" i="65"/>
  <c r="K97" i="60"/>
  <c r="L97" i="60" s="1"/>
  <c r="G140" i="64"/>
  <c r="G17" i="64"/>
  <c r="G87" i="64"/>
  <c r="H31" i="65"/>
  <c r="H31" i="64"/>
  <c r="G159" i="65"/>
  <c r="J266" i="48"/>
  <c r="AF266" i="48" s="1"/>
  <c r="H32" i="60"/>
  <c r="I150" i="60" s="1"/>
  <c r="J262" i="48"/>
  <c r="AF262" i="48" s="1"/>
  <c r="H33" i="60"/>
  <c r="I151" i="60" s="1"/>
  <c r="H19" i="60"/>
  <c r="E40" i="59" s="1"/>
  <c r="H91" i="60"/>
  <c r="H165" i="60" s="1"/>
  <c r="G19" i="60"/>
  <c r="D40" i="59" s="1"/>
  <c r="G91" i="60"/>
  <c r="K28" i="60"/>
  <c r="J130" i="60"/>
  <c r="J129" i="60" s="1"/>
  <c r="H134" i="60"/>
  <c r="I135" i="60" s="1"/>
  <c r="C69" i="59"/>
  <c r="C85" i="59" s="1"/>
  <c r="H30" i="60"/>
  <c r="K29" i="60"/>
  <c r="L29" i="60" s="1"/>
  <c r="J290" i="48"/>
  <c r="J107" i="48"/>
  <c r="J97" i="48"/>
  <c r="J289" i="48"/>
  <c r="J64" i="48"/>
  <c r="J227" i="48"/>
  <c r="Z345" i="42"/>
  <c r="J172" i="48"/>
  <c r="J130" i="48"/>
  <c r="S117" i="55"/>
  <c r="J257" i="48"/>
  <c r="J140" i="48"/>
  <c r="AF140" i="48" s="1"/>
  <c r="AG140" i="48" s="1"/>
  <c r="J157" i="48"/>
  <c r="J131" i="48"/>
  <c r="J174" i="48"/>
  <c r="S120" i="55"/>
  <c r="J94" i="48"/>
  <c r="J284" i="48"/>
  <c r="J90" i="48"/>
  <c r="N168" i="42"/>
  <c r="Z340" i="42"/>
  <c r="P340" i="42" s="1"/>
  <c r="H118" i="67" s="1"/>
  <c r="Z343" i="42"/>
  <c r="P343" i="42" s="1"/>
  <c r="N238" i="42"/>
  <c r="P198" i="42"/>
  <c r="Z293" i="42"/>
  <c r="P292" i="42"/>
  <c r="H151" i="53" s="1"/>
  <c r="Z341" i="42"/>
  <c r="P341" i="42" s="1"/>
  <c r="Z238" i="42"/>
  <c r="P239" i="42"/>
  <c r="P162" i="42"/>
  <c r="H166" i="60" l="1"/>
  <c r="D8" i="66"/>
  <c r="H68" i="48"/>
  <c r="F119" i="67"/>
  <c r="C166" i="60"/>
  <c r="J197" i="53"/>
  <c r="J207" i="53"/>
  <c r="J206" i="53"/>
  <c r="J201" i="53"/>
  <c r="J205" i="53"/>
  <c r="J203" i="53"/>
  <c r="J195" i="53"/>
  <c r="J200" i="53"/>
  <c r="J15" i="52"/>
  <c r="G194" i="53"/>
  <c r="J194" i="53" s="1"/>
  <c r="J202" i="53"/>
  <c r="I11" i="60"/>
  <c r="E10" i="66"/>
  <c r="B35" i="66" s="1"/>
  <c r="F35" i="59"/>
  <c r="E79" i="59" s="1"/>
  <c r="H134" i="53"/>
  <c r="J199" i="53"/>
  <c r="J198" i="53"/>
  <c r="J193" i="53"/>
  <c r="J204" i="53"/>
  <c r="J40" i="52"/>
  <c r="H153" i="53"/>
  <c r="J66" i="48"/>
  <c r="H152" i="53"/>
  <c r="J18" i="48"/>
  <c r="H213" i="53"/>
  <c r="AF183" i="48"/>
  <c r="AG183" i="48" s="1"/>
  <c r="H45" i="53"/>
  <c r="N360" i="42"/>
  <c r="H48" i="48" s="1"/>
  <c r="F80" i="53"/>
  <c r="I22" i="60"/>
  <c r="F36" i="59"/>
  <c r="I156" i="60"/>
  <c r="F14" i="59"/>
  <c r="I155" i="60"/>
  <c r="F13" i="59"/>
  <c r="I158" i="60"/>
  <c r="F18" i="59"/>
  <c r="G165" i="60"/>
  <c r="C165" i="60"/>
  <c r="I164" i="60"/>
  <c r="H102" i="60"/>
  <c r="D9" i="66" s="1"/>
  <c r="J95" i="52"/>
  <c r="H96" i="65"/>
  <c r="H99" i="65" s="1"/>
  <c r="H20" i="65" s="1"/>
  <c r="J288" i="48"/>
  <c r="H96" i="64"/>
  <c r="H99" i="64" s="1"/>
  <c r="H20" i="64" s="1"/>
  <c r="J237" i="48"/>
  <c r="J238" i="48" s="1"/>
  <c r="J70" i="48"/>
  <c r="J105" i="48"/>
  <c r="J305" i="48"/>
  <c r="J31" i="52"/>
  <c r="J32" i="48"/>
  <c r="J33" i="48" s="1"/>
  <c r="Z360" i="42"/>
  <c r="AG185" i="48"/>
  <c r="AG180" i="48"/>
  <c r="P345" i="42"/>
  <c r="J67" i="48" s="1"/>
  <c r="Z344" i="42"/>
  <c r="P344" i="42" s="1"/>
  <c r="J41" i="52"/>
  <c r="J22" i="52"/>
  <c r="J274" i="48"/>
  <c r="AF274" i="48" s="1"/>
  <c r="AG178" i="48"/>
  <c r="AG175" i="48"/>
  <c r="AG181" i="48"/>
  <c r="AG177" i="48"/>
  <c r="AG182" i="48"/>
  <c r="AG176" i="48"/>
  <c r="AF172" i="48"/>
  <c r="AG172" i="48" s="1"/>
  <c r="AF174" i="48"/>
  <c r="AG174" i="48" s="1"/>
  <c r="J173" i="48"/>
  <c r="AG151" i="48"/>
  <c r="J162" i="48"/>
  <c r="AF162" i="48" s="1"/>
  <c r="AG162" i="48" s="1"/>
  <c r="AF157" i="48"/>
  <c r="AG157" i="48" s="1"/>
  <c r="AF158" i="48"/>
  <c r="AG158" i="48" s="1"/>
  <c r="J71" i="48"/>
  <c r="J47" i="52"/>
  <c r="J267" i="48"/>
  <c r="AF267" i="48" s="1"/>
  <c r="P357" i="42"/>
  <c r="Y362" i="42" s="1"/>
  <c r="D54" i="59"/>
  <c r="B56" i="59"/>
  <c r="C54" i="59"/>
  <c r="D57" i="59"/>
  <c r="J51" i="60"/>
  <c r="C159" i="65"/>
  <c r="L91" i="64"/>
  <c r="G166" i="60"/>
  <c r="M97" i="60"/>
  <c r="E10" i="59"/>
  <c r="H145" i="60"/>
  <c r="J94" i="65"/>
  <c r="I95" i="65"/>
  <c r="H38" i="65"/>
  <c r="I32" i="65"/>
  <c r="H37" i="64"/>
  <c r="I31" i="64"/>
  <c r="F38" i="65"/>
  <c r="J92" i="64"/>
  <c r="I98" i="64"/>
  <c r="I93" i="64"/>
  <c r="G160" i="65"/>
  <c r="C160" i="65"/>
  <c r="E42" i="59"/>
  <c r="D63" i="59" s="1"/>
  <c r="D78" i="59" s="1"/>
  <c r="D98" i="59" s="1"/>
  <c r="H21" i="60"/>
  <c r="B269" i="59" s="1"/>
  <c r="I98" i="65"/>
  <c r="I93" i="65"/>
  <c r="J92" i="65"/>
  <c r="C37" i="59"/>
  <c r="B73" i="59" s="1"/>
  <c r="B58" i="59" s="1"/>
  <c r="F14" i="60"/>
  <c r="B215" i="59" s="1"/>
  <c r="H75" i="60"/>
  <c r="H74" i="65"/>
  <c r="H83" i="65" s="1"/>
  <c r="H13" i="65" s="1"/>
  <c r="H74" i="64"/>
  <c r="H83" i="64" s="1"/>
  <c r="H13" i="64" s="1"/>
  <c r="H37" i="65"/>
  <c r="I31" i="65"/>
  <c r="F38" i="64"/>
  <c r="I35" i="65"/>
  <c r="I29" i="65"/>
  <c r="J26" i="65"/>
  <c r="I77" i="65"/>
  <c r="I86" i="65"/>
  <c r="M26" i="59"/>
  <c r="G69" i="59" s="1"/>
  <c r="J54" i="60"/>
  <c r="H37" i="60"/>
  <c r="H152" i="60" s="1"/>
  <c r="K100" i="60"/>
  <c r="I95" i="64"/>
  <c r="J94" i="64"/>
  <c r="H38" i="64"/>
  <c r="I32" i="64"/>
  <c r="H113" i="64"/>
  <c r="H139" i="64" s="1"/>
  <c r="G26" i="59"/>
  <c r="F69" i="59" s="1"/>
  <c r="J26" i="64"/>
  <c r="I29" i="64"/>
  <c r="I35" i="64"/>
  <c r="I77" i="64"/>
  <c r="G159" i="64"/>
  <c r="C159" i="64"/>
  <c r="H113" i="65"/>
  <c r="H139" i="65" s="1"/>
  <c r="G160" i="64"/>
  <c r="C160" i="64"/>
  <c r="H36" i="64"/>
  <c r="H146" i="64" s="1"/>
  <c r="I80" i="64"/>
  <c r="I79" i="64" s="1"/>
  <c r="I39" i="64"/>
  <c r="I124" i="64"/>
  <c r="J27" i="64"/>
  <c r="I34" i="64"/>
  <c r="I128" i="64"/>
  <c r="I124" i="65"/>
  <c r="J27" i="65"/>
  <c r="I39" i="65"/>
  <c r="I128" i="65"/>
  <c r="I34" i="65"/>
  <c r="H36" i="65"/>
  <c r="H146" i="65" s="1"/>
  <c r="I80" i="65"/>
  <c r="I53" i="65" s="1"/>
  <c r="J26" i="59"/>
  <c r="K27" i="60"/>
  <c r="K98" i="60"/>
  <c r="J104" i="60"/>
  <c r="B152" i="59"/>
  <c r="G152" i="59" s="1"/>
  <c r="C62" i="59"/>
  <c r="C77" i="59" s="1"/>
  <c r="C93" i="59" s="1"/>
  <c r="B153" i="59"/>
  <c r="G153" i="59" s="1"/>
  <c r="D62" i="59"/>
  <c r="D77" i="59" s="1"/>
  <c r="D93" i="59" s="1"/>
  <c r="H38" i="60"/>
  <c r="H39" i="60"/>
  <c r="J35" i="60"/>
  <c r="J134" i="60"/>
  <c r="K35" i="60"/>
  <c r="K130" i="60"/>
  <c r="K129" i="60" s="1"/>
  <c r="K51" i="60" s="1"/>
  <c r="L28" i="60"/>
  <c r="K40" i="60"/>
  <c r="K134" i="60"/>
  <c r="S115" i="55"/>
  <c r="J229" i="48"/>
  <c r="S114" i="55"/>
  <c r="J226" i="48"/>
  <c r="J63" i="48"/>
  <c r="J132" i="48"/>
  <c r="J179" i="48"/>
  <c r="J228" i="48"/>
  <c r="J65" i="48"/>
  <c r="J186" i="48"/>
  <c r="P365" i="42"/>
  <c r="P349" i="42"/>
  <c r="P293" i="42"/>
  <c r="Z342" i="42"/>
  <c r="P342" i="42" s="1"/>
  <c r="P238" i="42"/>
  <c r="H80" i="53" s="1"/>
  <c r="P167" i="42"/>
  <c r="J276" i="48" s="1"/>
  <c r="AF276" i="48" s="1"/>
  <c r="AG268" i="48" s="1"/>
  <c r="Z168" i="42"/>
  <c r="P168" i="42" s="1"/>
  <c r="J89" i="48" s="1"/>
  <c r="J68" i="48" l="1"/>
  <c r="H119" i="67"/>
  <c r="H35" i="66"/>
  <c r="G35" i="66"/>
  <c r="J50" i="52"/>
  <c r="H212" i="53"/>
  <c r="J223" i="48"/>
  <c r="J224" i="48" s="1"/>
  <c r="H150" i="53"/>
  <c r="E28" i="59"/>
  <c r="E41" i="59" s="1"/>
  <c r="D74" i="59" s="1"/>
  <c r="D89" i="59" s="1"/>
  <c r="K30" i="60"/>
  <c r="K5" i="66"/>
  <c r="I162" i="60"/>
  <c r="F17" i="59" s="1"/>
  <c r="H105" i="60"/>
  <c r="I103" i="60"/>
  <c r="F19" i="59" s="1"/>
  <c r="I169" i="60"/>
  <c r="X362" i="42"/>
  <c r="W362" i="42"/>
  <c r="C163" i="65"/>
  <c r="I96" i="65"/>
  <c r="M28" i="59" s="1"/>
  <c r="J184" i="48"/>
  <c r="J29" i="52"/>
  <c r="I96" i="64"/>
  <c r="I99" i="64" s="1"/>
  <c r="I20" i="64" s="1"/>
  <c r="C163" i="64"/>
  <c r="J230" i="48"/>
  <c r="J105" i="60"/>
  <c r="J11" i="66" s="1"/>
  <c r="I87" i="64"/>
  <c r="I86" i="64" s="1"/>
  <c r="J93" i="60"/>
  <c r="AG267" i="48"/>
  <c r="AG276" i="48"/>
  <c r="AG273" i="48"/>
  <c r="AG265" i="48"/>
  <c r="AG264" i="48"/>
  <c r="AG272" i="48"/>
  <c r="AG263" i="48"/>
  <c r="AG269" i="48"/>
  <c r="AG271" i="48"/>
  <c r="AG275" i="48"/>
  <c r="AG270" i="48"/>
  <c r="AG274" i="48"/>
  <c r="AG266" i="48"/>
  <c r="AF173" i="48"/>
  <c r="AG173" i="48" s="1"/>
  <c r="AF179" i="48"/>
  <c r="AG179" i="48" s="1"/>
  <c r="AG262" i="48"/>
  <c r="E85" i="59"/>
  <c r="F85" i="59"/>
  <c r="I85" i="65"/>
  <c r="I79" i="65"/>
  <c r="I38" i="64"/>
  <c r="J32" i="64"/>
  <c r="I37" i="64"/>
  <c r="J31" i="64"/>
  <c r="I53" i="64"/>
  <c r="J80" i="64"/>
  <c r="J53" i="64" s="1"/>
  <c r="I36" i="64"/>
  <c r="H79" i="60"/>
  <c r="G215" i="59"/>
  <c r="H215" i="59"/>
  <c r="K26" i="59"/>
  <c r="L27" i="60"/>
  <c r="J84" i="60"/>
  <c r="J14" i="60" s="1"/>
  <c r="I37" i="65"/>
  <c r="J31" i="65"/>
  <c r="H84" i="60"/>
  <c r="E37" i="59" s="1"/>
  <c r="D73" i="59" s="1"/>
  <c r="D95" i="59" s="1"/>
  <c r="H26" i="59"/>
  <c r="H69" i="59" s="1"/>
  <c r="J35" i="64"/>
  <c r="K26" i="64"/>
  <c r="J29" i="64"/>
  <c r="J77" i="64"/>
  <c r="I19" i="64"/>
  <c r="J95" i="65"/>
  <c r="K94" i="65"/>
  <c r="I19" i="65"/>
  <c r="J124" i="65"/>
  <c r="K27" i="65"/>
  <c r="J39" i="65"/>
  <c r="J34" i="65"/>
  <c r="J128" i="65"/>
  <c r="H269" i="59"/>
  <c r="G269" i="59"/>
  <c r="J21" i="60"/>
  <c r="I85" i="64"/>
  <c r="K94" i="64"/>
  <c r="K95" i="64" s="1"/>
  <c r="J95" i="64"/>
  <c r="L100" i="60"/>
  <c r="K101" i="60"/>
  <c r="I36" i="65"/>
  <c r="J80" i="65"/>
  <c r="J53" i="65" s="1"/>
  <c r="J93" i="64"/>
  <c r="J98" i="64"/>
  <c r="J19" i="64" s="1"/>
  <c r="H42" i="59" s="1"/>
  <c r="H78" i="59" s="1"/>
  <c r="K92" i="64"/>
  <c r="N26" i="59"/>
  <c r="I69" i="59" s="1"/>
  <c r="J29" i="65"/>
  <c r="J35" i="65"/>
  <c r="J77" i="65"/>
  <c r="J86" i="65"/>
  <c r="K26" i="65"/>
  <c r="J93" i="65"/>
  <c r="J98" i="65"/>
  <c r="J19" i="65" s="1"/>
  <c r="N42" i="59" s="1"/>
  <c r="I78" i="59" s="1"/>
  <c r="K92" i="65"/>
  <c r="I38" i="65"/>
  <c r="J32" i="65"/>
  <c r="J119" i="60"/>
  <c r="J120" i="60" s="1"/>
  <c r="J10" i="59"/>
  <c r="K85" i="65"/>
  <c r="J85" i="65"/>
  <c r="H78" i="65"/>
  <c r="I74" i="65"/>
  <c r="C156" i="65"/>
  <c r="H76" i="60"/>
  <c r="H15" i="60" s="1"/>
  <c r="E38" i="59" s="1"/>
  <c r="H75" i="65"/>
  <c r="H75" i="64"/>
  <c r="H14" i="64" s="1"/>
  <c r="J28" i="59"/>
  <c r="K102" i="60"/>
  <c r="K104" i="60"/>
  <c r="K21" i="60" s="1"/>
  <c r="L98" i="60"/>
  <c r="K99" i="60"/>
  <c r="K27" i="64"/>
  <c r="J34" i="64"/>
  <c r="J128" i="64"/>
  <c r="J124" i="64"/>
  <c r="J123" i="64" s="1"/>
  <c r="J50" i="64" s="1"/>
  <c r="J39" i="64"/>
  <c r="I123" i="65"/>
  <c r="I123" i="64"/>
  <c r="C156" i="64"/>
  <c r="H78" i="64"/>
  <c r="I74" i="64"/>
  <c r="H152" i="59"/>
  <c r="J91" i="60"/>
  <c r="H153" i="59"/>
  <c r="K75" i="60"/>
  <c r="K32" i="60"/>
  <c r="J38" i="60"/>
  <c r="K33" i="60"/>
  <c r="L33" i="60" s="1"/>
  <c r="L130" i="60"/>
  <c r="M130" i="60" s="1"/>
  <c r="L35" i="60"/>
  <c r="L40" i="60"/>
  <c r="L134" i="60"/>
  <c r="M134" i="60" s="1"/>
  <c r="M28" i="60"/>
  <c r="H7" i="48"/>
  <c r="S121" i="55"/>
  <c r="J95" i="48"/>
  <c r="J287" i="48"/>
  <c r="N354" i="42"/>
  <c r="P360" i="42"/>
  <c r="Z354" i="42"/>
  <c r="P354" i="42" s="1"/>
  <c r="J101" i="52" s="1"/>
  <c r="E43" i="59" l="1"/>
  <c r="D64" i="59" s="1"/>
  <c r="D80" i="59" s="1"/>
  <c r="D91" i="59" s="1"/>
  <c r="D11" i="66"/>
  <c r="L101" i="60"/>
  <c r="D59" i="59"/>
  <c r="G11" i="66"/>
  <c r="H64" i="66" s="1"/>
  <c r="F11" i="66"/>
  <c r="G64" i="66" s="1"/>
  <c r="L26" i="59"/>
  <c r="I5" i="66"/>
  <c r="H5" i="66"/>
  <c r="I99" i="65"/>
  <c r="I20" i="65" s="1"/>
  <c r="I97" i="65"/>
  <c r="J96" i="65"/>
  <c r="J99" i="65" s="1"/>
  <c r="J20" i="65" s="1"/>
  <c r="N43" i="59" s="1"/>
  <c r="I80" i="59" s="1"/>
  <c r="R271" i="59" s="1"/>
  <c r="J96" i="64"/>
  <c r="J99" i="64" s="1"/>
  <c r="J20" i="64" s="1"/>
  <c r="H43" i="59" s="1"/>
  <c r="H80" i="59" s="1"/>
  <c r="G91" i="59" s="1"/>
  <c r="G28" i="59"/>
  <c r="I97" i="64"/>
  <c r="K105" i="60"/>
  <c r="K11" i="66" s="1"/>
  <c r="L93" i="60"/>
  <c r="K93" i="60"/>
  <c r="K87" i="64"/>
  <c r="K86" i="64" s="1"/>
  <c r="J87" i="64"/>
  <c r="J86" i="64" s="1"/>
  <c r="AF184" i="48"/>
  <c r="AG184" i="48" s="1"/>
  <c r="D58" i="59"/>
  <c r="H85" i="59"/>
  <c r="G85" i="59"/>
  <c r="I83" i="65"/>
  <c r="I13" i="65" s="1"/>
  <c r="H77" i="60"/>
  <c r="H163" i="60" s="1"/>
  <c r="H14" i="60"/>
  <c r="B217" i="59" s="1"/>
  <c r="G217" i="59" s="1"/>
  <c r="J79" i="65"/>
  <c r="J37" i="59"/>
  <c r="E58" i="59" s="1"/>
  <c r="I50" i="65"/>
  <c r="G10" i="59"/>
  <c r="I139" i="64" s="1"/>
  <c r="I113" i="64" s="1"/>
  <c r="I114" i="64" s="1"/>
  <c r="M10" i="59"/>
  <c r="I139" i="65" s="1"/>
  <c r="I113" i="65" s="1"/>
  <c r="I114" i="65" s="1"/>
  <c r="I26" i="59"/>
  <c r="K35" i="64"/>
  <c r="K77" i="64"/>
  <c r="K29" i="64"/>
  <c r="L26" i="64"/>
  <c r="G43" i="59"/>
  <c r="F80" i="59" s="1"/>
  <c r="H76" i="65"/>
  <c r="H157" i="65" s="1"/>
  <c r="H14" i="65"/>
  <c r="K77" i="65"/>
  <c r="K29" i="65"/>
  <c r="K86" i="65"/>
  <c r="L86" i="65" s="1"/>
  <c r="K35" i="65"/>
  <c r="O26" i="59"/>
  <c r="L26" i="65"/>
  <c r="J74" i="64"/>
  <c r="I78" i="64"/>
  <c r="L104" i="60"/>
  <c r="L99" i="60"/>
  <c r="J74" i="65"/>
  <c r="G271" i="59"/>
  <c r="G98" i="59"/>
  <c r="K85" i="64"/>
  <c r="J85" i="64"/>
  <c r="K32" i="64"/>
  <c r="J38" i="64"/>
  <c r="L94" i="64"/>
  <c r="K42" i="59"/>
  <c r="F63" i="59" s="1"/>
  <c r="K32" i="65"/>
  <c r="J38" i="65"/>
  <c r="J36" i="65"/>
  <c r="K80" i="65"/>
  <c r="L27" i="65"/>
  <c r="K124" i="65"/>
  <c r="L124" i="65" s="1"/>
  <c r="K34" i="65"/>
  <c r="K128" i="65"/>
  <c r="L128" i="65" s="1"/>
  <c r="K39" i="65"/>
  <c r="M98" i="60"/>
  <c r="I50" i="64"/>
  <c r="K95" i="65"/>
  <c r="L94" i="65"/>
  <c r="K31" i="64"/>
  <c r="J37" i="64"/>
  <c r="K93" i="64"/>
  <c r="K98" i="64"/>
  <c r="K19" i="64" s="1"/>
  <c r="I42" i="59" s="1"/>
  <c r="L92" i="64"/>
  <c r="J79" i="64"/>
  <c r="I78" i="65"/>
  <c r="G42" i="59"/>
  <c r="F78" i="59" s="1"/>
  <c r="M100" i="60"/>
  <c r="K34" i="64"/>
  <c r="K128" i="64"/>
  <c r="L128" i="64" s="1"/>
  <c r="K124" i="64"/>
  <c r="L124" i="64" s="1"/>
  <c r="K39" i="64"/>
  <c r="K28" i="59"/>
  <c r="L102" i="60"/>
  <c r="K103" i="60"/>
  <c r="I83" i="64"/>
  <c r="K93" i="65"/>
  <c r="K98" i="65"/>
  <c r="K19" i="65" s="1"/>
  <c r="O42" i="59" s="1"/>
  <c r="L92" i="65"/>
  <c r="J42" i="59"/>
  <c r="E63" i="59" s="1"/>
  <c r="E78" i="59" s="1"/>
  <c r="K80" i="64"/>
  <c r="K53" i="64" s="1"/>
  <c r="L53" i="64" s="1"/>
  <c r="J36" i="64"/>
  <c r="J37" i="65"/>
  <c r="K31" i="65"/>
  <c r="J123" i="65"/>
  <c r="J50" i="65" s="1"/>
  <c r="L27" i="64"/>
  <c r="K119" i="60"/>
  <c r="K120" i="60" s="1"/>
  <c r="K10" i="59"/>
  <c r="H76" i="64"/>
  <c r="H157" i="64" s="1"/>
  <c r="H98" i="59"/>
  <c r="H271" i="59"/>
  <c r="M42" i="59"/>
  <c r="G78" i="59" s="1"/>
  <c r="J43" i="59"/>
  <c r="E64" i="59" s="1"/>
  <c r="E80" i="59" s="1"/>
  <c r="L91" i="60"/>
  <c r="K91" i="60"/>
  <c r="L75" i="60"/>
  <c r="M33" i="60"/>
  <c r="L32" i="60"/>
  <c r="K38" i="60"/>
  <c r="L129" i="60"/>
  <c r="L51" i="60" s="1"/>
  <c r="M51" i="60" s="1"/>
  <c r="J7" i="48"/>
  <c r="J48" i="48"/>
  <c r="J133" i="48"/>
  <c r="M17" i="60" l="1"/>
  <c r="L269" i="59"/>
  <c r="B62" i="66"/>
  <c r="D64" i="66"/>
  <c r="K43" i="59"/>
  <c r="F64" i="59" s="1"/>
  <c r="C64" i="66"/>
  <c r="I64" i="66"/>
  <c r="K96" i="65"/>
  <c r="O28" i="59" s="1"/>
  <c r="Q271" i="59"/>
  <c r="N271" i="59" s="1"/>
  <c r="H91" i="59"/>
  <c r="K96" i="64"/>
  <c r="K99" i="64" s="1"/>
  <c r="J97" i="65"/>
  <c r="N28" i="59"/>
  <c r="J97" i="64"/>
  <c r="H28" i="59"/>
  <c r="L86" i="64"/>
  <c r="H217" i="59"/>
  <c r="K79" i="65"/>
  <c r="L79" i="65" s="1"/>
  <c r="L19" i="64"/>
  <c r="L19" i="65"/>
  <c r="L80" i="64"/>
  <c r="K123" i="65"/>
  <c r="K50" i="65" s="1"/>
  <c r="L50" i="65" s="1"/>
  <c r="J83" i="65"/>
  <c r="J13" i="65" s="1"/>
  <c r="L98" i="65"/>
  <c r="I13" i="64"/>
  <c r="H10" i="59"/>
  <c r="J139" i="64" s="1"/>
  <c r="J113" i="64" s="1"/>
  <c r="J114" i="64" s="1"/>
  <c r="N10" i="59"/>
  <c r="J139" i="65" s="1"/>
  <c r="J113" i="65" s="1"/>
  <c r="J114" i="65" s="1"/>
  <c r="L103" i="60"/>
  <c r="L28" i="59"/>
  <c r="M102" i="60"/>
  <c r="L98" i="64"/>
  <c r="L32" i="64"/>
  <c r="K38" i="64"/>
  <c r="K74" i="64"/>
  <c r="J78" i="64"/>
  <c r="L77" i="64"/>
  <c r="K36" i="64"/>
  <c r="L32" i="65"/>
  <c r="K38" i="65"/>
  <c r="K74" i="65"/>
  <c r="J78" i="65"/>
  <c r="F98" i="59"/>
  <c r="H270" i="59"/>
  <c r="L80" i="65"/>
  <c r="K53" i="65"/>
  <c r="L53" i="65" s="1"/>
  <c r="C271" i="59"/>
  <c r="I271" i="59"/>
  <c r="K36" i="65"/>
  <c r="L77" i="65"/>
  <c r="D271" i="59"/>
  <c r="K37" i="65"/>
  <c r="L31" i="65"/>
  <c r="G270" i="59"/>
  <c r="E98" i="59"/>
  <c r="K79" i="64"/>
  <c r="J83" i="64"/>
  <c r="J13" i="64" s="1"/>
  <c r="L105" i="60"/>
  <c r="K123" i="64"/>
  <c r="M37" i="59"/>
  <c r="M43" i="59"/>
  <c r="G80" i="59" s="1"/>
  <c r="L10" i="59"/>
  <c r="L119" i="60"/>
  <c r="L120" i="60" s="1"/>
  <c r="M120" i="60" s="1"/>
  <c r="L96" i="64"/>
  <c r="K37" i="64"/>
  <c r="L31" i="64"/>
  <c r="L21" i="60"/>
  <c r="M104" i="60"/>
  <c r="Q270" i="59"/>
  <c r="E91" i="59"/>
  <c r="M75" i="60"/>
  <c r="M32" i="60"/>
  <c r="L38" i="60"/>
  <c r="M129" i="60"/>
  <c r="V576" i="24"/>
  <c r="V575" i="24"/>
  <c r="V574" i="24"/>
  <c r="V573" i="24"/>
  <c r="V571" i="24"/>
  <c r="V570" i="24"/>
  <c r="V569" i="24"/>
  <c r="V568" i="24"/>
  <c r="V566" i="24"/>
  <c r="P221" i="42"/>
  <c r="V561" i="24"/>
  <c r="V560" i="24"/>
  <c r="V558" i="24"/>
  <c r="V557" i="24"/>
  <c r="V555" i="24"/>
  <c r="V554" i="24"/>
  <c r="V553" i="24"/>
  <c r="V551" i="24"/>
  <c r="V550" i="24"/>
  <c r="V548" i="24"/>
  <c r="V547" i="24"/>
  <c r="V546" i="24"/>
  <c r="V545" i="24"/>
  <c r="V543" i="24"/>
  <c r="V542" i="24"/>
  <c r="V541" i="24"/>
  <c r="V540" i="24"/>
  <c r="V539" i="24"/>
  <c r="V538" i="24"/>
  <c r="V537" i="24"/>
  <c r="V536" i="24"/>
  <c r="V535" i="24"/>
  <c r="V534" i="24"/>
  <c r="V532" i="24"/>
  <c r="V531" i="24"/>
  <c r="V530" i="24"/>
  <c r="V529" i="24"/>
  <c r="V528" i="24"/>
  <c r="V527" i="24"/>
  <c r="V524" i="24"/>
  <c r="V523" i="24"/>
  <c r="V522" i="24"/>
  <c r="V521" i="24"/>
  <c r="V518" i="24"/>
  <c r="V517" i="24"/>
  <c r="V516" i="24"/>
  <c r="V514" i="24"/>
  <c r="V513" i="24"/>
  <c r="V512" i="24"/>
  <c r="V511" i="24"/>
  <c r="V510" i="24"/>
  <c r="V508" i="24"/>
  <c r="V507" i="24"/>
  <c r="V506" i="24"/>
  <c r="V505" i="24"/>
  <c r="V504" i="24"/>
  <c r="P214" i="42" s="1"/>
  <c r="G55" i="53" s="1"/>
  <c r="V503" i="24"/>
  <c r="V502" i="24"/>
  <c r="V501" i="24"/>
  <c r="P213" i="42" s="1"/>
  <c r="G54" i="53" s="1"/>
  <c r="V500" i="24"/>
  <c r="V499" i="24"/>
  <c r="V496" i="24"/>
  <c r="V495" i="24"/>
  <c r="V494" i="24"/>
  <c r="V493" i="24"/>
  <c r="V492" i="24"/>
  <c r="V484" i="24"/>
  <c r="V483" i="24"/>
  <c r="V482" i="24"/>
  <c r="V481" i="24"/>
  <c r="V480" i="24"/>
  <c r="V479" i="24"/>
  <c r="V478" i="24"/>
  <c r="V477" i="24"/>
  <c r="V476" i="24"/>
  <c r="V475" i="24"/>
  <c r="V474" i="24"/>
  <c r="V473" i="24"/>
  <c r="V472" i="24"/>
  <c r="V471" i="24"/>
  <c r="V470" i="24"/>
  <c r="V469" i="24"/>
  <c r="V468" i="24"/>
  <c r="V467" i="24"/>
  <c r="V466" i="24"/>
  <c r="V465" i="24"/>
  <c r="V464" i="24"/>
  <c r="V463" i="24"/>
  <c r="V462" i="24"/>
  <c r="V461" i="24"/>
  <c r="V460" i="24"/>
  <c r="V459" i="24"/>
  <c r="V458" i="24"/>
  <c r="V15" i="24"/>
  <c r="V4" i="24"/>
  <c r="V5" i="24" s="1"/>
  <c r="V3" i="24"/>
  <c r="V13" i="24" s="1"/>
  <c r="V8" i="24" s="1"/>
  <c r="V519" i="22"/>
  <c r="V518" i="22"/>
  <c r="V517" i="22"/>
  <c r="V516" i="22"/>
  <c r="V515" i="22"/>
  <c r="V513" i="22"/>
  <c r="V511" i="22"/>
  <c r="V510" i="22"/>
  <c r="V509" i="22"/>
  <c r="V505" i="22"/>
  <c r="V504" i="22"/>
  <c r="V503" i="22"/>
  <c r="V502" i="22"/>
  <c r="V501" i="22"/>
  <c r="V500" i="22"/>
  <c r="V499" i="22"/>
  <c r="V498" i="22"/>
  <c r="V496" i="22"/>
  <c r="V495" i="22"/>
  <c r="V493" i="22"/>
  <c r="P171" i="42" s="1"/>
  <c r="V492" i="22"/>
  <c r="V484" i="22"/>
  <c r="V483" i="22"/>
  <c r="V482" i="22"/>
  <c r="V481" i="22"/>
  <c r="V480" i="22"/>
  <c r="V479" i="22"/>
  <c r="V478" i="22"/>
  <c r="V477" i="22"/>
  <c r="V476" i="22"/>
  <c r="V475" i="22"/>
  <c r="V474" i="22"/>
  <c r="V473" i="22"/>
  <c r="V472" i="22"/>
  <c r="V471" i="22"/>
  <c r="V470" i="22"/>
  <c r="V469" i="22"/>
  <c r="V467" i="22"/>
  <c r="V466" i="22"/>
  <c r="V465" i="22"/>
  <c r="V464" i="22"/>
  <c r="V3" i="22"/>
  <c r="V9" i="22" s="1"/>
  <c r="N17" i="60" l="1"/>
  <c r="Q17" i="60" s="1"/>
  <c r="M271" i="59"/>
  <c r="V559" i="24"/>
  <c r="J208" i="48"/>
  <c r="G59" i="53"/>
  <c r="H62" i="66"/>
  <c r="G62" i="66"/>
  <c r="R269" i="59"/>
  <c r="Q269" i="59"/>
  <c r="I11" i="66"/>
  <c r="H65" i="66" s="1"/>
  <c r="H11" i="66"/>
  <c r="G65" i="66" s="1"/>
  <c r="N37" i="59"/>
  <c r="I73" i="59" s="1"/>
  <c r="H95" i="59" s="1"/>
  <c r="H37" i="59"/>
  <c r="G219" i="59" s="1"/>
  <c r="S271" i="59"/>
  <c r="L96" i="65"/>
  <c r="K97" i="65"/>
  <c r="K99" i="65"/>
  <c r="L99" i="65" s="1"/>
  <c r="I28" i="59"/>
  <c r="K97" i="64"/>
  <c r="V520" i="24"/>
  <c r="V676" i="24" s="1"/>
  <c r="V556" i="24"/>
  <c r="V512" i="22"/>
  <c r="K83" i="65"/>
  <c r="K13" i="65" s="1"/>
  <c r="L123" i="65"/>
  <c r="K83" i="64"/>
  <c r="K13" i="64" s="1"/>
  <c r="D270" i="59"/>
  <c r="L79" i="64"/>
  <c r="K20" i="64"/>
  <c r="L99" i="64"/>
  <c r="K78" i="65"/>
  <c r="L78" i="65" s="1"/>
  <c r="L74" i="65"/>
  <c r="K50" i="64"/>
  <c r="L50" i="64" s="1"/>
  <c r="L123" i="64"/>
  <c r="L42" i="59"/>
  <c r="M21" i="60"/>
  <c r="N21" i="60" s="1"/>
  <c r="Q21" i="60" s="1"/>
  <c r="I10" i="59"/>
  <c r="K139" i="64" s="1"/>
  <c r="K113" i="64" s="1"/>
  <c r="K114" i="64" s="1"/>
  <c r="O10" i="59"/>
  <c r="K139" i="65" s="1"/>
  <c r="K113" i="65" s="1"/>
  <c r="K114" i="65" s="1"/>
  <c r="L114" i="65" s="1"/>
  <c r="C270" i="59"/>
  <c r="I270" i="59"/>
  <c r="K78" i="64"/>
  <c r="L78" i="64" s="1"/>
  <c r="L74" i="64"/>
  <c r="G37" i="59"/>
  <c r="H218" i="59"/>
  <c r="G73" i="59"/>
  <c r="F95" i="59" s="1"/>
  <c r="M270" i="59"/>
  <c r="H53" i="60"/>
  <c r="H157" i="60" s="1"/>
  <c r="H52" i="64"/>
  <c r="H151" i="64" s="1"/>
  <c r="H52" i="65"/>
  <c r="H151" i="65" s="1"/>
  <c r="R270" i="59"/>
  <c r="N270" i="59" s="1"/>
  <c r="F91" i="59"/>
  <c r="M105" i="60"/>
  <c r="J47" i="48"/>
  <c r="J194" i="48"/>
  <c r="AF194" i="48" s="1"/>
  <c r="V549" i="24"/>
  <c r="V572" i="24"/>
  <c r="V497" i="24"/>
  <c r="V11" i="24"/>
  <c r="V6" i="24" s="1"/>
  <c r="V544" i="24"/>
  <c r="P215" i="42"/>
  <c r="P227" i="42"/>
  <c r="Z225" i="42"/>
  <c r="P225" i="42" s="1"/>
  <c r="H91" i="53" s="1"/>
  <c r="H94" i="53" s="1"/>
  <c r="Z172" i="42"/>
  <c r="P172" i="42" s="1"/>
  <c r="P170" i="42"/>
  <c r="V508" i="22"/>
  <c r="V509" i="24"/>
  <c r="V552" i="24"/>
  <c r="P220" i="42" s="1"/>
  <c r="H77" i="53" s="1"/>
  <c r="V525" i="24"/>
  <c r="V533" i="24"/>
  <c r="P219" i="42" s="1"/>
  <c r="H76" i="53" s="1"/>
  <c r="V567" i="24"/>
  <c r="V498" i="24"/>
  <c r="V9" i="24"/>
  <c r="V526" i="24"/>
  <c r="V12" i="24"/>
  <c r="V7" i="24" s="1"/>
  <c r="V5" i="22"/>
  <c r="V497" i="22"/>
  <c r="V506" i="22" s="1"/>
  <c r="V8" i="22"/>
  <c r="V10" i="22" s="1"/>
  <c r="V7" i="22"/>
  <c r="O137" i="42"/>
  <c r="I147" i="48" s="1"/>
  <c r="AD147" i="48" s="1"/>
  <c r="M137" i="42"/>
  <c r="L137" i="42"/>
  <c r="K137" i="42"/>
  <c r="J137" i="42"/>
  <c r="G103" i="48"/>
  <c r="F103" i="48"/>
  <c r="E103" i="48"/>
  <c r="D103" i="48"/>
  <c r="G102" i="48"/>
  <c r="F102" i="48"/>
  <c r="E102" i="48"/>
  <c r="D102" i="48"/>
  <c r="G294" i="48"/>
  <c r="F294" i="48"/>
  <c r="E294" i="48"/>
  <c r="D294" i="48"/>
  <c r="G286" i="48"/>
  <c r="F286" i="48"/>
  <c r="E286" i="48"/>
  <c r="D286" i="48"/>
  <c r="G285" i="48"/>
  <c r="F285" i="48"/>
  <c r="E285" i="48"/>
  <c r="D285" i="48"/>
  <c r="H219" i="59" l="1"/>
  <c r="I219" i="59" s="1"/>
  <c r="J204" i="48"/>
  <c r="G56" i="53"/>
  <c r="H73" i="59"/>
  <c r="G95" i="59" s="1"/>
  <c r="C65" i="66"/>
  <c r="I65" i="66"/>
  <c r="D65" i="66"/>
  <c r="I37" i="59"/>
  <c r="K20" i="65"/>
  <c r="O43" i="59" s="1"/>
  <c r="P216" i="42"/>
  <c r="V675" i="24"/>
  <c r="P211" i="42"/>
  <c r="V674" i="24"/>
  <c r="V577" i="24"/>
  <c r="V682" i="24" s="1"/>
  <c r="V681" i="24" s="1"/>
  <c r="V520" i="22"/>
  <c r="P176" i="42" s="1"/>
  <c r="G147" i="48"/>
  <c r="Z147" i="48" s="1"/>
  <c r="E147" i="48"/>
  <c r="V147" i="48" s="1"/>
  <c r="F147" i="48"/>
  <c r="X147" i="48" s="1"/>
  <c r="D147" i="48"/>
  <c r="T147" i="48" s="1"/>
  <c r="L83" i="65"/>
  <c r="L13" i="64"/>
  <c r="L83" i="64"/>
  <c r="S270" i="59"/>
  <c r="O37" i="59"/>
  <c r="L13" i="65"/>
  <c r="F73" i="59"/>
  <c r="E95" i="59" s="1"/>
  <c r="G218" i="59"/>
  <c r="D218" i="59" s="1"/>
  <c r="H49" i="60"/>
  <c r="I153" i="60" s="1"/>
  <c r="F15" i="59" s="1"/>
  <c r="H48" i="65"/>
  <c r="H48" i="64"/>
  <c r="L43" i="59"/>
  <c r="D219" i="59"/>
  <c r="C219" i="59"/>
  <c r="L114" i="64"/>
  <c r="I43" i="59"/>
  <c r="L20" i="64"/>
  <c r="J190" i="48"/>
  <c r="AF190" i="48" s="1"/>
  <c r="J43" i="48"/>
  <c r="V515" i="24"/>
  <c r="P232" i="42"/>
  <c r="J73" i="52" s="1"/>
  <c r="V562" i="24"/>
  <c r="P218" i="42"/>
  <c r="H75" i="53" s="1"/>
  <c r="P175" i="42"/>
  <c r="Z174" i="42"/>
  <c r="P174" i="42" s="1"/>
  <c r="H214" i="53" s="1"/>
  <c r="V4" i="22"/>
  <c r="M22" i="55" l="1"/>
  <c r="O22" i="55" s="1"/>
  <c r="J297" i="48"/>
  <c r="H216" i="53"/>
  <c r="J296" i="48"/>
  <c r="H215" i="53"/>
  <c r="J203" i="48"/>
  <c r="G52" i="53"/>
  <c r="J205" i="48"/>
  <c r="G57" i="53"/>
  <c r="L20" i="65"/>
  <c r="H47" i="65"/>
  <c r="H115" i="65" s="1"/>
  <c r="H116" i="65" s="1"/>
  <c r="H164" i="65" s="1"/>
  <c r="H50" i="60"/>
  <c r="I154" i="60" s="1"/>
  <c r="F16" i="59" s="1"/>
  <c r="J191" i="48"/>
  <c r="AF191" i="48" s="1"/>
  <c r="H48" i="60"/>
  <c r="H121" i="60" s="1"/>
  <c r="H123" i="60" s="1"/>
  <c r="I124" i="60" s="1"/>
  <c r="H49" i="65"/>
  <c r="J44" i="48"/>
  <c r="H49" i="64"/>
  <c r="H47" i="64"/>
  <c r="H115" i="64" s="1"/>
  <c r="H116" i="64" s="1"/>
  <c r="H164" i="64" s="1"/>
  <c r="J189" i="48"/>
  <c r="AF189" i="48" s="1"/>
  <c r="P212" i="42"/>
  <c r="V677" i="24"/>
  <c r="J42" i="48"/>
  <c r="P217" i="42"/>
  <c r="V678" i="24"/>
  <c r="S122" i="55"/>
  <c r="J295" i="48"/>
  <c r="C218" i="59"/>
  <c r="I218" i="59"/>
  <c r="H53" i="65"/>
  <c r="H80" i="65" s="1"/>
  <c r="H53" i="64"/>
  <c r="H80" i="64" s="1"/>
  <c r="J218" i="48"/>
  <c r="H54" i="60"/>
  <c r="H81" i="60" s="1"/>
  <c r="Z222" i="42"/>
  <c r="I294" i="48"/>
  <c r="U576" i="24"/>
  <c r="U575" i="24"/>
  <c r="U574" i="24"/>
  <c r="U573" i="24"/>
  <c r="U571" i="24"/>
  <c r="U570" i="24"/>
  <c r="U569" i="24"/>
  <c r="U568" i="24"/>
  <c r="U566" i="24"/>
  <c r="U561" i="24"/>
  <c r="U560" i="24"/>
  <c r="U558" i="24"/>
  <c r="U557" i="24"/>
  <c r="U555" i="24"/>
  <c r="U554" i="24"/>
  <c r="U553" i="24"/>
  <c r="U551" i="24"/>
  <c r="U550" i="24"/>
  <c r="U548" i="24"/>
  <c r="U547" i="24"/>
  <c r="U546" i="24"/>
  <c r="U545" i="24"/>
  <c r="U543" i="24"/>
  <c r="U542" i="24"/>
  <c r="U541" i="24"/>
  <c r="U540" i="24"/>
  <c r="U539" i="24"/>
  <c r="U538" i="24"/>
  <c r="U537" i="24"/>
  <c r="U536" i="24"/>
  <c r="U535" i="24"/>
  <c r="U534" i="24"/>
  <c r="U532" i="24"/>
  <c r="U531" i="24"/>
  <c r="U530" i="24"/>
  <c r="U529" i="24"/>
  <c r="U528" i="24"/>
  <c r="U527" i="24"/>
  <c r="U524" i="24"/>
  <c r="U523" i="24"/>
  <c r="U522" i="24"/>
  <c r="U521" i="24"/>
  <c r="U518" i="24"/>
  <c r="U517" i="24"/>
  <c r="U516" i="24"/>
  <c r="U514" i="24"/>
  <c r="U513" i="24"/>
  <c r="U512" i="24"/>
  <c r="U511" i="24"/>
  <c r="U510" i="24"/>
  <c r="U508" i="24"/>
  <c r="U507" i="24"/>
  <c r="U506" i="24"/>
  <c r="U505" i="24"/>
  <c r="U504" i="24"/>
  <c r="U503" i="24"/>
  <c r="U502" i="24"/>
  <c r="U501" i="24"/>
  <c r="U500" i="24"/>
  <c r="U499" i="24"/>
  <c r="U496" i="24"/>
  <c r="U495" i="24"/>
  <c r="U494" i="24"/>
  <c r="U493" i="24"/>
  <c r="U492" i="24"/>
  <c r="U484" i="24"/>
  <c r="U483" i="24"/>
  <c r="U482" i="24"/>
  <c r="U481" i="24"/>
  <c r="U480" i="24"/>
  <c r="U479" i="24"/>
  <c r="U478" i="24"/>
  <c r="U477" i="24"/>
  <c r="U476" i="24"/>
  <c r="U475" i="24"/>
  <c r="U474" i="24"/>
  <c r="U473" i="24"/>
  <c r="U472" i="24"/>
  <c r="U471" i="24"/>
  <c r="U470" i="24"/>
  <c r="U469" i="24"/>
  <c r="U468" i="24"/>
  <c r="U467" i="24"/>
  <c r="U466" i="24"/>
  <c r="U465" i="24"/>
  <c r="U464" i="24"/>
  <c r="U463" i="24"/>
  <c r="U462" i="24"/>
  <c r="U461" i="24"/>
  <c r="U460" i="24"/>
  <c r="U459" i="24"/>
  <c r="U458" i="24"/>
  <c r="U15" i="24"/>
  <c r="U4" i="24"/>
  <c r="U5" i="24" s="1"/>
  <c r="U3" i="24"/>
  <c r="U13" i="24" s="1"/>
  <c r="U8" i="24" s="1"/>
  <c r="U519" i="22"/>
  <c r="U518" i="22"/>
  <c r="U517" i="22"/>
  <c r="U516" i="22"/>
  <c r="U515" i="22"/>
  <c r="U513" i="22"/>
  <c r="U511" i="22"/>
  <c r="U510" i="22"/>
  <c r="U509" i="22"/>
  <c r="U505" i="22"/>
  <c r="U504" i="22"/>
  <c r="U503" i="22"/>
  <c r="U502" i="22"/>
  <c r="U501" i="22"/>
  <c r="U500" i="22"/>
  <c r="U499" i="22"/>
  <c r="U498" i="22"/>
  <c r="U496" i="22"/>
  <c r="U495" i="22"/>
  <c r="U493" i="22"/>
  <c r="U492" i="22"/>
  <c r="U484" i="22"/>
  <c r="U483" i="22"/>
  <c r="U482" i="22"/>
  <c r="U481" i="22"/>
  <c r="U480" i="22"/>
  <c r="U479" i="22"/>
  <c r="U478" i="22"/>
  <c r="U477" i="22"/>
  <c r="U476" i="22"/>
  <c r="U475" i="22"/>
  <c r="U474" i="22"/>
  <c r="U473" i="22"/>
  <c r="U472" i="22"/>
  <c r="U471" i="22"/>
  <c r="U470" i="22"/>
  <c r="U469" i="22"/>
  <c r="U467" i="22"/>
  <c r="U466" i="22"/>
  <c r="U465" i="22"/>
  <c r="U464" i="22"/>
  <c r="U3" i="22"/>
  <c r="U9" i="22" s="1"/>
  <c r="M23" i="55" l="1"/>
  <c r="O23" i="55" s="1"/>
  <c r="J69" i="52"/>
  <c r="G58" i="53"/>
  <c r="H74" i="53"/>
  <c r="J207" i="48"/>
  <c r="G53" i="53"/>
  <c r="H117" i="65"/>
  <c r="H122" i="60"/>
  <c r="H170" i="60" s="1"/>
  <c r="V680" i="24"/>
  <c r="U11" i="24"/>
  <c r="U6" i="24" s="1"/>
  <c r="U544" i="24"/>
  <c r="J193" i="48"/>
  <c r="AF193" i="48" s="1"/>
  <c r="H50" i="64"/>
  <c r="H123" i="64" s="1"/>
  <c r="H117" i="64"/>
  <c r="J46" i="48"/>
  <c r="H51" i="65"/>
  <c r="H127" i="65" s="1"/>
  <c r="J45" i="48"/>
  <c r="H50" i="65"/>
  <c r="H123" i="65" s="1"/>
  <c r="J192" i="48"/>
  <c r="AF192" i="48" s="1"/>
  <c r="H51" i="64"/>
  <c r="H127" i="64" s="1"/>
  <c r="H52" i="60"/>
  <c r="H133" i="60" s="1"/>
  <c r="H51" i="60"/>
  <c r="H129" i="60" s="1"/>
  <c r="J206" i="48"/>
  <c r="Z355" i="42"/>
  <c r="P355" i="42" s="1"/>
  <c r="H96" i="53" s="1"/>
  <c r="U556" i="24"/>
  <c r="U572" i="24"/>
  <c r="U552" i="24"/>
  <c r="U520" i="24"/>
  <c r="U676" i="24" s="1"/>
  <c r="I116" i="65"/>
  <c r="U549" i="24"/>
  <c r="U497" i="24"/>
  <c r="U674" i="24" s="1"/>
  <c r="U509" i="24"/>
  <c r="U9" i="24"/>
  <c r="U559" i="24"/>
  <c r="P222" i="42"/>
  <c r="Z234" i="42"/>
  <c r="P234" i="42" s="1"/>
  <c r="J121" i="48" s="1"/>
  <c r="U7" i="22"/>
  <c r="U508" i="22"/>
  <c r="U497" i="22"/>
  <c r="U506" i="22" s="1"/>
  <c r="U8" i="22"/>
  <c r="U10" i="22" s="1"/>
  <c r="U525" i="24"/>
  <c r="U675" i="24" s="1"/>
  <c r="U526" i="24"/>
  <c r="U498" i="24"/>
  <c r="U533" i="24"/>
  <c r="U567" i="24"/>
  <c r="U12" i="24"/>
  <c r="U7" i="24" s="1"/>
  <c r="U5" i="22"/>
  <c r="U512" i="22"/>
  <c r="H78" i="53" l="1"/>
  <c r="J74" i="53" s="1"/>
  <c r="G60" i="53"/>
  <c r="J58" i="53" s="1"/>
  <c r="H43" i="53"/>
  <c r="U577" i="24"/>
  <c r="U682" i="24" s="1"/>
  <c r="U681" i="24" s="1"/>
  <c r="J55" i="48"/>
  <c r="U4" i="22"/>
  <c r="J71" i="52"/>
  <c r="U515" i="24"/>
  <c r="U677" i="24" s="1"/>
  <c r="U562" i="24"/>
  <c r="U678" i="24" s="1"/>
  <c r="J102" i="52"/>
  <c r="J213" i="48"/>
  <c r="J116" i="65"/>
  <c r="I115" i="65"/>
  <c r="S109" i="55"/>
  <c r="J52" i="48"/>
  <c r="J195" i="48"/>
  <c r="AF195" i="48" s="1"/>
  <c r="J209" i="48"/>
  <c r="P233" i="42"/>
  <c r="Z236" i="42"/>
  <c r="P236" i="42" s="1"/>
  <c r="U520" i="22"/>
  <c r="O346" i="42"/>
  <c r="G178" i="53" s="1"/>
  <c r="J60" i="53" l="1"/>
  <c r="J54" i="53"/>
  <c r="J55" i="53"/>
  <c r="J59" i="53"/>
  <c r="J56" i="53"/>
  <c r="J57" i="53"/>
  <c r="J52" i="53"/>
  <c r="J78" i="53"/>
  <c r="J81" i="53"/>
  <c r="J83" i="53"/>
  <c r="J82" i="53"/>
  <c r="J72" i="53"/>
  <c r="J79" i="53"/>
  <c r="J73" i="53"/>
  <c r="J80" i="53"/>
  <c r="J77" i="53"/>
  <c r="J76" i="53"/>
  <c r="J75" i="53"/>
  <c r="J53" i="53"/>
  <c r="J70" i="52"/>
  <c r="U680" i="24"/>
  <c r="I252" i="48"/>
  <c r="AG195" i="48"/>
  <c r="AG194" i="48"/>
  <c r="AG190" i="48"/>
  <c r="AG189" i="48"/>
  <c r="AG191" i="48"/>
  <c r="AG193" i="48"/>
  <c r="AG192" i="48"/>
  <c r="I117" i="65"/>
  <c r="H55" i="65"/>
  <c r="H55" i="64"/>
  <c r="K116" i="65"/>
  <c r="K115" i="65" s="1"/>
  <c r="K117" i="65" s="1"/>
  <c r="J115" i="65"/>
  <c r="J117" i="65" s="1"/>
  <c r="J211" i="48"/>
  <c r="H56" i="60"/>
  <c r="J122" i="48"/>
  <c r="K47" i="65" l="1"/>
  <c r="K118" i="65"/>
  <c r="H56" i="65"/>
  <c r="H46" i="65"/>
  <c r="J118" i="65"/>
  <c r="J47" i="65"/>
  <c r="H46" i="64"/>
  <c r="H56" i="64"/>
  <c r="L117" i="65"/>
  <c r="I47" i="65"/>
  <c r="I118" i="65"/>
  <c r="L115" i="65"/>
  <c r="H57" i="60"/>
  <c r="H47" i="60"/>
  <c r="H65" i="60" l="1"/>
  <c r="P374" i="42" s="1"/>
  <c r="S103" i="55" s="1"/>
  <c r="D6" i="66"/>
  <c r="E29" i="59"/>
  <c r="L47" i="65"/>
  <c r="H64" i="65"/>
  <c r="H8" i="65" s="1"/>
  <c r="H11" i="65"/>
  <c r="H63" i="65"/>
  <c r="H64" i="64"/>
  <c r="H8" i="64" s="1"/>
  <c r="H11" i="64"/>
  <c r="H63" i="64"/>
  <c r="H64" i="60"/>
  <c r="H12" i="60"/>
  <c r="E34" i="59" s="1"/>
  <c r="V347" i="42"/>
  <c r="O347" i="42" s="1"/>
  <c r="R117" i="55" s="1"/>
  <c r="M117" i="55" s="1"/>
  <c r="J302" i="48" l="1"/>
  <c r="E33" i="59"/>
  <c r="D76" i="59" s="1"/>
  <c r="J135" i="48"/>
  <c r="B243" i="59"/>
  <c r="G243" i="59" s="1"/>
  <c r="H8" i="60"/>
  <c r="B182" i="59" s="1"/>
  <c r="D75" i="59"/>
  <c r="D96" i="59" s="1"/>
  <c r="D70" i="59"/>
  <c r="D86" i="59" s="1"/>
  <c r="I258" i="48"/>
  <c r="D97" i="59" l="1"/>
  <c r="D94" i="59"/>
  <c r="D55" i="59"/>
  <c r="D61" i="59"/>
  <c r="H243" i="59"/>
  <c r="H182" i="59"/>
  <c r="G182" i="59"/>
  <c r="I80" i="48"/>
  <c r="O310" i="42"/>
  <c r="G250" i="48" l="1"/>
  <c r="F250" i="48"/>
  <c r="E250" i="48"/>
  <c r="D250" i="48"/>
  <c r="F248" i="48"/>
  <c r="E248" i="48"/>
  <c r="D248" i="48"/>
  <c r="S576" i="24" l="1"/>
  <c r="R576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S575" i="24"/>
  <c r="R575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S574" i="24"/>
  <c r="R574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S573" i="24"/>
  <c r="S572" i="24" s="1"/>
  <c r="R573" i="24"/>
  <c r="Q573" i="24"/>
  <c r="P573" i="24"/>
  <c r="O573" i="24"/>
  <c r="N573" i="24"/>
  <c r="M573" i="24"/>
  <c r="L573" i="24"/>
  <c r="K573" i="24"/>
  <c r="K572" i="24" s="1"/>
  <c r="J573" i="24"/>
  <c r="J572" i="24" s="1"/>
  <c r="I573" i="24"/>
  <c r="I572" i="24" s="1"/>
  <c r="H573" i="24"/>
  <c r="G573" i="24"/>
  <c r="F573" i="24"/>
  <c r="E573" i="24"/>
  <c r="D573" i="24"/>
  <c r="S571" i="24"/>
  <c r="R571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S570" i="24"/>
  <c r="R570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S569" i="24"/>
  <c r="R569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S568" i="24"/>
  <c r="R568" i="24"/>
  <c r="R567" i="24" s="1"/>
  <c r="Q568" i="24"/>
  <c r="Q567" i="24" s="1"/>
  <c r="P568" i="24"/>
  <c r="O568" i="24"/>
  <c r="O567" i="24" s="1"/>
  <c r="N568" i="24"/>
  <c r="N567" i="24" s="1"/>
  <c r="M568" i="24"/>
  <c r="M567" i="24" s="1"/>
  <c r="L568" i="24"/>
  <c r="L567" i="24" s="1"/>
  <c r="K568" i="24"/>
  <c r="K567" i="24" s="1"/>
  <c r="J568" i="24"/>
  <c r="J567" i="24" s="1"/>
  <c r="I568" i="24"/>
  <c r="I567" i="24" s="1"/>
  <c r="H568" i="24"/>
  <c r="H567" i="24" s="1"/>
  <c r="G568" i="24"/>
  <c r="G567" i="24" s="1"/>
  <c r="F568" i="24"/>
  <c r="E568" i="24"/>
  <c r="D568" i="24"/>
  <c r="D567" i="24" s="1"/>
  <c r="S567" i="24"/>
  <c r="S566" i="24"/>
  <c r="N227" i="42" s="1"/>
  <c r="R566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N221" i="42"/>
  <c r="S561" i="24"/>
  <c r="R561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S560" i="24"/>
  <c r="R560" i="24"/>
  <c r="R559" i="24" s="1"/>
  <c r="Q560" i="24"/>
  <c r="Q559" i="24" s="1"/>
  <c r="P560" i="24"/>
  <c r="P559" i="24" s="1"/>
  <c r="O560" i="24"/>
  <c r="N560" i="24"/>
  <c r="N559" i="24" s="1"/>
  <c r="M560" i="24"/>
  <c r="L560" i="24"/>
  <c r="L559" i="24" s="1"/>
  <c r="K560" i="24"/>
  <c r="K559" i="24" s="1"/>
  <c r="J560" i="24"/>
  <c r="J559" i="24" s="1"/>
  <c r="I560" i="24"/>
  <c r="I559" i="24" s="1"/>
  <c r="H560" i="24"/>
  <c r="G560" i="24"/>
  <c r="F560" i="24"/>
  <c r="F559" i="24" s="1"/>
  <c r="E560" i="24"/>
  <c r="E559" i="24" s="1"/>
  <c r="D560" i="24"/>
  <c r="D559" i="24" s="1"/>
  <c r="S559" i="24"/>
  <c r="S558" i="24"/>
  <c r="R558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S557" i="24"/>
  <c r="S556" i="24" s="1"/>
  <c r="R557" i="24"/>
  <c r="R556" i="24" s="1"/>
  <c r="Q557" i="24"/>
  <c r="Q556" i="24" s="1"/>
  <c r="P557" i="24"/>
  <c r="P556" i="24" s="1"/>
  <c r="O557" i="24"/>
  <c r="O556" i="24" s="1"/>
  <c r="N557" i="24"/>
  <c r="M557" i="24"/>
  <c r="M556" i="24" s="1"/>
  <c r="L557" i="24"/>
  <c r="L556" i="24" s="1"/>
  <c r="K557" i="24"/>
  <c r="J557" i="24"/>
  <c r="J556" i="24" s="1"/>
  <c r="I557" i="24"/>
  <c r="H557" i="24"/>
  <c r="G557" i="24"/>
  <c r="G556" i="24" s="1"/>
  <c r="F557" i="24"/>
  <c r="F556" i="24" s="1"/>
  <c r="E557" i="24"/>
  <c r="D557" i="24"/>
  <c r="D556" i="24" s="1"/>
  <c r="S555" i="24"/>
  <c r="R555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S554" i="24"/>
  <c r="R554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S553" i="24"/>
  <c r="S552" i="24" s="1"/>
  <c r="N220" i="42" s="1"/>
  <c r="F77" i="53" s="1"/>
  <c r="R553" i="24"/>
  <c r="Q553" i="24"/>
  <c r="P553" i="24"/>
  <c r="P552" i="24" s="1"/>
  <c r="O553" i="24"/>
  <c r="O552" i="24" s="1"/>
  <c r="N553" i="24"/>
  <c r="N552" i="24" s="1"/>
  <c r="M553" i="24"/>
  <c r="M552" i="24" s="1"/>
  <c r="L553" i="24"/>
  <c r="L552" i="24" s="1"/>
  <c r="K553" i="24"/>
  <c r="K552" i="24" s="1"/>
  <c r="J553" i="24"/>
  <c r="J552" i="24" s="1"/>
  <c r="I553" i="24"/>
  <c r="I552" i="24" s="1"/>
  <c r="H553" i="24"/>
  <c r="H552" i="24" s="1"/>
  <c r="G553" i="24"/>
  <c r="G552" i="24" s="1"/>
  <c r="F553" i="24"/>
  <c r="F552" i="24" s="1"/>
  <c r="E553" i="24"/>
  <c r="D553" i="24"/>
  <c r="D552" i="24" s="1"/>
  <c r="S551" i="24"/>
  <c r="R551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S550" i="24"/>
  <c r="S549" i="24" s="1"/>
  <c r="R550" i="24"/>
  <c r="Q550" i="24"/>
  <c r="Q549" i="24" s="1"/>
  <c r="P550" i="24"/>
  <c r="P549" i="24" s="1"/>
  <c r="O550" i="24"/>
  <c r="O549" i="24" s="1"/>
  <c r="N550" i="24"/>
  <c r="N549" i="24" s="1"/>
  <c r="M550" i="24"/>
  <c r="M549" i="24" s="1"/>
  <c r="L550" i="24"/>
  <c r="K550" i="24"/>
  <c r="K549" i="24" s="1"/>
  <c r="J550" i="24"/>
  <c r="J549" i="24" s="1"/>
  <c r="I550" i="24"/>
  <c r="I549" i="24" s="1"/>
  <c r="H550" i="24"/>
  <c r="H549" i="24" s="1"/>
  <c r="G550" i="24"/>
  <c r="G549" i="24" s="1"/>
  <c r="F550" i="24"/>
  <c r="F549" i="24" s="1"/>
  <c r="E550" i="24"/>
  <c r="E549" i="24" s="1"/>
  <c r="D550" i="24"/>
  <c r="D549" i="24" s="1"/>
  <c r="S548" i="24"/>
  <c r="R548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S547" i="24"/>
  <c r="R547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S546" i="24"/>
  <c r="R546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S545" i="24"/>
  <c r="S544" i="24" s="1"/>
  <c r="R545" i="24"/>
  <c r="R544" i="24" s="1"/>
  <c r="Q545" i="24"/>
  <c r="P545" i="24"/>
  <c r="P544" i="24" s="1"/>
  <c r="O545" i="24"/>
  <c r="N545" i="24"/>
  <c r="N544" i="24" s="1"/>
  <c r="M545" i="24"/>
  <c r="M544" i="24" s="1"/>
  <c r="L545" i="24"/>
  <c r="K545" i="24"/>
  <c r="K544" i="24" s="1"/>
  <c r="J545" i="24"/>
  <c r="I545" i="24"/>
  <c r="I544" i="24" s="1"/>
  <c r="H545" i="24"/>
  <c r="H544" i="24" s="1"/>
  <c r="G545" i="24"/>
  <c r="G544" i="24" s="1"/>
  <c r="F545" i="24"/>
  <c r="F544" i="24" s="1"/>
  <c r="E545" i="24"/>
  <c r="E544" i="24" s="1"/>
  <c r="D545" i="24"/>
  <c r="D544" i="24" s="1"/>
  <c r="S543" i="24"/>
  <c r="R543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S542" i="24"/>
  <c r="R542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S541" i="24"/>
  <c r="R541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S540" i="24"/>
  <c r="R540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S539" i="24"/>
  <c r="R539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S538" i="24"/>
  <c r="R538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S537" i="24"/>
  <c r="R537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S536" i="24"/>
  <c r="R536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S535" i="24"/>
  <c r="R535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S534" i="24"/>
  <c r="R534" i="24"/>
  <c r="R533" i="24" s="1"/>
  <c r="Q534" i="24"/>
  <c r="Q533" i="24" s="1"/>
  <c r="P534" i="24"/>
  <c r="P533" i="24" s="1"/>
  <c r="O534" i="24"/>
  <c r="N534" i="24"/>
  <c r="N533" i="24" s="1"/>
  <c r="M534" i="24"/>
  <c r="L534" i="24"/>
  <c r="L533" i="24" s="1"/>
  <c r="K534" i="24"/>
  <c r="K533" i="24" s="1"/>
  <c r="J534" i="24"/>
  <c r="I534" i="24"/>
  <c r="I533" i="24" s="1"/>
  <c r="H534" i="24"/>
  <c r="H533" i="24" s="1"/>
  <c r="G534" i="24"/>
  <c r="G533" i="24" s="1"/>
  <c r="F534" i="24"/>
  <c r="F533" i="24" s="1"/>
  <c r="E534" i="24"/>
  <c r="D534" i="24"/>
  <c r="D533" i="24" s="1"/>
  <c r="S532" i="24"/>
  <c r="R532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S531" i="24"/>
  <c r="R531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S530" i="24"/>
  <c r="R530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S529" i="24"/>
  <c r="R529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S528" i="24"/>
  <c r="R528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S527" i="24"/>
  <c r="R527" i="24"/>
  <c r="R526" i="24" s="1"/>
  <c r="Q527" i="24"/>
  <c r="Q526" i="24" s="1"/>
  <c r="P527" i="24"/>
  <c r="P526" i="24" s="1"/>
  <c r="O527" i="24"/>
  <c r="O526" i="24" s="1"/>
  <c r="N527" i="24"/>
  <c r="N526" i="24" s="1"/>
  <c r="M527" i="24"/>
  <c r="M526" i="24" s="1"/>
  <c r="L527" i="24"/>
  <c r="L526" i="24" s="1"/>
  <c r="K527" i="24"/>
  <c r="J527" i="24"/>
  <c r="I527" i="24"/>
  <c r="I526" i="24" s="1"/>
  <c r="H527" i="24"/>
  <c r="H526" i="24" s="1"/>
  <c r="G527" i="24"/>
  <c r="G526" i="24" s="1"/>
  <c r="F527" i="24"/>
  <c r="F526" i="24" s="1"/>
  <c r="E527" i="24"/>
  <c r="E526" i="24" s="1"/>
  <c r="D527" i="24"/>
  <c r="D526" i="24" s="1"/>
  <c r="S524" i="24"/>
  <c r="R524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S523" i="24"/>
  <c r="R523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S522" i="24"/>
  <c r="R522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S521" i="24"/>
  <c r="S525" i="24" s="1"/>
  <c r="R521" i="24"/>
  <c r="R525" i="24" s="1"/>
  <c r="R675" i="24" s="1"/>
  <c r="Q521" i="24"/>
  <c r="Q525" i="24" s="1"/>
  <c r="Q675" i="24" s="1"/>
  <c r="P521" i="24"/>
  <c r="P525" i="24" s="1"/>
  <c r="P675" i="24" s="1"/>
  <c r="O521" i="24"/>
  <c r="O525" i="24" s="1"/>
  <c r="O675" i="24" s="1"/>
  <c r="N521" i="24"/>
  <c r="N525" i="24" s="1"/>
  <c r="N675" i="24" s="1"/>
  <c r="M521" i="24"/>
  <c r="M525" i="24" s="1"/>
  <c r="M675" i="24" s="1"/>
  <c r="L521" i="24"/>
  <c r="K521" i="24"/>
  <c r="J521" i="24"/>
  <c r="I521" i="24"/>
  <c r="I525" i="24" s="1"/>
  <c r="I675" i="24" s="1"/>
  <c r="H521" i="24"/>
  <c r="H525" i="24" s="1"/>
  <c r="H675" i="24" s="1"/>
  <c r="G521" i="24"/>
  <c r="G525" i="24" s="1"/>
  <c r="G675" i="24" s="1"/>
  <c r="F521" i="24"/>
  <c r="F525" i="24" s="1"/>
  <c r="F675" i="24" s="1"/>
  <c r="E521" i="24"/>
  <c r="E525" i="24" s="1"/>
  <c r="E675" i="24" s="1"/>
  <c r="D521" i="24"/>
  <c r="D525" i="24" s="1"/>
  <c r="D675" i="24" s="1"/>
  <c r="S518" i="24"/>
  <c r="R518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S517" i="24"/>
  <c r="R517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S516" i="24"/>
  <c r="R516" i="24"/>
  <c r="Q516" i="24"/>
  <c r="Q520" i="24" s="1"/>
  <c r="Q676" i="24" s="1"/>
  <c r="P516" i="24"/>
  <c r="P520" i="24" s="1"/>
  <c r="P676" i="24" s="1"/>
  <c r="O516" i="24"/>
  <c r="O520" i="24" s="1"/>
  <c r="O676" i="24" s="1"/>
  <c r="N516" i="24"/>
  <c r="M516" i="24"/>
  <c r="M520" i="24" s="1"/>
  <c r="M676" i="24" s="1"/>
  <c r="L516" i="24"/>
  <c r="L520" i="24" s="1"/>
  <c r="L676" i="24" s="1"/>
  <c r="K516" i="24"/>
  <c r="J516" i="24"/>
  <c r="J520" i="24" s="1"/>
  <c r="J676" i="24" s="1"/>
  <c r="I516" i="24"/>
  <c r="H516" i="24"/>
  <c r="H520" i="24" s="1"/>
  <c r="H676" i="24" s="1"/>
  <c r="G516" i="24"/>
  <c r="G520" i="24" s="1"/>
  <c r="G676" i="24" s="1"/>
  <c r="F516" i="24"/>
  <c r="F520" i="24" s="1"/>
  <c r="F676" i="24" s="1"/>
  <c r="E516" i="24"/>
  <c r="D516" i="24"/>
  <c r="D520" i="24" s="1"/>
  <c r="D676" i="24" s="1"/>
  <c r="S514" i="24"/>
  <c r="R514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S513" i="24"/>
  <c r="R513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S512" i="24"/>
  <c r="R512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S511" i="24"/>
  <c r="R511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S510" i="24"/>
  <c r="R510" i="24"/>
  <c r="Q510" i="24"/>
  <c r="P510" i="24"/>
  <c r="O510" i="24"/>
  <c r="N510" i="24"/>
  <c r="M510" i="24"/>
  <c r="M509" i="24" s="1"/>
  <c r="L510" i="24"/>
  <c r="L509" i="24" s="1"/>
  <c r="K510" i="24"/>
  <c r="K509" i="24" s="1"/>
  <c r="J510" i="24"/>
  <c r="J509" i="24" s="1"/>
  <c r="I510" i="24"/>
  <c r="H510" i="24"/>
  <c r="H509" i="24" s="1"/>
  <c r="G510" i="24"/>
  <c r="G509" i="24" s="1"/>
  <c r="F510" i="24"/>
  <c r="F509" i="24" s="1"/>
  <c r="E510" i="24"/>
  <c r="E509" i="24" s="1"/>
  <c r="D510" i="24"/>
  <c r="D509" i="24" s="1"/>
  <c r="S508" i="24"/>
  <c r="R508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S507" i="24"/>
  <c r="R507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S506" i="24"/>
  <c r="R506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S505" i="24"/>
  <c r="R505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S504" i="24"/>
  <c r="N214" i="42" s="1"/>
  <c r="E55" i="53" s="1"/>
  <c r="R504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S503" i="24"/>
  <c r="R503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S502" i="24"/>
  <c r="R502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S501" i="24"/>
  <c r="N213" i="42" s="1"/>
  <c r="E54" i="53" s="1"/>
  <c r="R501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S500" i="24"/>
  <c r="R500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S499" i="24"/>
  <c r="R499" i="24"/>
  <c r="Q499" i="24"/>
  <c r="P499" i="24"/>
  <c r="O499" i="24"/>
  <c r="O498" i="24" s="1"/>
  <c r="N499" i="24"/>
  <c r="N498" i="24" s="1"/>
  <c r="M499" i="24"/>
  <c r="M498" i="24" s="1"/>
  <c r="L499" i="24"/>
  <c r="K499" i="24"/>
  <c r="J499" i="24"/>
  <c r="I499" i="24"/>
  <c r="H499" i="24"/>
  <c r="G499" i="24"/>
  <c r="G498" i="24" s="1"/>
  <c r="F499" i="24"/>
  <c r="F498" i="24" s="1"/>
  <c r="E499" i="24"/>
  <c r="E498" i="24" s="1"/>
  <c r="D499" i="24"/>
  <c r="S498" i="24"/>
  <c r="S496" i="24"/>
  <c r="R496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S495" i="24"/>
  <c r="R495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S494" i="24"/>
  <c r="R494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S493" i="24"/>
  <c r="R493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S492" i="24"/>
  <c r="R492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P509" i="24" l="1"/>
  <c r="I509" i="24"/>
  <c r="H559" i="24"/>
  <c r="Q544" i="24"/>
  <c r="N509" i="24"/>
  <c r="R572" i="24"/>
  <c r="H498" i="24"/>
  <c r="H515" i="24" s="1"/>
  <c r="H677" i="24" s="1"/>
  <c r="I520" i="24"/>
  <c r="I676" i="24" s="1"/>
  <c r="Q552" i="24"/>
  <c r="H208" i="48"/>
  <c r="E59" i="53"/>
  <c r="R549" i="24"/>
  <c r="K498" i="24"/>
  <c r="D498" i="24"/>
  <c r="D515" i="24" s="1"/>
  <c r="D677" i="24" s="1"/>
  <c r="P572" i="24"/>
  <c r="D497" i="24"/>
  <c r="D674" i="24" s="1"/>
  <c r="S509" i="24"/>
  <c r="S515" i="24" s="1"/>
  <c r="G559" i="24"/>
  <c r="G562" i="24" s="1"/>
  <c r="G678" i="24" s="1"/>
  <c r="L498" i="24"/>
  <c r="L515" i="24" s="1"/>
  <c r="L677" i="24" s="1"/>
  <c r="P567" i="24"/>
  <c r="J498" i="24"/>
  <c r="K525" i="24"/>
  <c r="K675" i="24" s="1"/>
  <c r="R509" i="24"/>
  <c r="J526" i="24"/>
  <c r="K520" i="24"/>
  <c r="K676" i="24" s="1"/>
  <c r="M533" i="24"/>
  <c r="S577" i="24"/>
  <c r="N232" i="42" s="1"/>
  <c r="F54" i="60" s="1"/>
  <c r="F81" i="60" s="1"/>
  <c r="F82" i="60" s="1"/>
  <c r="J525" i="24"/>
  <c r="J675" i="24" s="1"/>
  <c r="R520" i="24"/>
  <c r="R676" i="24" s="1"/>
  <c r="I498" i="24"/>
  <c r="I515" i="24" s="1"/>
  <c r="I677" i="24" s="1"/>
  <c r="O509" i="24"/>
  <c r="O515" i="24" s="1"/>
  <c r="O677" i="24" s="1"/>
  <c r="L544" i="24"/>
  <c r="Q498" i="24"/>
  <c r="M497" i="24"/>
  <c r="M674" i="24" s="1"/>
  <c r="J533" i="24"/>
  <c r="Q509" i="24"/>
  <c r="O533" i="24"/>
  <c r="R498" i="24"/>
  <c r="L549" i="24"/>
  <c r="R577" i="24"/>
  <c r="R682" i="24" s="1"/>
  <c r="R681" i="24" s="1"/>
  <c r="N216" i="42"/>
  <c r="S675" i="24"/>
  <c r="I556" i="24"/>
  <c r="I562" i="24" s="1"/>
  <c r="I678" i="24" s="1"/>
  <c r="S533" i="24"/>
  <c r="N219" i="42" s="1"/>
  <c r="F76" i="53" s="1"/>
  <c r="J544" i="24"/>
  <c r="N520" i="24"/>
  <c r="N676" i="24" s="1"/>
  <c r="L572" i="24"/>
  <c r="L577" i="24" s="1"/>
  <c r="L682" i="24" s="1"/>
  <c r="L681" i="24" s="1"/>
  <c r="M559" i="24"/>
  <c r="H556" i="24"/>
  <c r="R552" i="24"/>
  <c r="S526" i="24"/>
  <c r="N218" i="42" s="1"/>
  <c r="F75" i="53" s="1"/>
  <c r="Q572" i="24"/>
  <c r="Q577" i="24" s="1"/>
  <c r="Q682" i="24" s="1"/>
  <c r="Q681" i="24" s="1"/>
  <c r="L525" i="24"/>
  <c r="L675" i="24" s="1"/>
  <c r="K556" i="24"/>
  <c r="N497" i="24"/>
  <c r="N674" i="24" s="1"/>
  <c r="K526" i="24"/>
  <c r="H497" i="24"/>
  <c r="H674" i="24" s="1"/>
  <c r="O559" i="24"/>
  <c r="E552" i="24"/>
  <c r="F567" i="24"/>
  <c r="H572" i="24"/>
  <c r="H577" i="24" s="1"/>
  <c r="H682" i="24" s="1"/>
  <c r="H681" i="24" s="1"/>
  <c r="N225" i="42"/>
  <c r="F91" i="53" s="1"/>
  <c r="F94" i="53" s="1"/>
  <c r="D572" i="24"/>
  <c r="D577" i="24" s="1"/>
  <c r="D682" i="24" s="1"/>
  <c r="D681" i="24" s="1"/>
  <c r="K515" i="24"/>
  <c r="K677" i="24" s="1"/>
  <c r="N556" i="24"/>
  <c r="N562" i="24" s="1"/>
  <c r="N678" i="24" s="1"/>
  <c r="E515" i="24"/>
  <c r="E677" i="24" s="1"/>
  <c r="F497" i="24"/>
  <c r="F674" i="24" s="1"/>
  <c r="F515" i="24"/>
  <c r="F677" i="24" s="1"/>
  <c r="N515" i="24"/>
  <c r="N677" i="24" s="1"/>
  <c r="O497" i="24"/>
  <c r="O674" i="24" s="1"/>
  <c r="E520" i="24"/>
  <c r="E676" i="24" s="1"/>
  <c r="N572" i="24"/>
  <c r="N577" i="24" s="1"/>
  <c r="N682" i="24" s="1"/>
  <c r="N681" i="24" s="1"/>
  <c r="G515" i="24"/>
  <c r="G677" i="24" s="1"/>
  <c r="I577" i="24"/>
  <c r="I682" i="24" s="1"/>
  <c r="I681" i="24" s="1"/>
  <c r="G497" i="24"/>
  <c r="G674" i="24" s="1"/>
  <c r="J515" i="24"/>
  <c r="J677" i="24" s="1"/>
  <c r="S520" i="24"/>
  <c r="F53" i="60"/>
  <c r="F157" i="60" s="1"/>
  <c r="F52" i="65"/>
  <c r="F52" i="64"/>
  <c r="M572" i="24"/>
  <c r="M577" i="24" s="1"/>
  <c r="M682" i="24" s="1"/>
  <c r="M681" i="24" s="1"/>
  <c r="Q497" i="24"/>
  <c r="Q674" i="24" s="1"/>
  <c r="E556" i="24"/>
  <c r="O572" i="24"/>
  <c r="O577" i="24" s="1"/>
  <c r="O682" i="24" s="1"/>
  <c r="O681" i="24" s="1"/>
  <c r="M515" i="24"/>
  <c r="M677" i="24" s="1"/>
  <c r="P497" i="24"/>
  <c r="P674" i="24" s="1"/>
  <c r="P498" i="24"/>
  <c r="P515" i="24" s="1"/>
  <c r="P677" i="24" s="1"/>
  <c r="I497" i="24"/>
  <c r="I674" i="24" s="1"/>
  <c r="R497" i="24"/>
  <c r="R674" i="24" s="1"/>
  <c r="J577" i="24"/>
  <c r="J682" i="24" s="1"/>
  <c r="J681" i="24" s="1"/>
  <c r="E533" i="24"/>
  <c r="K577" i="24"/>
  <c r="K682" i="24" s="1"/>
  <c r="K681" i="24" s="1"/>
  <c r="F572" i="24"/>
  <c r="O544" i="24"/>
  <c r="E572" i="24"/>
  <c r="J497" i="24"/>
  <c r="J674" i="24" s="1"/>
  <c r="G572" i="24"/>
  <c r="G577" i="24" s="1"/>
  <c r="G682" i="24" s="1"/>
  <c r="G681" i="24" s="1"/>
  <c r="E567" i="24"/>
  <c r="F562" i="24"/>
  <c r="F678" i="24" s="1"/>
  <c r="E497" i="24"/>
  <c r="E674" i="24" s="1"/>
  <c r="K497" i="24"/>
  <c r="K674" i="24" s="1"/>
  <c r="S497" i="24"/>
  <c r="L497" i="24"/>
  <c r="L674" i="24" s="1"/>
  <c r="D562" i="24"/>
  <c r="D678" i="24" s="1"/>
  <c r="P562" i="24"/>
  <c r="P678" i="24" s="1"/>
  <c r="Q562" i="24"/>
  <c r="Q678" i="24" s="1"/>
  <c r="H562" i="24" l="1"/>
  <c r="H678" i="24" s="1"/>
  <c r="H680" i="24" s="1"/>
  <c r="M562" i="24"/>
  <c r="M678" i="24" s="1"/>
  <c r="M680" i="24" s="1"/>
  <c r="P577" i="24"/>
  <c r="P682" i="24" s="1"/>
  <c r="P681" i="24" s="1"/>
  <c r="R562" i="24"/>
  <c r="R678" i="24" s="1"/>
  <c r="F50" i="60"/>
  <c r="E57" i="53"/>
  <c r="S682" i="24"/>
  <c r="S681" i="24" s="1"/>
  <c r="R515" i="24"/>
  <c r="R677" i="24" s="1"/>
  <c r="J562" i="24"/>
  <c r="J678" i="24" s="1"/>
  <c r="J680" i="24" s="1"/>
  <c r="Q515" i="24"/>
  <c r="Q677" i="24" s="1"/>
  <c r="Q680" i="24" s="1"/>
  <c r="S562" i="24"/>
  <c r="N217" i="42" s="1"/>
  <c r="L562" i="24"/>
  <c r="L678" i="24" s="1"/>
  <c r="L680" i="24" s="1"/>
  <c r="K562" i="24"/>
  <c r="K678" i="24" s="1"/>
  <c r="K680" i="24" s="1"/>
  <c r="D680" i="24"/>
  <c r="F53" i="64"/>
  <c r="F80" i="64" s="1"/>
  <c r="F81" i="64" s="1"/>
  <c r="F152" i="64" s="1"/>
  <c r="H73" i="52"/>
  <c r="H205" i="48"/>
  <c r="F49" i="64"/>
  <c r="F53" i="65"/>
  <c r="F46" i="65" s="1"/>
  <c r="N211" i="42"/>
  <c r="S674" i="24"/>
  <c r="N215" i="42"/>
  <c r="S676" i="24"/>
  <c r="F680" i="24"/>
  <c r="I680" i="24"/>
  <c r="N212" i="42"/>
  <c r="S677" i="24"/>
  <c r="N680" i="24"/>
  <c r="P680" i="24"/>
  <c r="F49" i="65"/>
  <c r="G680" i="24"/>
  <c r="O562" i="24"/>
  <c r="O678" i="24" s="1"/>
  <c r="O680" i="24" s="1"/>
  <c r="F577" i="24"/>
  <c r="F682" i="24" s="1"/>
  <c r="F681" i="24" s="1"/>
  <c r="E577" i="24"/>
  <c r="E682" i="24" s="1"/>
  <c r="E681" i="24" s="1"/>
  <c r="E562" i="24"/>
  <c r="E678" i="24" s="1"/>
  <c r="E680" i="24" s="1"/>
  <c r="C18" i="59"/>
  <c r="F158" i="60"/>
  <c r="F151" i="64"/>
  <c r="F151" i="65"/>
  <c r="I6" i="52"/>
  <c r="R680" i="24" l="1"/>
  <c r="H69" i="52"/>
  <c r="E58" i="53"/>
  <c r="F74" i="53"/>
  <c r="F51" i="64"/>
  <c r="F127" i="64" s="1"/>
  <c r="E53" i="53"/>
  <c r="H204" i="48"/>
  <c r="E56" i="53"/>
  <c r="H203" i="48"/>
  <c r="E52" i="53"/>
  <c r="I61" i="52"/>
  <c r="F80" i="65"/>
  <c r="F81" i="65" s="1"/>
  <c r="F152" i="65" s="1"/>
  <c r="F46" i="64"/>
  <c r="F63" i="64" s="1"/>
  <c r="S678" i="24"/>
  <c r="S680" i="24" s="1"/>
  <c r="F52" i="60"/>
  <c r="F133" i="60" s="1"/>
  <c r="F47" i="65"/>
  <c r="F115" i="65" s="1"/>
  <c r="F117" i="65" s="1"/>
  <c r="F47" i="64"/>
  <c r="F115" i="64" s="1"/>
  <c r="F116" i="64" s="1"/>
  <c r="F164" i="64" s="1"/>
  <c r="F48" i="60"/>
  <c r="F121" i="60" s="1"/>
  <c r="F122" i="60" s="1"/>
  <c r="F170" i="60" s="1"/>
  <c r="F48" i="64"/>
  <c r="F51" i="65"/>
  <c r="F127" i="65" s="1"/>
  <c r="H207" i="48"/>
  <c r="N222" i="42"/>
  <c r="F50" i="65"/>
  <c r="F123" i="65" s="1"/>
  <c r="F48" i="65"/>
  <c r="F49" i="60"/>
  <c r="H206" i="48"/>
  <c r="F50" i="64"/>
  <c r="F123" i="64" s="1"/>
  <c r="F51" i="60"/>
  <c r="F129" i="60" s="1"/>
  <c r="F64" i="65"/>
  <c r="F8" i="65" s="1"/>
  <c r="F63" i="65"/>
  <c r="F11" i="65"/>
  <c r="F78" i="53" l="1"/>
  <c r="E60" i="53"/>
  <c r="F43" i="53"/>
  <c r="F11" i="64"/>
  <c r="F116" i="65"/>
  <c r="F164" i="65" s="1"/>
  <c r="F64" i="64"/>
  <c r="F8" i="64" s="1"/>
  <c r="N355" i="42"/>
  <c r="N234" i="42"/>
  <c r="F123" i="60"/>
  <c r="H71" i="52"/>
  <c r="F117" i="64"/>
  <c r="N236" i="42"/>
  <c r="F56" i="60"/>
  <c r="O250" i="42"/>
  <c r="M250" i="42"/>
  <c r="L250" i="42"/>
  <c r="K250" i="42"/>
  <c r="J250" i="42"/>
  <c r="O249" i="42"/>
  <c r="M249" i="42"/>
  <c r="L249" i="42"/>
  <c r="K249" i="42"/>
  <c r="J249" i="42"/>
  <c r="H213" i="48" l="1"/>
  <c r="F96" i="53"/>
  <c r="H52" i="48"/>
  <c r="H102" i="52"/>
  <c r="F57" i="60"/>
  <c r="F47" i="60"/>
  <c r="C29" i="59" s="1"/>
  <c r="O248" i="42"/>
  <c r="M248" i="42"/>
  <c r="L248" i="42"/>
  <c r="K248" i="42"/>
  <c r="J248" i="42"/>
  <c r="O247" i="42"/>
  <c r="M247" i="42"/>
  <c r="L247" i="42"/>
  <c r="K247" i="42"/>
  <c r="J247" i="42"/>
  <c r="O246" i="42"/>
  <c r="M246" i="42"/>
  <c r="L246" i="42"/>
  <c r="K246" i="42"/>
  <c r="J246" i="42"/>
  <c r="O244" i="42"/>
  <c r="M244" i="42"/>
  <c r="L244" i="42"/>
  <c r="K244" i="42"/>
  <c r="J244" i="42"/>
  <c r="O243" i="42"/>
  <c r="M243" i="42"/>
  <c r="L243" i="42"/>
  <c r="K243" i="42"/>
  <c r="J243" i="42"/>
  <c r="O242" i="42"/>
  <c r="M242" i="42"/>
  <c r="L242" i="42"/>
  <c r="K242" i="42"/>
  <c r="J242" i="42"/>
  <c r="O241" i="42"/>
  <c r="M241" i="42"/>
  <c r="L241" i="42"/>
  <c r="K241" i="42"/>
  <c r="J241" i="42"/>
  <c r="O240" i="42"/>
  <c r="M240" i="42"/>
  <c r="L240" i="42"/>
  <c r="K240" i="42"/>
  <c r="J240" i="42"/>
  <c r="F64" i="60" l="1"/>
  <c r="F12" i="60"/>
  <c r="C34" i="59" s="1"/>
  <c r="F65" i="60"/>
  <c r="J239" i="42"/>
  <c r="L245" i="42"/>
  <c r="K245" i="42"/>
  <c r="M245" i="42"/>
  <c r="L239" i="42"/>
  <c r="M239" i="42"/>
  <c r="K239" i="42"/>
  <c r="J245" i="42"/>
  <c r="C33" i="59" l="1"/>
  <c r="B76" i="59" s="1"/>
  <c r="N374" i="42"/>
  <c r="F8" i="60"/>
  <c r="B180" i="59" s="1"/>
  <c r="B241" i="59"/>
  <c r="G241" i="59" s="1"/>
  <c r="B70" i="59"/>
  <c r="J238" i="42"/>
  <c r="L238" i="42"/>
  <c r="D80" i="53" s="1"/>
  <c r="K238" i="42"/>
  <c r="M238" i="42"/>
  <c r="E80" i="53" s="1"/>
  <c r="H135" i="48" l="1"/>
  <c r="H302" i="48"/>
  <c r="Q103" i="55"/>
  <c r="B55" i="59"/>
  <c r="H241" i="59"/>
  <c r="G180" i="59"/>
  <c r="H180" i="59"/>
  <c r="O230" i="42"/>
  <c r="G93" i="53" s="1"/>
  <c r="O229" i="42"/>
  <c r="G92" i="53" s="1"/>
  <c r="O228" i="42"/>
  <c r="O226" i="42"/>
  <c r="O224" i="42"/>
  <c r="O209" i="42"/>
  <c r="O208" i="42"/>
  <c r="O203" i="42"/>
  <c r="I180" i="48" s="1"/>
  <c r="O202" i="42"/>
  <c r="O200" i="42"/>
  <c r="I182" i="48" s="1"/>
  <c r="O199" i="42"/>
  <c r="I181" i="48" s="1"/>
  <c r="O197" i="42"/>
  <c r="I176" i="48" s="1"/>
  <c r="O195" i="42"/>
  <c r="I177" i="48" s="1"/>
  <c r="O194" i="42"/>
  <c r="I175" i="48" s="1"/>
  <c r="O192" i="42"/>
  <c r="G44" i="53" s="1"/>
  <c r="O191" i="42"/>
  <c r="O189" i="42"/>
  <c r="O139" i="42"/>
  <c r="O136" i="42"/>
  <c r="O135" i="42"/>
  <c r="O134" i="42"/>
  <c r="O133" i="42"/>
  <c r="G121" i="53" s="1"/>
  <c r="O130" i="42"/>
  <c r="O129" i="42"/>
  <c r="O128" i="42"/>
  <c r="O123" i="42"/>
  <c r="O122" i="42"/>
  <c r="O121" i="42"/>
  <c r="O120" i="42"/>
  <c r="O119" i="42"/>
  <c r="O118" i="42"/>
  <c r="O117" i="42"/>
  <c r="G117" i="53" s="1"/>
  <c r="O116" i="42"/>
  <c r="I143" i="48" s="1"/>
  <c r="AD143" i="48" s="1"/>
  <c r="O115" i="42"/>
  <c r="G131" i="53" s="1"/>
  <c r="O114" i="42"/>
  <c r="O113" i="42"/>
  <c r="O111" i="42"/>
  <c r="O110" i="42"/>
  <c r="O109" i="42"/>
  <c r="O108" i="42"/>
  <c r="O107" i="42"/>
  <c r="O106" i="42"/>
  <c r="O105" i="42"/>
  <c r="O104" i="42"/>
  <c r="O103" i="42"/>
  <c r="O101" i="42"/>
  <c r="O100" i="42"/>
  <c r="O99" i="42"/>
  <c r="O98" i="42"/>
  <c r="O97" i="42"/>
  <c r="O96" i="42"/>
  <c r="O95" i="42"/>
  <c r="O94" i="42"/>
  <c r="O93" i="42"/>
  <c r="O84" i="42"/>
  <c r="O68" i="42"/>
  <c r="O67" i="42"/>
  <c r="O66" i="42"/>
  <c r="O166" i="42"/>
  <c r="O164" i="42"/>
  <c r="F205" i="53" s="1"/>
  <c r="O163" i="42"/>
  <c r="O161" i="42"/>
  <c r="F204" i="53" s="1"/>
  <c r="O157" i="42"/>
  <c r="O144" i="42"/>
  <c r="O156" i="42"/>
  <c r="O155" i="42"/>
  <c r="I282" i="48" s="1"/>
  <c r="O154" i="42"/>
  <c r="I281" i="48" s="1"/>
  <c r="O152" i="42"/>
  <c r="O151" i="42"/>
  <c r="O150" i="42"/>
  <c r="F195" i="53" s="1"/>
  <c r="O149" i="42"/>
  <c r="O148" i="42"/>
  <c r="O82" i="42"/>
  <c r="O81" i="42"/>
  <c r="O80" i="42"/>
  <c r="O79" i="42"/>
  <c r="I168" i="48" s="1"/>
  <c r="O78" i="42"/>
  <c r="O77" i="42"/>
  <c r="O76" i="42"/>
  <c r="O75" i="42"/>
  <c r="O74" i="42"/>
  <c r="O73" i="42"/>
  <c r="I167" i="48" s="1"/>
  <c r="O72" i="42"/>
  <c r="O58" i="42"/>
  <c r="O57" i="42"/>
  <c r="Y352" i="42" s="1"/>
  <c r="N53" i="48" s="1"/>
  <c r="M178" i="42"/>
  <c r="O178" i="42"/>
  <c r="O307" i="42"/>
  <c r="O306" i="42"/>
  <c r="O298" i="42"/>
  <c r="O297" i="42"/>
  <c r="O296" i="42"/>
  <c r="O295" i="42"/>
  <c r="O291" i="42"/>
  <c r="O290" i="42"/>
  <c r="O289" i="42"/>
  <c r="O288" i="42"/>
  <c r="O287" i="42"/>
  <c r="I83" i="48"/>
  <c r="O269" i="42"/>
  <c r="G149" i="53" s="1"/>
  <c r="O267" i="42"/>
  <c r="O263" i="42"/>
  <c r="G35" i="53" s="1"/>
  <c r="O262" i="42"/>
  <c r="G34" i="53" s="1"/>
  <c r="F144" i="53" l="1"/>
  <c r="G118" i="53"/>
  <c r="G122" i="53" s="1"/>
  <c r="I21" i="52"/>
  <c r="F203" i="53"/>
  <c r="F141" i="53"/>
  <c r="G119" i="53"/>
  <c r="I291" i="48"/>
  <c r="F199" i="53"/>
  <c r="I20" i="52"/>
  <c r="F196" i="53"/>
  <c r="G120" i="53"/>
  <c r="F142" i="53"/>
  <c r="I278" i="48"/>
  <c r="I292" i="48" s="1"/>
  <c r="F200" i="53"/>
  <c r="G79" i="53"/>
  <c r="G95" i="53"/>
  <c r="W352" i="42"/>
  <c r="N214" i="48" s="1"/>
  <c r="X352" i="42"/>
  <c r="I299" i="48"/>
  <c r="I91" i="48"/>
  <c r="Z353" i="42"/>
  <c r="Z352" i="42"/>
  <c r="I165" i="48"/>
  <c r="I169" i="48" s="1"/>
  <c r="I99" i="48"/>
  <c r="I112" i="48"/>
  <c r="I26" i="48"/>
  <c r="I293" i="48"/>
  <c r="I265" i="48"/>
  <c r="AD265" i="48" s="1"/>
  <c r="I18" i="52"/>
  <c r="AD182" i="48"/>
  <c r="AD181" i="48"/>
  <c r="AD175" i="48"/>
  <c r="AD176" i="48"/>
  <c r="AD177" i="48"/>
  <c r="G92" i="65"/>
  <c r="G92" i="64"/>
  <c r="G98" i="60"/>
  <c r="G77" i="64"/>
  <c r="G77" i="65"/>
  <c r="G78" i="60"/>
  <c r="G54" i="65"/>
  <c r="G54" i="64"/>
  <c r="G94" i="65"/>
  <c r="G94" i="64"/>
  <c r="G100" i="60"/>
  <c r="G28" i="60"/>
  <c r="G147" i="60" s="1"/>
  <c r="G27" i="65"/>
  <c r="G27" i="64"/>
  <c r="G29" i="60"/>
  <c r="H148" i="60" s="1"/>
  <c r="G28" i="65"/>
  <c r="G28" i="64"/>
  <c r="G114" i="64"/>
  <c r="G114" i="65"/>
  <c r="G120" i="60"/>
  <c r="G119" i="60" s="1"/>
  <c r="G55" i="60"/>
  <c r="D30" i="59" s="1"/>
  <c r="I74" i="52"/>
  <c r="I270" i="48"/>
  <c r="AD270" i="48" s="1"/>
  <c r="O204" i="42"/>
  <c r="I49" i="48"/>
  <c r="I210" i="48"/>
  <c r="I103" i="48"/>
  <c r="I286" i="48"/>
  <c r="I285" i="48"/>
  <c r="I102" i="48"/>
  <c r="V348" i="42"/>
  <c r="O348" i="42" s="1"/>
  <c r="O309" i="42"/>
  <c r="O301" i="42"/>
  <c r="G211" i="53" l="1"/>
  <c r="G124" i="67"/>
  <c r="I264" i="48"/>
  <c r="F143" i="53"/>
  <c r="K99" i="52"/>
  <c r="K214" i="48"/>
  <c r="K13" i="48"/>
  <c r="K74" i="48"/>
  <c r="K53" i="48"/>
  <c r="K304" i="48"/>
  <c r="I185" i="48"/>
  <c r="I64" i="52"/>
  <c r="G40" i="60"/>
  <c r="G30" i="60"/>
  <c r="C149" i="60" s="1"/>
  <c r="H40" i="60"/>
  <c r="G148" i="60"/>
  <c r="H147" i="60"/>
  <c r="G36" i="60"/>
  <c r="G142" i="65"/>
  <c r="H142" i="65"/>
  <c r="G34" i="64"/>
  <c r="G124" i="64"/>
  <c r="H125" i="64" s="1"/>
  <c r="H149" i="64" s="1"/>
  <c r="G141" i="64"/>
  <c r="G128" i="64"/>
  <c r="H129" i="64" s="1"/>
  <c r="H150" i="64" s="1"/>
  <c r="G39" i="64"/>
  <c r="G29" i="64"/>
  <c r="C143" i="64" s="1"/>
  <c r="G35" i="64"/>
  <c r="H39" i="64"/>
  <c r="H141" i="64"/>
  <c r="G34" i="65"/>
  <c r="G128" i="65"/>
  <c r="H129" i="65" s="1"/>
  <c r="H150" i="65" s="1"/>
  <c r="G141" i="65"/>
  <c r="G124" i="65"/>
  <c r="G39" i="65"/>
  <c r="H39" i="65"/>
  <c r="G29" i="65"/>
  <c r="C143" i="65" s="1"/>
  <c r="G35" i="65"/>
  <c r="H141" i="65"/>
  <c r="D10" i="59"/>
  <c r="G145" i="60"/>
  <c r="G36" i="64"/>
  <c r="H81" i="64"/>
  <c r="H152" i="64" s="1"/>
  <c r="G35" i="60"/>
  <c r="G113" i="65"/>
  <c r="G139" i="65" s="1"/>
  <c r="G101" i="60"/>
  <c r="D21" i="59" s="1"/>
  <c r="G168" i="60"/>
  <c r="H168" i="60"/>
  <c r="H101" i="60"/>
  <c r="E21" i="59" s="1"/>
  <c r="G104" i="60"/>
  <c r="G99" i="60"/>
  <c r="D20" i="59" s="1"/>
  <c r="G167" i="60"/>
  <c r="H99" i="60"/>
  <c r="E20" i="59" s="1"/>
  <c r="H167" i="60"/>
  <c r="G37" i="60"/>
  <c r="C152" i="60" s="1"/>
  <c r="H82" i="60"/>
  <c r="G153" i="64"/>
  <c r="H153" i="64"/>
  <c r="G153" i="65"/>
  <c r="H153" i="65"/>
  <c r="G36" i="65"/>
  <c r="H81" i="65"/>
  <c r="H152" i="65" s="1"/>
  <c r="G134" i="60"/>
  <c r="H135" i="60" s="1"/>
  <c r="G130" i="60"/>
  <c r="H131" i="60" s="1"/>
  <c r="G113" i="64"/>
  <c r="G139" i="64" s="1"/>
  <c r="G95" i="64"/>
  <c r="G162" i="64"/>
  <c r="H95" i="64"/>
  <c r="H162" i="64"/>
  <c r="G161" i="64"/>
  <c r="G98" i="64"/>
  <c r="G19" i="64" s="1"/>
  <c r="G93" i="64"/>
  <c r="H93" i="64"/>
  <c r="H161" i="64"/>
  <c r="G142" i="64"/>
  <c r="H142" i="64"/>
  <c r="G95" i="65"/>
  <c r="G162" i="65"/>
  <c r="H95" i="65"/>
  <c r="H162" i="65"/>
  <c r="G98" i="65"/>
  <c r="G19" i="65" s="1"/>
  <c r="G161" i="65"/>
  <c r="G93" i="65"/>
  <c r="H161" i="65"/>
  <c r="H93" i="65"/>
  <c r="H159" i="60"/>
  <c r="E12" i="59" s="1"/>
  <c r="G159" i="60"/>
  <c r="D12" i="59" s="1"/>
  <c r="R120" i="55"/>
  <c r="I17" i="48"/>
  <c r="I172" i="48"/>
  <c r="I130" i="48"/>
  <c r="I94" i="48"/>
  <c r="I284" i="48"/>
  <c r="I82" i="48"/>
  <c r="I173" i="48" l="1"/>
  <c r="E18" i="59"/>
  <c r="H158" i="60"/>
  <c r="H125" i="65"/>
  <c r="H149" i="65" s="1"/>
  <c r="G152" i="60"/>
  <c r="G146" i="65"/>
  <c r="C146" i="65"/>
  <c r="D42" i="59"/>
  <c r="C63" i="59" s="1"/>
  <c r="C78" i="59" s="1"/>
  <c r="C98" i="59" s="1"/>
  <c r="G21" i="60"/>
  <c r="B268" i="59" s="1"/>
  <c r="G146" i="64"/>
  <c r="C146" i="64"/>
  <c r="E14" i="59"/>
  <c r="H156" i="60"/>
  <c r="H155" i="60"/>
  <c r="E13" i="59"/>
  <c r="I255" i="48"/>
  <c r="O87" i="42"/>
  <c r="V88" i="42"/>
  <c r="O88" i="42" s="1"/>
  <c r="G129" i="53" s="1"/>
  <c r="V90" i="42"/>
  <c r="O90" i="42" s="1"/>
  <c r="G133" i="53" s="1"/>
  <c r="O193" i="42"/>
  <c r="O162" i="42"/>
  <c r="V89" i="42"/>
  <c r="O89" i="42" s="1"/>
  <c r="G132" i="53" s="1"/>
  <c r="V69" i="42"/>
  <c r="O69" i="42" s="1"/>
  <c r="V71" i="42"/>
  <c r="O71" i="42" s="1"/>
  <c r="V131" i="42"/>
  <c r="O131" i="42" s="1"/>
  <c r="V207" i="42"/>
  <c r="O207" i="42" s="1"/>
  <c r="O146" i="42"/>
  <c r="F198" i="53" s="1"/>
  <c r="O142" i="42"/>
  <c r="F193" i="53" s="1"/>
  <c r="O198" i="42"/>
  <c r="V86" i="42"/>
  <c r="O86" i="42" s="1"/>
  <c r="O140" i="42"/>
  <c r="I170" i="48" s="1"/>
  <c r="T576" i="24"/>
  <c r="T575" i="24"/>
  <c r="T574" i="24"/>
  <c r="T573" i="24"/>
  <c r="T571" i="24"/>
  <c r="T570" i="24"/>
  <c r="T569" i="24"/>
  <c r="T568" i="24"/>
  <c r="T566" i="24"/>
  <c r="O227" i="42" s="1"/>
  <c r="T561" i="24"/>
  <c r="T560" i="24"/>
  <c r="T558" i="24"/>
  <c r="T557" i="24"/>
  <c r="T555" i="24"/>
  <c r="T554" i="24"/>
  <c r="T553" i="24"/>
  <c r="T551" i="24"/>
  <c r="T550" i="24"/>
  <c r="T548" i="24"/>
  <c r="T547" i="24"/>
  <c r="T546" i="24"/>
  <c r="T545" i="24"/>
  <c r="T543" i="24"/>
  <c r="T542" i="24"/>
  <c r="T541" i="24"/>
  <c r="T540" i="24"/>
  <c r="T539" i="24"/>
  <c r="T538" i="24"/>
  <c r="T537" i="24"/>
  <c r="T536" i="24"/>
  <c r="T535" i="24"/>
  <c r="T534" i="24"/>
  <c r="T532" i="24"/>
  <c r="T531" i="24"/>
  <c r="T530" i="24"/>
  <c r="T529" i="24"/>
  <c r="T528" i="24"/>
  <c r="T527" i="24"/>
  <c r="T524" i="24"/>
  <c r="T523" i="24"/>
  <c r="T522" i="24"/>
  <c r="T521" i="24"/>
  <c r="T518" i="24"/>
  <c r="T517" i="24"/>
  <c r="T516" i="24"/>
  <c r="T514" i="24"/>
  <c r="T513" i="24"/>
  <c r="T512" i="24"/>
  <c r="T511" i="24"/>
  <c r="T510" i="24"/>
  <c r="T508" i="24"/>
  <c r="T507" i="24"/>
  <c r="T506" i="24"/>
  <c r="T505" i="24"/>
  <c r="T504" i="24"/>
  <c r="O214" i="42" s="1"/>
  <c r="F55" i="53" s="1"/>
  <c r="T503" i="24"/>
  <c r="T502" i="24"/>
  <c r="T501" i="24"/>
  <c r="O213" i="42" s="1"/>
  <c r="F54" i="53" s="1"/>
  <c r="T500" i="24"/>
  <c r="T499" i="24"/>
  <c r="T496" i="24"/>
  <c r="T495" i="24"/>
  <c r="T494" i="24"/>
  <c r="T493" i="24"/>
  <c r="T492" i="24"/>
  <c r="T484" i="24"/>
  <c r="T483" i="24"/>
  <c r="T482" i="24"/>
  <c r="T481" i="24"/>
  <c r="T480" i="24"/>
  <c r="T479" i="24"/>
  <c r="T478" i="24"/>
  <c r="T477" i="24"/>
  <c r="T476" i="24"/>
  <c r="T475" i="24"/>
  <c r="T474" i="24"/>
  <c r="T473" i="24"/>
  <c r="T472" i="24"/>
  <c r="T471" i="24"/>
  <c r="T470" i="24"/>
  <c r="T469" i="24"/>
  <c r="T468" i="24"/>
  <c r="T467" i="24"/>
  <c r="T466" i="24"/>
  <c r="T465" i="24"/>
  <c r="T464" i="24"/>
  <c r="T463" i="24"/>
  <c r="T462" i="24"/>
  <c r="T461" i="24"/>
  <c r="T460" i="24"/>
  <c r="T459" i="24"/>
  <c r="T458" i="24"/>
  <c r="T15" i="24"/>
  <c r="T4" i="24"/>
  <c r="T5" i="24" s="1"/>
  <c r="T3" i="24"/>
  <c r="T12" i="24" s="1"/>
  <c r="T7" i="24" s="1"/>
  <c r="T519" i="22"/>
  <c r="T518" i="22"/>
  <c r="T517" i="22"/>
  <c r="T516" i="22"/>
  <c r="T515" i="22"/>
  <c r="T513" i="22"/>
  <c r="T511" i="22"/>
  <c r="T510" i="22"/>
  <c r="T509" i="22"/>
  <c r="T505" i="22"/>
  <c r="T504" i="22"/>
  <c r="T503" i="22"/>
  <c r="T502" i="22"/>
  <c r="T501" i="22"/>
  <c r="T500" i="22"/>
  <c r="T499" i="22"/>
  <c r="T498" i="22"/>
  <c r="T496" i="22"/>
  <c r="T495" i="22"/>
  <c r="T493" i="22"/>
  <c r="O171" i="42" s="1"/>
  <c r="T492" i="22"/>
  <c r="O170" i="42" s="1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7" i="22"/>
  <c r="T466" i="22"/>
  <c r="T465" i="22"/>
  <c r="T464" i="22"/>
  <c r="T3" i="22"/>
  <c r="T9" i="22" s="1"/>
  <c r="G128" i="53" l="1"/>
  <c r="G115" i="53"/>
  <c r="F207" i="53"/>
  <c r="I193" i="53" s="1"/>
  <c r="G116" i="53"/>
  <c r="G130" i="53"/>
  <c r="AD178" i="48"/>
  <c r="G46" i="53"/>
  <c r="AD183" i="48"/>
  <c r="G45" i="53"/>
  <c r="I141" i="48"/>
  <c r="AD141" i="48" s="1"/>
  <c r="J135" i="60"/>
  <c r="J133" i="60" s="1"/>
  <c r="J14" i="59"/>
  <c r="T497" i="24"/>
  <c r="T520" i="24"/>
  <c r="T676" i="24" s="1"/>
  <c r="T512" i="22"/>
  <c r="AD173" i="48"/>
  <c r="O143" i="42"/>
  <c r="G33" i="60"/>
  <c r="G39" i="60" s="1"/>
  <c r="G32" i="65"/>
  <c r="G32" i="64"/>
  <c r="G268" i="59"/>
  <c r="H268" i="59"/>
  <c r="G32" i="60"/>
  <c r="G38" i="60" s="1"/>
  <c r="G31" i="65"/>
  <c r="G31" i="64"/>
  <c r="T525" i="24"/>
  <c r="T549" i="24"/>
  <c r="T556" i="24"/>
  <c r="T497" i="22"/>
  <c r="T506" i="22" s="1"/>
  <c r="O175" i="42" s="1"/>
  <c r="V225" i="42"/>
  <c r="O225" i="42" s="1"/>
  <c r="G91" i="53" s="1"/>
  <c r="G94" i="53" s="1"/>
  <c r="V172" i="42"/>
  <c r="O172" i="42" s="1"/>
  <c r="T508" i="22"/>
  <c r="T552" i="24"/>
  <c r="O220" i="42" s="1"/>
  <c r="G77" i="53" s="1"/>
  <c r="T572" i="24"/>
  <c r="O215" i="42"/>
  <c r="T559" i="24"/>
  <c r="O167" i="42"/>
  <c r="T526" i="24"/>
  <c r="O218" i="42" s="1"/>
  <c r="G75" i="53" s="1"/>
  <c r="T533" i="24"/>
  <c r="O219" i="42" s="1"/>
  <c r="G76" i="53" s="1"/>
  <c r="O221" i="42"/>
  <c r="T509" i="24"/>
  <c r="T498" i="24"/>
  <c r="T9" i="24"/>
  <c r="T544" i="24"/>
  <c r="T567" i="24"/>
  <c r="T5" i="22"/>
  <c r="T11" i="24"/>
  <c r="T6" i="24" s="1"/>
  <c r="T13" i="24"/>
  <c r="T8" i="24" s="1"/>
  <c r="T7" i="22"/>
  <c r="T8" i="22"/>
  <c r="T10" i="22" s="1"/>
  <c r="I198" i="53" l="1"/>
  <c r="I15" i="52"/>
  <c r="F194" i="53"/>
  <c r="I194" i="53" s="1"/>
  <c r="I197" i="53"/>
  <c r="I207" i="53"/>
  <c r="I206" i="53"/>
  <c r="I201" i="53"/>
  <c r="I202" i="53"/>
  <c r="I204" i="53"/>
  <c r="I195" i="53"/>
  <c r="I205" i="53"/>
  <c r="I203" i="53"/>
  <c r="I196" i="53"/>
  <c r="I200" i="53"/>
  <c r="I199" i="53"/>
  <c r="I296" i="48"/>
  <c r="G215" i="53"/>
  <c r="G134" i="53"/>
  <c r="I208" i="48"/>
  <c r="F59" i="53"/>
  <c r="I204" i="48"/>
  <c r="F56" i="53"/>
  <c r="O211" i="42"/>
  <c r="T674" i="24"/>
  <c r="O216" i="42"/>
  <c r="T675" i="24"/>
  <c r="M14" i="59"/>
  <c r="I150" i="65" s="1"/>
  <c r="I129" i="65" s="1"/>
  <c r="G14" i="59"/>
  <c r="I150" i="64" s="1"/>
  <c r="I129" i="64" s="1"/>
  <c r="K135" i="60"/>
  <c r="K133" i="60" s="1"/>
  <c r="K52" i="60" s="1"/>
  <c r="K14" i="59"/>
  <c r="T520" i="22"/>
  <c r="O176" i="42" s="1"/>
  <c r="G150" i="60"/>
  <c r="H150" i="60"/>
  <c r="H151" i="60"/>
  <c r="G53" i="60"/>
  <c r="G157" i="60" s="1"/>
  <c r="G52" i="65"/>
  <c r="G52" i="64"/>
  <c r="G151" i="60"/>
  <c r="G144" i="64"/>
  <c r="G37" i="64"/>
  <c r="H144" i="64"/>
  <c r="G38" i="64"/>
  <c r="G145" i="64"/>
  <c r="H145" i="64"/>
  <c r="G144" i="65"/>
  <c r="G37" i="65"/>
  <c r="H144" i="65"/>
  <c r="G38" i="65"/>
  <c r="G145" i="65"/>
  <c r="H145" i="65"/>
  <c r="G49" i="60"/>
  <c r="G153" i="60" s="1"/>
  <c r="D15" i="59" s="1"/>
  <c r="G48" i="65"/>
  <c r="G48" i="64"/>
  <c r="I190" i="48"/>
  <c r="I43" i="48"/>
  <c r="I47" i="48"/>
  <c r="I194" i="48"/>
  <c r="I131" i="48"/>
  <c r="I174" i="48"/>
  <c r="I179" i="48"/>
  <c r="I132" i="48"/>
  <c r="V168" i="42"/>
  <c r="O168" i="42" s="1"/>
  <c r="V174" i="42"/>
  <c r="O174" i="42" s="1"/>
  <c r="G214" i="53" s="1"/>
  <c r="T515" i="24"/>
  <c r="T577" i="24"/>
  <c r="T682" i="24" s="1"/>
  <c r="T681" i="24" s="1"/>
  <c r="T562" i="24"/>
  <c r="T4" i="22"/>
  <c r="K348" i="42"/>
  <c r="E17" i="48" s="1"/>
  <c r="I297" i="48" l="1"/>
  <c r="G216" i="53"/>
  <c r="I205" i="48"/>
  <c r="F57" i="53"/>
  <c r="I203" i="48"/>
  <c r="F52" i="53"/>
  <c r="I44" i="48"/>
  <c r="G50" i="60"/>
  <c r="G154" i="60" s="1"/>
  <c r="D16" i="59" s="1"/>
  <c r="I191" i="48"/>
  <c r="G49" i="64"/>
  <c r="G148" i="64" s="1"/>
  <c r="G49" i="65"/>
  <c r="G148" i="65" s="1"/>
  <c r="O217" i="42"/>
  <c r="T678" i="24"/>
  <c r="O212" i="42"/>
  <c r="T677" i="24"/>
  <c r="G48" i="60"/>
  <c r="G121" i="60" s="1"/>
  <c r="G123" i="60" s="1"/>
  <c r="G124" i="60" s="1"/>
  <c r="G47" i="64"/>
  <c r="G115" i="64" s="1"/>
  <c r="G116" i="64" s="1"/>
  <c r="G164" i="64" s="1"/>
  <c r="G47" i="65"/>
  <c r="G115" i="65" s="1"/>
  <c r="G116" i="65" s="1"/>
  <c r="G164" i="65" s="1"/>
  <c r="I42" i="48"/>
  <c r="I189" i="48"/>
  <c r="I127" i="65"/>
  <c r="N14" i="59"/>
  <c r="J150" i="65" s="1"/>
  <c r="J129" i="65" s="1"/>
  <c r="J127" i="65" s="1"/>
  <c r="J51" i="65" s="1"/>
  <c r="H14" i="59"/>
  <c r="J150" i="64" s="1"/>
  <c r="J129" i="64" s="1"/>
  <c r="J127" i="64" s="1"/>
  <c r="J51" i="64" s="1"/>
  <c r="L135" i="60"/>
  <c r="L14" i="59"/>
  <c r="J52" i="60"/>
  <c r="I127" i="64"/>
  <c r="R122" i="55"/>
  <c r="I295" i="48"/>
  <c r="H153" i="60"/>
  <c r="E15" i="59" s="1"/>
  <c r="G147" i="65"/>
  <c r="H147" i="65"/>
  <c r="G151" i="64"/>
  <c r="C151" i="64"/>
  <c r="G151" i="65"/>
  <c r="C151" i="65"/>
  <c r="G147" i="64"/>
  <c r="H147" i="64"/>
  <c r="O232" i="42"/>
  <c r="I73" i="52" s="1"/>
  <c r="E94" i="48"/>
  <c r="E284" i="48"/>
  <c r="V222" i="42"/>
  <c r="I207" i="48" l="1"/>
  <c r="F53" i="53"/>
  <c r="I69" i="52"/>
  <c r="F58" i="53"/>
  <c r="G74" i="53"/>
  <c r="H154" i="60"/>
  <c r="E16" i="59" s="1"/>
  <c r="H148" i="65"/>
  <c r="H148" i="64"/>
  <c r="T680" i="24"/>
  <c r="I192" i="48"/>
  <c r="I193" i="48"/>
  <c r="I206" i="48"/>
  <c r="I45" i="48"/>
  <c r="I46" i="48"/>
  <c r="G50" i="64"/>
  <c r="G123" i="64" s="1"/>
  <c r="G125" i="64" s="1"/>
  <c r="G149" i="64" s="1"/>
  <c r="G50" i="65"/>
  <c r="G123" i="65" s="1"/>
  <c r="G125" i="65" s="1"/>
  <c r="G149" i="65" s="1"/>
  <c r="G51" i="60"/>
  <c r="G129" i="60" s="1"/>
  <c r="G131" i="60" s="1"/>
  <c r="D13" i="59" s="1"/>
  <c r="G51" i="64"/>
  <c r="G127" i="64" s="1"/>
  <c r="G129" i="64" s="1"/>
  <c r="G150" i="64" s="1"/>
  <c r="H124" i="60"/>
  <c r="G51" i="65"/>
  <c r="G127" i="65" s="1"/>
  <c r="G129" i="65" s="1"/>
  <c r="G150" i="65" s="1"/>
  <c r="G52" i="60"/>
  <c r="G133" i="60" s="1"/>
  <c r="G135" i="60" s="1"/>
  <c r="D14" i="59" s="1"/>
  <c r="G122" i="60"/>
  <c r="G170" i="60" s="1"/>
  <c r="G117" i="64"/>
  <c r="G118" i="64" s="1"/>
  <c r="G117" i="65"/>
  <c r="H118" i="65" s="1"/>
  <c r="L133" i="60"/>
  <c r="M135" i="60"/>
  <c r="I14" i="59"/>
  <c r="K150" i="64" s="1"/>
  <c r="K129" i="64" s="1"/>
  <c r="O14" i="59"/>
  <c r="K150" i="65" s="1"/>
  <c r="K129" i="65" s="1"/>
  <c r="I51" i="64"/>
  <c r="I51" i="65"/>
  <c r="J53" i="60"/>
  <c r="G53" i="65"/>
  <c r="G80" i="65" s="1"/>
  <c r="G53" i="64"/>
  <c r="G80" i="64" s="1"/>
  <c r="I52" i="65"/>
  <c r="I52" i="64"/>
  <c r="O222" i="42"/>
  <c r="V355" i="42"/>
  <c r="I218" i="48"/>
  <c r="G54" i="60"/>
  <c r="G81" i="60" s="1"/>
  <c r="K53" i="60"/>
  <c r="L53" i="60"/>
  <c r="V234" i="42"/>
  <c r="O233" i="42"/>
  <c r="G78" i="53" l="1"/>
  <c r="F60" i="53"/>
  <c r="I58" i="53" s="1"/>
  <c r="G43" i="53"/>
  <c r="G118" i="65"/>
  <c r="G155" i="60"/>
  <c r="H118" i="64"/>
  <c r="G156" i="60"/>
  <c r="L52" i="60"/>
  <c r="M52" i="60" s="1"/>
  <c r="M133" i="60"/>
  <c r="K127" i="65"/>
  <c r="L129" i="65"/>
  <c r="K127" i="64"/>
  <c r="L129" i="64"/>
  <c r="I71" i="52"/>
  <c r="J52" i="65"/>
  <c r="K52" i="65"/>
  <c r="K52" i="64"/>
  <c r="J52" i="64"/>
  <c r="G81" i="64"/>
  <c r="G152" i="64" s="1"/>
  <c r="I209" i="48"/>
  <c r="G56" i="60"/>
  <c r="G47" i="60" s="1"/>
  <c r="G55" i="65"/>
  <c r="G55" i="64"/>
  <c r="G81" i="65"/>
  <c r="G152" i="65" s="1"/>
  <c r="I195" i="48"/>
  <c r="AD195" i="48" s="1"/>
  <c r="AE195" i="48" s="1"/>
  <c r="M53" i="60"/>
  <c r="G82" i="60"/>
  <c r="D18" i="59" s="1"/>
  <c r="O234" i="42"/>
  <c r="I121" i="48" s="1"/>
  <c r="V236" i="42"/>
  <c r="O236" i="42" s="1"/>
  <c r="I211" i="48"/>
  <c r="E65" i="48"/>
  <c r="G105" i="48"/>
  <c r="G288" i="48"/>
  <c r="F65" i="48"/>
  <c r="D288" i="48"/>
  <c r="D105" i="48"/>
  <c r="D65" i="48"/>
  <c r="G65" i="48"/>
  <c r="E288" i="48"/>
  <c r="E105" i="48"/>
  <c r="F105" i="48"/>
  <c r="F288" i="48"/>
  <c r="D71" i="48"/>
  <c r="M191" i="42"/>
  <c r="M30" i="42" s="1"/>
  <c r="L191" i="42"/>
  <c r="L30" i="42" s="1"/>
  <c r="K191" i="42"/>
  <c r="K30" i="42" s="1"/>
  <c r="J191" i="42"/>
  <c r="J30" i="42" s="1"/>
  <c r="M189" i="42"/>
  <c r="L189" i="42"/>
  <c r="K189" i="42"/>
  <c r="J189" i="42"/>
  <c r="V26" i="42"/>
  <c r="O26" i="42" s="1"/>
  <c r="M58" i="42"/>
  <c r="L58" i="42"/>
  <c r="K58" i="42"/>
  <c r="K300" i="42" s="1"/>
  <c r="J58" i="42"/>
  <c r="J26" i="42" s="1"/>
  <c r="O25" i="42"/>
  <c r="M57" i="42"/>
  <c r="L57" i="42"/>
  <c r="K57" i="42"/>
  <c r="J57" i="42"/>
  <c r="J25" i="42" s="1"/>
  <c r="I53" i="53" l="1"/>
  <c r="D29" i="59"/>
  <c r="C6" i="66"/>
  <c r="I60" i="53"/>
  <c r="I54" i="53"/>
  <c r="I55" i="53"/>
  <c r="I56" i="53"/>
  <c r="I59" i="53"/>
  <c r="I52" i="53"/>
  <c r="I57" i="53"/>
  <c r="L352" i="42"/>
  <c r="D85" i="53" s="1"/>
  <c r="K352" i="42"/>
  <c r="M352" i="42"/>
  <c r="N352" i="42"/>
  <c r="K353" i="42"/>
  <c r="M353" i="42"/>
  <c r="E86" i="53" s="1"/>
  <c r="E306" i="48"/>
  <c r="E71" i="48"/>
  <c r="E47" i="52"/>
  <c r="L26" i="42"/>
  <c r="L300" i="42"/>
  <c r="L353" i="42"/>
  <c r="D86" i="53" s="1"/>
  <c r="M26" i="42"/>
  <c r="N353" i="42"/>
  <c r="F86" i="53" s="1"/>
  <c r="M300" i="42"/>
  <c r="K51" i="65"/>
  <c r="L51" i="65" s="1"/>
  <c r="L127" i="65"/>
  <c r="K51" i="64"/>
  <c r="L51" i="64" s="1"/>
  <c r="L127" i="64"/>
  <c r="M25" i="42"/>
  <c r="L25" i="42"/>
  <c r="K25" i="42"/>
  <c r="K26" i="42"/>
  <c r="L52" i="65"/>
  <c r="G57" i="60"/>
  <c r="G46" i="64"/>
  <c r="G56" i="64"/>
  <c r="G46" i="65"/>
  <c r="G56" i="65"/>
  <c r="L52" i="64"/>
  <c r="G65" i="60"/>
  <c r="G12" i="60"/>
  <c r="D34" i="59" s="1"/>
  <c r="G64" i="60"/>
  <c r="G158" i="60"/>
  <c r="I122" i="48"/>
  <c r="V30" i="42"/>
  <c r="O30" i="42" s="1"/>
  <c r="D519" i="22"/>
  <c r="D518" i="22"/>
  <c r="D517" i="22"/>
  <c r="D516" i="22"/>
  <c r="D515" i="22"/>
  <c r="D513" i="22"/>
  <c r="D511" i="22"/>
  <c r="D510" i="22"/>
  <c r="D509" i="22"/>
  <c r="S519" i="22"/>
  <c r="S518" i="22"/>
  <c r="S517" i="22"/>
  <c r="S516" i="22"/>
  <c r="S515" i="22"/>
  <c r="S513" i="22"/>
  <c r="S511" i="22"/>
  <c r="S509" i="22"/>
  <c r="F85" i="53" l="1"/>
  <c r="F116" i="67"/>
  <c r="E85" i="53"/>
  <c r="E116" i="67"/>
  <c r="D33" i="59"/>
  <c r="C76" i="59" s="1"/>
  <c r="O374" i="42"/>
  <c r="S512" i="22"/>
  <c r="G306" i="48"/>
  <c r="G47" i="52"/>
  <c r="G71" i="48"/>
  <c r="F66" i="64"/>
  <c r="F21" i="64" s="1"/>
  <c r="F66" i="65"/>
  <c r="F21" i="65" s="1"/>
  <c r="F67" i="60"/>
  <c r="F306" i="48"/>
  <c r="F71" i="48"/>
  <c r="F47" i="52"/>
  <c r="F66" i="60"/>
  <c r="F65" i="65"/>
  <c r="F10" i="65" s="1"/>
  <c r="H74" i="48"/>
  <c r="F65" i="64"/>
  <c r="F10" i="64" s="1"/>
  <c r="H13" i="48"/>
  <c r="S508" i="22"/>
  <c r="G64" i="65"/>
  <c r="G8" i="65" s="1"/>
  <c r="G63" i="65"/>
  <c r="G11" i="65"/>
  <c r="G11" i="64"/>
  <c r="G64" i="64"/>
  <c r="G8" i="64" s="1"/>
  <c r="G63" i="64"/>
  <c r="G8" i="60"/>
  <c r="B181" i="59" s="1"/>
  <c r="B242" i="59"/>
  <c r="H242" i="59" s="1"/>
  <c r="C70" i="59"/>
  <c r="C86" i="59" s="1"/>
  <c r="C75" i="59"/>
  <c r="C96" i="59" s="1"/>
  <c r="D512" i="22"/>
  <c r="L176" i="42"/>
  <c r="K176" i="42"/>
  <c r="E297" i="48" s="1"/>
  <c r="D508" i="22"/>
  <c r="D504" i="22"/>
  <c r="D503" i="22"/>
  <c r="D502" i="22"/>
  <c r="D501" i="22"/>
  <c r="D500" i="22"/>
  <c r="D499" i="22"/>
  <c r="D498" i="22"/>
  <c r="D496" i="22"/>
  <c r="D495" i="22"/>
  <c r="S505" i="22"/>
  <c r="S504" i="22"/>
  <c r="S503" i="22"/>
  <c r="S502" i="22"/>
  <c r="S501" i="22"/>
  <c r="S500" i="22"/>
  <c r="S499" i="22"/>
  <c r="S498" i="22"/>
  <c r="S496" i="22"/>
  <c r="S495" i="22"/>
  <c r="D493" i="22"/>
  <c r="J171" i="42" s="1"/>
  <c r="D492" i="22"/>
  <c r="J170" i="42" s="1"/>
  <c r="K171" i="42"/>
  <c r="K170" i="42"/>
  <c r="L171" i="42"/>
  <c r="L170" i="42"/>
  <c r="S493" i="22"/>
  <c r="N171" i="42" s="1"/>
  <c r="S492" i="22"/>
  <c r="N170" i="42" s="1"/>
  <c r="F297" i="48" l="1"/>
  <c r="D216" i="53"/>
  <c r="S520" i="22"/>
  <c r="N176" i="42" s="1"/>
  <c r="R103" i="55"/>
  <c r="I135" i="48"/>
  <c r="I302" i="48"/>
  <c r="F22" i="60"/>
  <c r="C36" i="59"/>
  <c r="C97" i="59"/>
  <c r="C94" i="59"/>
  <c r="C35" i="59"/>
  <c r="B79" i="59" s="1"/>
  <c r="B60" i="59" s="1"/>
  <c r="F11" i="60"/>
  <c r="B124" i="59" s="1"/>
  <c r="C55" i="59"/>
  <c r="C61" i="59"/>
  <c r="G242" i="59"/>
  <c r="H181" i="59"/>
  <c r="G181" i="59"/>
  <c r="M170" i="42"/>
  <c r="M176" i="42"/>
  <c r="M171" i="42"/>
  <c r="D520" i="22"/>
  <c r="J176" i="42" s="1"/>
  <c r="D297" i="48" s="1"/>
  <c r="L175" i="42"/>
  <c r="D215" i="53" s="1"/>
  <c r="K175" i="42"/>
  <c r="D497" i="22"/>
  <c r="D506" i="22" s="1"/>
  <c r="J175" i="42" s="1"/>
  <c r="D296" i="48" s="1"/>
  <c r="S497" i="22"/>
  <c r="J227" i="42"/>
  <c r="K227" i="42"/>
  <c r="L227" i="42"/>
  <c r="M227" i="42"/>
  <c r="M230" i="42"/>
  <c r="E93" i="53" s="1"/>
  <c r="L230" i="42"/>
  <c r="D93" i="53" s="1"/>
  <c r="K230" i="42"/>
  <c r="J230" i="42"/>
  <c r="M229" i="42"/>
  <c r="E92" i="53" s="1"/>
  <c r="L229" i="42"/>
  <c r="D92" i="53" s="1"/>
  <c r="K229" i="42"/>
  <c r="J229" i="42"/>
  <c r="M228" i="42"/>
  <c r="L228" i="42"/>
  <c r="K228" i="42"/>
  <c r="J228" i="42"/>
  <c r="M226" i="42"/>
  <c r="L226" i="42"/>
  <c r="K226" i="42"/>
  <c r="J226" i="42"/>
  <c r="M224" i="42"/>
  <c r="M223" i="42" s="1"/>
  <c r="M356" i="42" s="1"/>
  <c r="E117" i="67" s="1"/>
  <c r="L117" i="67" s="1"/>
  <c r="K117" i="67" s="1"/>
  <c r="F13" i="67" s="1"/>
  <c r="R12" i="60" s="1"/>
  <c r="L224" i="42"/>
  <c r="L223" i="42" s="1"/>
  <c r="L356" i="42" s="1"/>
  <c r="K224" i="42"/>
  <c r="J224" i="42"/>
  <c r="J223" i="42" s="1"/>
  <c r="J356" i="42" s="1"/>
  <c r="J214" i="42"/>
  <c r="J213" i="42"/>
  <c r="K214" i="42"/>
  <c r="K213" i="42"/>
  <c r="L214" i="42"/>
  <c r="L213" i="42"/>
  <c r="M214" i="42"/>
  <c r="D55" i="53" s="1"/>
  <c r="M213" i="42"/>
  <c r="D54" i="53" s="1"/>
  <c r="I13" i="67" l="1"/>
  <c r="G13" i="67"/>
  <c r="K360" i="42"/>
  <c r="K223" i="42"/>
  <c r="K356" i="42" s="1"/>
  <c r="S356" i="42" s="1"/>
  <c r="G297" i="48"/>
  <c r="E216" i="53"/>
  <c r="H297" i="48"/>
  <c r="F216" i="53"/>
  <c r="L360" i="42"/>
  <c r="D79" i="53"/>
  <c r="D95" i="53"/>
  <c r="M360" i="42"/>
  <c r="E95" i="53"/>
  <c r="E79" i="53"/>
  <c r="D74" i="52"/>
  <c r="J360" i="42"/>
  <c r="G124" i="59"/>
  <c r="H124" i="59"/>
  <c r="L174" i="42"/>
  <c r="F296" i="48"/>
  <c r="K174" i="42"/>
  <c r="E295" i="48" s="1"/>
  <c r="E296" i="48"/>
  <c r="D54" i="64"/>
  <c r="D54" i="65"/>
  <c r="C54" i="65"/>
  <c r="C54" i="64"/>
  <c r="E54" i="65"/>
  <c r="E54" i="64"/>
  <c r="C55" i="60"/>
  <c r="E74" i="52"/>
  <c r="D55" i="60"/>
  <c r="C159" i="60" s="1"/>
  <c r="F74" i="52"/>
  <c r="E55" i="60"/>
  <c r="B30" i="59" s="1"/>
  <c r="G74" i="52"/>
  <c r="M74" i="52" s="1"/>
  <c r="M175" i="42"/>
  <c r="E215" i="53" s="1"/>
  <c r="N172" i="42"/>
  <c r="J174" i="42"/>
  <c r="D295" i="48" s="1"/>
  <c r="S506" i="22"/>
  <c r="N175" i="42" s="1"/>
  <c r="F215" i="53" s="1"/>
  <c r="AD194" i="48"/>
  <c r="AE194" i="48" s="1"/>
  <c r="F295" i="48" l="1"/>
  <c r="D214" i="53"/>
  <c r="N174" i="42"/>
  <c r="H296" i="48"/>
  <c r="M174" i="42"/>
  <c r="G296" i="48"/>
  <c r="E153" i="64"/>
  <c r="F153" i="64"/>
  <c r="E153" i="65"/>
  <c r="F153" i="65"/>
  <c r="D153" i="64"/>
  <c r="C153" i="64"/>
  <c r="C153" i="65"/>
  <c r="D153" i="65"/>
  <c r="J12" i="59"/>
  <c r="J30" i="59"/>
  <c r="B75" i="59"/>
  <c r="D159" i="60"/>
  <c r="E159" i="60"/>
  <c r="B12" i="59" s="1"/>
  <c r="D7" i="48"/>
  <c r="D48" i="48"/>
  <c r="F159" i="60"/>
  <c r="C12" i="59" s="1"/>
  <c r="L232" i="42"/>
  <c r="F73" i="52" s="1"/>
  <c r="J232" i="42"/>
  <c r="D73" i="52" s="1"/>
  <c r="I19" i="52"/>
  <c r="I250" i="48"/>
  <c r="I85" i="52"/>
  <c r="I84" i="52"/>
  <c r="I82" i="52"/>
  <c r="I80" i="52"/>
  <c r="I75" i="52"/>
  <c r="I68" i="52"/>
  <c r="I65" i="52"/>
  <c r="I67" i="52"/>
  <c r="I244" i="48"/>
  <c r="AD244" i="48" s="1"/>
  <c r="I23" i="52"/>
  <c r="I13" i="52"/>
  <c r="I11" i="52"/>
  <c r="I10" i="52"/>
  <c r="I2" i="48"/>
  <c r="I5" i="52"/>
  <c r="O368" i="42"/>
  <c r="G123" i="67" s="1"/>
  <c r="O358" i="42"/>
  <c r="I12" i="48" s="1"/>
  <c r="O357" i="42"/>
  <c r="O351" i="42"/>
  <c r="I256" i="48"/>
  <c r="I235" i="48"/>
  <c r="I234" i="48"/>
  <c r="I233" i="48"/>
  <c r="I149" i="48"/>
  <c r="O355" i="42"/>
  <c r="G96" i="53" s="1"/>
  <c r="O254" i="42"/>
  <c r="G73" i="53" s="1"/>
  <c r="I21" i="67" l="1"/>
  <c r="I22" i="67" s="1"/>
  <c r="H22" i="67" s="1"/>
  <c r="G295" i="48"/>
  <c r="E214" i="53"/>
  <c r="H295" i="48"/>
  <c r="F214" i="53"/>
  <c r="I46" i="52"/>
  <c r="G181" i="53"/>
  <c r="I12" i="52"/>
  <c r="I60" i="52"/>
  <c r="I63" i="52"/>
  <c r="I16" i="52"/>
  <c r="Z362" i="42"/>
  <c r="P362" i="42" s="1"/>
  <c r="J105" i="52" s="1"/>
  <c r="K105" i="52"/>
  <c r="I102" i="52"/>
  <c r="I213" i="48"/>
  <c r="B61" i="59"/>
  <c r="O21" i="42"/>
  <c r="O352" i="42"/>
  <c r="O353" i="42"/>
  <c r="G86" i="53" s="1"/>
  <c r="D54" i="60"/>
  <c r="D81" i="60" s="1"/>
  <c r="D82" i="60" s="1"/>
  <c r="D158" i="60" s="1"/>
  <c r="D53" i="64"/>
  <c r="D53" i="65"/>
  <c r="K55" i="60"/>
  <c r="K30" i="59" s="1"/>
  <c r="M12" i="59"/>
  <c r="G12" i="59"/>
  <c r="L12" i="59"/>
  <c r="K12" i="59"/>
  <c r="R118" i="55"/>
  <c r="I14" i="48"/>
  <c r="R109" i="55"/>
  <c r="I52" i="48"/>
  <c r="AD149" i="48"/>
  <c r="V340" i="42"/>
  <c r="I97" i="52"/>
  <c r="I30" i="52"/>
  <c r="V29" i="42"/>
  <c r="O29" i="42" s="1"/>
  <c r="H248" i="48"/>
  <c r="I272" i="48"/>
  <c r="AD272" i="48" s="1"/>
  <c r="I269" i="48"/>
  <c r="AD269" i="48" s="1"/>
  <c r="I27" i="52"/>
  <c r="I1" i="48"/>
  <c r="AD1" i="48" s="1"/>
  <c r="I7" i="52"/>
  <c r="I66" i="52"/>
  <c r="I271" i="48"/>
  <c r="AD271" i="48" s="1"/>
  <c r="I78" i="52"/>
  <c r="AD264" i="48"/>
  <c r="I263" i="48"/>
  <c r="AD263" i="48" s="1"/>
  <c r="I241" i="48"/>
  <c r="AD241" i="48" s="1"/>
  <c r="I145" i="48"/>
  <c r="I125" i="48"/>
  <c r="I144" i="48"/>
  <c r="AD144" i="48" s="1"/>
  <c r="I124" i="48"/>
  <c r="AD190" i="48"/>
  <c r="AE190" i="48" s="1"/>
  <c r="AD138" i="48"/>
  <c r="AD191" i="48"/>
  <c r="AE191" i="48" s="1"/>
  <c r="AD139" i="48"/>
  <c r="I146" i="48"/>
  <c r="AD146" i="48" s="1"/>
  <c r="AD192" i="48"/>
  <c r="AE192" i="48" s="1"/>
  <c r="I275" i="48"/>
  <c r="AD275" i="48" s="1"/>
  <c r="I246" i="48"/>
  <c r="AD246" i="48" s="1"/>
  <c r="I231" i="48"/>
  <c r="AD189" i="48"/>
  <c r="AE189" i="48" s="1"/>
  <c r="AD185" i="48"/>
  <c r="AE173" i="48" s="1"/>
  <c r="AD193" i="48"/>
  <c r="AE193" i="48" s="1"/>
  <c r="I142" i="48"/>
  <c r="AD142" i="48" s="1"/>
  <c r="I161" i="48"/>
  <c r="AD161" i="48" s="1"/>
  <c r="M232" i="42"/>
  <c r="G73" i="52" s="1"/>
  <c r="M73" i="52" s="1"/>
  <c r="K232" i="42"/>
  <c r="E73" i="52" s="1"/>
  <c r="V239" i="42"/>
  <c r="O239" i="42" s="1"/>
  <c r="O350" i="42"/>
  <c r="V366" i="42"/>
  <c r="O299" i="42"/>
  <c r="V245" i="42"/>
  <c r="O245" i="42" s="1"/>
  <c r="G85" i="53" l="1"/>
  <c r="G116" i="67"/>
  <c r="Z364" i="42"/>
  <c r="G84" i="53"/>
  <c r="G168" i="53"/>
  <c r="H170" i="53" s="1"/>
  <c r="I305" i="48"/>
  <c r="G213" i="53"/>
  <c r="AD145" i="48"/>
  <c r="AE145" i="48" s="1"/>
  <c r="I166" i="48"/>
  <c r="I22" i="52"/>
  <c r="I77" i="52"/>
  <c r="I31" i="52"/>
  <c r="M31" i="52" s="1"/>
  <c r="I32" i="48"/>
  <c r="I33" i="48" s="1"/>
  <c r="I212" i="48"/>
  <c r="I303" i="48"/>
  <c r="AE246" i="48"/>
  <c r="AE243" i="48"/>
  <c r="AE245" i="48"/>
  <c r="AE242" i="48"/>
  <c r="AE244" i="48"/>
  <c r="G60" i="60"/>
  <c r="AE181" i="48"/>
  <c r="AE182" i="48"/>
  <c r="AE183" i="48"/>
  <c r="AE185" i="48"/>
  <c r="AE176" i="48"/>
  <c r="AE175" i="48"/>
  <c r="AE177" i="48"/>
  <c r="AE178" i="48"/>
  <c r="I148" i="48"/>
  <c r="AD148" i="48" s="1"/>
  <c r="AE148" i="48" s="1"/>
  <c r="AE149" i="48"/>
  <c r="AE147" i="48"/>
  <c r="AE143" i="48"/>
  <c r="AE141" i="48"/>
  <c r="I247" i="48"/>
  <c r="I51" i="48"/>
  <c r="I9" i="48"/>
  <c r="G59" i="64"/>
  <c r="H72" i="64" s="1"/>
  <c r="H155" i="64" s="1"/>
  <c r="G59" i="65"/>
  <c r="H72" i="65" s="1"/>
  <c r="H155" i="65" s="1"/>
  <c r="G66" i="65"/>
  <c r="G21" i="65" s="1"/>
  <c r="G66" i="64"/>
  <c r="G21" i="64" s="1"/>
  <c r="G67" i="60"/>
  <c r="G65" i="64"/>
  <c r="G10" i="64" s="1"/>
  <c r="G65" i="65"/>
  <c r="G10" i="65" s="1"/>
  <c r="E54" i="60"/>
  <c r="E81" i="60" s="1"/>
  <c r="E82" i="60" s="1"/>
  <c r="B18" i="59" s="1"/>
  <c r="E53" i="65"/>
  <c r="E53" i="64"/>
  <c r="D80" i="64"/>
  <c r="D81" i="64" s="1"/>
  <c r="D152" i="64" s="1"/>
  <c r="D46" i="64"/>
  <c r="G96" i="65"/>
  <c r="G96" i="64"/>
  <c r="G102" i="60"/>
  <c r="C9" i="66" s="1"/>
  <c r="D80" i="65"/>
  <c r="D81" i="65" s="1"/>
  <c r="D152" i="65" s="1"/>
  <c r="D46" i="65"/>
  <c r="C54" i="60"/>
  <c r="C81" i="60" s="1"/>
  <c r="C53" i="65"/>
  <c r="C53" i="64"/>
  <c r="I153" i="65"/>
  <c r="I54" i="65" s="1"/>
  <c r="I153" i="64"/>
  <c r="H12" i="59"/>
  <c r="N12" i="59"/>
  <c r="L55" i="60"/>
  <c r="L30" i="59" s="1"/>
  <c r="I12" i="59"/>
  <c r="O12" i="59"/>
  <c r="I18" i="48"/>
  <c r="I70" i="48"/>
  <c r="AE139" i="48"/>
  <c r="AE142" i="48"/>
  <c r="AE146" i="48"/>
  <c r="AE138" i="48"/>
  <c r="AE144" i="48"/>
  <c r="J128" i="48"/>
  <c r="J127" i="48"/>
  <c r="O359" i="42"/>
  <c r="O292" i="42"/>
  <c r="G151" i="53" s="1"/>
  <c r="I260" i="48"/>
  <c r="I107" i="48"/>
  <c r="I290" i="48"/>
  <c r="I289" i="48"/>
  <c r="I97" i="48"/>
  <c r="I288" i="48"/>
  <c r="I105" i="48"/>
  <c r="I62" i="52"/>
  <c r="I38" i="52"/>
  <c r="I44" i="52"/>
  <c r="M44" i="52" s="1"/>
  <c r="I257" i="48"/>
  <c r="I70" i="52"/>
  <c r="AE241" i="48"/>
  <c r="I262" i="48"/>
  <c r="AD262" i="48" s="1"/>
  <c r="I51" i="52"/>
  <c r="I29" i="52"/>
  <c r="I49" i="52"/>
  <c r="I83" i="52"/>
  <c r="I81" i="52"/>
  <c r="I274" i="48"/>
  <c r="AD274" i="48" s="1"/>
  <c r="I267" i="48"/>
  <c r="AD267" i="48" s="1"/>
  <c r="I157" i="48"/>
  <c r="AD157" i="48" s="1"/>
  <c r="I140" i="48"/>
  <c r="AD140" i="48" s="1"/>
  <c r="AE140" i="48" s="1"/>
  <c r="I90" i="48"/>
  <c r="AD179" i="48"/>
  <c r="AE179" i="48" s="1"/>
  <c r="AD163" i="48"/>
  <c r="AE163" i="48" s="1"/>
  <c r="I237" i="48"/>
  <c r="I238" i="48" s="1"/>
  <c r="I160" i="48"/>
  <c r="AD160" i="48" s="1"/>
  <c r="I156" i="48"/>
  <c r="AD156" i="48" s="1"/>
  <c r="AD174" i="48"/>
  <c r="AE174" i="48" s="1"/>
  <c r="AD172" i="48"/>
  <c r="AE172" i="48" s="1"/>
  <c r="I186" i="48"/>
  <c r="I73" i="48"/>
  <c r="I158" i="48"/>
  <c r="I159" i="48"/>
  <c r="AD159" i="48" s="1"/>
  <c r="V341" i="42"/>
  <c r="O341" i="42" s="1"/>
  <c r="O293" i="42"/>
  <c r="V343" i="42"/>
  <c r="O343" i="42" s="1"/>
  <c r="G152" i="53" s="1"/>
  <c r="V345" i="42"/>
  <c r="O340" i="42"/>
  <c r="G118" i="67" s="1"/>
  <c r="V365" i="42"/>
  <c r="O365" i="42" s="1"/>
  <c r="O300" i="42"/>
  <c r="I306" i="48" s="1"/>
  <c r="I266" i="48"/>
  <c r="AD266" i="48" s="1"/>
  <c r="V238" i="42"/>
  <c r="V360" i="42" s="1"/>
  <c r="M368" i="42"/>
  <c r="L368" i="42"/>
  <c r="D181" i="53" s="1"/>
  <c r="K368" i="42"/>
  <c r="J368" i="42"/>
  <c r="E181" i="53" l="1"/>
  <c r="E123" i="67"/>
  <c r="L123" i="67" s="1"/>
  <c r="K123" i="67" s="1"/>
  <c r="F21" i="67" s="1"/>
  <c r="D32" i="59"/>
  <c r="C71" i="59" s="1"/>
  <c r="C87" i="59" s="1"/>
  <c r="C7" i="66"/>
  <c r="R114" i="55"/>
  <c r="G153" i="53"/>
  <c r="I223" i="48"/>
  <c r="I224" i="48" s="1"/>
  <c r="G150" i="53"/>
  <c r="I95" i="52"/>
  <c r="I66" i="48"/>
  <c r="R115" i="55"/>
  <c r="O345" i="42"/>
  <c r="I67" i="48" s="1"/>
  <c r="V344" i="42"/>
  <c r="O344" i="42" s="1"/>
  <c r="H73" i="60"/>
  <c r="H161" i="60" s="1"/>
  <c r="AE151" i="48"/>
  <c r="E14" i="48"/>
  <c r="E46" i="52"/>
  <c r="F14" i="48"/>
  <c r="F46" i="52"/>
  <c r="D14" i="48"/>
  <c r="D46" i="52"/>
  <c r="G14" i="48"/>
  <c r="G46" i="52"/>
  <c r="M46" i="52" s="1"/>
  <c r="I71" i="48"/>
  <c r="I47" i="52"/>
  <c r="M47" i="52" s="1"/>
  <c r="D36" i="59"/>
  <c r="G22" i="60"/>
  <c r="G163" i="65"/>
  <c r="G97" i="65"/>
  <c r="H97" i="65"/>
  <c r="H163" i="65"/>
  <c r="G99" i="65"/>
  <c r="G20" i="65" s="1"/>
  <c r="D63" i="64"/>
  <c r="D11" i="64"/>
  <c r="D64" i="64"/>
  <c r="D8" i="64" s="1"/>
  <c r="D11" i="65"/>
  <c r="D64" i="65"/>
  <c r="D8" i="65" s="1"/>
  <c r="D63" i="65"/>
  <c r="E80" i="64"/>
  <c r="E81" i="64" s="1"/>
  <c r="E152" i="64" s="1"/>
  <c r="C152" i="64" s="1"/>
  <c r="E46" i="64"/>
  <c r="I64" i="48"/>
  <c r="G79" i="64"/>
  <c r="G79" i="65"/>
  <c r="G80" i="60"/>
  <c r="D28" i="59"/>
  <c r="D41" i="59" s="1"/>
  <c r="C74" i="59" s="1"/>
  <c r="C89" i="59" s="1"/>
  <c r="G103" i="60"/>
  <c r="D19" i="59" s="1"/>
  <c r="G169" i="60"/>
  <c r="H103" i="60"/>
  <c r="E19" i="59" s="1"/>
  <c r="H169" i="60"/>
  <c r="G105" i="60"/>
  <c r="C11" i="66" s="1"/>
  <c r="C80" i="65"/>
  <c r="C46" i="65"/>
  <c r="E80" i="65"/>
  <c r="E81" i="65" s="1"/>
  <c r="E152" i="65" s="1"/>
  <c r="C152" i="65" s="1"/>
  <c r="E46" i="65"/>
  <c r="G75" i="65"/>
  <c r="G75" i="64"/>
  <c r="G76" i="60"/>
  <c r="I228" i="48"/>
  <c r="G74" i="65"/>
  <c r="G74" i="64"/>
  <c r="G75" i="60"/>
  <c r="C80" i="64"/>
  <c r="C46" i="64"/>
  <c r="G163" i="64"/>
  <c r="G97" i="64"/>
  <c r="H97" i="64"/>
  <c r="H163" i="64"/>
  <c r="G99" i="64"/>
  <c r="G20" i="64" s="1"/>
  <c r="K153" i="65"/>
  <c r="M30" i="59"/>
  <c r="J153" i="65"/>
  <c r="J54" i="65" s="1"/>
  <c r="J153" i="64"/>
  <c r="K153" i="64"/>
  <c r="I54" i="64"/>
  <c r="G30" i="59" s="1"/>
  <c r="M55" i="60"/>
  <c r="O238" i="42"/>
  <c r="G80" i="53" s="1"/>
  <c r="O360" i="42"/>
  <c r="E158" i="60"/>
  <c r="C158" i="60" s="1"/>
  <c r="I227" i="48"/>
  <c r="I65" i="48"/>
  <c r="V349" i="42"/>
  <c r="O349" i="42" s="1"/>
  <c r="G212" i="53" s="1"/>
  <c r="I63" i="48"/>
  <c r="F260" i="48"/>
  <c r="G260" i="48"/>
  <c r="E260" i="48"/>
  <c r="H260" i="48"/>
  <c r="D260" i="48"/>
  <c r="O118" i="55"/>
  <c r="Q118" i="55"/>
  <c r="N118" i="55"/>
  <c r="P118" i="55"/>
  <c r="AE156" i="48"/>
  <c r="AE159" i="48"/>
  <c r="AD158" i="48"/>
  <c r="AE158" i="48" s="1"/>
  <c r="AE157" i="48"/>
  <c r="I162" i="48"/>
  <c r="AD162" i="48" s="1"/>
  <c r="AE162" i="48" s="1"/>
  <c r="I226" i="48"/>
  <c r="AE161" i="48"/>
  <c r="AE160" i="48"/>
  <c r="I184" i="48"/>
  <c r="V342" i="42"/>
  <c r="O342" i="42" s="1"/>
  <c r="I89" i="48"/>
  <c r="I276" i="48"/>
  <c r="AD276" i="48" s="1"/>
  <c r="R19" i="60" l="1"/>
  <c r="G21" i="67"/>
  <c r="G22" i="67" s="1"/>
  <c r="F22" i="67" s="1"/>
  <c r="I68" i="48"/>
  <c r="G119" i="67"/>
  <c r="C56" i="59"/>
  <c r="M118" i="55"/>
  <c r="AE276" i="48"/>
  <c r="AE265" i="48"/>
  <c r="AE273" i="48"/>
  <c r="AE270" i="48"/>
  <c r="AE275" i="48"/>
  <c r="AE264" i="48"/>
  <c r="AE269" i="48"/>
  <c r="AE263" i="48"/>
  <c r="AE271" i="48"/>
  <c r="AE272" i="48"/>
  <c r="AE274" i="48"/>
  <c r="AE266" i="48"/>
  <c r="AE267" i="48"/>
  <c r="AD184" i="48"/>
  <c r="AE184" i="48" s="1"/>
  <c r="C59" i="59"/>
  <c r="G77" i="60"/>
  <c r="C163" i="60" s="1"/>
  <c r="G15" i="60"/>
  <c r="D38" i="59" s="1"/>
  <c r="G76" i="64"/>
  <c r="G14" i="64"/>
  <c r="D43" i="59"/>
  <c r="C64" i="59" s="1"/>
  <c r="C80" i="59" s="1"/>
  <c r="C91" i="59" s="1"/>
  <c r="G156" i="65"/>
  <c r="G78" i="65"/>
  <c r="H156" i="65"/>
  <c r="G76" i="65"/>
  <c r="G14" i="65"/>
  <c r="G84" i="60"/>
  <c r="H83" i="60"/>
  <c r="H164" i="60" s="1"/>
  <c r="G83" i="60"/>
  <c r="G164" i="60" s="1"/>
  <c r="E11" i="65"/>
  <c r="E64" i="65"/>
  <c r="E8" i="65" s="1"/>
  <c r="E63" i="65"/>
  <c r="G83" i="65"/>
  <c r="G13" i="65" s="1"/>
  <c r="H82" i="65"/>
  <c r="H158" i="65" s="1"/>
  <c r="G82" i="65"/>
  <c r="G158" i="65" s="1"/>
  <c r="G162" i="60"/>
  <c r="D17" i="59" s="1"/>
  <c r="G79" i="60"/>
  <c r="H162" i="60"/>
  <c r="E17" i="59" s="1"/>
  <c r="H82" i="64"/>
  <c r="H158" i="64" s="1"/>
  <c r="G83" i="64"/>
  <c r="G13" i="64" s="1"/>
  <c r="G82" i="64"/>
  <c r="G158" i="64" s="1"/>
  <c r="E63" i="64"/>
  <c r="E64" i="64"/>
  <c r="E8" i="64" s="1"/>
  <c r="E11" i="64"/>
  <c r="C11" i="64"/>
  <c r="C64" i="64"/>
  <c r="C8" i="64" s="1"/>
  <c r="C63" i="64"/>
  <c r="G78" i="64"/>
  <c r="G156" i="64"/>
  <c r="H156" i="64"/>
  <c r="C63" i="65"/>
  <c r="C11" i="65"/>
  <c r="C64" i="65"/>
  <c r="C8" i="65" s="1"/>
  <c r="K54" i="65"/>
  <c r="L54" i="65" s="1"/>
  <c r="N30" i="59"/>
  <c r="J54" i="64"/>
  <c r="H30" i="59" s="1"/>
  <c r="K118" i="55"/>
  <c r="L118" i="55" s="1"/>
  <c r="L20" i="55" s="1"/>
  <c r="N20" i="55" s="1"/>
  <c r="I7" i="48"/>
  <c r="I48" i="48"/>
  <c r="I55" i="48" s="1"/>
  <c r="R121" i="55"/>
  <c r="I50" i="52"/>
  <c r="I41" i="52"/>
  <c r="I229" i="48"/>
  <c r="I133" i="48"/>
  <c r="I40" i="52"/>
  <c r="I287" i="48"/>
  <c r="I95" i="48"/>
  <c r="I230" i="48"/>
  <c r="AE262" i="48"/>
  <c r="V354" i="42"/>
  <c r="O354" i="42" s="1"/>
  <c r="I57" i="55"/>
  <c r="H57" i="55" s="1"/>
  <c r="G57" i="55" s="1"/>
  <c r="F57" i="55" s="1"/>
  <c r="E57" i="55" s="1"/>
  <c r="E25" i="55"/>
  <c r="I24" i="55"/>
  <c r="G24" i="55"/>
  <c r="I23" i="55"/>
  <c r="G23" i="55"/>
  <c r="I22" i="55"/>
  <c r="G22" i="55"/>
  <c r="E21" i="55"/>
  <c r="I20" i="55"/>
  <c r="G20" i="55"/>
  <c r="I19" i="55"/>
  <c r="G19" i="55"/>
  <c r="E18" i="55"/>
  <c r="I17" i="55"/>
  <c r="G17" i="55"/>
  <c r="I16" i="55"/>
  <c r="G16" i="55"/>
  <c r="E14" i="55"/>
  <c r="I13" i="55"/>
  <c r="G13" i="55"/>
  <c r="I12" i="55"/>
  <c r="G12" i="55"/>
  <c r="I11" i="55"/>
  <c r="G11" i="55"/>
  <c r="I10" i="55"/>
  <c r="G10" i="55"/>
  <c r="I9" i="55"/>
  <c r="G9" i="55"/>
  <c r="L268" i="59" l="1"/>
  <c r="R268" i="59" s="1"/>
  <c r="B61" i="66"/>
  <c r="D37" i="59"/>
  <c r="C73" i="59" s="1"/>
  <c r="C95" i="59" s="1"/>
  <c r="G14" i="60"/>
  <c r="B216" i="59" s="1"/>
  <c r="G163" i="60"/>
  <c r="G157" i="65"/>
  <c r="C157" i="65"/>
  <c r="G157" i="64"/>
  <c r="C157" i="64"/>
  <c r="O30" i="59"/>
  <c r="K54" i="64"/>
  <c r="I30" i="59" s="1"/>
  <c r="I14" i="55"/>
  <c r="H14" i="55" s="1"/>
  <c r="G25" i="55"/>
  <c r="F25" i="55" s="1"/>
  <c r="G14" i="55"/>
  <c r="G15" i="55" s="1"/>
  <c r="F15" i="55" s="1"/>
  <c r="N302" i="48"/>
  <c r="I25" i="55"/>
  <c r="H25" i="55" s="1"/>
  <c r="I101" i="52"/>
  <c r="I18" i="55"/>
  <c r="H18" i="55" s="1"/>
  <c r="E26" i="55"/>
  <c r="G18" i="55"/>
  <c r="F18" i="55" s="1"/>
  <c r="G21" i="55"/>
  <c r="F21" i="55" s="1"/>
  <c r="I21" i="55"/>
  <c r="H21" i="55" s="1"/>
  <c r="G275" i="48"/>
  <c r="Z275" i="48" s="1"/>
  <c r="F275" i="48"/>
  <c r="X275" i="48" s="1"/>
  <c r="E275" i="48"/>
  <c r="V275" i="48" s="1"/>
  <c r="D275" i="48"/>
  <c r="T275" i="48" s="1"/>
  <c r="Q268" i="59" l="1"/>
  <c r="H61" i="66"/>
  <c r="G61" i="66"/>
  <c r="C58" i="59"/>
  <c r="I76" i="65"/>
  <c r="I75" i="65" s="1"/>
  <c r="I76" i="64"/>
  <c r="I75" i="64" s="1"/>
  <c r="G216" i="59"/>
  <c r="H216" i="59"/>
  <c r="J77" i="60"/>
  <c r="J76" i="60" s="1"/>
  <c r="L54" i="64"/>
  <c r="I15" i="55"/>
  <c r="H15" i="55" s="1"/>
  <c r="F14" i="55"/>
  <c r="I26" i="55"/>
  <c r="G26" i="55"/>
  <c r="F26" i="55" s="1"/>
  <c r="M172" i="42"/>
  <c r="L172" i="42"/>
  <c r="J172" i="42"/>
  <c r="K172" i="42"/>
  <c r="G246" i="48"/>
  <c r="Z246" i="48" s="1"/>
  <c r="F246" i="48"/>
  <c r="X246" i="48" s="1"/>
  <c r="E246" i="48"/>
  <c r="V246" i="48" s="1"/>
  <c r="D246" i="48"/>
  <c r="T246" i="48" s="1"/>
  <c r="G244" i="48"/>
  <c r="Z244" i="48" s="1"/>
  <c r="F244" i="48"/>
  <c r="X244" i="48" s="1"/>
  <c r="E244" i="48"/>
  <c r="V244" i="48" s="1"/>
  <c r="D244" i="48"/>
  <c r="T244" i="48" s="1"/>
  <c r="G241" i="48"/>
  <c r="Z241" i="48" s="1"/>
  <c r="F241" i="48"/>
  <c r="X241" i="48" s="1"/>
  <c r="E241" i="48"/>
  <c r="V241" i="48" s="1"/>
  <c r="D241" i="48"/>
  <c r="T241" i="48" s="1"/>
  <c r="H244" i="48"/>
  <c r="AB244" i="48" s="1"/>
  <c r="H234" i="48"/>
  <c r="AA244" i="48" l="1"/>
  <c r="U246" i="48"/>
  <c r="U243" i="48"/>
  <c r="U245" i="48"/>
  <c r="U242" i="48"/>
  <c r="AA246" i="48"/>
  <c r="AA245" i="48"/>
  <c r="AA243" i="48"/>
  <c r="AA242" i="48"/>
  <c r="Y246" i="48"/>
  <c r="Y243" i="48"/>
  <c r="Y245" i="48"/>
  <c r="Y242" i="48"/>
  <c r="W244" i="48"/>
  <c r="W246" i="48"/>
  <c r="W245" i="48"/>
  <c r="W243" i="48"/>
  <c r="W242" i="48"/>
  <c r="U244" i="48"/>
  <c r="Y244" i="48"/>
  <c r="L77" i="60"/>
  <c r="L76" i="60" s="1"/>
  <c r="K77" i="60"/>
  <c r="K76" i="60" s="1"/>
  <c r="K76" i="64"/>
  <c r="K75" i="64" s="1"/>
  <c r="J76" i="64"/>
  <c r="J75" i="64" s="1"/>
  <c r="K76" i="65"/>
  <c r="K75" i="65" s="1"/>
  <c r="J76" i="65"/>
  <c r="J75" i="65" s="1"/>
  <c r="H67" i="55"/>
  <c r="I67" i="55" s="1"/>
  <c r="J67" i="55" s="1"/>
  <c r="H28" i="55" s="1"/>
  <c r="H26" i="55"/>
  <c r="E67" i="55"/>
  <c r="F67" i="55" s="1"/>
  <c r="G67" i="55" s="1"/>
  <c r="F27" i="55" s="1"/>
  <c r="AA241" i="48"/>
  <c r="U241" i="48"/>
  <c r="Y241" i="48"/>
  <c r="W241" i="48"/>
  <c r="H235" i="48"/>
  <c r="H233" i="48"/>
  <c r="M76" i="60" l="1"/>
  <c r="L75" i="65"/>
  <c r="L75" i="64"/>
  <c r="J28" i="55"/>
  <c r="J27" i="55"/>
  <c r="G231" i="48"/>
  <c r="F231" i="48"/>
  <c r="E231" i="48"/>
  <c r="D231" i="48"/>
  <c r="M111" i="42" l="1"/>
  <c r="L111" i="42"/>
  <c r="K111" i="42"/>
  <c r="J111" i="42"/>
  <c r="M110" i="42"/>
  <c r="L110" i="42"/>
  <c r="K110" i="42"/>
  <c r="J110" i="42"/>
  <c r="M109" i="42"/>
  <c r="L109" i="42"/>
  <c r="K109" i="42"/>
  <c r="J109" i="42"/>
  <c r="M108" i="42"/>
  <c r="L108" i="42"/>
  <c r="K108" i="42"/>
  <c r="J108" i="42"/>
  <c r="M107" i="42"/>
  <c r="L107" i="42"/>
  <c r="K107" i="42"/>
  <c r="J107" i="42"/>
  <c r="M104" i="42"/>
  <c r="L104" i="42"/>
  <c r="K104" i="42"/>
  <c r="J104" i="42"/>
  <c r="M103" i="42"/>
  <c r="L103" i="42"/>
  <c r="K103" i="42"/>
  <c r="J103" i="42"/>
  <c r="M101" i="42"/>
  <c r="L101" i="42"/>
  <c r="K101" i="42"/>
  <c r="J101" i="42"/>
  <c r="M100" i="42"/>
  <c r="L100" i="42"/>
  <c r="K100" i="42"/>
  <c r="J100" i="42"/>
  <c r="M98" i="42"/>
  <c r="L98" i="42"/>
  <c r="K98" i="42"/>
  <c r="J98" i="42"/>
  <c r="M99" i="42"/>
  <c r="M90" i="42" s="1"/>
  <c r="E133" i="53" s="1"/>
  <c r="L99" i="42"/>
  <c r="K99" i="42"/>
  <c r="J99" i="42"/>
  <c r="M97" i="42"/>
  <c r="L97" i="42"/>
  <c r="K97" i="42"/>
  <c r="J97" i="42"/>
  <c r="M94" i="42"/>
  <c r="L94" i="42"/>
  <c r="K94" i="42"/>
  <c r="J94" i="42"/>
  <c r="M93" i="42"/>
  <c r="L93" i="42"/>
  <c r="K93" i="42"/>
  <c r="J93" i="42"/>
  <c r="M130" i="42"/>
  <c r="L130" i="42"/>
  <c r="K130" i="42"/>
  <c r="J130" i="42"/>
  <c r="M129" i="42"/>
  <c r="L129" i="42"/>
  <c r="K129" i="42"/>
  <c r="J129" i="42"/>
  <c r="M128" i="42"/>
  <c r="L128" i="42"/>
  <c r="K128" i="42"/>
  <c r="J128" i="42"/>
  <c r="M123" i="42"/>
  <c r="L123" i="42"/>
  <c r="K123" i="42"/>
  <c r="J123" i="42"/>
  <c r="M121" i="42"/>
  <c r="L121" i="42"/>
  <c r="K121" i="42"/>
  <c r="J121" i="42"/>
  <c r="M120" i="42"/>
  <c r="L120" i="42"/>
  <c r="K120" i="42"/>
  <c r="E165" i="48" s="1"/>
  <c r="J120" i="42"/>
  <c r="M119" i="42"/>
  <c r="L119" i="42"/>
  <c r="K119" i="42"/>
  <c r="J119" i="42"/>
  <c r="G165" i="48" l="1"/>
  <c r="E119" i="53"/>
  <c r="D141" i="53"/>
  <c r="F165" i="48"/>
  <c r="D119" i="53"/>
  <c r="M87" i="42"/>
  <c r="J87" i="42"/>
  <c r="K87" i="42"/>
  <c r="L87" i="42"/>
  <c r="K90" i="42"/>
  <c r="J90" i="42"/>
  <c r="L90" i="42"/>
  <c r="D133" i="53" s="1"/>
  <c r="G159" i="48"/>
  <c r="Z159" i="48" s="1"/>
  <c r="M89" i="42"/>
  <c r="E132" i="53" s="1"/>
  <c r="J89" i="42"/>
  <c r="K88" i="42"/>
  <c r="L88" i="42"/>
  <c r="D129" i="53" s="1"/>
  <c r="L89" i="42"/>
  <c r="D132" i="53" s="1"/>
  <c r="M88" i="42"/>
  <c r="K89" i="42"/>
  <c r="J88" i="42"/>
  <c r="E116" i="53" l="1"/>
  <c r="E130" i="53"/>
  <c r="G141" i="48"/>
  <c r="Z141" i="48" s="1"/>
  <c r="E129" i="53"/>
  <c r="D116" i="53"/>
  <c r="D130" i="53"/>
  <c r="E141" i="48"/>
  <c r="F141" i="48"/>
  <c r="X141" i="48" s="1"/>
  <c r="D141" i="48"/>
  <c r="T141" i="48" s="1"/>
  <c r="E159" i="48"/>
  <c r="V159" i="48" s="1"/>
  <c r="D159" i="48"/>
  <c r="T159" i="48" s="1"/>
  <c r="F159" i="48"/>
  <c r="X159" i="48" s="1"/>
  <c r="G158" i="48"/>
  <c r="Z158" i="48" s="1"/>
  <c r="D156" i="48"/>
  <c r="T156" i="48" s="1"/>
  <c r="D158" i="48"/>
  <c r="T158" i="48" s="1"/>
  <c r="H159" i="48"/>
  <c r="AB159" i="48" s="1"/>
  <c r="E160" i="48"/>
  <c r="V160" i="48" s="1"/>
  <c r="H156" i="48"/>
  <c r="AB156" i="48" s="1"/>
  <c r="H160" i="48"/>
  <c r="AB160" i="48" s="1"/>
  <c r="G156" i="48"/>
  <c r="Z156" i="48" s="1"/>
  <c r="H158" i="48"/>
  <c r="E158" i="48"/>
  <c r="V158" i="48" s="1"/>
  <c r="F156" i="48"/>
  <c r="X156" i="48" s="1"/>
  <c r="D160" i="48"/>
  <c r="T160" i="48" s="1"/>
  <c r="F160" i="48"/>
  <c r="X160" i="48" s="1"/>
  <c r="F158" i="48"/>
  <c r="X158" i="48" s="1"/>
  <c r="E156" i="48"/>
  <c r="V156" i="48" s="1"/>
  <c r="G160" i="48"/>
  <c r="Z160" i="48" s="1"/>
  <c r="V141" i="48" l="1"/>
  <c r="AB158" i="48"/>
  <c r="G85" i="52" l="1"/>
  <c r="F85" i="52"/>
  <c r="E85" i="52"/>
  <c r="G84" i="52"/>
  <c r="F84" i="52"/>
  <c r="E84" i="52"/>
  <c r="G82" i="52"/>
  <c r="F82" i="52"/>
  <c r="E82" i="52"/>
  <c r="G78" i="52"/>
  <c r="F78" i="52"/>
  <c r="E78" i="52"/>
  <c r="G75" i="52"/>
  <c r="F75" i="52"/>
  <c r="E75" i="52"/>
  <c r="E77" i="52" l="1"/>
  <c r="F77" i="52"/>
  <c r="G77" i="52"/>
  <c r="G68" i="52"/>
  <c r="F68" i="52"/>
  <c r="E68" i="52"/>
  <c r="G67" i="52"/>
  <c r="F67" i="52"/>
  <c r="E67" i="52"/>
  <c r="G65" i="52"/>
  <c r="F65" i="52"/>
  <c r="E65" i="52"/>
  <c r="G27" i="52"/>
  <c r="F27" i="52"/>
  <c r="E27" i="52"/>
  <c r="G23" i="52"/>
  <c r="F23" i="52"/>
  <c r="E23" i="52"/>
  <c r="G13" i="52"/>
  <c r="F13" i="52"/>
  <c r="E13" i="52"/>
  <c r="G11" i="52"/>
  <c r="F11" i="52"/>
  <c r="E11" i="52"/>
  <c r="G10" i="52"/>
  <c r="F10" i="52"/>
  <c r="E10" i="52"/>
  <c r="G7" i="52"/>
  <c r="F7" i="52"/>
  <c r="E7" i="52"/>
  <c r="G6" i="52"/>
  <c r="F6" i="52"/>
  <c r="E6" i="52"/>
  <c r="H6" i="52"/>
  <c r="G5" i="52"/>
  <c r="F5" i="52"/>
  <c r="E5" i="52"/>
  <c r="E12" i="52" l="1"/>
  <c r="G12" i="52"/>
  <c r="F12" i="52"/>
  <c r="G60" i="52"/>
  <c r="F61" i="52"/>
  <c r="E60" i="52"/>
  <c r="G61" i="52"/>
  <c r="F60" i="52"/>
  <c r="H61" i="52"/>
  <c r="F62" i="52"/>
  <c r="G62" i="52"/>
  <c r="E62" i="52"/>
  <c r="E61" i="52"/>
  <c r="M209" i="42" l="1"/>
  <c r="L209" i="42"/>
  <c r="K209" i="42"/>
  <c r="J209" i="42"/>
  <c r="M208" i="42"/>
  <c r="L208" i="42"/>
  <c r="K208" i="42"/>
  <c r="J208" i="42"/>
  <c r="H250" i="48" l="1"/>
  <c r="G248" i="48"/>
  <c r="M207" i="42"/>
  <c r="J207" i="42"/>
  <c r="K207" i="42"/>
  <c r="L207" i="42"/>
  <c r="M139" i="42" l="1"/>
  <c r="L139" i="42"/>
  <c r="K139" i="42"/>
  <c r="J139" i="42"/>
  <c r="H185" i="48" l="1"/>
  <c r="M204" i="42"/>
  <c r="M206" i="42" s="1"/>
  <c r="E72" i="53" s="1"/>
  <c r="L204" i="42"/>
  <c r="L206" i="42" s="1"/>
  <c r="D72" i="53" s="1"/>
  <c r="K204" i="42"/>
  <c r="K206" i="42" s="1"/>
  <c r="J204" i="42"/>
  <c r="J206" i="42" s="1"/>
  <c r="H149" i="48"/>
  <c r="M136" i="42"/>
  <c r="L136" i="42"/>
  <c r="K136" i="42"/>
  <c r="J136" i="42"/>
  <c r="M135" i="42"/>
  <c r="L135" i="42"/>
  <c r="K135" i="42"/>
  <c r="J135" i="42"/>
  <c r="M134" i="42"/>
  <c r="L134" i="42"/>
  <c r="K134" i="42"/>
  <c r="J134" i="42"/>
  <c r="M133" i="42"/>
  <c r="E121" i="53" s="1"/>
  <c r="L133" i="42"/>
  <c r="D121" i="53" s="1"/>
  <c r="K133" i="42"/>
  <c r="J133" i="42"/>
  <c r="M118" i="42"/>
  <c r="L118" i="42"/>
  <c r="D118" i="53" s="1"/>
  <c r="K118" i="42"/>
  <c r="J118" i="42"/>
  <c r="M117" i="42"/>
  <c r="E117" i="53" s="1"/>
  <c r="L117" i="42"/>
  <c r="D117" i="53" s="1"/>
  <c r="K117" i="42"/>
  <c r="J117" i="42"/>
  <c r="M116" i="42"/>
  <c r="G143" i="48" s="1"/>
  <c r="Z143" i="48" s="1"/>
  <c r="L116" i="42"/>
  <c r="F143" i="48" s="1"/>
  <c r="X143" i="48" s="1"/>
  <c r="K116" i="42"/>
  <c r="E143" i="48" s="1"/>
  <c r="V143" i="48" s="1"/>
  <c r="J116" i="42"/>
  <c r="D143" i="48" s="1"/>
  <c r="T143" i="48" s="1"/>
  <c r="M115" i="42"/>
  <c r="E131" i="53" s="1"/>
  <c r="L115" i="42"/>
  <c r="D131" i="53" s="1"/>
  <c r="K115" i="42"/>
  <c r="J115" i="42"/>
  <c r="M114" i="42"/>
  <c r="L114" i="42"/>
  <c r="K114" i="42"/>
  <c r="J114" i="42"/>
  <c r="M113" i="42"/>
  <c r="L113" i="42"/>
  <c r="K113" i="42"/>
  <c r="J113" i="42"/>
  <c r="M106" i="42"/>
  <c r="L106" i="42"/>
  <c r="K106" i="42"/>
  <c r="J106" i="42"/>
  <c r="M105" i="42"/>
  <c r="L105" i="42"/>
  <c r="K105" i="42"/>
  <c r="J105" i="42"/>
  <c r="M96" i="42"/>
  <c r="L96" i="42"/>
  <c r="K96" i="42"/>
  <c r="J96" i="42"/>
  <c r="M95" i="42"/>
  <c r="L95" i="42"/>
  <c r="K95" i="42"/>
  <c r="J95" i="42"/>
  <c r="M84" i="42"/>
  <c r="L84" i="42"/>
  <c r="K84" i="42"/>
  <c r="K85" i="42" s="1"/>
  <c r="J84" i="42"/>
  <c r="M203" i="42"/>
  <c r="G180" i="48" s="1"/>
  <c r="L203" i="42"/>
  <c r="F180" i="48" s="1"/>
  <c r="K203" i="42"/>
  <c r="E180" i="48" s="1"/>
  <c r="J203" i="42"/>
  <c r="D180" i="48" s="1"/>
  <c r="M202" i="42"/>
  <c r="L202" i="42"/>
  <c r="K202" i="42"/>
  <c r="J202" i="42"/>
  <c r="M200" i="42"/>
  <c r="G182" i="48" s="1"/>
  <c r="L200" i="42"/>
  <c r="F182" i="48" s="1"/>
  <c r="K200" i="42"/>
  <c r="E182" i="48" s="1"/>
  <c r="J200" i="42"/>
  <c r="D182" i="48" s="1"/>
  <c r="T182" i="48" s="1"/>
  <c r="M199" i="42"/>
  <c r="L199" i="42"/>
  <c r="K199" i="42"/>
  <c r="J199" i="42"/>
  <c r="M197" i="42"/>
  <c r="G176" i="48" s="1"/>
  <c r="L197" i="42"/>
  <c r="F176" i="48" s="1"/>
  <c r="K197" i="42"/>
  <c r="E176" i="48" s="1"/>
  <c r="J197" i="42"/>
  <c r="D176" i="48" s="1"/>
  <c r="T176" i="48" s="1"/>
  <c r="M195" i="42"/>
  <c r="G177" i="48" s="1"/>
  <c r="L195" i="42"/>
  <c r="F177" i="48" s="1"/>
  <c r="K195" i="42"/>
  <c r="E177" i="48" s="1"/>
  <c r="J195" i="42"/>
  <c r="D177" i="48" s="1"/>
  <c r="T177" i="48" s="1"/>
  <c r="M194" i="42"/>
  <c r="L194" i="42"/>
  <c r="K194" i="42"/>
  <c r="J194" i="42"/>
  <c r="J192" i="42"/>
  <c r="K192" i="42"/>
  <c r="M192" i="42"/>
  <c r="E44" i="53" s="1"/>
  <c r="L192" i="42"/>
  <c r="D44" i="53" s="1"/>
  <c r="M85" i="42" l="1"/>
  <c r="E114" i="53"/>
  <c r="E135" i="53"/>
  <c r="E118" i="53"/>
  <c r="D144" i="53"/>
  <c r="D143" i="53" s="1"/>
  <c r="J85" i="42"/>
  <c r="D139" i="48" s="1"/>
  <c r="G181" i="48"/>
  <c r="M198" i="42"/>
  <c r="E45" i="53" s="1"/>
  <c r="D181" i="48"/>
  <c r="T181" i="48" s="1"/>
  <c r="J198" i="42"/>
  <c r="E181" i="48"/>
  <c r="K198" i="42"/>
  <c r="F181" i="48"/>
  <c r="X181" i="48" s="1"/>
  <c r="L198" i="42"/>
  <c r="D45" i="53" s="1"/>
  <c r="L85" i="42"/>
  <c r="G175" i="48"/>
  <c r="M193" i="42"/>
  <c r="E46" i="53" s="1"/>
  <c r="D175" i="48"/>
  <c r="T175" i="48" s="1"/>
  <c r="J193" i="42"/>
  <c r="E175" i="48"/>
  <c r="K193" i="42"/>
  <c r="F175" i="48"/>
  <c r="L193" i="42"/>
  <c r="D46" i="53" s="1"/>
  <c r="V177" i="48"/>
  <c r="Z182" i="48"/>
  <c r="V176" i="48"/>
  <c r="V182" i="48"/>
  <c r="Z176" i="48"/>
  <c r="X177" i="48"/>
  <c r="Z177" i="48"/>
  <c r="X176" i="48"/>
  <c r="X182" i="48"/>
  <c r="AB185" i="48"/>
  <c r="AC183" i="48" s="1"/>
  <c r="G139" i="48"/>
  <c r="G163" i="48"/>
  <c r="E139" i="48"/>
  <c r="E163" i="48"/>
  <c r="V163" i="48" s="1"/>
  <c r="K351" i="42"/>
  <c r="L351" i="42"/>
  <c r="M351" i="42"/>
  <c r="J351" i="42"/>
  <c r="G185" i="48"/>
  <c r="G64" i="52"/>
  <c r="M64" i="52" s="1"/>
  <c r="D185" i="48"/>
  <c r="T185" i="48" s="1"/>
  <c r="U185" i="48" s="1"/>
  <c r="D64" i="52"/>
  <c r="D63" i="52" s="1"/>
  <c r="F185" i="48"/>
  <c r="F64" i="52"/>
  <c r="E185" i="48"/>
  <c r="E64" i="52"/>
  <c r="D149" i="48"/>
  <c r="E149" i="48"/>
  <c r="G149" i="48"/>
  <c r="C28" i="60"/>
  <c r="C36" i="60" s="1"/>
  <c r="C27" i="64"/>
  <c r="C27" i="65"/>
  <c r="D28" i="60"/>
  <c r="C147" i="60" s="1"/>
  <c r="D27" i="65"/>
  <c r="D27" i="64"/>
  <c r="D29" i="60"/>
  <c r="C148" i="60" s="1"/>
  <c r="D28" i="64"/>
  <c r="D28" i="65"/>
  <c r="C29" i="60"/>
  <c r="C28" i="65"/>
  <c r="C142" i="65" s="1"/>
  <c r="C28" i="64"/>
  <c r="C142" i="64" s="1"/>
  <c r="C114" i="65"/>
  <c r="C114" i="64"/>
  <c r="C120" i="60"/>
  <c r="C119" i="60" s="1"/>
  <c r="D114" i="65"/>
  <c r="D114" i="64"/>
  <c r="D120" i="60"/>
  <c r="D119" i="60" s="1"/>
  <c r="D145" i="60" s="1"/>
  <c r="E114" i="64"/>
  <c r="E114" i="65"/>
  <c r="E120" i="60"/>
  <c r="E119" i="60" s="1"/>
  <c r="E28" i="60"/>
  <c r="E27" i="65"/>
  <c r="E27" i="64"/>
  <c r="E29" i="60"/>
  <c r="F148" i="60" s="1"/>
  <c r="E28" i="65"/>
  <c r="E28" i="64"/>
  <c r="G161" i="48"/>
  <c r="Z161" i="48" s="1"/>
  <c r="H161" i="48"/>
  <c r="AB161" i="48" s="1"/>
  <c r="D161" i="48"/>
  <c r="T161" i="48" s="1"/>
  <c r="E161" i="48"/>
  <c r="V161" i="48" s="1"/>
  <c r="F161" i="48"/>
  <c r="X161" i="48" s="1"/>
  <c r="J131" i="42"/>
  <c r="K131" i="42"/>
  <c r="L131" i="42"/>
  <c r="M131" i="42"/>
  <c r="G142" i="48"/>
  <c r="F144" i="48"/>
  <c r="G144" i="48"/>
  <c r="E146" i="48"/>
  <c r="H144" i="48"/>
  <c r="F146" i="48"/>
  <c r="H142" i="48"/>
  <c r="G146" i="48"/>
  <c r="D142" i="48"/>
  <c r="E145" i="48"/>
  <c r="E166" i="48" s="1"/>
  <c r="E142" i="48"/>
  <c r="F145" i="48"/>
  <c r="F166" i="48" s="1"/>
  <c r="E144" i="48"/>
  <c r="D146" i="48"/>
  <c r="D145" i="48"/>
  <c r="H146" i="48"/>
  <c r="F142" i="48"/>
  <c r="D144" i="48"/>
  <c r="G145" i="48"/>
  <c r="G166" i="48" s="1"/>
  <c r="E130" i="48"/>
  <c r="D130" i="48"/>
  <c r="F130" i="48"/>
  <c r="G130" i="48"/>
  <c r="F172" i="48"/>
  <c r="G172" i="48"/>
  <c r="F149" i="48"/>
  <c r="D172" i="48"/>
  <c r="D173" i="48" s="1"/>
  <c r="T173" i="48" s="1"/>
  <c r="E172" i="48"/>
  <c r="H157" i="48"/>
  <c r="AB157" i="48" s="1"/>
  <c r="K86" i="42"/>
  <c r="E157" i="48" s="1"/>
  <c r="V157" i="48" s="1"/>
  <c r="M86" i="42"/>
  <c r="J86" i="42"/>
  <c r="D157" i="48" s="1"/>
  <c r="T157" i="48" s="1"/>
  <c r="L86" i="42"/>
  <c r="T178" i="48"/>
  <c r="V183" i="48"/>
  <c r="V178" i="48"/>
  <c r="T183" i="48"/>
  <c r="X178" i="48"/>
  <c r="X183" i="48"/>
  <c r="Z178" i="48"/>
  <c r="Z183" i="48"/>
  <c r="F157" i="48" l="1"/>
  <c r="X157" i="48" s="1"/>
  <c r="D128" i="53"/>
  <c r="D115" i="53"/>
  <c r="G157" i="48"/>
  <c r="Z157" i="48" s="1"/>
  <c r="E128" i="53"/>
  <c r="E134" i="53" s="1"/>
  <c r="E115" i="53"/>
  <c r="F139" i="48"/>
  <c r="F148" i="48" s="1"/>
  <c r="D135" i="53"/>
  <c r="D114" i="53"/>
  <c r="D122" i="53" s="1"/>
  <c r="E122" i="53"/>
  <c r="D163" i="48"/>
  <c r="T163" i="48" s="1"/>
  <c r="U157" i="48" s="1"/>
  <c r="F63" i="52"/>
  <c r="G63" i="52"/>
  <c r="E63" i="52"/>
  <c r="D39" i="64"/>
  <c r="D39" i="65"/>
  <c r="Z175" i="48"/>
  <c r="Z181" i="48"/>
  <c r="V181" i="48"/>
  <c r="F163" i="48"/>
  <c r="X163" i="48" s="1"/>
  <c r="Y159" i="48" s="1"/>
  <c r="D130" i="60"/>
  <c r="D40" i="60"/>
  <c r="U183" i="48"/>
  <c r="V175" i="48"/>
  <c r="X175" i="48"/>
  <c r="AC176" i="48"/>
  <c r="AC182" i="48"/>
  <c r="AC175" i="48"/>
  <c r="X185" i="48"/>
  <c r="AC181" i="48"/>
  <c r="AC178" i="48"/>
  <c r="Z185" i="48"/>
  <c r="AA185" i="48" s="1"/>
  <c r="AC177" i="48"/>
  <c r="AC185" i="48"/>
  <c r="V185" i="48"/>
  <c r="W185" i="48" s="1"/>
  <c r="U178" i="48"/>
  <c r="U173" i="48"/>
  <c r="U182" i="48"/>
  <c r="U181" i="48"/>
  <c r="Z172" i="48"/>
  <c r="G173" i="48"/>
  <c r="U175" i="48"/>
  <c r="X172" i="48"/>
  <c r="F173" i="48"/>
  <c r="U176" i="48"/>
  <c r="V172" i="48"/>
  <c r="E173" i="48"/>
  <c r="U177" i="48"/>
  <c r="E148" i="48"/>
  <c r="D148" i="48"/>
  <c r="G148" i="48"/>
  <c r="D186" i="48"/>
  <c r="E147" i="60"/>
  <c r="D142" i="64"/>
  <c r="C30" i="60"/>
  <c r="C35" i="60"/>
  <c r="C130" i="60"/>
  <c r="D148" i="60"/>
  <c r="D147" i="60"/>
  <c r="D36" i="60"/>
  <c r="C134" i="60"/>
  <c r="D35" i="60"/>
  <c r="E130" i="60"/>
  <c r="F131" i="60" s="1"/>
  <c r="C13" i="59" s="1"/>
  <c r="E36" i="60"/>
  <c r="C113" i="64"/>
  <c r="E30" i="60"/>
  <c r="C113" i="65"/>
  <c r="E148" i="60"/>
  <c r="E35" i="60"/>
  <c r="D134" i="60"/>
  <c r="D113" i="64"/>
  <c r="D139" i="64" s="1"/>
  <c r="C124" i="65"/>
  <c r="C128" i="65"/>
  <c r="C34" i="65"/>
  <c r="C35" i="65"/>
  <c r="C29" i="65"/>
  <c r="C141" i="65"/>
  <c r="E113" i="65"/>
  <c r="E139" i="65" s="1"/>
  <c r="F147" i="60"/>
  <c r="E142" i="64"/>
  <c r="F142" i="64"/>
  <c r="E113" i="64"/>
  <c r="E139" i="64" s="1"/>
  <c r="D124" i="65"/>
  <c r="D128" i="65"/>
  <c r="D141" i="65"/>
  <c r="D35" i="65"/>
  <c r="D34" i="65"/>
  <c r="D29" i="65"/>
  <c r="E134" i="60"/>
  <c r="F135" i="60" s="1"/>
  <c r="C14" i="59" s="1"/>
  <c r="E142" i="65"/>
  <c r="F142" i="65"/>
  <c r="E40" i="60"/>
  <c r="E141" i="64"/>
  <c r="E39" i="64"/>
  <c r="E35" i="64"/>
  <c r="E34" i="64"/>
  <c r="E128" i="64"/>
  <c r="F129" i="64" s="1"/>
  <c r="E29" i="64"/>
  <c r="E124" i="64"/>
  <c r="F141" i="64"/>
  <c r="F39" i="64"/>
  <c r="D113" i="65"/>
  <c r="D139" i="65" s="1"/>
  <c r="C34" i="64"/>
  <c r="C128" i="64"/>
  <c r="C124" i="64"/>
  <c r="C29" i="64"/>
  <c r="C35" i="64"/>
  <c r="C141" i="64"/>
  <c r="B10" i="59"/>
  <c r="E145" i="60"/>
  <c r="C145" i="60" s="1"/>
  <c r="F40" i="60"/>
  <c r="D30" i="60"/>
  <c r="D141" i="64"/>
  <c r="D124" i="64"/>
  <c r="D128" i="64"/>
  <c r="D29" i="64"/>
  <c r="D34" i="64"/>
  <c r="D35" i="64"/>
  <c r="E141" i="65"/>
  <c r="E34" i="65"/>
  <c r="E39" i="65"/>
  <c r="E35" i="65"/>
  <c r="E128" i="65"/>
  <c r="F129" i="65" s="1"/>
  <c r="E124" i="65"/>
  <c r="F125" i="65" s="1"/>
  <c r="F149" i="65" s="1"/>
  <c r="E29" i="65"/>
  <c r="F39" i="65"/>
  <c r="F141" i="65"/>
  <c r="D142" i="65"/>
  <c r="H130" i="48"/>
  <c r="H172" i="48"/>
  <c r="E162" i="48"/>
  <c r="V162" i="48" s="1"/>
  <c r="W162" i="48" s="1"/>
  <c r="AB163" i="48"/>
  <c r="AC157" i="48" s="1"/>
  <c r="H162" i="48"/>
  <c r="AB162" i="48" s="1"/>
  <c r="Z163" i="48"/>
  <c r="AA161" i="48" s="1"/>
  <c r="G162" i="48"/>
  <c r="Z162" i="48" s="1"/>
  <c r="W157" i="48"/>
  <c r="W163" i="48"/>
  <c r="W159" i="48"/>
  <c r="W156" i="48"/>
  <c r="W158" i="48"/>
  <c r="W160" i="48"/>
  <c r="W161" i="48"/>
  <c r="D140" i="48"/>
  <c r="H145" i="48"/>
  <c r="G140" i="48"/>
  <c r="E140" i="48"/>
  <c r="H140" i="48"/>
  <c r="F140" i="48"/>
  <c r="D174" i="48"/>
  <c r="T174" i="48" s="1"/>
  <c r="U174" i="48" s="1"/>
  <c r="G174" i="48"/>
  <c r="E174" i="48"/>
  <c r="F174" i="48"/>
  <c r="G186" i="48"/>
  <c r="F186" i="48"/>
  <c r="E186" i="48"/>
  <c r="F132" i="48"/>
  <c r="F179" i="48"/>
  <c r="E132" i="48"/>
  <c r="E179" i="48"/>
  <c r="G132" i="48"/>
  <c r="G179" i="48"/>
  <c r="D132" i="48"/>
  <c r="D179" i="48"/>
  <c r="T179" i="48" s="1"/>
  <c r="U179" i="48" s="1"/>
  <c r="T172" i="48"/>
  <c r="U172" i="48" s="1"/>
  <c r="D131" i="48"/>
  <c r="G131" i="48"/>
  <c r="F131" i="48"/>
  <c r="E131" i="48"/>
  <c r="D134" i="53" l="1"/>
  <c r="U161" i="48"/>
  <c r="U160" i="48"/>
  <c r="U159" i="48"/>
  <c r="U156" i="48"/>
  <c r="H148" i="48"/>
  <c r="H166" i="48"/>
  <c r="U158" i="48"/>
  <c r="U163" i="48"/>
  <c r="D162" i="48"/>
  <c r="T162" i="48" s="1"/>
  <c r="U162" i="48" s="1"/>
  <c r="Y158" i="48"/>
  <c r="Y163" i="48"/>
  <c r="Y157" i="48"/>
  <c r="Y161" i="48"/>
  <c r="F162" i="48"/>
  <c r="X162" i="48" s="1"/>
  <c r="Y162" i="48" s="1"/>
  <c r="Y156" i="48"/>
  <c r="Y160" i="48"/>
  <c r="Y175" i="48"/>
  <c r="Y185" i="48"/>
  <c r="Y177" i="48"/>
  <c r="Y181" i="48"/>
  <c r="Y172" i="48"/>
  <c r="AA178" i="48"/>
  <c r="W178" i="48"/>
  <c r="W172" i="48"/>
  <c r="AA177" i="48"/>
  <c r="W182" i="48"/>
  <c r="AA181" i="48"/>
  <c r="Y176" i="48"/>
  <c r="Y178" i="48"/>
  <c r="V173" i="48"/>
  <c r="W173" i="48" s="1"/>
  <c r="Z173" i="48"/>
  <c r="AA173" i="48" s="1"/>
  <c r="AA183" i="48"/>
  <c r="W183" i="48"/>
  <c r="Z174" i="48"/>
  <c r="AA174" i="48" s="1"/>
  <c r="W177" i="48"/>
  <c r="AA175" i="48"/>
  <c r="W181" i="48"/>
  <c r="X174" i="48"/>
  <c r="Y174" i="48" s="1"/>
  <c r="AA172" i="48"/>
  <c r="V174" i="48"/>
  <c r="W174" i="48" s="1"/>
  <c r="W175" i="48"/>
  <c r="W176" i="48"/>
  <c r="X173" i="48"/>
  <c r="Y173" i="48" s="1"/>
  <c r="AA176" i="48"/>
  <c r="AA182" i="48"/>
  <c r="Y182" i="48"/>
  <c r="Y183" i="48"/>
  <c r="AB172" i="48"/>
  <c r="AC172" i="48" s="1"/>
  <c r="H173" i="48"/>
  <c r="F155" i="60"/>
  <c r="C139" i="64"/>
  <c r="C139" i="65"/>
  <c r="F156" i="60"/>
  <c r="F125" i="64"/>
  <c r="F149" i="64" s="1"/>
  <c r="F150" i="64"/>
  <c r="C150" i="64"/>
  <c r="C150" i="65"/>
  <c r="F150" i="65"/>
  <c r="H186" i="48"/>
  <c r="H174" i="48"/>
  <c r="H131" i="48"/>
  <c r="H132" i="48"/>
  <c r="H179" i="48"/>
  <c r="AA162" i="48"/>
  <c r="AC162" i="48"/>
  <c r="AC161" i="48"/>
  <c r="AA163" i="48"/>
  <c r="AA159" i="48"/>
  <c r="AA156" i="48"/>
  <c r="AA158" i="48"/>
  <c r="AA160" i="48"/>
  <c r="AC163" i="48"/>
  <c r="AC160" i="48"/>
  <c r="AC158" i="48"/>
  <c r="AC156" i="48"/>
  <c r="AC159" i="48"/>
  <c r="AA157" i="48"/>
  <c r="V179" i="48"/>
  <c r="W179" i="48" s="1"/>
  <c r="E184" i="48"/>
  <c r="D184" i="48"/>
  <c r="T184" i="48" s="1"/>
  <c r="U184" i="48" s="1"/>
  <c r="X179" i="48"/>
  <c r="Y179" i="48" s="1"/>
  <c r="F184" i="48"/>
  <c r="Z179" i="48"/>
  <c r="AA179" i="48" s="1"/>
  <c r="G184" i="48"/>
  <c r="V184" i="48" l="1"/>
  <c r="W184" i="48" s="1"/>
  <c r="AB173" i="48"/>
  <c r="AC173" i="48" s="1"/>
  <c r="AB179" i="48"/>
  <c r="AC179" i="48" s="1"/>
  <c r="Z184" i="48"/>
  <c r="AA184" i="48" s="1"/>
  <c r="X184" i="48"/>
  <c r="Y184" i="48" s="1"/>
  <c r="AB174" i="48"/>
  <c r="AC174" i="48" s="1"/>
  <c r="H184" i="48"/>
  <c r="G125" i="48"/>
  <c r="G124" i="48"/>
  <c r="AB184" i="48" l="1"/>
  <c r="AC184" i="48" s="1"/>
  <c r="H125" i="48"/>
  <c r="H124" i="48"/>
  <c r="H128" i="48" l="1"/>
  <c r="I128" i="48"/>
  <c r="H127" i="48"/>
  <c r="I127" i="48"/>
  <c r="Z149" i="48"/>
  <c r="X149" i="48"/>
  <c r="V149" i="48"/>
  <c r="T149" i="48"/>
  <c r="AB148" i="48"/>
  <c r="Z148" i="48"/>
  <c r="X148" i="48"/>
  <c r="V148" i="48"/>
  <c r="T148" i="48"/>
  <c r="AB146" i="48"/>
  <c r="Z146" i="48"/>
  <c r="X146" i="48"/>
  <c r="V146" i="48"/>
  <c r="T146" i="48"/>
  <c r="AB145" i="48"/>
  <c r="Z145" i="48"/>
  <c r="X145" i="48"/>
  <c r="V145" i="48"/>
  <c r="T145" i="48"/>
  <c r="AB144" i="48"/>
  <c r="Z144" i="48"/>
  <c r="X144" i="48"/>
  <c r="V144" i="48"/>
  <c r="T144" i="48"/>
  <c r="AB142" i="48"/>
  <c r="Z142" i="48"/>
  <c r="X142" i="48"/>
  <c r="V142" i="48"/>
  <c r="T142" i="48"/>
  <c r="AB140" i="48"/>
  <c r="Z140" i="48"/>
  <c r="X140" i="48"/>
  <c r="V140" i="48"/>
  <c r="T140" i="48"/>
  <c r="Z139" i="48"/>
  <c r="X139" i="48"/>
  <c r="V139" i="48"/>
  <c r="T139" i="48"/>
  <c r="W149" i="48" l="1"/>
  <c r="W147" i="48"/>
  <c r="W141" i="48"/>
  <c r="W143" i="48"/>
  <c r="Y147" i="48"/>
  <c r="Y141" i="48"/>
  <c r="Y143" i="48"/>
  <c r="AA149" i="48"/>
  <c r="AA147" i="48"/>
  <c r="AA141" i="48"/>
  <c r="AA143" i="48"/>
  <c r="U149" i="48"/>
  <c r="U147" i="48"/>
  <c r="U141" i="48"/>
  <c r="U143" i="48"/>
  <c r="Y139" i="48"/>
  <c r="AA139" i="48"/>
  <c r="U145" i="48"/>
  <c r="U148" i="48"/>
  <c r="AA140" i="48"/>
  <c r="Y144" i="48"/>
  <c r="AA145" i="48"/>
  <c r="Y146" i="48"/>
  <c r="U140" i="48"/>
  <c r="Y142" i="48"/>
  <c r="AA144" i="48"/>
  <c r="U144" i="48"/>
  <c r="U142" i="48"/>
  <c r="AA142" i="48"/>
  <c r="U139" i="48"/>
  <c r="Y140" i="48"/>
  <c r="U146" i="48"/>
  <c r="W148" i="48"/>
  <c r="Y149" i="48"/>
  <c r="Y148" i="48"/>
  <c r="W146" i="48"/>
  <c r="AA148" i="48"/>
  <c r="W144" i="48"/>
  <c r="W145" i="48"/>
  <c r="W139" i="48"/>
  <c r="W140" i="48"/>
  <c r="W142" i="48"/>
  <c r="Y145" i="48"/>
  <c r="AA146" i="48"/>
  <c r="J68" i="42"/>
  <c r="J67" i="42"/>
  <c r="J66" i="42"/>
  <c r="J166" i="42"/>
  <c r="J164" i="42"/>
  <c r="J163" i="42"/>
  <c r="J161" i="42"/>
  <c r="J151" i="42"/>
  <c r="D21" i="52" s="1"/>
  <c r="J152" i="42"/>
  <c r="D20" i="52" s="1"/>
  <c r="J150" i="42"/>
  <c r="J157" i="42"/>
  <c r="J144" i="42"/>
  <c r="J155" i="42"/>
  <c r="D282" i="48" s="1"/>
  <c r="J154" i="42"/>
  <c r="D281" i="48" s="1"/>
  <c r="J156" i="42"/>
  <c r="J149" i="42"/>
  <c r="D278" i="48" s="1"/>
  <c r="J148" i="42"/>
  <c r="D291" i="48" s="1"/>
  <c r="J82" i="42"/>
  <c r="J81" i="42"/>
  <c r="J80" i="42"/>
  <c r="J79" i="42"/>
  <c r="J78" i="42"/>
  <c r="J77" i="42"/>
  <c r="J76" i="42"/>
  <c r="J75" i="42"/>
  <c r="J74" i="42"/>
  <c r="J73" i="42"/>
  <c r="J72" i="42"/>
  <c r="K68" i="42"/>
  <c r="K67" i="42"/>
  <c r="K66" i="42"/>
  <c r="K166" i="42"/>
  <c r="K164" i="42"/>
  <c r="K163" i="42"/>
  <c r="K161" i="42"/>
  <c r="K151" i="42"/>
  <c r="E21" i="52" s="1"/>
  <c r="K152" i="42"/>
  <c r="E20" i="52" s="1"/>
  <c r="K150" i="42"/>
  <c r="K157" i="42"/>
  <c r="K144" i="42"/>
  <c r="K309" i="42" s="1"/>
  <c r="K155" i="42"/>
  <c r="E282" i="48" s="1"/>
  <c r="K154" i="42"/>
  <c r="E281" i="48" s="1"/>
  <c r="K156" i="42"/>
  <c r="K149" i="42"/>
  <c r="E278" i="48" s="1"/>
  <c r="K148" i="42"/>
  <c r="E291" i="48" s="1"/>
  <c r="K82" i="42"/>
  <c r="K81" i="42"/>
  <c r="K80" i="42"/>
  <c r="K79" i="42"/>
  <c r="E168" i="48" s="1"/>
  <c r="K78" i="42"/>
  <c r="K77" i="42"/>
  <c r="K76" i="42"/>
  <c r="K75" i="42"/>
  <c r="K74" i="42"/>
  <c r="K73" i="42"/>
  <c r="E167" i="48" s="1"/>
  <c r="K72" i="42"/>
  <c r="L82" i="42"/>
  <c r="L81" i="42"/>
  <c r="L80" i="42"/>
  <c r="L79" i="42"/>
  <c r="F168" i="48" s="1"/>
  <c r="L78" i="42"/>
  <c r="L77" i="42"/>
  <c r="L76" i="42"/>
  <c r="L75" i="42"/>
  <c r="L74" i="42"/>
  <c r="L73" i="42"/>
  <c r="F167" i="48" s="1"/>
  <c r="L72" i="42"/>
  <c r="L67" i="42"/>
  <c r="M67" i="42"/>
  <c r="M68" i="42"/>
  <c r="L68" i="42"/>
  <c r="M66" i="42"/>
  <c r="L66" i="42"/>
  <c r="D299" i="48" l="1"/>
  <c r="D91" i="48"/>
  <c r="F299" i="48"/>
  <c r="F91" i="48"/>
  <c r="G299" i="48"/>
  <c r="G91" i="48"/>
  <c r="E299" i="48"/>
  <c r="E91" i="48"/>
  <c r="F169" i="48"/>
  <c r="D99" i="48"/>
  <c r="E99" i="48"/>
  <c r="F99" i="48"/>
  <c r="G99" i="48"/>
  <c r="D293" i="48"/>
  <c r="E264" i="48"/>
  <c r="V264" i="48" s="1"/>
  <c r="E292" i="48"/>
  <c r="E293" i="48"/>
  <c r="D264" i="48"/>
  <c r="T264" i="48" s="1"/>
  <c r="D292" i="48"/>
  <c r="E265" i="48"/>
  <c r="V265" i="48" s="1"/>
  <c r="J142" i="42"/>
  <c r="D266" i="48" s="1"/>
  <c r="T266" i="48" s="1"/>
  <c r="K142" i="42"/>
  <c r="K162" i="42"/>
  <c r="J146" i="42"/>
  <c r="D265" i="48"/>
  <c r="T265" i="48" s="1"/>
  <c r="J162" i="42"/>
  <c r="K146" i="42"/>
  <c r="D18" i="52"/>
  <c r="E18" i="52"/>
  <c r="J159" i="42"/>
  <c r="D19" i="52" s="1"/>
  <c r="K159" i="42"/>
  <c r="E19" i="52" s="1"/>
  <c r="J147" i="42"/>
  <c r="D17" i="52" s="1"/>
  <c r="J358" i="42"/>
  <c r="K358" i="42"/>
  <c r="E12" i="48" s="1"/>
  <c r="K147" i="42"/>
  <c r="E17" i="52" s="1"/>
  <c r="D270" i="48"/>
  <c r="T270" i="48" s="1"/>
  <c r="E270" i="48"/>
  <c r="V270" i="48" s="1"/>
  <c r="E272" i="48"/>
  <c r="V272" i="48" s="1"/>
  <c r="D269" i="48"/>
  <c r="T269" i="48" s="1"/>
  <c r="D271" i="48"/>
  <c r="T271" i="48" s="1"/>
  <c r="D272" i="48"/>
  <c r="T272" i="48" s="1"/>
  <c r="D263" i="48"/>
  <c r="T263" i="48" s="1"/>
  <c r="E269" i="48"/>
  <c r="V269" i="48" s="1"/>
  <c r="E263" i="48"/>
  <c r="V263" i="48" s="1"/>
  <c r="E271" i="48"/>
  <c r="V271" i="48" s="1"/>
  <c r="L71" i="42"/>
  <c r="K71" i="42"/>
  <c r="J71" i="42"/>
  <c r="K143" i="42"/>
  <c r="K357" i="42" s="1"/>
  <c r="L69" i="42"/>
  <c r="J69" i="42"/>
  <c r="K69" i="42"/>
  <c r="M69" i="42"/>
  <c r="J143" i="42"/>
  <c r="J357" i="42" s="1"/>
  <c r="J167" i="42" l="1"/>
  <c r="K167" i="42"/>
  <c r="E16" i="52"/>
  <c r="D15" i="52"/>
  <c r="E15" i="52"/>
  <c r="D16" i="52"/>
  <c r="D30" i="52"/>
  <c r="D12" i="48"/>
  <c r="C33" i="60"/>
  <c r="C32" i="65"/>
  <c r="C32" i="64"/>
  <c r="C32" i="60"/>
  <c r="C31" i="65"/>
  <c r="C31" i="64"/>
  <c r="E266" i="48"/>
  <c r="V266" i="48" s="1"/>
  <c r="D262" i="48"/>
  <c r="T262" i="48" s="1"/>
  <c r="D267" i="48"/>
  <c r="T267" i="48" s="1"/>
  <c r="E274" i="48"/>
  <c r="V274" i="48" s="1"/>
  <c r="E267" i="48"/>
  <c r="V267" i="48" s="1"/>
  <c r="E262" i="48"/>
  <c r="V262" i="48" s="1"/>
  <c r="D274" i="48"/>
  <c r="T274" i="48" s="1"/>
  <c r="L166" i="42"/>
  <c r="L164" i="42"/>
  <c r="L163" i="42"/>
  <c r="L161" i="42"/>
  <c r="L151" i="42"/>
  <c r="F21" i="52" s="1"/>
  <c r="L152" i="42"/>
  <c r="F20" i="52" s="1"/>
  <c r="L150" i="42"/>
  <c r="L157" i="42"/>
  <c r="L144" i="42"/>
  <c r="L309" i="42" s="1"/>
  <c r="L155" i="42"/>
  <c r="F282" i="48" s="1"/>
  <c r="L154" i="42"/>
  <c r="F281" i="48" s="1"/>
  <c r="L156" i="42"/>
  <c r="L149" i="42"/>
  <c r="F278" i="48" s="1"/>
  <c r="L148" i="42"/>
  <c r="F291" i="48" s="1"/>
  <c r="M166" i="42"/>
  <c r="M164" i="42"/>
  <c r="D205" i="53" s="1"/>
  <c r="M163" i="42"/>
  <c r="M161" i="42"/>
  <c r="D204" i="53" s="1"/>
  <c r="M151" i="42"/>
  <c r="M152" i="42"/>
  <c r="M150" i="42"/>
  <c r="D195" i="53" s="1"/>
  <c r="M157" i="42"/>
  <c r="M144" i="42"/>
  <c r="M155" i="42"/>
  <c r="G282" i="48" s="1"/>
  <c r="M154" i="42"/>
  <c r="G281" i="48" s="1"/>
  <c r="M156" i="42"/>
  <c r="M149" i="42"/>
  <c r="M148" i="42"/>
  <c r="G278" i="48" l="1"/>
  <c r="G264" i="48" s="1"/>
  <c r="Z264" i="48" s="1"/>
  <c r="D200" i="53"/>
  <c r="G21" i="52"/>
  <c r="M21" i="52" s="1"/>
  <c r="D203" i="53"/>
  <c r="G291" i="48"/>
  <c r="D199" i="53"/>
  <c r="G20" i="52"/>
  <c r="M20" i="52" s="1"/>
  <c r="D196" i="53"/>
  <c r="M143" i="42"/>
  <c r="M309" i="42"/>
  <c r="G293" i="48"/>
  <c r="F293" i="48"/>
  <c r="F264" i="48"/>
  <c r="X264" i="48" s="1"/>
  <c r="F292" i="48"/>
  <c r="G265" i="48"/>
  <c r="Z265" i="48" s="1"/>
  <c r="L146" i="42"/>
  <c r="F265" i="48"/>
  <c r="X265" i="48" s="1"/>
  <c r="L142" i="42"/>
  <c r="M146" i="42"/>
  <c r="D198" i="53" s="1"/>
  <c r="L162" i="42"/>
  <c r="M162" i="42"/>
  <c r="G18" i="52"/>
  <c r="M18" i="52" s="1"/>
  <c r="F18" i="52"/>
  <c r="M159" i="42"/>
  <c r="L159" i="42"/>
  <c r="F19" i="52" s="1"/>
  <c r="L358" i="42"/>
  <c r="F12" i="48" s="1"/>
  <c r="M147" i="42"/>
  <c r="G17" i="52" s="1"/>
  <c r="M17" i="52" s="1"/>
  <c r="M358" i="42"/>
  <c r="G12" i="48" s="1"/>
  <c r="L147" i="42"/>
  <c r="F17" i="52" s="1"/>
  <c r="C39" i="60"/>
  <c r="C38" i="60"/>
  <c r="C37" i="64"/>
  <c r="C144" i="64"/>
  <c r="C37" i="65"/>
  <c r="C144" i="65"/>
  <c r="C38" i="64"/>
  <c r="C145" i="64"/>
  <c r="C38" i="65"/>
  <c r="C145" i="65"/>
  <c r="M142" i="42"/>
  <c r="D193" i="53" s="1"/>
  <c r="G270" i="48"/>
  <c r="Z270" i="48" s="1"/>
  <c r="F270" i="48"/>
  <c r="X270" i="48" s="1"/>
  <c r="G272" i="48"/>
  <c r="Z272" i="48" s="1"/>
  <c r="K168" i="42"/>
  <c r="E276" i="48"/>
  <c r="V276" i="48" s="1"/>
  <c r="W266" i="48" s="1"/>
  <c r="F269" i="48"/>
  <c r="X269" i="48" s="1"/>
  <c r="F263" i="48"/>
  <c r="X263" i="48" s="1"/>
  <c r="J168" i="42"/>
  <c r="D276" i="48"/>
  <c r="T276" i="48" s="1"/>
  <c r="G263" i="48"/>
  <c r="Z263" i="48" s="1"/>
  <c r="F272" i="48"/>
  <c r="X272" i="48" s="1"/>
  <c r="G269" i="48"/>
  <c r="Z269" i="48" s="1"/>
  <c r="F271" i="48"/>
  <c r="X271" i="48" s="1"/>
  <c r="G271" i="48"/>
  <c r="Z271" i="48" s="1"/>
  <c r="L143" i="42"/>
  <c r="L357" i="42" s="1"/>
  <c r="G292" i="48" l="1"/>
  <c r="D207" i="53"/>
  <c r="G19" i="52"/>
  <c r="G16" i="52" s="1"/>
  <c r="D202" i="53"/>
  <c r="M357" i="42"/>
  <c r="D194" i="53"/>
  <c r="L167" i="42"/>
  <c r="M167" i="42"/>
  <c r="U275" i="48"/>
  <c r="U265" i="48"/>
  <c r="U273" i="48"/>
  <c r="U276" i="48"/>
  <c r="U264" i="48"/>
  <c r="U269" i="48"/>
  <c r="U270" i="48"/>
  <c r="U271" i="48"/>
  <c r="U266" i="48"/>
  <c r="U263" i="48"/>
  <c r="U272" i="48"/>
  <c r="U274" i="48"/>
  <c r="W276" i="48"/>
  <c r="W265" i="48"/>
  <c r="W273" i="48"/>
  <c r="W275" i="48"/>
  <c r="W264" i="48"/>
  <c r="W269" i="48"/>
  <c r="W270" i="48"/>
  <c r="W263" i="48"/>
  <c r="W271" i="48"/>
  <c r="W272" i="48"/>
  <c r="W267" i="48"/>
  <c r="U267" i="48"/>
  <c r="W274" i="48"/>
  <c r="G15" i="52"/>
  <c r="M15" i="52" s="1"/>
  <c r="F15" i="52"/>
  <c r="F16" i="52"/>
  <c r="E33" i="60"/>
  <c r="F151" i="60" s="1"/>
  <c r="E32" i="65"/>
  <c r="E32" i="64"/>
  <c r="D32" i="60"/>
  <c r="D31" i="64"/>
  <c r="D31" i="65"/>
  <c r="D33" i="60"/>
  <c r="D32" i="65"/>
  <c r="D32" i="64"/>
  <c r="E32" i="60"/>
  <c r="F150" i="60" s="1"/>
  <c r="E31" i="64"/>
  <c r="E31" i="65"/>
  <c r="G266" i="48"/>
  <c r="Z266" i="48" s="1"/>
  <c r="F266" i="48"/>
  <c r="X266" i="48" s="1"/>
  <c r="F262" i="48"/>
  <c r="X262" i="48" s="1"/>
  <c r="F267" i="48"/>
  <c r="X267" i="48" s="1"/>
  <c r="F274" i="48"/>
  <c r="X274" i="48" s="1"/>
  <c r="H272" i="48"/>
  <c r="AB272" i="48" s="1"/>
  <c r="G274" i="48"/>
  <c r="Z274" i="48" s="1"/>
  <c r="H269" i="48"/>
  <c r="AB269" i="48" s="1"/>
  <c r="G267" i="48"/>
  <c r="Z267" i="48" s="1"/>
  <c r="AB264" i="48"/>
  <c r="H271" i="48"/>
  <c r="AB271" i="48" s="1"/>
  <c r="G262" i="48"/>
  <c r="Z262" i="48" s="1"/>
  <c r="U262" i="48"/>
  <c r="W262" i="48"/>
  <c r="H266" i="48"/>
  <c r="AB266" i="48" s="1"/>
  <c r="D38" i="60" l="1"/>
  <c r="C150" i="60"/>
  <c r="D151" i="60"/>
  <c r="C151" i="60"/>
  <c r="E39" i="60"/>
  <c r="D150" i="60"/>
  <c r="E150" i="60"/>
  <c r="E38" i="60"/>
  <c r="D37" i="65"/>
  <c r="D144" i="65"/>
  <c r="E37" i="65"/>
  <c r="E144" i="65"/>
  <c r="F144" i="65"/>
  <c r="E151" i="60"/>
  <c r="D39" i="60"/>
  <c r="E144" i="64"/>
  <c r="E37" i="64"/>
  <c r="F144" i="64"/>
  <c r="E145" i="64"/>
  <c r="E38" i="64"/>
  <c r="F145" i="64"/>
  <c r="E145" i="65"/>
  <c r="E38" i="65"/>
  <c r="F145" i="65"/>
  <c r="D145" i="65"/>
  <c r="D38" i="65"/>
  <c r="D144" i="64"/>
  <c r="D37" i="64"/>
  <c r="D145" i="64"/>
  <c r="D38" i="64"/>
  <c r="M168" i="42"/>
  <c r="G89" i="48" s="1"/>
  <c r="G276" i="48"/>
  <c r="Z276" i="48" s="1"/>
  <c r="L168" i="42"/>
  <c r="F89" i="48" s="1"/>
  <c r="F276" i="48"/>
  <c r="X276" i="48" s="1"/>
  <c r="Y274" i="48" s="1"/>
  <c r="H267" i="48"/>
  <c r="AB267" i="48" s="1"/>
  <c r="H274" i="48"/>
  <c r="AB274" i="48" s="1"/>
  <c r="H263" i="48"/>
  <c r="AB263" i="48" s="1"/>
  <c r="H276" i="48"/>
  <c r="AB276" i="48" s="1"/>
  <c r="AC264" i="48" s="1"/>
  <c r="AC267" i="48" l="1"/>
  <c r="AC269" i="48"/>
  <c r="AA274" i="48"/>
  <c r="AA265" i="48"/>
  <c r="AA276" i="48"/>
  <c r="AA273" i="48"/>
  <c r="AA275" i="48"/>
  <c r="AA269" i="48"/>
  <c r="AA271" i="48"/>
  <c r="AA263" i="48"/>
  <c r="AA272" i="48"/>
  <c r="AA270" i="48"/>
  <c r="AA264" i="48"/>
  <c r="AA267" i="48"/>
  <c r="AC271" i="48"/>
  <c r="Y276" i="48"/>
  <c r="Y273" i="48"/>
  <c r="Y265" i="48"/>
  <c r="Y275" i="48"/>
  <c r="Y263" i="48"/>
  <c r="Y271" i="48"/>
  <c r="Y270" i="48"/>
  <c r="Y269" i="48"/>
  <c r="Y264" i="48"/>
  <c r="Y272" i="48"/>
  <c r="AC273" i="48"/>
  <c r="AC265" i="48"/>
  <c r="AC276" i="48"/>
  <c r="AC270" i="48"/>
  <c r="AA266" i="48"/>
  <c r="AC263" i="48"/>
  <c r="AC274" i="48"/>
  <c r="Y266" i="48"/>
  <c r="AC272" i="48"/>
  <c r="Y267" i="48"/>
  <c r="AC266" i="48"/>
  <c r="AA262" i="48"/>
  <c r="Y262" i="48"/>
  <c r="H262" i="48"/>
  <c r="AB262" i="48" s="1"/>
  <c r="AC262" i="48" s="1"/>
  <c r="H89" i="48"/>
  <c r="M82" i="42"/>
  <c r="M81" i="42"/>
  <c r="M80" i="42"/>
  <c r="M79" i="42"/>
  <c r="G168" i="48" s="1"/>
  <c r="M78" i="42"/>
  <c r="M77" i="42"/>
  <c r="M76" i="42"/>
  <c r="M75" i="42"/>
  <c r="M74" i="42"/>
  <c r="M73" i="42"/>
  <c r="G167" i="48" s="1"/>
  <c r="M72" i="42"/>
  <c r="G169" i="48" l="1"/>
  <c r="M71" i="42"/>
  <c r="H19" i="52" l="1"/>
  <c r="M19" i="52" s="1"/>
  <c r="H85" i="52"/>
  <c r="M85" i="52" s="1"/>
  <c r="H84" i="52"/>
  <c r="M84" i="52" s="1"/>
  <c r="H82" i="52"/>
  <c r="M82" i="52" s="1"/>
  <c r="H68" i="52"/>
  <c r="M68" i="52" s="1"/>
  <c r="H67" i="52"/>
  <c r="M67" i="52" s="1"/>
  <c r="H65" i="52"/>
  <c r="M65" i="52" s="1"/>
  <c r="H11" i="52"/>
  <c r="M11" i="52" s="1"/>
  <c r="H10" i="52"/>
  <c r="M10" i="52" s="1"/>
  <c r="H7" i="52"/>
  <c r="H5" i="52"/>
  <c r="S484" i="24"/>
  <c r="S482" i="24"/>
  <c r="S481" i="24"/>
  <c r="S480" i="24"/>
  <c r="S479" i="24"/>
  <c r="S478" i="24"/>
  <c r="S477" i="24"/>
  <c r="S476" i="24"/>
  <c r="S475" i="24"/>
  <c r="S474" i="24"/>
  <c r="S473" i="24"/>
  <c r="S472" i="24"/>
  <c r="S471" i="24"/>
  <c r="S470" i="24"/>
  <c r="S469" i="24"/>
  <c r="S468" i="24"/>
  <c r="S467" i="24"/>
  <c r="S466" i="24"/>
  <c r="S465" i="24"/>
  <c r="S464" i="24"/>
  <c r="S463" i="24"/>
  <c r="S462" i="24"/>
  <c r="S461" i="24"/>
  <c r="S460" i="24"/>
  <c r="S459" i="24"/>
  <c r="S458" i="24"/>
  <c r="S15" i="24"/>
  <c r="S4" i="24"/>
  <c r="S5" i="24" s="1"/>
  <c r="S3" i="24"/>
  <c r="R468" i="22"/>
  <c r="S484" i="22"/>
  <c r="S482" i="22"/>
  <c r="S481" i="22"/>
  <c r="S480" i="22"/>
  <c r="S479" i="22"/>
  <c r="S478" i="22"/>
  <c r="S477" i="22"/>
  <c r="S476" i="22"/>
  <c r="S475" i="22"/>
  <c r="S474" i="22"/>
  <c r="S473" i="22"/>
  <c r="S472" i="22"/>
  <c r="S471" i="22"/>
  <c r="S470" i="22"/>
  <c r="S469" i="22"/>
  <c r="S467" i="22"/>
  <c r="S466" i="22"/>
  <c r="S465" i="22"/>
  <c r="S464" i="22"/>
  <c r="S3" i="22"/>
  <c r="S9" i="22" s="1"/>
  <c r="H63" i="52" l="1"/>
  <c r="M63" i="52" s="1"/>
  <c r="H16" i="52"/>
  <c r="M16" i="52" s="1"/>
  <c r="H294" i="48"/>
  <c r="V363" i="42"/>
  <c r="O363" i="42" s="1"/>
  <c r="V362" i="42"/>
  <c r="O362" i="42" s="1"/>
  <c r="V367" i="42"/>
  <c r="O367" i="42" s="1"/>
  <c r="H257" i="48"/>
  <c r="H60" i="52"/>
  <c r="H62" i="52"/>
  <c r="O361" i="42"/>
  <c r="G66" i="60"/>
  <c r="S8" i="22"/>
  <c r="S10" i="22" s="1"/>
  <c r="S13" i="24"/>
  <c r="S8" i="24" s="1"/>
  <c r="S11" i="24"/>
  <c r="S6" i="24" s="1"/>
  <c r="S12" i="24"/>
  <c r="S7" i="24" s="1"/>
  <c r="H246" i="48"/>
  <c r="AB246" i="48" s="1"/>
  <c r="H275" i="48"/>
  <c r="AB275" i="48" s="1"/>
  <c r="AC275" i="48" s="1"/>
  <c r="H241" i="48"/>
  <c r="AB241" i="48" s="1"/>
  <c r="H231" i="48"/>
  <c r="H75" i="52"/>
  <c r="M75" i="52" s="1"/>
  <c r="H27" i="52"/>
  <c r="M27" i="52" s="1"/>
  <c r="H78" i="52"/>
  <c r="M78" i="52" s="1"/>
  <c r="H80" i="52"/>
  <c r="M80" i="52" s="1"/>
  <c r="H29" i="52"/>
  <c r="AB139" i="48"/>
  <c r="H23" i="52"/>
  <c r="M23" i="52" s="1"/>
  <c r="H13" i="52"/>
  <c r="AB149" i="48"/>
  <c r="S5" i="22"/>
  <c r="S9" i="24"/>
  <c r="S7" i="22"/>
  <c r="H12" i="52" l="1"/>
  <c r="M12" i="52" s="1"/>
  <c r="M13" i="52"/>
  <c r="D35" i="59"/>
  <c r="C10" i="66"/>
  <c r="B33" i="66" s="1"/>
  <c r="AC246" i="48"/>
  <c r="AC245" i="48"/>
  <c r="AC243" i="48"/>
  <c r="AC242" i="48"/>
  <c r="AC244" i="48"/>
  <c r="AC147" i="48"/>
  <c r="AC143" i="48"/>
  <c r="AC141" i="48"/>
  <c r="G11" i="60"/>
  <c r="B125" i="59" s="1"/>
  <c r="C79" i="59"/>
  <c r="C90" i="59" s="1"/>
  <c r="R106" i="55"/>
  <c r="I74" i="48"/>
  <c r="I13" i="48"/>
  <c r="I214" i="48"/>
  <c r="I53" i="48"/>
  <c r="I99" i="52"/>
  <c r="I104" i="52"/>
  <c r="I106" i="52"/>
  <c r="H103" i="48"/>
  <c r="H286" i="48"/>
  <c r="H285" i="48"/>
  <c r="H102" i="48"/>
  <c r="I100" i="52"/>
  <c r="I304" i="48"/>
  <c r="S4" i="22"/>
  <c r="AC241" i="48"/>
  <c r="H255" i="48"/>
  <c r="H77" i="52"/>
  <c r="M77" i="52" s="1"/>
  <c r="AC145" i="48"/>
  <c r="AC139" i="48"/>
  <c r="AC140" i="48"/>
  <c r="AC148" i="48"/>
  <c r="AC149" i="48"/>
  <c r="AC146" i="48"/>
  <c r="AC142" i="48"/>
  <c r="AC144" i="48"/>
  <c r="H104" i="52"/>
  <c r="H33" i="66" l="1"/>
  <c r="G33" i="66"/>
  <c r="C60" i="59"/>
  <c r="G125" i="59"/>
  <c r="H125" i="59"/>
  <c r="K117" i="55"/>
  <c r="L117" i="55" s="1"/>
  <c r="L19" i="55" s="1"/>
  <c r="N19" i="55" s="1"/>
  <c r="H94" i="48"/>
  <c r="H284" i="48"/>
  <c r="H22" i="52"/>
  <c r="Q120" i="55"/>
  <c r="H90" i="48"/>
  <c r="H66" i="52"/>
  <c r="H106" i="52"/>
  <c r="H97" i="52"/>
  <c r="H49" i="52"/>
  <c r="H51" i="48" l="1"/>
  <c r="H290" i="48"/>
  <c r="H107" i="48"/>
  <c r="H97" i="48"/>
  <c r="H289" i="48"/>
  <c r="H247" i="48"/>
  <c r="V364" i="42"/>
  <c r="O364" i="42" s="1"/>
  <c r="H190" i="48"/>
  <c r="AB190" i="48" s="1"/>
  <c r="H43" i="48"/>
  <c r="H191" i="48"/>
  <c r="AB191" i="48" s="1"/>
  <c r="H44" i="48"/>
  <c r="H189" i="48"/>
  <c r="AB189" i="48" s="1"/>
  <c r="H42" i="48"/>
  <c r="H73" i="48"/>
  <c r="H49" i="48"/>
  <c r="H210" i="48"/>
  <c r="H30" i="52"/>
  <c r="H252" i="48"/>
  <c r="H70" i="52"/>
  <c r="H100" i="52"/>
  <c r="H212" i="48"/>
  <c r="H81" i="52"/>
  <c r="H83" i="52"/>
  <c r="H51" i="52"/>
  <c r="H65" i="48" l="1"/>
  <c r="H288" i="48"/>
  <c r="H105" i="48"/>
  <c r="H230" i="48"/>
  <c r="Q114" i="55"/>
  <c r="H63" i="48"/>
  <c r="Q115" i="55"/>
  <c r="H64" i="48"/>
  <c r="H193" i="48"/>
  <c r="AB193" i="48" s="1"/>
  <c r="H46" i="48"/>
  <c r="H218" i="48"/>
  <c r="H47" i="48"/>
  <c r="H194" i="48"/>
  <c r="AB194" i="48" s="1"/>
  <c r="H237" i="48"/>
  <c r="H238" i="48" s="1"/>
  <c r="H227" i="48"/>
  <c r="H228" i="48"/>
  <c r="H229" i="48"/>
  <c r="H226" i="48"/>
  <c r="H40" i="52"/>
  <c r="H41" i="52"/>
  <c r="Q121" i="55" l="1"/>
  <c r="H287" i="48"/>
  <c r="H95" i="48"/>
  <c r="Q122" i="55"/>
  <c r="H192" i="48"/>
  <c r="AB192" i="48" s="1"/>
  <c r="H45" i="48"/>
  <c r="H55" i="48" s="1"/>
  <c r="H50" i="52"/>
  <c r="H133" i="48" l="1"/>
  <c r="H101" i="52"/>
  <c r="H121" i="48" l="1"/>
  <c r="Q109" i="55" l="1"/>
  <c r="H195" i="48"/>
  <c r="AB195" i="48" s="1"/>
  <c r="H209" i="48"/>
  <c r="H211" i="48" l="1"/>
  <c r="AC194" i="48"/>
  <c r="AC195" i="48"/>
  <c r="AC193" i="48"/>
  <c r="AC191" i="48"/>
  <c r="AC189" i="48"/>
  <c r="AC192" i="48"/>
  <c r="AC190" i="48"/>
  <c r="G2" i="48"/>
  <c r="F2" i="48"/>
  <c r="E2" i="48"/>
  <c r="D2" i="48"/>
  <c r="G1" i="48"/>
  <c r="F1" i="48"/>
  <c r="X1" i="48" s="1"/>
  <c r="E1" i="48"/>
  <c r="D1" i="48"/>
  <c r="T1" i="48" s="1"/>
  <c r="V138" i="48"/>
  <c r="T138" i="48"/>
  <c r="AB138" i="48"/>
  <c r="Z138" i="48"/>
  <c r="X138" i="48"/>
  <c r="H122" i="48" l="1"/>
  <c r="AC138" i="48"/>
  <c r="AC151" i="48" s="1"/>
  <c r="Y138" i="48"/>
  <c r="Y151" i="48" s="1"/>
  <c r="U138" i="48"/>
  <c r="U151" i="48" s="1"/>
  <c r="W138" i="48"/>
  <c r="W151" i="48" s="1"/>
  <c r="Z1" i="48"/>
  <c r="AA138" i="48"/>
  <c r="AA151" i="48" s="1"/>
  <c r="V1" i="48"/>
  <c r="J254" i="42" l="1"/>
  <c r="D66" i="52" s="1"/>
  <c r="E303" i="48"/>
  <c r="D22" i="52"/>
  <c r="F303" i="48"/>
  <c r="D59" i="65" l="1"/>
  <c r="E72" i="65" s="1"/>
  <c r="E155" i="65" s="1"/>
  <c r="D59" i="64"/>
  <c r="E72" i="64" s="1"/>
  <c r="E155" i="64" s="1"/>
  <c r="D60" i="60"/>
  <c r="E73" i="60" s="1"/>
  <c r="E9" i="48"/>
  <c r="C59" i="64"/>
  <c r="D72" i="64" s="1"/>
  <c r="C59" i="65"/>
  <c r="D72" i="65" s="1"/>
  <c r="C60" i="60"/>
  <c r="D73" i="60" s="1"/>
  <c r="F9" i="48"/>
  <c r="E51" i="48"/>
  <c r="F51" i="48"/>
  <c r="G107" i="48"/>
  <c r="G290" i="48"/>
  <c r="F107" i="48"/>
  <c r="F290" i="48"/>
  <c r="E107" i="48"/>
  <c r="E290" i="48"/>
  <c r="D107" i="48"/>
  <c r="D290" i="48"/>
  <c r="K29" i="42"/>
  <c r="E247" i="48"/>
  <c r="L29" i="42"/>
  <c r="F247" i="48"/>
  <c r="E22" i="52"/>
  <c r="F22" i="52"/>
  <c r="G97" i="52"/>
  <c r="M97" i="52" s="1"/>
  <c r="G30" i="52"/>
  <c r="M30" i="52" s="1"/>
  <c r="K365" i="42"/>
  <c r="F66" i="52"/>
  <c r="E66" i="52"/>
  <c r="F81" i="52"/>
  <c r="F83" i="52"/>
  <c r="L367" i="42"/>
  <c r="E81" i="52"/>
  <c r="K367" i="42"/>
  <c r="E83" i="52"/>
  <c r="F30" i="52"/>
  <c r="E30" i="52"/>
  <c r="F212" i="48"/>
  <c r="E73" i="48"/>
  <c r="E212" i="48"/>
  <c r="F73" i="48"/>
  <c r="E161" i="60" l="1"/>
  <c r="D155" i="64"/>
  <c r="D66" i="64"/>
  <c r="D21" i="64" s="1"/>
  <c r="D66" i="65"/>
  <c r="D21" i="65" s="1"/>
  <c r="D67" i="60"/>
  <c r="D22" i="60" s="1"/>
  <c r="D155" i="65"/>
  <c r="C65" i="64"/>
  <c r="C10" i="64" s="1"/>
  <c r="C65" i="65"/>
  <c r="C10" i="65" s="1"/>
  <c r="C66" i="60"/>
  <c r="C11" i="60" s="1"/>
  <c r="D65" i="64"/>
  <c r="D10" i="64" s="1"/>
  <c r="D65" i="65"/>
  <c r="D10" i="65" s="1"/>
  <c r="D66" i="60"/>
  <c r="D11" i="60" s="1"/>
  <c r="C66" i="64"/>
  <c r="C21" i="64" s="1"/>
  <c r="C66" i="65"/>
  <c r="C21" i="65" s="1"/>
  <c r="C67" i="60"/>
  <c r="C22" i="60" s="1"/>
  <c r="D161" i="60"/>
  <c r="F74" i="48"/>
  <c r="F13" i="48"/>
  <c r="G22" i="52"/>
  <c r="M22" i="52" s="1"/>
  <c r="F100" i="52"/>
  <c r="E100" i="52"/>
  <c r="J365" i="42"/>
  <c r="J349" i="42" s="1"/>
  <c r="D50" i="52" s="1"/>
  <c r="K349" i="42"/>
  <c r="L349" i="42"/>
  <c r="D212" i="53" s="1"/>
  <c r="M365" i="42"/>
  <c r="M349" i="42" s="1"/>
  <c r="E212" i="53" s="1"/>
  <c r="G95" i="48" l="1"/>
  <c r="G287" i="48"/>
  <c r="F95" i="48"/>
  <c r="F287" i="48"/>
  <c r="E95" i="48"/>
  <c r="E287" i="48"/>
  <c r="D287" i="48"/>
  <c r="O121" i="55"/>
  <c r="N121" i="55"/>
  <c r="P121" i="55"/>
  <c r="M121" i="55" s="1"/>
  <c r="G50" i="52"/>
  <c r="M50" i="52" s="1"/>
  <c r="F50" i="52"/>
  <c r="E50" i="52"/>
  <c r="K121" i="55" l="1"/>
  <c r="L121" i="55" s="1"/>
  <c r="L23" i="55" s="1"/>
  <c r="N23" i="55" s="1"/>
  <c r="D79" i="65" l="1"/>
  <c r="D79" i="64"/>
  <c r="D80" i="60"/>
  <c r="F227" i="48"/>
  <c r="F64" i="48"/>
  <c r="E255" i="48"/>
  <c r="E228" i="48"/>
  <c r="L345" i="42"/>
  <c r="D228" i="48"/>
  <c r="G228" i="48"/>
  <c r="F228" i="48"/>
  <c r="E252" i="48"/>
  <c r="N362" i="42"/>
  <c r="F67" i="48" l="1"/>
  <c r="L344" i="42"/>
  <c r="F68" i="48" s="1"/>
  <c r="D84" i="60"/>
  <c r="D14" i="60" s="1"/>
  <c r="D15" i="60"/>
  <c r="D83" i="64"/>
  <c r="D13" i="64" s="1"/>
  <c r="D14" i="64"/>
  <c r="D83" i="65"/>
  <c r="D13" i="65" s="1"/>
  <c r="D14" i="65"/>
  <c r="F230" i="48"/>
  <c r="I105" i="52"/>
  <c r="G255" i="48"/>
  <c r="D255" i="48"/>
  <c r="F255" i="48"/>
  <c r="G29" i="52"/>
  <c r="M29" i="52" s="1"/>
  <c r="E43" i="52"/>
  <c r="H105" i="52"/>
  <c r="M363" i="42" l="1"/>
  <c r="G106" i="52" s="1"/>
  <c r="M106" i="52" s="1"/>
  <c r="L363" i="42"/>
  <c r="F106" i="52" s="1"/>
  <c r="K363" i="42"/>
  <c r="E106" i="52" s="1"/>
  <c r="J363" i="42"/>
  <c r="D106" i="52" s="1"/>
  <c r="M361" i="42"/>
  <c r="G104" i="52" s="1"/>
  <c r="M104" i="52" s="1"/>
  <c r="L361" i="42"/>
  <c r="F104" i="52" s="1"/>
  <c r="K361" i="42"/>
  <c r="E104" i="52" s="1"/>
  <c r="J361" i="42"/>
  <c r="D104" i="52" s="1"/>
  <c r="D97" i="52"/>
  <c r="M348" i="42"/>
  <c r="E124" i="67" s="1"/>
  <c r="L124" i="67" s="1"/>
  <c r="K124" i="67" s="1"/>
  <c r="F23" i="67" s="1"/>
  <c r="R21" i="60" s="1"/>
  <c r="L348" i="42"/>
  <c r="N120" i="55"/>
  <c r="J348" i="42"/>
  <c r="D49" i="52" s="1"/>
  <c r="G252" i="48"/>
  <c r="F252" i="48"/>
  <c r="D43" i="52"/>
  <c r="L350" i="42"/>
  <c r="K350" i="42"/>
  <c r="J350" i="42"/>
  <c r="D29" i="52"/>
  <c r="G303" i="48"/>
  <c r="H2" i="48"/>
  <c r="I23" i="67" l="1"/>
  <c r="I25" i="67" s="1"/>
  <c r="H25" i="67" s="1"/>
  <c r="G23" i="67"/>
  <c r="G25" i="67" s="1"/>
  <c r="F25" i="67" s="1"/>
  <c r="F17" i="48"/>
  <c r="D211" i="53"/>
  <c r="G17" i="48"/>
  <c r="E211" i="53"/>
  <c r="D51" i="52"/>
  <c r="E59" i="65"/>
  <c r="F72" i="65" s="1"/>
  <c r="E59" i="64"/>
  <c r="F72" i="64" s="1"/>
  <c r="E60" i="60"/>
  <c r="C79" i="64"/>
  <c r="C79" i="65"/>
  <c r="C80" i="60"/>
  <c r="E74" i="48"/>
  <c r="E13" i="48"/>
  <c r="N364" i="42"/>
  <c r="H107" i="52" s="1"/>
  <c r="G9" i="48"/>
  <c r="E53" i="48"/>
  <c r="F53" i="48"/>
  <c r="G51" i="48"/>
  <c r="D64" i="48"/>
  <c r="E64" i="48"/>
  <c r="N106" i="55"/>
  <c r="O106" i="55"/>
  <c r="G247" i="48"/>
  <c r="D252" i="48"/>
  <c r="O120" i="55"/>
  <c r="F94" i="48"/>
  <c r="F284" i="48"/>
  <c r="P120" i="55"/>
  <c r="M120" i="55" s="1"/>
  <c r="G284" i="48"/>
  <c r="G94" i="48"/>
  <c r="F289" i="48"/>
  <c r="F97" i="48"/>
  <c r="D284" i="48"/>
  <c r="D97" i="48"/>
  <c r="D289" i="48"/>
  <c r="E97" i="48"/>
  <c r="E289" i="48"/>
  <c r="I107" i="52"/>
  <c r="M29" i="42"/>
  <c r="E97" i="52"/>
  <c r="F97" i="52"/>
  <c r="S346" i="42"/>
  <c r="D227" i="48"/>
  <c r="E227" i="48"/>
  <c r="K345" i="42"/>
  <c r="F49" i="52"/>
  <c r="F90" i="48"/>
  <c r="G49" i="52"/>
  <c r="M49" i="52" s="1"/>
  <c r="G90" i="48"/>
  <c r="E49" i="52"/>
  <c r="E90" i="48"/>
  <c r="F99" i="52"/>
  <c r="E99" i="52"/>
  <c r="G66" i="52"/>
  <c r="M66" i="52" s="1"/>
  <c r="M367" i="42"/>
  <c r="G83" i="52"/>
  <c r="G81" i="52"/>
  <c r="F51" i="52"/>
  <c r="E51" i="52"/>
  <c r="E29" i="52"/>
  <c r="F29" i="52"/>
  <c r="F43" i="52"/>
  <c r="G43" i="52"/>
  <c r="M43" i="52" s="1"/>
  <c r="E214" i="48"/>
  <c r="F214" i="48"/>
  <c r="G212" i="48"/>
  <c r="G73" i="48"/>
  <c r="F304" i="48"/>
  <c r="E304" i="48"/>
  <c r="H1" i="48"/>
  <c r="M364" i="42"/>
  <c r="G107" i="52" s="1"/>
  <c r="M350" i="42"/>
  <c r="J362" i="42"/>
  <c r="D105" i="52" s="1"/>
  <c r="K362" i="42"/>
  <c r="E105" i="52" s="1"/>
  <c r="M362" i="42"/>
  <c r="G105" i="52" s="1"/>
  <c r="M105" i="52" s="1"/>
  <c r="L343" i="42"/>
  <c r="L362" i="42"/>
  <c r="F105" i="52" s="1"/>
  <c r="K343" i="42"/>
  <c r="E66" i="48" s="1"/>
  <c r="L364" i="42"/>
  <c r="F107" i="52" s="1"/>
  <c r="F66" i="48" l="1"/>
  <c r="D152" i="53"/>
  <c r="E67" i="48"/>
  <c r="K344" i="42"/>
  <c r="E68" i="48" s="1"/>
  <c r="D41" i="52"/>
  <c r="E66" i="64"/>
  <c r="E21" i="64" s="1"/>
  <c r="E66" i="65"/>
  <c r="E21" i="65" s="1"/>
  <c r="E67" i="60"/>
  <c r="E66" i="60"/>
  <c r="E65" i="65"/>
  <c r="E10" i="65" s="1"/>
  <c r="E65" i="64"/>
  <c r="E10" i="64" s="1"/>
  <c r="B32" i="59"/>
  <c r="F73" i="60"/>
  <c r="F155" i="64"/>
  <c r="C155" i="64"/>
  <c r="F155" i="65"/>
  <c r="C155" i="65"/>
  <c r="C84" i="60"/>
  <c r="C14" i="60" s="1"/>
  <c r="C15" i="60"/>
  <c r="D83" i="60"/>
  <c r="K120" i="55"/>
  <c r="L120" i="55" s="1"/>
  <c r="L22" i="55" s="1"/>
  <c r="N22" i="55" s="1"/>
  <c r="C83" i="65"/>
  <c r="C13" i="65" s="1"/>
  <c r="D82" i="65"/>
  <c r="C14" i="65"/>
  <c r="C82" i="65"/>
  <c r="C83" i="64"/>
  <c r="C13" i="64" s="1"/>
  <c r="D82" i="64"/>
  <c r="C14" i="64"/>
  <c r="C82" i="64"/>
  <c r="M340" i="42"/>
  <c r="E118" i="67" s="1"/>
  <c r="L118" i="67" s="1"/>
  <c r="K118" i="67" s="1"/>
  <c r="F16" i="67" s="1"/>
  <c r="R14" i="60" s="1"/>
  <c r="E79" i="64"/>
  <c r="E79" i="65"/>
  <c r="E80" i="60"/>
  <c r="G74" i="48"/>
  <c r="G13" i="48"/>
  <c r="H53" i="48"/>
  <c r="G53" i="48"/>
  <c r="D53" i="48"/>
  <c r="Q106" i="55"/>
  <c r="P106" i="55"/>
  <c r="G64" i="48"/>
  <c r="D304" i="48"/>
  <c r="D230" i="48"/>
  <c r="E230" i="48"/>
  <c r="G289" i="48"/>
  <c r="G97" i="48"/>
  <c r="E229" i="48"/>
  <c r="N115" i="55"/>
  <c r="F229" i="48"/>
  <c r="O115" i="55"/>
  <c r="D229" i="48"/>
  <c r="G227" i="48"/>
  <c r="M345" i="42"/>
  <c r="M343" i="42"/>
  <c r="E41" i="52"/>
  <c r="L341" i="42"/>
  <c r="M341" i="42"/>
  <c r="K341" i="42"/>
  <c r="F41" i="52"/>
  <c r="G100" i="52"/>
  <c r="G99" i="52"/>
  <c r="H99" i="52"/>
  <c r="G51" i="52"/>
  <c r="M51" i="52" s="1"/>
  <c r="H214" i="48"/>
  <c r="D214" i="48"/>
  <c r="G214" i="48"/>
  <c r="K340" i="42"/>
  <c r="E63" i="48" s="1"/>
  <c r="L340" i="42"/>
  <c r="G304" i="48"/>
  <c r="H304" i="48"/>
  <c r="AB1" i="48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15" i="24"/>
  <c r="R4" i="24"/>
  <c r="R5" i="24" s="1"/>
  <c r="R3" i="24"/>
  <c r="R12" i="24" s="1"/>
  <c r="R7" i="24" s="1"/>
  <c r="R484" i="22"/>
  <c r="R483" i="22"/>
  <c r="R482" i="22"/>
  <c r="R481" i="22"/>
  <c r="R480" i="22"/>
  <c r="R479" i="22"/>
  <c r="R478" i="22"/>
  <c r="R477" i="22"/>
  <c r="R476" i="22"/>
  <c r="R475" i="22"/>
  <c r="R474" i="22"/>
  <c r="R473" i="22"/>
  <c r="R472" i="22"/>
  <c r="R471" i="22"/>
  <c r="R470" i="22"/>
  <c r="R469" i="22"/>
  <c r="R467" i="22"/>
  <c r="R466" i="22"/>
  <c r="R465" i="22"/>
  <c r="R464" i="22"/>
  <c r="R3" i="22"/>
  <c r="R8" i="22" s="1"/>
  <c r="G16" i="67" l="1"/>
  <c r="I16" i="67"/>
  <c r="G66" i="48"/>
  <c r="E152" i="53"/>
  <c r="G63" i="48"/>
  <c r="E153" i="53"/>
  <c r="F63" i="48"/>
  <c r="D153" i="53"/>
  <c r="G67" i="48"/>
  <c r="M344" i="42"/>
  <c r="B35" i="59"/>
  <c r="E11" i="60"/>
  <c r="B123" i="59" s="1"/>
  <c r="F161" i="60"/>
  <c r="B36" i="59"/>
  <c r="E22" i="60"/>
  <c r="F82" i="64"/>
  <c r="F158" i="64" s="1"/>
  <c r="E83" i="64"/>
  <c r="E13" i="64" s="1"/>
  <c r="E14" i="64"/>
  <c r="E82" i="64"/>
  <c r="E158" i="64" s="1"/>
  <c r="D158" i="64"/>
  <c r="D164" i="60"/>
  <c r="E84" i="60"/>
  <c r="F83" i="60"/>
  <c r="F164" i="60" s="1"/>
  <c r="E15" i="60"/>
  <c r="B38" i="59" s="1"/>
  <c r="E83" i="60"/>
  <c r="D158" i="65"/>
  <c r="E83" i="65"/>
  <c r="E13" i="65" s="1"/>
  <c r="F82" i="65"/>
  <c r="F158" i="65" s="1"/>
  <c r="E14" i="65"/>
  <c r="E82" i="65"/>
  <c r="E158" i="65" s="1"/>
  <c r="P115" i="55"/>
  <c r="M115" i="55" s="1"/>
  <c r="G230" i="48"/>
  <c r="R11" i="24"/>
  <c r="R6" i="24" s="1"/>
  <c r="R13" i="24"/>
  <c r="R8" i="24" s="1"/>
  <c r="G226" i="48"/>
  <c r="P114" i="55"/>
  <c r="M114" i="55" s="1"/>
  <c r="F226" i="48"/>
  <c r="O114" i="55"/>
  <c r="D226" i="48"/>
  <c r="E226" i="48"/>
  <c r="N114" i="55"/>
  <c r="G229" i="48"/>
  <c r="G41" i="52"/>
  <c r="M41" i="52" s="1"/>
  <c r="G40" i="52"/>
  <c r="M40" i="52" s="1"/>
  <c r="M342" i="42"/>
  <c r="L342" i="42"/>
  <c r="E40" i="52"/>
  <c r="F40" i="52"/>
  <c r="K342" i="42"/>
  <c r="R9" i="24"/>
  <c r="R5" i="22"/>
  <c r="R9" i="22"/>
  <c r="R10" i="22" s="1"/>
  <c r="R7" i="22"/>
  <c r="G68" i="48" l="1"/>
  <c r="E119" i="67"/>
  <c r="L119" i="67" s="1"/>
  <c r="K119" i="67" s="1"/>
  <c r="F17" i="67" s="1"/>
  <c r="R15" i="60" s="1"/>
  <c r="E164" i="60"/>
  <c r="C164" i="60"/>
  <c r="G123" i="59"/>
  <c r="H123" i="59"/>
  <c r="C158" i="64"/>
  <c r="C158" i="65"/>
  <c r="B37" i="59"/>
  <c r="E14" i="60"/>
  <c r="B214" i="59" s="1"/>
  <c r="K114" i="55"/>
  <c r="L114" i="55" s="1"/>
  <c r="L16" i="55" s="1"/>
  <c r="N16" i="55" s="1"/>
  <c r="K115" i="55"/>
  <c r="L115" i="55" s="1"/>
  <c r="L17" i="55" s="1"/>
  <c r="N17" i="55" s="1"/>
  <c r="R4" i="22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15" i="24"/>
  <c r="Q4" i="24"/>
  <c r="Q5" i="24" s="1"/>
  <c r="Q3" i="24"/>
  <c r="Q484" i="22"/>
  <c r="Q483" i="22"/>
  <c r="Q482" i="22"/>
  <c r="Q481" i="22"/>
  <c r="Q480" i="22"/>
  <c r="Q479" i="22"/>
  <c r="Q478" i="22"/>
  <c r="Q477" i="22"/>
  <c r="Q476" i="22"/>
  <c r="Q475" i="22"/>
  <c r="Q474" i="22"/>
  <c r="Q473" i="22"/>
  <c r="Q472" i="22"/>
  <c r="Q471" i="22"/>
  <c r="Q470" i="22"/>
  <c r="Q469" i="22"/>
  <c r="Q468" i="22"/>
  <c r="Q467" i="22"/>
  <c r="Q466" i="22"/>
  <c r="Q465" i="22"/>
  <c r="Q464" i="22"/>
  <c r="Q3" i="22"/>
  <c r="I17" i="67" l="1"/>
  <c r="I18" i="67" s="1"/>
  <c r="G17" i="67"/>
  <c r="G18" i="67" s="1"/>
  <c r="G214" i="59"/>
  <c r="H214" i="59"/>
  <c r="Q5" i="22"/>
  <c r="Q9" i="22"/>
  <c r="Q11" i="24"/>
  <c r="Q6" i="24" s="1"/>
  <c r="Q8" i="22"/>
  <c r="Q7" i="22"/>
  <c r="Q13" i="24"/>
  <c r="Q8" i="24" s="1"/>
  <c r="Q9" i="24"/>
  <c r="Q12" i="24"/>
  <c r="Q7" i="24" s="1"/>
  <c r="F18" i="67" l="1"/>
  <c r="G26" i="67"/>
  <c r="H18" i="67"/>
  <c r="I26" i="67"/>
  <c r="Q10" i="22"/>
  <c r="Q4" i="22" s="1"/>
  <c r="F26" i="67" l="1"/>
  <c r="H26" i="67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P483" i="24"/>
  <c r="N483" i="24"/>
  <c r="M483" i="24"/>
  <c r="L483" i="24"/>
  <c r="J483" i="24"/>
  <c r="I483" i="24"/>
  <c r="G483" i="24"/>
  <c r="F483" i="24"/>
  <c r="E483" i="24"/>
  <c r="D483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P4" i="24"/>
  <c r="P5" i="24" s="1"/>
  <c r="O4" i="24"/>
  <c r="O5" i="24" s="1"/>
  <c r="N4" i="24"/>
  <c r="N5" i="24" s="1"/>
  <c r="M4" i="24"/>
  <c r="M5" i="24" s="1"/>
  <c r="L4" i="24"/>
  <c r="L5" i="24" s="1"/>
  <c r="K4" i="24"/>
  <c r="K5" i="24" s="1"/>
  <c r="J4" i="24"/>
  <c r="J5" i="24" s="1"/>
  <c r="I4" i="24"/>
  <c r="I5" i="24" s="1"/>
  <c r="H4" i="24"/>
  <c r="H5" i="24" s="1"/>
  <c r="G4" i="24"/>
  <c r="G5" i="24" s="1"/>
  <c r="F4" i="24"/>
  <c r="F5" i="24" s="1"/>
  <c r="E4" i="24"/>
  <c r="E5" i="24" s="1"/>
  <c r="D4" i="24"/>
  <c r="D5" i="24" s="1"/>
  <c r="P3" i="24"/>
  <c r="P12" i="24" s="1"/>
  <c r="P7" i="24" s="1"/>
  <c r="O3" i="24"/>
  <c r="N3" i="24"/>
  <c r="M3" i="24"/>
  <c r="M12" i="24" s="1"/>
  <c r="M7" i="24" s="1"/>
  <c r="L3" i="24"/>
  <c r="L12" i="24" s="1"/>
  <c r="L7" i="24" s="1"/>
  <c r="K3" i="24"/>
  <c r="J3" i="24"/>
  <c r="I3" i="24"/>
  <c r="I12" i="24" s="1"/>
  <c r="I7" i="24" s="1"/>
  <c r="H3" i="24"/>
  <c r="G3" i="24"/>
  <c r="G12" i="24" s="1"/>
  <c r="G7" i="24" s="1"/>
  <c r="F3" i="24"/>
  <c r="E3" i="24"/>
  <c r="E12" i="24" s="1"/>
  <c r="E7" i="24" s="1"/>
  <c r="D3" i="24"/>
  <c r="B1" i="24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P483" i="22"/>
  <c r="N483" i="22"/>
  <c r="M483" i="22"/>
  <c r="L483" i="22"/>
  <c r="J483" i="22"/>
  <c r="I483" i="22"/>
  <c r="G483" i="22"/>
  <c r="F483" i="22"/>
  <c r="E483" i="22"/>
  <c r="D483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P468" i="22"/>
  <c r="O468" i="22"/>
  <c r="N468" i="22"/>
  <c r="M468" i="22"/>
  <c r="L468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P3" i="22"/>
  <c r="P8" i="22" s="1"/>
  <c r="O3" i="22"/>
  <c r="O8" i="22" s="1"/>
  <c r="N3" i="22"/>
  <c r="M3" i="22"/>
  <c r="L3" i="22"/>
  <c r="L8" i="22" s="1"/>
  <c r="K3" i="22"/>
  <c r="K8" i="22" s="1"/>
  <c r="J3" i="22"/>
  <c r="I3" i="22"/>
  <c r="H3" i="22"/>
  <c r="H9" i="22" s="1"/>
  <c r="G3" i="22"/>
  <c r="G8" i="22" s="1"/>
  <c r="F3" i="22"/>
  <c r="E3" i="22"/>
  <c r="D3" i="22"/>
  <c r="D8" i="22" s="1"/>
  <c r="H9" i="24" l="1"/>
  <c r="D5" i="22"/>
  <c r="L5" i="22"/>
  <c r="K5" i="22"/>
  <c r="I5" i="22"/>
  <c r="J5" i="22"/>
  <c r="M5" i="22"/>
  <c r="N5" i="22"/>
  <c r="G5" i="22"/>
  <c r="F5" i="22"/>
  <c r="H5" i="22"/>
  <c r="E5" i="22"/>
  <c r="O5" i="22"/>
  <c r="P5" i="22"/>
  <c r="J218" i="42"/>
  <c r="M221" i="42"/>
  <c r="M220" i="42"/>
  <c r="E77" i="53" s="1"/>
  <c r="K221" i="42"/>
  <c r="E208" i="48" s="1"/>
  <c r="K220" i="42"/>
  <c r="G9" i="24"/>
  <c r="I9" i="24"/>
  <c r="F9" i="24"/>
  <c r="N9" i="24"/>
  <c r="D9" i="24"/>
  <c r="L9" i="24"/>
  <c r="J9" i="24"/>
  <c r="O9" i="24"/>
  <c r="E9" i="24"/>
  <c r="M9" i="24"/>
  <c r="K9" i="24"/>
  <c r="O12" i="24"/>
  <c r="O7" i="24" s="1"/>
  <c r="H12" i="24"/>
  <c r="H7" i="24" s="1"/>
  <c r="D12" i="24"/>
  <c r="D7" i="24" s="1"/>
  <c r="K12" i="24"/>
  <c r="K7" i="24" s="1"/>
  <c r="E7" i="22"/>
  <c r="I7" i="22"/>
  <c r="M7" i="22"/>
  <c r="E9" i="22"/>
  <c r="M9" i="22"/>
  <c r="J9" i="22"/>
  <c r="N9" i="22"/>
  <c r="F7" i="22"/>
  <c r="J7" i="22"/>
  <c r="N7" i="22"/>
  <c r="H8" i="22"/>
  <c r="H10" i="22" s="1"/>
  <c r="F9" i="22"/>
  <c r="G9" i="22"/>
  <c r="G10" i="22" s="1"/>
  <c r="K9" i="22"/>
  <c r="K10" i="22" s="1"/>
  <c r="O9" i="22"/>
  <c r="O10" i="22" s="1"/>
  <c r="G7" i="22"/>
  <c r="K7" i="22"/>
  <c r="O7" i="22"/>
  <c r="E8" i="22"/>
  <c r="I8" i="22"/>
  <c r="M8" i="22"/>
  <c r="L9" i="22"/>
  <c r="L10" i="22" s="1"/>
  <c r="P9" i="22"/>
  <c r="P10" i="22" s="1"/>
  <c r="D7" i="22"/>
  <c r="H7" i="22"/>
  <c r="L7" i="22"/>
  <c r="P7" i="22"/>
  <c r="F8" i="22"/>
  <c r="J8" i="22"/>
  <c r="N8" i="22"/>
  <c r="D9" i="22"/>
  <c r="D10" i="22" s="1"/>
  <c r="I9" i="22"/>
  <c r="E11" i="24"/>
  <c r="E6" i="24" s="1"/>
  <c r="I11" i="24"/>
  <c r="I6" i="24" s="1"/>
  <c r="M11" i="24"/>
  <c r="M6" i="24" s="1"/>
  <c r="E13" i="24"/>
  <c r="E8" i="24" s="1"/>
  <c r="I13" i="24"/>
  <c r="I8" i="24" s="1"/>
  <c r="M13" i="24"/>
  <c r="M8" i="24" s="1"/>
  <c r="F11" i="24"/>
  <c r="F6" i="24" s="1"/>
  <c r="J11" i="24"/>
  <c r="J6" i="24" s="1"/>
  <c r="N11" i="24"/>
  <c r="N6" i="24" s="1"/>
  <c r="F13" i="24"/>
  <c r="F8" i="24" s="1"/>
  <c r="J13" i="24"/>
  <c r="J8" i="24" s="1"/>
  <c r="N13" i="24"/>
  <c r="N8" i="24" s="1"/>
  <c r="G11" i="24"/>
  <c r="G6" i="24" s="1"/>
  <c r="K11" i="24"/>
  <c r="K6" i="24" s="1"/>
  <c r="O11" i="24"/>
  <c r="O6" i="24" s="1"/>
  <c r="G13" i="24"/>
  <c r="G8" i="24" s="1"/>
  <c r="K13" i="24"/>
  <c r="K8" i="24" s="1"/>
  <c r="O13" i="24"/>
  <c r="O8" i="24" s="1"/>
  <c r="D11" i="24"/>
  <c r="D6" i="24" s="1"/>
  <c r="H11" i="24"/>
  <c r="H6" i="24" s="1"/>
  <c r="L11" i="24"/>
  <c r="L6" i="24" s="1"/>
  <c r="P11" i="24"/>
  <c r="P6" i="24" s="1"/>
  <c r="F12" i="24"/>
  <c r="F7" i="24" s="1"/>
  <c r="J12" i="24"/>
  <c r="J7" i="24" s="1"/>
  <c r="N12" i="24"/>
  <c r="N7" i="24" s="1"/>
  <c r="D13" i="24"/>
  <c r="D8" i="24" s="1"/>
  <c r="H13" i="24"/>
  <c r="H8" i="24" s="1"/>
  <c r="L13" i="24"/>
  <c r="L8" i="24" s="1"/>
  <c r="P13" i="24"/>
  <c r="P8" i="24" s="1"/>
  <c r="P9" i="24"/>
  <c r="G208" i="48" l="1"/>
  <c r="D59" i="53"/>
  <c r="E10" i="22"/>
  <c r="E4" i="22" s="1"/>
  <c r="J10" i="22"/>
  <c r="J4" i="22" s="1"/>
  <c r="N10" i="22"/>
  <c r="N4" i="22" s="1"/>
  <c r="E53" i="60"/>
  <c r="E52" i="65"/>
  <c r="E151" i="65" s="1"/>
  <c r="E52" i="64"/>
  <c r="E151" i="64" s="1"/>
  <c r="C53" i="60"/>
  <c r="C52" i="65"/>
  <c r="C52" i="64"/>
  <c r="F10" i="22"/>
  <c r="F4" i="22" s="1"/>
  <c r="H4" i="22"/>
  <c r="M10" i="22"/>
  <c r="M4" i="22" s="1"/>
  <c r="L221" i="42"/>
  <c r="F208" i="48" s="1"/>
  <c r="K219" i="42"/>
  <c r="J219" i="42"/>
  <c r="L219" i="42"/>
  <c r="D76" i="53" s="1"/>
  <c r="M218" i="42"/>
  <c r="E75" i="53" s="1"/>
  <c r="L220" i="42"/>
  <c r="D77" i="53" s="1"/>
  <c r="M219" i="42"/>
  <c r="E76" i="53" s="1"/>
  <c r="L218" i="42"/>
  <c r="D75" i="53" s="1"/>
  <c r="J221" i="42"/>
  <c r="D208" i="48" s="1"/>
  <c r="J220" i="42"/>
  <c r="K225" i="42"/>
  <c r="K215" i="42"/>
  <c r="E204" i="48" s="1"/>
  <c r="J215" i="42"/>
  <c r="D204" i="48" s="1"/>
  <c r="M215" i="42"/>
  <c r="L225" i="42"/>
  <c r="D91" i="53" s="1"/>
  <c r="D94" i="53" s="1"/>
  <c r="L215" i="42"/>
  <c r="F204" i="48" s="1"/>
  <c r="J216" i="42"/>
  <c r="D205" i="48" s="1"/>
  <c r="L216" i="42"/>
  <c r="F205" i="48" s="1"/>
  <c r="M216" i="42"/>
  <c r="K216" i="42"/>
  <c r="E205" i="48" s="1"/>
  <c r="J225" i="42"/>
  <c r="D4" i="22"/>
  <c r="O4" i="22"/>
  <c r="P4" i="22"/>
  <c r="K4" i="22"/>
  <c r="L4" i="22"/>
  <c r="I10" i="22"/>
  <c r="I4" i="22" s="1"/>
  <c r="G4" i="22"/>
  <c r="E157" i="60" l="1"/>
  <c r="C157" i="60"/>
  <c r="G204" i="48"/>
  <c r="D56" i="53"/>
  <c r="G205" i="48"/>
  <c r="D57" i="53"/>
  <c r="E50" i="60"/>
  <c r="F154" i="60" s="1"/>
  <c r="C16" i="59" s="1"/>
  <c r="E49" i="65"/>
  <c r="E49" i="64"/>
  <c r="D50" i="60"/>
  <c r="C154" i="60" s="1"/>
  <c r="D49" i="65"/>
  <c r="D49" i="64"/>
  <c r="D49" i="60"/>
  <c r="C153" i="60" s="1"/>
  <c r="D48" i="65"/>
  <c r="D48" i="64"/>
  <c r="C49" i="60"/>
  <c r="C48" i="65"/>
  <c r="C147" i="65" s="1"/>
  <c r="C48" i="64"/>
  <c r="C147" i="64" s="1"/>
  <c r="C50" i="60"/>
  <c r="C49" i="65"/>
  <c r="C49" i="64"/>
  <c r="C148" i="64" s="1"/>
  <c r="D53" i="60"/>
  <c r="D157" i="60" s="1"/>
  <c r="D52" i="65"/>
  <c r="D151" i="65" s="1"/>
  <c r="D52" i="64"/>
  <c r="D151" i="64" s="1"/>
  <c r="E49" i="60"/>
  <c r="F153" i="60" s="1"/>
  <c r="C15" i="59" s="1"/>
  <c r="E48" i="65"/>
  <c r="E48" i="64"/>
  <c r="J211" i="42"/>
  <c r="D203" i="48" s="1"/>
  <c r="L211" i="42"/>
  <c r="F203" i="48" s="1"/>
  <c r="K211" i="42"/>
  <c r="E203" i="48" s="1"/>
  <c r="M211" i="42"/>
  <c r="K217" i="42"/>
  <c r="K218" i="42"/>
  <c r="J217" i="42"/>
  <c r="M217" i="42"/>
  <c r="L217" i="42"/>
  <c r="D74" i="53" s="1"/>
  <c r="K212" i="42"/>
  <c r="E207" i="48" s="1"/>
  <c r="J212" i="42"/>
  <c r="D207" i="48" s="1"/>
  <c r="L212" i="42"/>
  <c r="F207" i="48" s="1"/>
  <c r="M212" i="42"/>
  <c r="M225" i="42"/>
  <c r="E91" i="53" s="1"/>
  <c r="E94" i="53" s="1"/>
  <c r="D49" i="48"/>
  <c r="D210" i="48"/>
  <c r="F48" i="48"/>
  <c r="G207" i="48" l="1"/>
  <c r="D53" i="53"/>
  <c r="G203" i="48"/>
  <c r="D52" i="53"/>
  <c r="E74" i="53"/>
  <c r="D58" i="53"/>
  <c r="J16" i="59"/>
  <c r="J15" i="59"/>
  <c r="E69" i="52"/>
  <c r="E206" i="48"/>
  <c r="F69" i="52"/>
  <c r="F206" i="48"/>
  <c r="G69" i="52"/>
  <c r="M69" i="52" s="1"/>
  <c r="G206" i="48"/>
  <c r="D69" i="52"/>
  <c r="D206" i="48"/>
  <c r="D147" i="65"/>
  <c r="E154" i="60"/>
  <c r="B16" i="59" s="1"/>
  <c r="D153" i="60"/>
  <c r="D154" i="60"/>
  <c r="D147" i="64"/>
  <c r="E52" i="60"/>
  <c r="E133" i="60" s="1"/>
  <c r="E135" i="60" s="1"/>
  <c r="E51" i="65"/>
  <c r="E127" i="65" s="1"/>
  <c r="E129" i="65" s="1"/>
  <c r="E150" i="65" s="1"/>
  <c r="E51" i="64"/>
  <c r="E127" i="64" s="1"/>
  <c r="E129" i="64" s="1"/>
  <c r="E150" i="64" s="1"/>
  <c r="D52" i="60"/>
  <c r="D133" i="60" s="1"/>
  <c r="D135" i="60" s="1"/>
  <c r="D156" i="60" s="1"/>
  <c r="D51" i="65"/>
  <c r="D127" i="65" s="1"/>
  <c r="D129" i="65" s="1"/>
  <c r="D150" i="65" s="1"/>
  <c r="D51" i="64"/>
  <c r="D127" i="64" s="1"/>
  <c r="D129" i="64" s="1"/>
  <c r="D150" i="64" s="1"/>
  <c r="E48" i="60"/>
  <c r="E121" i="60" s="1"/>
  <c r="E47" i="65"/>
  <c r="E115" i="65" s="1"/>
  <c r="E47" i="64"/>
  <c r="E115" i="64" s="1"/>
  <c r="E153" i="60"/>
  <c r="B15" i="59" s="1"/>
  <c r="D148" i="64"/>
  <c r="C52" i="60"/>
  <c r="C133" i="60" s="1"/>
  <c r="C135" i="60" s="1"/>
  <c r="C51" i="65"/>
  <c r="C127" i="65" s="1"/>
  <c r="C129" i="65" s="1"/>
  <c r="C51" i="64"/>
  <c r="C127" i="64" s="1"/>
  <c r="C129" i="64" s="1"/>
  <c r="D48" i="60"/>
  <c r="D121" i="60" s="1"/>
  <c r="D47" i="65"/>
  <c r="D115" i="65" s="1"/>
  <c r="D47" i="64"/>
  <c r="D115" i="64" s="1"/>
  <c r="E147" i="64"/>
  <c r="F147" i="64"/>
  <c r="D51" i="60"/>
  <c r="D129" i="60" s="1"/>
  <c r="D131" i="60" s="1"/>
  <c r="D155" i="60" s="1"/>
  <c r="D50" i="65"/>
  <c r="D123" i="65" s="1"/>
  <c r="D125" i="65" s="1"/>
  <c r="D149" i="65" s="1"/>
  <c r="D50" i="64"/>
  <c r="D123" i="64" s="1"/>
  <c r="D125" i="64" s="1"/>
  <c r="D149" i="64" s="1"/>
  <c r="E147" i="65"/>
  <c r="F147" i="65"/>
  <c r="E51" i="60"/>
  <c r="E129" i="60" s="1"/>
  <c r="E131" i="60" s="1"/>
  <c r="B13" i="59" s="1"/>
  <c r="E50" i="65"/>
  <c r="E123" i="65" s="1"/>
  <c r="E125" i="65" s="1"/>
  <c r="E149" i="65" s="1"/>
  <c r="E50" i="64"/>
  <c r="E123" i="64" s="1"/>
  <c r="E125" i="64" s="1"/>
  <c r="E149" i="64" s="1"/>
  <c r="E148" i="64"/>
  <c r="F148" i="64"/>
  <c r="C51" i="60"/>
  <c r="C129" i="60" s="1"/>
  <c r="C131" i="60" s="1"/>
  <c r="C50" i="65"/>
  <c r="C123" i="65" s="1"/>
  <c r="C125" i="65" s="1"/>
  <c r="C50" i="64"/>
  <c r="C123" i="64" s="1"/>
  <c r="C125" i="64" s="1"/>
  <c r="C48" i="60"/>
  <c r="C121" i="60" s="1"/>
  <c r="C47" i="65"/>
  <c r="C115" i="65" s="1"/>
  <c r="C47" i="64"/>
  <c r="C115" i="64" s="1"/>
  <c r="D148" i="65"/>
  <c r="C148" i="65"/>
  <c r="E148" i="65"/>
  <c r="F148" i="65"/>
  <c r="E7" i="48"/>
  <c r="E48" i="48"/>
  <c r="F7" i="48"/>
  <c r="L222" i="42"/>
  <c r="K222" i="42"/>
  <c r="M222" i="42"/>
  <c r="J222" i="42"/>
  <c r="E44" i="48"/>
  <c r="E191" i="48"/>
  <c r="V191" i="48" s="1"/>
  <c r="E189" i="48"/>
  <c r="V189" i="48" s="1"/>
  <c r="E42" i="48"/>
  <c r="E49" i="48"/>
  <c r="E210" i="48"/>
  <c r="D44" i="48"/>
  <c r="D191" i="48"/>
  <c r="T191" i="48" s="1"/>
  <c r="G49" i="48"/>
  <c r="G210" i="48"/>
  <c r="F43" i="48"/>
  <c r="F190" i="48"/>
  <c r="X190" i="48" s="1"/>
  <c r="F42" i="48"/>
  <c r="F189" i="48"/>
  <c r="X189" i="48" s="1"/>
  <c r="G44" i="48"/>
  <c r="G191" i="48"/>
  <c r="Z191" i="48" s="1"/>
  <c r="E190" i="48"/>
  <c r="V190" i="48" s="1"/>
  <c r="E43" i="48"/>
  <c r="D190" i="48"/>
  <c r="T190" i="48" s="1"/>
  <c r="D43" i="48"/>
  <c r="G42" i="48"/>
  <c r="G189" i="48"/>
  <c r="Z189" i="48" s="1"/>
  <c r="D42" i="48"/>
  <c r="D189" i="48"/>
  <c r="T189" i="48" s="1"/>
  <c r="F49" i="48"/>
  <c r="F210" i="48"/>
  <c r="G43" i="48"/>
  <c r="G190" i="48"/>
  <c r="Z190" i="48" s="1"/>
  <c r="D218" i="48"/>
  <c r="F191" i="48"/>
  <c r="X191" i="48" s="1"/>
  <c r="F44" i="48"/>
  <c r="F133" i="48"/>
  <c r="L354" i="42"/>
  <c r="E133" i="48"/>
  <c r="D43" i="53" l="1"/>
  <c r="D78" i="53"/>
  <c r="B14" i="59"/>
  <c r="C156" i="60"/>
  <c r="E43" i="53"/>
  <c r="E78" i="53"/>
  <c r="D60" i="53"/>
  <c r="K49" i="60"/>
  <c r="M15" i="59"/>
  <c r="I147" i="65" s="1"/>
  <c r="I48" i="65" s="1"/>
  <c r="G15" i="59"/>
  <c r="I147" i="64" s="1"/>
  <c r="I48" i="64" s="1"/>
  <c r="L15" i="59"/>
  <c r="K15" i="59"/>
  <c r="K50" i="60"/>
  <c r="G16" i="59"/>
  <c r="I148" i="64" s="1"/>
  <c r="I49" i="64" s="1"/>
  <c r="M16" i="59"/>
  <c r="I148" i="65" s="1"/>
  <c r="I49" i="65" s="1"/>
  <c r="L16" i="59"/>
  <c r="K16" i="59"/>
  <c r="J355" i="42"/>
  <c r="D71" i="52"/>
  <c r="D70" i="52" s="1"/>
  <c r="M355" i="42"/>
  <c r="E96" i="53" s="1"/>
  <c r="G71" i="52"/>
  <c r="M71" i="52" s="1"/>
  <c r="K355" i="42"/>
  <c r="E71" i="52"/>
  <c r="L355" i="42"/>
  <c r="D96" i="53" s="1"/>
  <c r="F71" i="52"/>
  <c r="C149" i="64"/>
  <c r="E155" i="60"/>
  <c r="C155" i="60" s="1"/>
  <c r="E116" i="65"/>
  <c r="E164" i="65" s="1"/>
  <c r="E117" i="65"/>
  <c r="C116" i="64"/>
  <c r="C117" i="64"/>
  <c r="D116" i="65"/>
  <c r="D117" i="65"/>
  <c r="E156" i="60"/>
  <c r="C116" i="65"/>
  <c r="C117" i="65"/>
  <c r="C149" i="65"/>
  <c r="D116" i="64"/>
  <c r="D117" i="64"/>
  <c r="E116" i="64"/>
  <c r="E164" i="64" s="1"/>
  <c r="E117" i="64"/>
  <c r="E122" i="60"/>
  <c r="E123" i="60"/>
  <c r="D122" i="60"/>
  <c r="D123" i="60"/>
  <c r="C122" i="60"/>
  <c r="C123" i="60"/>
  <c r="G7" i="48"/>
  <c r="G48" i="48"/>
  <c r="D192" i="48"/>
  <c r="T192" i="48" s="1"/>
  <c r="D45" i="48"/>
  <c r="G46" i="48"/>
  <c r="G193" i="48"/>
  <c r="Z193" i="48" s="1"/>
  <c r="E218" i="48"/>
  <c r="E45" i="48"/>
  <c r="E192" i="48"/>
  <c r="V192" i="48" s="1"/>
  <c r="F47" i="48"/>
  <c r="F194" i="48"/>
  <c r="X194" i="48" s="1"/>
  <c r="E194" i="48"/>
  <c r="V194" i="48" s="1"/>
  <c r="E47" i="48"/>
  <c r="D194" i="48"/>
  <c r="T194" i="48" s="1"/>
  <c r="D47" i="48"/>
  <c r="G218" i="48"/>
  <c r="F45" i="48"/>
  <c r="F192" i="48"/>
  <c r="X192" i="48" s="1"/>
  <c r="F46" i="48"/>
  <c r="F193" i="48"/>
  <c r="X193" i="48" s="1"/>
  <c r="D46" i="48"/>
  <c r="D193" i="48"/>
  <c r="T193" i="48" s="1"/>
  <c r="F218" i="48"/>
  <c r="G194" i="48"/>
  <c r="Z194" i="48" s="1"/>
  <c r="G47" i="48"/>
  <c r="E46" i="48"/>
  <c r="E193" i="48"/>
  <c r="V193" i="48" s="1"/>
  <c r="G133" i="48"/>
  <c r="D133" i="48"/>
  <c r="F101" i="52"/>
  <c r="K354" i="42"/>
  <c r="M354" i="42"/>
  <c r="J354" i="42"/>
  <c r="D101" i="52" s="1"/>
  <c r="E170" i="60" l="1"/>
  <c r="C170" i="60"/>
  <c r="E70" i="52"/>
  <c r="G70" i="52"/>
  <c r="M70" i="52" s="1"/>
  <c r="L50" i="60"/>
  <c r="M50" i="60" s="1"/>
  <c r="H15" i="59"/>
  <c r="J147" i="64" s="1"/>
  <c r="J48" i="64" s="1"/>
  <c r="N15" i="59"/>
  <c r="J147" i="65" s="1"/>
  <c r="J48" i="65" s="1"/>
  <c r="I15" i="59"/>
  <c r="K147" i="64" s="1"/>
  <c r="O15" i="59"/>
  <c r="K147" i="65" s="1"/>
  <c r="N16" i="59"/>
  <c r="J148" i="65" s="1"/>
  <c r="J49" i="65" s="1"/>
  <c r="H16" i="59"/>
  <c r="J148" i="64" s="1"/>
  <c r="J49" i="64" s="1"/>
  <c r="I16" i="59"/>
  <c r="K148" i="64" s="1"/>
  <c r="O16" i="59"/>
  <c r="K148" i="65" s="1"/>
  <c r="I46" i="65"/>
  <c r="L49" i="60"/>
  <c r="M49" i="60" s="1"/>
  <c r="F102" i="52"/>
  <c r="F213" i="48"/>
  <c r="E102" i="52"/>
  <c r="E213" i="48"/>
  <c r="G102" i="52"/>
  <c r="M102" i="52" s="1"/>
  <c r="G213" i="48"/>
  <c r="D102" i="52"/>
  <c r="D213" i="48"/>
  <c r="F70" i="52"/>
  <c r="E52" i="48"/>
  <c r="D118" i="65"/>
  <c r="C164" i="65"/>
  <c r="D164" i="65"/>
  <c r="D118" i="64"/>
  <c r="D164" i="64"/>
  <c r="C164" i="64"/>
  <c r="E118" i="64"/>
  <c r="F118" i="64"/>
  <c r="E118" i="65"/>
  <c r="F118" i="65"/>
  <c r="D170" i="60"/>
  <c r="D124" i="60"/>
  <c r="E124" i="60"/>
  <c r="F124" i="60"/>
  <c r="F55" i="48"/>
  <c r="D55" i="48"/>
  <c r="E55" i="48"/>
  <c r="P122" i="55"/>
  <c r="M122" i="55" s="1"/>
  <c r="G45" i="48"/>
  <c r="G55" i="48" s="1"/>
  <c r="G192" i="48"/>
  <c r="Z192" i="48" s="1"/>
  <c r="G101" i="52"/>
  <c r="M101" i="52" s="1"/>
  <c r="E101" i="52"/>
  <c r="I116" i="64" l="1"/>
  <c r="K49" i="64"/>
  <c r="L49" i="64" s="1"/>
  <c r="K49" i="65"/>
  <c r="L49" i="65" s="1"/>
  <c r="K48" i="65"/>
  <c r="J46" i="65"/>
  <c r="K48" i="64"/>
  <c r="I64" i="65"/>
  <c r="M29" i="59"/>
  <c r="G70" i="59" s="1"/>
  <c r="F86" i="59" s="1"/>
  <c r="I63" i="65"/>
  <c r="I11" i="65"/>
  <c r="I55" i="65"/>
  <c r="J122" i="60"/>
  <c r="O122" i="55"/>
  <c r="N122" i="55"/>
  <c r="D52" i="48"/>
  <c r="D209" i="48"/>
  <c r="D195" i="48"/>
  <c r="T195" i="48" s="1"/>
  <c r="J234" i="42"/>
  <c r="D121" i="48" s="1"/>
  <c r="E209" i="48"/>
  <c r="E195" i="48"/>
  <c r="V195" i="48" s="1"/>
  <c r="C56" i="60"/>
  <c r="K234" i="42"/>
  <c r="E121" i="48" s="1"/>
  <c r="F209" i="48"/>
  <c r="F52" i="48"/>
  <c r="F195" i="48"/>
  <c r="X195" i="48" s="1"/>
  <c r="D56" i="60"/>
  <c r="L234" i="42"/>
  <c r="F121" i="48" s="1"/>
  <c r="J116" i="64" l="1"/>
  <c r="I115" i="64"/>
  <c r="L48" i="64"/>
  <c r="L48" i="65"/>
  <c r="K46" i="65"/>
  <c r="K122" i="60"/>
  <c r="J121" i="60"/>
  <c r="I57" i="65"/>
  <c r="I8" i="65"/>
  <c r="N29" i="59"/>
  <c r="I70" i="59" s="1"/>
  <c r="H86" i="59" s="1"/>
  <c r="J63" i="65"/>
  <c r="J64" i="65"/>
  <c r="J8" i="65" s="1"/>
  <c r="N33" i="59" s="1"/>
  <c r="I76" i="59" s="1"/>
  <c r="H94" i="59" s="1"/>
  <c r="J55" i="65"/>
  <c r="J57" i="65" s="1"/>
  <c r="J11" i="65"/>
  <c r="N34" i="59" s="1"/>
  <c r="M34" i="59"/>
  <c r="D57" i="60"/>
  <c r="D47" i="60"/>
  <c r="C57" i="60"/>
  <c r="C47" i="60"/>
  <c r="K122" i="55"/>
  <c r="L122" i="55" s="1"/>
  <c r="L24" i="55" s="1"/>
  <c r="N24" i="55" s="1"/>
  <c r="L236" i="42"/>
  <c r="J236" i="42"/>
  <c r="K236" i="42"/>
  <c r="O109" i="55"/>
  <c r="N109" i="55"/>
  <c r="E211" i="48"/>
  <c r="F211" i="48"/>
  <c r="G209" i="48"/>
  <c r="G52" i="48"/>
  <c r="G195" i="48"/>
  <c r="Z195" i="48" s="1"/>
  <c r="E56" i="60"/>
  <c r="M234" i="42"/>
  <c r="G121" i="48" s="1"/>
  <c r="Y195" i="48"/>
  <c r="Y190" i="48"/>
  <c r="Y189" i="48"/>
  <c r="Y191" i="48"/>
  <c r="Y194" i="48"/>
  <c r="Y192" i="48"/>
  <c r="Y193" i="48"/>
  <c r="D211" i="48"/>
  <c r="U195" i="48"/>
  <c r="U191" i="48"/>
  <c r="U189" i="48"/>
  <c r="U190" i="48"/>
  <c r="U194" i="48"/>
  <c r="U193" i="48"/>
  <c r="U192" i="48"/>
  <c r="W195" i="48"/>
  <c r="W189" i="48"/>
  <c r="W191" i="48"/>
  <c r="W190" i="48"/>
  <c r="W192" i="48"/>
  <c r="W194" i="48"/>
  <c r="W193" i="48"/>
  <c r="I117" i="64" l="1"/>
  <c r="K116" i="64"/>
  <c r="K115" i="64" s="1"/>
  <c r="K117" i="64" s="1"/>
  <c r="J115" i="64"/>
  <c r="J117" i="64" s="1"/>
  <c r="N31" i="59"/>
  <c r="J58" i="65"/>
  <c r="J59" i="65" s="1"/>
  <c r="J123" i="60"/>
  <c r="J124" i="60" s="1"/>
  <c r="H97" i="59"/>
  <c r="H184" i="59"/>
  <c r="L122" i="60"/>
  <c r="L121" i="60" s="1"/>
  <c r="L123" i="60" s="1"/>
  <c r="K121" i="60"/>
  <c r="K123" i="60" s="1"/>
  <c r="I58" i="65"/>
  <c r="M31" i="59"/>
  <c r="K63" i="65"/>
  <c r="L63" i="65" s="1"/>
  <c r="O29" i="59"/>
  <c r="K64" i="65"/>
  <c r="K11" i="65"/>
  <c r="K55" i="65"/>
  <c r="K57" i="65" s="1"/>
  <c r="L46" i="65"/>
  <c r="M33" i="59"/>
  <c r="G76" i="59" s="1"/>
  <c r="F94" i="59" s="1"/>
  <c r="G75" i="59"/>
  <c r="F96" i="59" s="1"/>
  <c r="H244" i="59"/>
  <c r="H245" i="59"/>
  <c r="I75" i="59"/>
  <c r="H96" i="59" s="1"/>
  <c r="D64" i="60"/>
  <c r="D65" i="60"/>
  <c r="D12" i="60"/>
  <c r="E57" i="60"/>
  <c r="E47" i="60"/>
  <c r="B29" i="59" s="1"/>
  <c r="C64" i="60"/>
  <c r="C12" i="60"/>
  <c r="C65" i="60"/>
  <c r="M236" i="42"/>
  <c r="P109" i="55"/>
  <c r="M109" i="55" s="1"/>
  <c r="S355" i="42"/>
  <c r="G211" i="48"/>
  <c r="AA195" i="48"/>
  <c r="AA189" i="48"/>
  <c r="AA190" i="48"/>
  <c r="AA191" i="48"/>
  <c r="AA194" i="48"/>
  <c r="AA193" i="48"/>
  <c r="AA192" i="48"/>
  <c r="K71" i="65" l="1"/>
  <c r="L57" i="65"/>
  <c r="C8" i="60"/>
  <c r="K374" i="42"/>
  <c r="D8" i="60"/>
  <c r="L374" i="42"/>
  <c r="K47" i="64"/>
  <c r="K118" i="64"/>
  <c r="L115" i="64"/>
  <c r="J47" i="64"/>
  <c r="J46" i="64" s="1"/>
  <c r="J118" i="64"/>
  <c r="I47" i="64"/>
  <c r="I46" i="64" s="1"/>
  <c r="I118" i="64"/>
  <c r="L117" i="64"/>
  <c r="F97" i="59"/>
  <c r="H183" i="59"/>
  <c r="M121" i="60"/>
  <c r="J48" i="60"/>
  <c r="M123" i="60"/>
  <c r="K58" i="65"/>
  <c r="K59" i="65" s="1"/>
  <c r="O31" i="59"/>
  <c r="I59" i="65"/>
  <c r="J71" i="65" s="1"/>
  <c r="O34" i="59"/>
  <c r="L11" i="65"/>
  <c r="K124" i="60"/>
  <c r="K48" i="60"/>
  <c r="K47" i="60" s="1"/>
  <c r="K6" i="66" s="1"/>
  <c r="K8" i="65"/>
  <c r="L64" i="65"/>
  <c r="L124" i="60"/>
  <c r="L48" i="60"/>
  <c r="L47" i="60" s="1"/>
  <c r="N32" i="59"/>
  <c r="I71" i="59" s="1"/>
  <c r="H87" i="59" s="1"/>
  <c r="J10" i="65"/>
  <c r="J65" i="65"/>
  <c r="L55" i="65"/>
  <c r="E12" i="60"/>
  <c r="B34" i="59" s="1"/>
  <c r="E65" i="60"/>
  <c r="E64" i="60"/>
  <c r="K109" i="55"/>
  <c r="L109" i="55" s="1"/>
  <c r="L13" i="55" s="1"/>
  <c r="N13" i="55" s="1"/>
  <c r="E122" i="48"/>
  <c r="F122" i="48"/>
  <c r="D122" i="48"/>
  <c r="I6" i="66" l="1"/>
  <c r="H6" i="66"/>
  <c r="N35" i="59"/>
  <c r="I79" i="59" s="1"/>
  <c r="H128" i="59" s="1"/>
  <c r="F135" i="48"/>
  <c r="F302" i="48"/>
  <c r="O103" i="55"/>
  <c r="B33" i="59"/>
  <c r="M374" i="42"/>
  <c r="E135" i="48"/>
  <c r="E302" i="48"/>
  <c r="N103" i="55"/>
  <c r="I63" i="64"/>
  <c r="I55" i="64"/>
  <c r="I11" i="64"/>
  <c r="I64" i="64"/>
  <c r="G29" i="59"/>
  <c r="F70" i="59" s="1"/>
  <c r="E86" i="59" s="1"/>
  <c r="J63" i="64"/>
  <c r="J55" i="64"/>
  <c r="J57" i="64" s="1"/>
  <c r="H29" i="59"/>
  <c r="H70" i="59" s="1"/>
  <c r="G86" i="59" s="1"/>
  <c r="J64" i="64"/>
  <c r="J8" i="64" s="1"/>
  <c r="H33" i="59" s="1"/>
  <c r="H76" i="59" s="1"/>
  <c r="J11" i="64"/>
  <c r="H34" i="59" s="1"/>
  <c r="L47" i="64"/>
  <c r="K46" i="64"/>
  <c r="L46" i="64" s="1"/>
  <c r="L58" i="65"/>
  <c r="O33" i="59"/>
  <c r="L8" i="65"/>
  <c r="K29" i="59"/>
  <c r="F55" i="59" s="1"/>
  <c r="K65" i="60"/>
  <c r="K8" i="60" s="1"/>
  <c r="K33" i="59" s="1"/>
  <c r="K64" i="60"/>
  <c r="K12" i="60"/>
  <c r="K34" i="59" s="1"/>
  <c r="F61" i="59" s="1"/>
  <c r="M32" i="59"/>
  <c r="G71" i="59" s="1"/>
  <c r="F87" i="59" s="1"/>
  <c r="I65" i="65"/>
  <c r="I33" i="65"/>
  <c r="I66" i="65" s="1"/>
  <c r="L71" i="65"/>
  <c r="L29" i="59"/>
  <c r="L65" i="60"/>
  <c r="L8" i="60" s="1"/>
  <c r="L33" i="59" s="1"/>
  <c r="L64" i="60"/>
  <c r="L12" i="60"/>
  <c r="L34" i="59" s="1"/>
  <c r="M48" i="60"/>
  <c r="J47" i="60"/>
  <c r="J6" i="66" s="1"/>
  <c r="L59" i="65"/>
  <c r="K65" i="65"/>
  <c r="O32" i="59"/>
  <c r="K10" i="65"/>
  <c r="E8" i="60"/>
  <c r="B179" i="59" s="1"/>
  <c r="B240" i="59"/>
  <c r="G240" i="59" s="1"/>
  <c r="G122" i="48"/>
  <c r="H90" i="59" l="1"/>
  <c r="G6" i="66"/>
  <c r="F6" i="66"/>
  <c r="O35" i="59"/>
  <c r="G302" i="48"/>
  <c r="G135" i="48"/>
  <c r="N135" i="48" s="1"/>
  <c r="P103" i="55"/>
  <c r="J58" i="64"/>
  <c r="J59" i="64" s="1"/>
  <c r="H31" i="59"/>
  <c r="I8" i="64"/>
  <c r="H75" i="59"/>
  <c r="G96" i="59" s="1"/>
  <c r="G245" i="59"/>
  <c r="G34" i="59"/>
  <c r="G94" i="59"/>
  <c r="G97" i="59"/>
  <c r="G184" i="59"/>
  <c r="I57" i="64"/>
  <c r="K64" i="64"/>
  <c r="K8" i="64" s="1"/>
  <c r="I33" i="59" s="1"/>
  <c r="I29" i="59"/>
  <c r="K63" i="64"/>
  <c r="L63" i="64" s="1"/>
  <c r="K11" i="64"/>
  <c r="I34" i="59" s="1"/>
  <c r="K55" i="64"/>
  <c r="K57" i="64" s="1"/>
  <c r="M35" i="59"/>
  <c r="G79" i="59" s="1"/>
  <c r="I10" i="65"/>
  <c r="L10" i="65" s="1"/>
  <c r="L65" i="65"/>
  <c r="M36" i="59"/>
  <c r="I21" i="65"/>
  <c r="M47" i="60"/>
  <c r="J65" i="60"/>
  <c r="J29" i="59"/>
  <c r="E55" i="59" s="1"/>
  <c r="J64" i="60"/>
  <c r="M64" i="60" s="1"/>
  <c r="J12" i="60"/>
  <c r="J56" i="60"/>
  <c r="J58" i="60" s="1"/>
  <c r="J33" i="65"/>
  <c r="I14" i="65"/>
  <c r="I17" i="65"/>
  <c r="I30" i="65"/>
  <c r="M27" i="59"/>
  <c r="M41" i="59" s="1"/>
  <c r="F74" i="59" s="1"/>
  <c r="E89" i="59" s="1"/>
  <c r="I84" i="65"/>
  <c r="H240" i="59"/>
  <c r="G179" i="59"/>
  <c r="H179" i="59"/>
  <c r="M103" i="55" l="1"/>
  <c r="K103" i="55" s="1"/>
  <c r="L103" i="55" s="1"/>
  <c r="L10" i="55" s="1"/>
  <c r="N10" i="55" s="1"/>
  <c r="K71" i="64"/>
  <c r="L55" i="64"/>
  <c r="L64" i="64"/>
  <c r="L11" i="64"/>
  <c r="G244" i="59"/>
  <c r="F75" i="59"/>
  <c r="E96" i="59" s="1"/>
  <c r="C245" i="59"/>
  <c r="D245" i="59"/>
  <c r="I245" i="59"/>
  <c r="C184" i="59"/>
  <c r="D184" i="59"/>
  <c r="G33" i="59"/>
  <c r="F76" i="59" s="1"/>
  <c r="L8" i="64"/>
  <c r="I31" i="59"/>
  <c r="K58" i="64"/>
  <c r="K59" i="64" s="1"/>
  <c r="G31" i="59"/>
  <c r="I58" i="64"/>
  <c r="L57" i="64"/>
  <c r="J65" i="64"/>
  <c r="H32" i="59"/>
  <c r="H71" i="59" s="1"/>
  <c r="G87" i="59" s="1"/>
  <c r="J10" i="64"/>
  <c r="J31" i="59"/>
  <c r="J59" i="60"/>
  <c r="J60" i="60" s="1"/>
  <c r="J7" i="66" s="1"/>
  <c r="J34" i="59"/>
  <c r="E61" i="59" s="1"/>
  <c r="M12" i="60"/>
  <c r="N12" i="60" s="1"/>
  <c r="Q12" i="60" s="1"/>
  <c r="I90" i="65"/>
  <c r="I88" i="65"/>
  <c r="M40" i="59"/>
  <c r="F77" i="59" s="1"/>
  <c r="M38" i="59"/>
  <c r="J66" i="65"/>
  <c r="K33" i="65"/>
  <c r="J30" i="65"/>
  <c r="J17" i="65"/>
  <c r="J14" i="65"/>
  <c r="N27" i="59"/>
  <c r="N41" i="59" s="1"/>
  <c r="H74" i="59" s="1"/>
  <c r="G89" i="59" s="1"/>
  <c r="J84" i="65"/>
  <c r="J8" i="60"/>
  <c r="M65" i="60"/>
  <c r="F90" i="59"/>
  <c r="H127" i="59"/>
  <c r="G7" i="66" l="1"/>
  <c r="F7" i="66"/>
  <c r="H35" i="59"/>
  <c r="H79" i="59" s="1"/>
  <c r="G90" i="59" s="1"/>
  <c r="N40" i="59"/>
  <c r="H77" i="59" s="1"/>
  <c r="G155" i="59" s="1"/>
  <c r="N38" i="59"/>
  <c r="L33" i="65"/>
  <c r="I32" i="59"/>
  <c r="J66" i="60"/>
  <c r="J34" i="60"/>
  <c r="M13" i="55"/>
  <c r="O13" i="55" s="1"/>
  <c r="K10" i="64"/>
  <c r="K65" i="64"/>
  <c r="E94" i="59"/>
  <c r="E97" i="59"/>
  <c r="G183" i="59"/>
  <c r="I59" i="64"/>
  <c r="J71" i="64" s="1"/>
  <c r="L58" i="64"/>
  <c r="C244" i="59"/>
  <c r="D244" i="59"/>
  <c r="I244" i="59"/>
  <c r="K66" i="65"/>
  <c r="K84" i="65"/>
  <c r="K17" i="65"/>
  <c r="K30" i="65"/>
  <c r="L30" i="65" s="1"/>
  <c r="O27" i="59"/>
  <c r="O41" i="59" s="1"/>
  <c r="K14" i="65"/>
  <c r="J33" i="59"/>
  <c r="M8" i="60"/>
  <c r="N8" i="60" s="1"/>
  <c r="J21" i="65"/>
  <c r="N36" i="59"/>
  <c r="G154" i="59"/>
  <c r="E93" i="59"/>
  <c r="J32" i="59"/>
  <c r="E56" i="59" s="1"/>
  <c r="K72" i="60"/>
  <c r="I89" i="65"/>
  <c r="J90" i="65"/>
  <c r="J89" i="65" s="1"/>
  <c r="J16" i="65" s="1"/>
  <c r="J88" i="65"/>
  <c r="J36" i="60"/>
  <c r="J39" i="60"/>
  <c r="E54" i="59"/>
  <c r="J92" i="60"/>
  <c r="J30" i="60"/>
  <c r="J78" i="60"/>
  <c r="J31" i="60" l="1"/>
  <c r="J9" i="60"/>
  <c r="G93" i="59"/>
  <c r="J67" i="60"/>
  <c r="J9" i="66"/>
  <c r="G128" i="59"/>
  <c r="C128" i="59" s="1"/>
  <c r="L66" i="65"/>
  <c r="J10" i="66"/>
  <c r="N39" i="59"/>
  <c r="I72" i="59" s="1"/>
  <c r="H88" i="59" s="1"/>
  <c r="O38" i="59"/>
  <c r="I35" i="59"/>
  <c r="M10" i="55"/>
  <c r="O10" i="55" s="1"/>
  <c r="G32" i="59"/>
  <c r="F71" i="59" s="1"/>
  <c r="E87" i="59" s="1"/>
  <c r="I33" i="64"/>
  <c r="I65" i="64"/>
  <c r="L71" i="64"/>
  <c r="L59" i="64"/>
  <c r="C183" i="59"/>
  <c r="D183" i="59"/>
  <c r="J19" i="60"/>
  <c r="L14" i="65"/>
  <c r="C154" i="59"/>
  <c r="C155" i="59"/>
  <c r="I16" i="65"/>
  <c r="J27" i="59"/>
  <c r="J41" i="59" s="1"/>
  <c r="E59" i="59" s="1"/>
  <c r="J90" i="60"/>
  <c r="J96" i="60" s="1"/>
  <c r="J95" i="60" s="1"/>
  <c r="J15" i="60"/>
  <c r="J38" i="59" s="1"/>
  <c r="O40" i="59"/>
  <c r="L17" i="65"/>
  <c r="L84" i="65"/>
  <c r="K90" i="65"/>
  <c r="K88" i="65"/>
  <c r="L88" i="65" s="1"/>
  <c r="J35" i="59"/>
  <c r="E60" i="59" s="1"/>
  <c r="J11" i="60"/>
  <c r="K21" i="65"/>
  <c r="O36" i="59"/>
  <c r="J37" i="60"/>
  <c r="J79" i="60"/>
  <c r="K81" i="60"/>
  <c r="K54" i="60" s="1"/>
  <c r="K56" i="60" s="1"/>
  <c r="K58" i="60" s="1"/>
  <c r="K39" i="60"/>
  <c r="K36" i="60"/>
  <c r="K78" i="60"/>
  <c r="K79" i="60" s="1"/>
  <c r="K92" i="60"/>
  <c r="F54" i="59"/>
  <c r="G9" i="66" l="1"/>
  <c r="F9" i="66"/>
  <c r="D128" i="59"/>
  <c r="I128" i="59"/>
  <c r="J40" i="59"/>
  <c r="E62" i="59" s="1"/>
  <c r="E77" i="59" s="1"/>
  <c r="K31" i="59"/>
  <c r="R219" i="59"/>
  <c r="G10" i="66"/>
  <c r="H36" i="66" s="1"/>
  <c r="F10" i="66"/>
  <c r="G36" i="66" s="1"/>
  <c r="G35" i="59"/>
  <c r="F79" i="59" s="1"/>
  <c r="I10" i="64"/>
  <c r="L10" i="64" s="1"/>
  <c r="L65" i="64"/>
  <c r="I66" i="64"/>
  <c r="I14" i="64"/>
  <c r="I30" i="64"/>
  <c r="I84" i="64"/>
  <c r="J33" i="64"/>
  <c r="G27" i="59"/>
  <c r="G41" i="59" s="1"/>
  <c r="G74" i="59" s="1"/>
  <c r="F89" i="59" s="1"/>
  <c r="I17" i="64"/>
  <c r="J94" i="60"/>
  <c r="J18" i="60" s="1"/>
  <c r="M39" i="59"/>
  <c r="G72" i="59" s="1"/>
  <c r="K89" i="65"/>
  <c r="L90" i="65"/>
  <c r="J22" i="60"/>
  <c r="J36" i="59"/>
  <c r="K80" i="60"/>
  <c r="K84" i="60" s="1"/>
  <c r="K59" i="60"/>
  <c r="K37" i="60"/>
  <c r="L81" i="60"/>
  <c r="I36" i="66" l="1"/>
  <c r="C36" i="66"/>
  <c r="J39" i="59"/>
  <c r="E57" i="59" s="1"/>
  <c r="J8" i="66"/>
  <c r="D36" i="66"/>
  <c r="J84" i="64"/>
  <c r="J14" i="64"/>
  <c r="J30" i="64"/>
  <c r="H27" i="59"/>
  <c r="H41" i="59" s="1"/>
  <c r="I74" i="59" s="1"/>
  <c r="H89" i="59" s="1"/>
  <c r="J17" i="64"/>
  <c r="K33" i="64"/>
  <c r="J66" i="64"/>
  <c r="I90" i="64"/>
  <c r="I88" i="64"/>
  <c r="G40" i="59"/>
  <c r="G77" i="59" s="1"/>
  <c r="G38" i="59"/>
  <c r="G36" i="59"/>
  <c r="I21" i="64"/>
  <c r="E90" i="59"/>
  <c r="G127" i="59"/>
  <c r="K16" i="65"/>
  <c r="L89" i="65"/>
  <c r="F88" i="59"/>
  <c r="R218" i="59"/>
  <c r="L80" i="60"/>
  <c r="M80" i="60" s="1"/>
  <c r="L54" i="60"/>
  <c r="M81" i="60"/>
  <c r="K14" i="60"/>
  <c r="K60" i="60"/>
  <c r="G8" i="66" l="1"/>
  <c r="F8" i="66"/>
  <c r="K37" i="59"/>
  <c r="F58" i="59" s="1"/>
  <c r="K66" i="64"/>
  <c r="H38" i="59"/>
  <c r="H40" i="59"/>
  <c r="I77" i="59" s="1"/>
  <c r="H93" i="59" s="1"/>
  <c r="K32" i="59"/>
  <c r="F56" i="59" s="1"/>
  <c r="K7" i="66"/>
  <c r="L33" i="64"/>
  <c r="K30" i="64"/>
  <c r="L30" i="64" s="1"/>
  <c r="K17" i="64"/>
  <c r="K14" i="64"/>
  <c r="K84" i="64"/>
  <c r="I27" i="59"/>
  <c r="I41" i="59" s="1"/>
  <c r="I89" i="64"/>
  <c r="C127" i="59"/>
  <c r="D127" i="59"/>
  <c r="I127" i="59"/>
  <c r="F93" i="59"/>
  <c r="H154" i="59"/>
  <c r="H36" i="59"/>
  <c r="J21" i="64"/>
  <c r="J88" i="64"/>
  <c r="J90" i="64"/>
  <c r="J89" i="64" s="1"/>
  <c r="J16" i="64" s="1"/>
  <c r="O39" i="59"/>
  <c r="L16" i="65"/>
  <c r="L84" i="60"/>
  <c r="L14" i="60" s="1"/>
  <c r="K66" i="60"/>
  <c r="L56" i="60"/>
  <c r="M54" i="60"/>
  <c r="L72" i="60"/>
  <c r="M72" i="60" s="1"/>
  <c r="K11" i="60"/>
  <c r="K34" i="60"/>
  <c r="K9" i="60" s="1"/>
  <c r="H155" i="59" l="1"/>
  <c r="D155" i="59" s="1"/>
  <c r="I7" i="66"/>
  <c r="H7" i="66"/>
  <c r="H39" i="59"/>
  <c r="H72" i="59" s="1"/>
  <c r="G88" i="59" s="1"/>
  <c r="L37" i="59"/>
  <c r="L66" i="64"/>
  <c r="K9" i="66"/>
  <c r="I36" i="59"/>
  <c r="K35" i="59"/>
  <c r="F60" i="59" s="1"/>
  <c r="K10" i="66"/>
  <c r="K21" i="64"/>
  <c r="I38" i="59"/>
  <c r="L14" i="64"/>
  <c r="I40" i="59"/>
  <c r="L17" i="64"/>
  <c r="I16" i="64"/>
  <c r="D154" i="59"/>
  <c r="I154" i="59"/>
  <c r="K90" i="64"/>
  <c r="K89" i="64" s="1"/>
  <c r="K16" i="64" s="1"/>
  <c r="K88" i="64"/>
  <c r="L88" i="64" s="1"/>
  <c r="L84" i="64"/>
  <c r="M84" i="60"/>
  <c r="M14" i="60"/>
  <c r="N14" i="60" s="1"/>
  <c r="Q14" i="60" s="1"/>
  <c r="K67" i="60"/>
  <c r="K27" i="59"/>
  <c r="K41" i="59" s="1"/>
  <c r="F59" i="59" s="1"/>
  <c r="K90" i="60"/>
  <c r="K31" i="60"/>
  <c r="K19" i="60"/>
  <c r="K15" i="60"/>
  <c r="L58" i="60"/>
  <c r="M56" i="60"/>
  <c r="I155" i="59" l="1"/>
  <c r="Q219" i="59"/>
  <c r="S219" i="59" s="1"/>
  <c r="K38" i="59"/>
  <c r="I10" i="66"/>
  <c r="H37" i="66" s="1"/>
  <c r="H10" i="66"/>
  <c r="G37" i="66" s="1"/>
  <c r="I39" i="59"/>
  <c r="L31" i="59"/>
  <c r="K40" i="59"/>
  <c r="F62" i="59" s="1"/>
  <c r="I9" i="66"/>
  <c r="H9" i="66"/>
  <c r="M16" i="55"/>
  <c r="O16" i="55" s="1"/>
  <c r="L90" i="64"/>
  <c r="L89" i="64"/>
  <c r="G39" i="59"/>
  <c r="F72" i="59" s="1"/>
  <c r="L16" i="64"/>
  <c r="K22" i="60"/>
  <c r="K36" i="59"/>
  <c r="K94" i="60"/>
  <c r="K18" i="60" s="1"/>
  <c r="K96" i="60"/>
  <c r="L59" i="60"/>
  <c r="M59" i="60" s="1"/>
  <c r="M58" i="60"/>
  <c r="N219" i="59" l="1"/>
  <c r="M219" i="59"/>
  <c r="I37" i="66"/>
  <c r="C37" i="66"/>
  <c r="D37" i="66"/>
  <c r="E88" i="59"/>
  <c r="Q218" i="59"/>
  <c r="K95" i="60"/>
  <c r="L60" i="60"/>
  <c r="L32" i="59" l="1"/>
  <c r="M218" i="59"/>
  <c r="N218" i="59"/>
  <c r="S218" i="59"/>
  <c r="L66" i="60"/>
  <c r="M60" i="60"/>
  <c r="L34" i="60"/>
  <c r="L9" i="60" s="1"/>
  <c r="M9" i="60" s="1"/>
  <c r="N9" i="60" s="1"/>
  <c r="L35" i="59" l="1"/>
  <c r="K39" i="59"/>
  <c r="F57" i="59" s="1"/>
  <c r="K8" i="66"/>
  <c r="L67" i="60"/>
  <c r="L27" i="59"/>
  <c r="L41" i="59" s="1"/>
  <c r="L90" i="60"/>
  <c r="L15" i="60"/>
  <c r="M34" i="60"/>
  <c r="I8" i="66" l="1"/>
  <c r="H8" i="66"/>
  <c r="L38" i="59"/>
  <c r="L22" i="60"/>
  <c r="L36" i="59"/>
  <c r="M15" i="60"/>
  <c r="N15" i="60" s="1"/>
  <c r="Q15" i="60" s="1"/>
  <c r="M67" i="60"/>
  <c r="M90" i="60"/>
  <c r="M27" i="60"/>
  <c r="L39" i="60"/>
  <c r="L36" i="60"/>
  <c r="L78" i="60"/>
  <c r="L37" i="60" s="1"/>
  <c r="L19" i="60"/>
  <c r="L11" i="60"/>
  <c r="M11" i="60" s="1"/>
  <c r="N11" i="60" s="1"/>
  <c r="Q11" i="60" s="1"/>
  <c r="M66" i="60"/>
  <c r="L92" i="60"/>
  <c r="L96" i="60" s="1"/>
  <c r="M96" i="60" s="1"/>
  <c r="L30" i="60"/>
  <c r="L31" i="60"/>
  <c r="M31" i="60" s="1"/>
  <c r="M11" i="55" l="1"/>
  <c r="O11" i="55" s="1"/>
  <c r="M17" i="55"/>
  <c r="O17" i="55" s="1"/>
  <c r="M19" i="60"/>
  <c r="N19" i="60" s="1"/>
  <c r="Q19" i="60" s="1"/>
  <c r="L40" i="59"/>
  <c r="L94" i="60"/>
  <c r="M92" i="60"/>
  <c r="M78" i="60"/>
  <c r="L79" i="60"/>
  <c r="M79" i="60" s="1"/>
  <c r="L95" i="60"/>
  <c r="M94" i="60" l="1"/>
  <c r="L18" i="60"/>
  <c r="M18" i="60" s="1"/>
  <c r="M20" i="55"/>
  <c r="O20" i="55" s="1"/>
  <c r="M95" i="60"/>
  <c r="N18" i="60" l="1"/>
  <c r="Q18" i="60" s="1"/>
  <c r="L39" i="59"/>
  <c r="M19" i="55" l="1"/>
  <c r="O19" i="55" s="1"/>
  <c r="D51" i="48"/>
  <c r="J29" i="42"/>
  <c r="D83" i="52"/>
  <c r="D212" i="48"/>
  <c r="D247" i="48"/>
  <c r="D303" i="48"/>
  <c r="D73" i="48"/>
  <c r="D9" i="48"/>
  <c r="D81" i="52"/>
  <c r="J364" i="42"/>
  <c r="D107" i="52" s="1"/>
  <c r="J367" i="42"/>
  <c r="D100" i="52" s="1"/>
  <c r="J19" i="42"/>
  <c r="J28" i="42" s="1"/>
  <c r="K364" i="42"/>
  <c r="E107" i="52" s="1"/>
  <c r="Z29" i="42" l="1"/>
  <c r="P29" i="42" s="1"/>
  <c r="P353" i="42"/>
  <c r="P367" i="42"/>
  <c r="J100" i="52" s="1"/>
  <c r="M100" i="52" s="1"/>
  <c r="P21" i="42"/>
  <c r="P364" i="42"/>
  <c r="J107" i="52" s="1"/>
  <c r="Z19" i="42"/>
  <c r="Z28" i="42" s="1"/>
  <c r="P352" i="42"/>
  <c r="H116" i="67" s="1"/>
  <c r="L116" i="67" s="1"/>
  <c r="K116" i="67" s="1"/>
  <c r="F11" i="67" s="1"/>
  <c r="R11" i="60" s="1"/>
  <c r="I11" i="67" l="1"/>
  <c r="I14" i="67" s="1"/>
  <c r="G11" i="67"/>
  <c r="G14" i="67" s="1"/>
  <c r="H168" i="53"/>
  <c r="I170" i="53" s="1"/>
  <c r="H84" i="53"/>
  <c r="J84" i="53" s="1"/>
  <c r="J13" i="48"/>
  <c r="H85" i="53"/>
  <c r="H67" i="60"/>
  <c r="H22" i="60" s="1"/>
  <c r="H86" i="53"/>
  <c r="X364" i="42"/>
  <c r="Y364" i="42"/>
  <c r="W364" i="42"/>
  <c r="J51" i="48"/>
  <c r="K107" i="52"/>
  <c r="M107" i="52" s="1"/>
  <c r="P19" i="42"/>
  <c r="P28" i="42"/>
  <c r="H66" i="65"/>
  <c r="H21" i="65" s="1"/>
  <c r="H59" i="65"/>
  <c r="I72" i="65" s="1"/>
  <c r="L72" i="65" s="1"/>
  <c r="J303" i="48"/>
  <c r="J83" i="52"/>
  <c r="M83" i="52" s="1"/>
  <c r="J73" i="48"/>
  <c r="J212" i="48"/>
  <c r="J81" i="52"/>
  <c r="M81" i="52" s="1"/>
  <c r="H65" i="65"/>
  <c r="H10" i="65" s="1"/>
  <c r="J74" i="48"/>
  <c r="H65" i="64"/>
  <c r="H10" i="64" s="1"/>
  <c r="J99" i="52"/>
  <c r="M99" i="52" s="1"/>
  <c r="S106" i="55"/>
  <c r="J53" i="48"/>
  <c r="J304" i="48"/>
  <c r="J214" i="48"/>
  <c r="H66" i="60"/>
  <c r="D10" i="66" s="1"/>
  <c r="B34" i="66" s="1"/>
  <c r="H60" i="60"/>
  <c r="J247" i="48"/>
  <c r="H66" i="64"/>
  <c r="H21" i="64" s="1"/>
  <c r="J9" i="48"/>
  <c r="H59" i="64"/>
  <c r="I72" i="64" s="1"/>
  <c r="I155" i="64" s="1"/>
  <c r="F14" i="67" l="1"/>
  <c r="G15" i="67"/>
  <c r="H14" i="67"/>
  <c r="I15" i="67"/>
  <c r="M106" i="55"/>
  <c r="K106" i="55" s="1"/>
  <c r="L106" i="55" s="1"/>
  <c r="L11" i="55" s="1"/>
  <c r="N11" i="55" s="1"/>
  <c r="I73" i="60"/>
  <c r="D7" i="66"/>
  <c r="H34" i="66"/>
  <c r="G34" i="66"/>
  <c r="E36" i="59"/>
  <c r="I155" i="65"/>
  <c r="H11" i="60"/>
  <c r="B126" i="59" s="1"/>
  <c r="E35" i="59"/>
  <c r="D79" i="59" s="1"/>
  <c r="J161" i="60"/>
  <c r="E32" i="59"/>
  <c r="D71" i="59" s="1"/>
  <c r="L72" i="64"/>
  <c r="H15" i="67" l="1"/>
  <c r="H67" i="67"/>
  <c r="F15" i="67"/>
  <c r="E67" i="67"/>
  <c r="I161" i="60"/>
  <c r="C161" i="60"/>
  <c r="M73" i="60"/>
  <c r="D90" i="59"/>
  <c r="D60" i="59"/>
  <c r="D87" i="59"/>
  <c r="D56" i="59"/>
  <c r="H126" i="59"/>
  <c r="G126" i="59"/>
  <c r="F67" i="67" l="1"/>
  <c r="G67" i="67" s="1"/>
  <c r="F27" i="67" s="1"/>
  <c r="I67" i="67"/>
  <c r="J67" i="67" s="1"/>
  <c r="H28" i="67" s="1"/>
  <c r="J28" i="67" l="1"/>
  <c r="J27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김성진</author>
  </authors>
  <commentList>
    <comment ref="Z3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배당결의</t>
        </r>
        <r>
          <rPr>
            <sz val="9"/>
            <color indexed="81"/>
            <rFont val="Tahoma"/>
            <family val="2"/>
          </rPr>
          <t xml:space="preserve"> 1,202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>+2016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
=&gt; 1,202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</text>
    </comment>
    <comment ref="AD262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262" authorId="1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262" authorId="1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262" authorId="1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K271" authorId="1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L271" authorId="1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M271" authorId="1" shapeId="0" xr:uid="{00000000-0006-0000-00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K272" authorId="1" shapeId="0" xr:uid="{00000000-0006-0000-00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L272" authorId="1" shapeId="0" xr:uid="{00000000-0006-0000-00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N274" authorId="1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16.12 </t>
        </r>
        <r>
          <rPr>
            <sz val="9"/>
            <color indexed="81"/>
            <rFont val="돋움"/>
            <family val="3"/>
            <charset val="129"/>
          </rPr>
          <t>사업보고서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영업용순자본비율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자기자본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조이상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금융투자사업자는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한시적으로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</t>
        </r>
        <r>
          <rPr>
            <sz val="9"/>
            <color indexed="81"/>
            <rFont val="Tahoma"/>
            <family val="2"/>
          </rPr>
          <t xml:space="preserve"> 200% </t>
        </r>
        <r>
          <rPr>
            <sz val="9"/>
            <color indexed="81"/>
            <rFont val="돋움"/>
            <family val="3"/>
            <charset val="129"/>
          </rPr>
          <t>적용하여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필요유지자기자본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</t>
        </r>
      </text>
    </comment>
    <comment ref="W287" authorId="1" shapeId="0" xr:uid="{00000000-0006-0000-00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X287" authorId="1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Z287" authorId="1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A287" authorId="1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B287" authorId="1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C287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D287" authorId="1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E287" authorId="1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F287" authorId="1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G287" authorId="1" shapeId="0" xr:uid="{00000000-0006-0000-00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K310" authorId="1" shapeId="0" xr:uid="{00000000-0006-0000-00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L310" authorId="1" shapeId="0" xr:uid="{00000000-0006-0000-00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10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75" authorId="1" shapeId="0" xr:uid="{00000000-0006-0000-00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FISIS </t>
        </r>
        <r>
          <rPr>
            <sz val="9"/>
            <color indexed="81"/>
            <rFont val="돋움"/>
            <family val="3"/>
            <charset val="129"/>
          </rPr>
          <t>데이터와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>FISIS</t>
        </r>
        <r>
          <rPr>
            <sz val="9"/>
            <color indexed="81"/>
            <rFont val="돋움"/>
            <family val="3"/>
            <charset val="129"/>
          </rPr>
          <t>데이터는</t>
        </r>
        <r>
          <rPr>
            <sz val="9"/>
            <color indexed="81"/>
            <rFont val="Tahoma"/>
            <family val="2"/>
          </rPr>
          <t xml:space="preserve"> 1637559.84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1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32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32" authorId="0" shapeId="0" xr:uid="{00000000-0006-0000-01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50" authorId="0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70" authorId="0" shapeId="0" xr:uid="{00000000-0006-0000-01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70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J72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10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35" authorId="0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O141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O14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B34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추가</t>
        </r>
      </text>
    </comment>
    <comment ref="B351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신설</t>
        </r>
      </text>
    </comment>
    <comment ref="AB466" authorId="0" shapeId="0" xr:uid="{00000000-0006-0000-07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C466" authorId="0" shapeId="0" xr:uid="{00000000-0006-0000-07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D466" authorId="0" shapeId="0" xr:uid="{00000000-0006-0000-07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466" authorId="0" shapeId="0" xr:uid="{00000000-0006-0000-07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466" authorId="0" shapeId="0" xr:uid="{00000000-0006-0000-07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466" authorId="0" shapeId="0" xr:uid="{00000000-0006-0000-07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H466" authorId="0" shapeId="0" xr:uid="{00000000-0006-0000-07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H468" authorId="0" shapeId="0" xr:uid="{00000000-0006-0000-07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K468" authorId="0" shapeId="0" xr:uid="{00000000-0006-0000-07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S468" authorId="0" shapeId="0" xr:uid="{00000000-0006-0000-07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T468" authorId="0" shapeId="0" xr:uid="{00000000-0006-0000-07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U468" authorId="0" shapeId="0" xr:uid="{00000000-0006-0000-07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V468" authorId="0" shapeId="0" xr:uid="{00000000-0006-0000-07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W468" authorId="0" shapeId="0" xr:uid="{00000000-0006-0000-07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X468" authorId="0" shapeId="0" xr:uid="{00000000-0006-0000-07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Y468" authorId="0" shapeId="0" xr:uid="{00000000-0006-0000-07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Z468" authorId="0" shapeId="0" xr:uid="{00000000-0006-0000-07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A468" authorId="0" shapeId="0" xr:uid="{00000000-0006-0000-07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B468" authorId="0" shapeId="0" xr:uid="{00000000-0006-0000-07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C468" authorId="0" shapeId="0" xr:uid="{00000000-0006-0000-07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D468" authorId="0" shapeId="0" xr:uid="{00000000-0006-0000-07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E468" authorId="0" shapeId="0" xr:uid="{00000000-0006-0000-07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F468" authorId="0" shapeId="0" xr:uid="{00000000-0006-0000-07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G468" authorId="0" shapeId="0" xr:uid="{00000000-0006-0000-0700-00001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H468" authorId="0" shapeId="0" xr:uid="{00000000-0006-0000-0700-00001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금융팀 이혁준</author>
    <author>김성진</author>
  </authors>
  <commentList>
    <comment ref="B44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C44" authorId="0" shapeId="0" xr:uid="{00000000-0006-0000-0800-000002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B72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C72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G454" authorId="1" shapeId="0" xr:uid="{00000000-0006-0000-0800-000005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H454" authorId="1" shapeId="0" xr:uid="{00000000-0006-0000-0800-000006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I454" authorId="1" shapeId="0" xr:uid="{00000000-0006-0000-0800-000007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G456" authorId="1" shapeId="0" xr:uid="{00000000-0006-0000-0800-000008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H456" authorId="1" shapeId="0" xr:uid="{00000000-0006-0000-0800-000009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I456" authorId="1" shapeId="0" xr:uid="{00000000-0006-0000-0800-00000A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AA524" authorId="2" shapeId="0" xr:uid="{00000000-0006-0000-08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B524" authorId="2" shapeId="0" xr:uid="{00000000-0006-0000-08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C524" authorId="2" shapeId="0" xr:uid="{00000000-0006-0000-08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D524" authorId="2" shapeId="0" xr:uid="{00000000-0006-0000-08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E524" authorId="2" shapeId="0" xr:uid="{00000000-0006-0000-08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F524" authorId="2" shapeId="0" xr:uid="{00000000-0006-0000-08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G524" authorId="2" shapeId="0" xr:uid="{00000000-0006-0000-08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H524" authorId="2" shapeId="0" xr:uid="{00000000-0006-0000-08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A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A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A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A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B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B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9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F9" authorId="0" shapeId="0" xr:uid="{00000000-0006-0000-0C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<sst xmlns="http://schemas.openxmlformats.org/spreadsheetml/2006/main" count="5419" uniqueCount="2727">
  <si>
    <t>대차대조표</t>
  </si>
  <si>
    <t>'12.03</t>
  </si>
  <si>
    <t>예치금</t>
  </si>
  <si>
    <t>-</t>
  </si>
  <si>
    <t>기타</t>
  </si>
  <si>
    <t>주식</t>
  </si>
  <si>
    <t>회사채</t>
  </si>
  <si>
    <t>집합투자증권</t>
  </si>
  <si>
    <t>파생결합증권</t>
  </si>
  <si>
    <t>매도증권</t>
  </si>
  <si>
    <t>파생상품부채</t>
  </si>
  <si>
    <t>미지급금</t>
  </si>
  <si>
    <t>자본총계</t>
  </si>
  <si>
    <t>수탁수수료</t>
  </si>
  <si>
    <t>인수및주선수수료</t>
  </si>
  <si>
    <t>사채모집수탁수수료</t>
  </si>
  <si>
    <t>집합투자증권취급수수료</t>
  </si>
  <si>
    <t>자산관리수수료</t>
  </si>
  <si>
    <t>파생결합증권판매수수료</t>
  </si>
  <si>
    <t>대출채권매각이익</t>
  </si>
  <si>
    <t>대손충당금환입</t>
  </si>
  <si>
    <t>기타대손충당금환입</t>
  </si>
  <si>
    <t>대손상각비</t>
  </si>
  <si>
    <t>총포괄이익</t>
  </si>
  <si>
    <t>판관비</t>
  </si>
  <si>
    <t xml:space="preserve">  수수료수익</t>
  </si>
  <si>
    <t>위탁매매</t>
  </si>
  <si>
    <t>자산관리</t>
  </si>
  <si>
    <t>IB</t>
  </si>
  <si>
    <t>자기매매</t>
  </si>
  <si>
    <t>유가증권</t>
  </si>
  <si>
    <t>파생상품자산</t>
  </si>
  <si>
    <t>대출채권</t>
  </si>
  <si>
    <t>유형자산</t>
  </si>
  <si>
    <t>기타자산</t>
  </si>
  <si>
    <t>관계및종속기업투자</t>
  </si>
  <si>
    <t>기타유가증권</t>
  </si>
  <si>
    <t>외부차입부채</t>
  </si>
  <si>
    <t>대고객부채</t>
  </si>
  <si>
    <t>자기자본</t>
  </si>
  <si>
    <t>자본금</t>
  </si>
  <si>
    <t>자본잉여금</t>
  </si>
  <si>
    <t>이익잉여금</t>
  </si>
  <si>
    <t>영업용순자본비율(%)</t>
  </si>
  <si>
    <t>잉여자본</t>
  </si>
  <si>
    <t>영업이익</t>
  </si>
  <si>
    <t>K-IFRS</t>
  </si>
  <si>
    <t>재무제표기준</t>
  </si>
  <si>
    <t>별도</t>
  </si>
  <si>
    <t>재무상태표 (억원)</t>
  </si>
  <si>
    <t>현금및예치금</t>
  </si>
  <si>
    <t>자산총계</t>
  </si>
  <si>
    <t>차입부채</t>
  </si>
  <si>
    <t xml:space="preserve">  콜머니및차입금</t>
  </si>
  <si>
    <t xml:space="preserve">  환매조건부채권매도</t>
  </si>
  <si>
    <t xml:space="preserve">  사채</t>
  </si>
  <si>
    <t xml:space="preserve">  매도파생결합증권</t>
  </si>
  <si>
    <t>기타부채</t>
  </si>
  <si>
    <t>부채총계</t>
  </si>
  <si>
    <t xml:space="preserve">* 외부차입부채 = 콜머니 + 차입금 + 사채 </t>
  </si>
  <si>
    <t>&lt;자산건전성&gt;</t>
  </si>
  <si>
    <t>&lt;자본적정성&gt;</t>
  </si>
  <si>
    <t>&lt;유동성&gt;</t>
  </si>
  <si>
    <t xml:space="preserve">  수수료비용</t>
  </si>
  <si>
    <t>순영업수익</t>
  </si>
  <si>
    <t>영업외순손익</t>
  </si>
  <si>
    <t>법인세비용</t>
  </si>
  <si>
    <t>계속사업이익</t>
  </si>
  <si>
    <t>중단사업손익</t>
  </si>
  <si>
    <t>당기순이익</t>
  </si>
  <si>
    <t>기타포괄손익</t>
  </si>
  <si>
    <t>수수료수익분산도(%)</t>
  </si>
  <si>
    <t>&lt;수익성&gt;</t>
  </si>
  <si>
    <t>&lt;성장성&gt;</t>
  </si>
  <si>
    <t>총자산증가율(%)</t>
  </si>
  <si>
    <t>대고객부채증가율(%)</t>
  </si>
  <si>
    <t>영업이익증가율(%)</t>
  </si>
  <si>
    <t>순이익증가율(%)</t>
  </si>
  <si>
    <t>총자산</t>
  </si>
  <si>
    <t>구분</t>
  </si>
  <si>
    <t xml:space="preserve">  금융수익</t>
  </si>
  <si>
    <t>파생상품운용손익</t>
  </si>
  <si>
    <t>(-)매매수수료</t>
  </si>
  <si>
    <t>(-)고객예탁금이용료</t>
  </si>
  <si>
    <t xml:space="preserve">  주식평가이익</t>
  </si>
  <si>
    <t xml:space="preserve">  (-)주식매매손실</t>
  </si>
  <si>
    <t xml:space="preserve">  (-)주식평가손실</t>
  </si>
  <si>
    <t xml:space="preserve">  채권매매이익</t>
  </si>
  <si>
    <t xml:space="preserve">  기업융통어음매매이익</t>
  </si>
  <si>
    <t xml:space="preserve">  유가증권상환이익</t>
  </si>
  <si>
    <t xml:space="preserve">  채권평가이익</t>
  </si>
  <si>
    <t xml:space="preserve">  기업융통어음평가이익</t>
  </si>
  <si>
    <t xml:space="preserve">  (-)채권매매손실</t>
  </si>
  <si>
    <t xml:space="preserve">  (-)기업융통어음매매손실</t>
  </si>
  <si>
    <t xml:space="preserve">  (-)유가증권상환손실</t>
  </si>
  <si>
    <t xml:space="preserve">  (-)채권평가손실</t>
  </si>
  <si>
    <t xml:space="preserve">  (-)기업융통어음평가손실</t>
  </si>
  <si>
    <t xml:space="preserve">  외환관련이익</t>
  </si>
  <si>
    <t xml:space="preserve">  (-)외환관련손실</t>
  </si>
  <si>
    <t xml:space="preserve">    배당수익</t>
  </si>
  <si>
    <t xml:space="preserve">    채권이자</t>
  </si>
  <si>
    <t xml:space="preserve">    기업어음이자</t>
  </si>
  <si>
    <t xml:space="preserve">    분배금수익</t>
  </si>
  <si>
    <t xml:space="preserve">    신용공여이자</t>
  </si>
  <si>
    <t xml:space="preserve">    대출금이자</t>
  </si>
  <si>
    <t xml:space="preserve">    매입대출채권이자</t>
  </si>
  <si>
    <t xml:space="preserve">    금융기관예치금이자</t>
  </si>
  <si>
    <t xml:space="preserve">    환매조건부채권매수이자</t>
  </si>
  <si>
    <t xml:space="preserve">  금융비용</t>
  </si>
  <si>
    <t xml:space="preserve">    차입금이자</t>
  </si>
  <si>
    <t xml:space="preserve">    환매조건부채권매도이자</t>
  </si>
  <si>
    <t xml:space="preserve">    사채이자</t>
  </si>
  <si>
    <t xml:space="preserve">    발행어음이자</t>
  </si>
  <si>
    <t>현금/예금</t>
  </si>
  <si>
    <t>예수부채</t>
  </si>
  <si>
    <t>기업어음</t>
  </si>
  <si>
    <t/>
  </si>
  <si>
    <t>(당기순이익)</t>
  </si>
  <si>
    <t>Ⅰ.현금및예치금</t>
  </si>
  <si>
    <t>Ⅱ.증권</t>
  </si>
  <si>
    <t>1.당기손익인식증권</t>
  </si>
  <si>
    <t>1)주식</t>
  </si>
  <si>
    <t>2)신주인수권증서</t>
  </si>
  <si>
    <t>3)국채·지방채</t>
  </si>
  <si>
    <t>4)특수채</t>
  </si>
  <si>
    <t>5)회사채</t>
  </si>
  <si>
    <t>6)집합투자증권</t>
  </si>
  <si>
    <t>7)기업어음증권</t>
  </si>
  <si>
    <t>8)외화증권</t>
  </si>
  <si>
    <t>9)기타</t>
  </si>
  <si>
    <t>2.매도가능증권</t>
  </si>
  <si>
    <t>3.만기보유증권</t>
  </si>
  <si>
    <t>4.관계회사투자지분</t>
  </si>
  <si>
    <t>Ⅲ.파생상품자산</t>
  </si>
  <si>
    <t>Ⅳ.대출채권</t>
  </si>
  <si>
    <t>(현재가치할인차금)(-)</t>
  </si>
  <si>
    <t>(이연대출부대손익)</t>
  </si>
  <si>
    <t>4.대여금</t>
  </si>
  <si>
    <t>6.대출금(종금계정)</t>
  </si>
  <si>
    <t>7.할인어음(종금계정)</t>
  </si>
  <si>
    <t>9.대지급금</t>
  </si>
  <si>
    <t>10.부도채권</t>
  </si>
  <si>
    <t>11.부도어음</t>
  </si>
  <si>
    <t>12.사모사채</t>
  </si>
  <si>
    <t>13.신탁계정대</t>
  </si>
  <si>
    <t>14.종금계정대</t>
  </si>
  <si>
    <t>15.기타대출채권</t>
  </si>
  <si>
    <t>16.대손충당금(-)</t>
  </si>
  <si>
    <t>Ⅴ.유형자산</t>
  </si>
  <si>
    <t>Ⅵ.CMA운용자산(종금계정)</t>
  </si>
  <si>
    <t>Ⅶ.리스자산(종금계정)</t>
  </si>
  <si>
    <t>Ⅷ.기타자산</t>
  </si>
  <si>
    <t>Ⅰ.예수부채</t>
  </si>
  <si>
    <t>Ⅱ.차입부채</t>
  </si>
  <si>
    <t>1.콜머니</t>
  </si>
  <si>
    <t>2.차입금</t>
  </si>
  <si>
    <t>4.매도증권</t>
  </si>
  <si>
    <t>5.매도파생결합증권</t>
  </si>
  <si>
    <t>7.후순위사채</t>
  </si>
  <si>
    <t>8.후순위차입금</t>
  </si>
  <si>
    <t>Ⅲ.파생상품부채</t>
  </si>
  <si>
    <t>Ⅳ.기타부채</t>
  </si>
  <si>
    <t>Ⅴ.요구불상환지분</t>
  </si>
  <si>
    <t>Ⅰ.자본금</t>
  </si>
  <si>
    <t>Ⅱ.자본잉여금</t>
  </si>
  <si>
    <t>Ⅲ.자본조정</t>
  </si>
  <si>
    <t>Ⅳ.기타포괄손익누계액</t>
  </si>
  <si>
    <t>Ⅴ.이익잉여금</t>
  </si>
  <si>
    <t>(원)</t>
  </si>
  <si>
    <t>자산총계 (백만 원)</t>
    <phoneticPr fontId="73" type="noConversion"/>
  </si>
  <si>
    <t>부채총계 (백만 원)</t>
    <phoneticPr fontId="73" type="noConversion"/>
  </si>
  <si>
    <t>자기자본 (백만 원)</t>
    <phoneticPr fontId="73" type="noConversion"/>
  </si>
  <si>
    <t>부채+자기자본 (백만 원)</t>
    <phoneticPr fontId="73" type="noConversion"/>
  </si>
  <si>
    <t>[자산,부채,자기자본] Check!!!</t>
    <phoneticPr fontId="73" type="noConversion"/>
  </si>
  <si>
    <t>[주요 계정] Check!!!</t>
    <phoneticPr fontId="73" type="noConversion"/>
  </si>
  <si>
    <t>ⅩⅠ.기타포괄손익</t>
  </si>
  <si>
    <t>Ⅰ.영업수익</t>
  </si>
  <si>
    <t>1.수수료수익</t>
  </si>
  <si>
    <t>2)인수및주선수수료</t>
  </si>
  <si>
    <t>4)집합투자증권취급수수료</t>
  </si>
  <si>
    <t>5)자산관리수수료</t>
  </si>
  <si>
    <t>7)어음지급보증료</t>
  </si>
  <si>
    <t>8)매수및합병수수료</t>
  </si>
  <si>
    <t>9)파생결합증권판매수수료</t>
  </si>
  <si>
    <t>2.증권평가및처분이익</t>
  </si>
  <si>
    <t>3.파생상품관련이익</t>
  </si>
  <si>
    <t>4.이자수익</t>
  </si>
  <si>
    <t>5.대출채권관련이익</t>
  </si>
  <si>
    <t>6.외환거래이익</t>
  </si>
  <si>
    <t>7.기타의영업수익</t>
  </si>
  <si>
    <t>8.기타당기손익인식금융상품관련이익</t>
  </si>
  <si>
    <t>Ⅱ.영업비용</t>
  </si>
  <si>
    <t>1.수수료비용</t>
  </si>
  <si>
    <t>2.증권평가및처분손실</t>
  </si>
  <si>
    <t>3.파생상품관련손실</t>
  </si>
  <si>
    <t>4.이자비용</t>
  </si>
  <si>
    <t>5.대출채권관련손실</t>
  </si>
  <si>
    <t>6.외환거래손실</t>
  </si>
  <si>
    <t>7.판매비와관리비</t>
  </si>
  <si>
    <t>8.기타의영업비용</t>
  </si>
  <si>
    <t>9.기타당기손익인식금융상품관련손실</t>
  </si>
  <si>
    <t>Ⅲ.영업이익(손실)</t>
  </si>
  <si>
    <t>Ⅳ.영업외수익</t>
  </si>
  <si>
    <t>Ⅴ.영업외비용</t>
  </si>
  <si>
    <t>Ⅵ.법인세비용차감전계속사업손익</t>
  </si>
  <si>
    <t>Ⅷ.계속사업이익(손실)</t>
  </si>
  <si>
    <t>Ⅹ.당기순이익(손실)</t>
  </si>
  <si>
    <t>ⅩⅡ.총포괄이익(손실)</t>
  </si>
  <si>
    <t>영업이익 (백만 원)</t>
    <phoneticPr fontId="73" type="noConversion"/>
  </si>
  <si>
    <t>당기순이익 (백만 원)</t>
    <phoneticPr fontId="73" type="noConversion"/>
  </si>
  <si>
    <t>당기포괄순이익 (백만 원)</t>
    <phoneticPr fontId="73" type="noConversion"/>
  </si>
  <si>
    <t>[영업이익] Check!!!</t>
    <phoneticPr fontId="73" type="noConversion"/>
  </si>
  <si>
    <t>[당기순이익] Check!!!</t>
    <phoneticPr fontId="73" type="noConversion"/>
  </si>
  <si>
    <t>[당기포괄순이익]Check!!!</t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</si>
  <si>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영업이익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</si>
  <si>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연환산조정계수</t>
    <phoneticPr fontId="73" type="noConversion"/>
  </si>
  <si>
    <t>대상사업연도</t>
    <phoneticPr fontId="73" type="noConversion"/>
  </si>
  <si>
    <t>'12.03</t>
    <phoneticPr fontId="73" type="noConversion"/>
  </si>
  <si>
    <t>기타</t>
    <phoneticPr fontId="75" type="noConversion"/>
  </si>
  <si>
    <t>AA</t>
    <phoneticPr fontId="73" type="noConversion"/>
  </si>
  <si>
    <t>A</t>
    <phoneticPr fontId="73" type="noConversion"/>
  </si>
  <si>
    <t>대손관련손익</t>
    <phoneticPr fontId="75" type="noConversion"/>
  </si>
  <si>
    <t>순영업수익</t>
    <phoneticPr fontId="75" type="noConversion"/>
  </si>
  <si>
    <t>순영업수익</t>
    <phoneticPr fontId="73" type="noConversion"/>
  </si>
  <si>
    <t>'12.06</t>
    <phoneticPr fontId="73" type="noConversion"/>
  </si>
  <si>
    <t>고정이하자산</t>
  </si>
  <si>
    <t>ROA</t>
  </si>
  <si>
    <t>범주</t>
  </si>
  <si>
    <t>하위범주</t>
  </si>
  <si>
    <t>평가지표</t>
  </si>
  <si>
    <t>전망</t>
    <phoneticPr fontId="87" type="noConversion"/>
  </si>
  <si>
    <t>AAA</t>
  </si>
  <si>
    <t>AA</t>
  </si>
  <si>
    <t>A</t>
  </si>
  <si>
    <t>BBB</t>
  </si>
  <si>
    <t>BB</t>
  </si>
  <si>
    <t>산업위험</t>
  </si>
  <si>
    <t>◎</t>
  </si>
  <si>
    <t>신용의존성</t>
    <phoneticPr fontId="87" type="noConversion"/>
  </si>
  <si>
    <t>등급전망</t>
    <phoneticPr fontId="87" type="noConversion"/>
  </si>
  <si>
    <t>'12.12</t>
    <phoneticPr fontId="73" type="noConversion"/>
  </si>
  <si>
    <t>'12.09</t>
    <phoneticPr fontId="73" type="noConversion"/>
  </si>
  <si>
    <t>FY11</t>
  </si>
  <si>
    <t>'13.03</t>
    <phoneticPr fontId="73" type="noConversion"/>
  </si>
  <si>
    <t>'13.09</t>
    <phoneticPr fontId="73" type="noConversion"/>
  </si>
  <si>
    <t>'13.12</t>
    <phoneticPr fontId="73" type="noConversion"/>
  </si>
  <si>
    <t>'13.06</t>
    <phoneticPr fontId="73" type="noConversion"/>
  </si>
  <si>
    <t>영업이익률</t>
  </si>
  <si>
    <t>순요주의이하자산비중</t>
  </si>
  <si>
    <t>'14.03</t>
    <phoneticPr fontId="73" type="noConversion"/>
  </si>
  <si>
    <t>대출채권</t>
    <phoneticPr fontId="73" type="noConversion"/>
  </si>
  <si>
    <t>AAA</t>
    <phoneticPr fontId="73" type="noConversion"/>
  </si>
  <si>
    <t>BBB</t>
    <phoneticPr fontId="73" type="noConversion"/>
  </si>
  <si>
    <t>'14.06</t>
    <phoneticPr fontId="73" type="noConversion"/>
  </si>
  <si>
    <t>'14.09</t>
    <phoneticPr fontId="73" type="noConversion"/>
  </si>
  <si>
    <t>'14.12</t>
    <phoneticPr fontId="73" type="noConversion"/>
  </si>
  <si>
    <t>보통</t>
  </si>
  <si>
    <t>'15.03</t>
    <phoneticPr fontId="73" type="noConversion"/>
  </si>
  <si>
    <t>가중치</t>
    <phoneticPr fontId="75" type="noConversion"/>
  </si>
  <si>
    <t>실적</t>
    <phoneticPr fontId="136" type="noConversion"/>
  </si>
  <si>
    <t>전망의 근거
실적과 차이 발생시 작성</t>
    <phoneticPr fontId="87" type="noConversion"/>
  </si>
  <si>
    <t>사업위험</t>
    <phoneticPr fontId="87" type="noConversion"/>
  </si>
  <si>
    <t>BBB</t>
    <phoneticPr fontId="87" type="noConversion"/>
  </si>
  <si>
    <t>경쟁지위</t>
  </si>
  <si>
    <t>시장지위</t>
    <phoneticPr fontId="136" type="noConversion"/>
  </si>
  <si>
    <t>재무위험</t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</si>
  <si>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</si>
  <si>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</si>
  <si>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</si>
  <si>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조정유동성비율(잔존만기 3개월 이내 기준)</t>
    <phoneticPr fontId="136" type="noConversion"/>
  </si>
  <si>
    <t>재무위험 수준</t>
    <phoneticPr fontId="75" type="noConversion"/>
  </si>
  <si>
    <t>조정 수준의 근거</t>
  </si>
  <si>
    <t>계열 통합 Profile</t>
    <phoneticPr fontId="87" type="noConversion"/>
  </si>
  <si>
    <t>최종장기신용등급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</si>
  <si>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</si>
  <si>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</si>
  <si>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</si>
  <si>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재무위험
(FRP)</t>
  </si>
  <si>
    <t>aaa</t>
  </si>
  <si>
    <t>bb/bb+</t>
  </si>
  <si>
    <t>aa</t>
  </si>
  <si>
    <t>a</t>
  </si>
  <si>
    <t>bb+/bbb-</t>
  </si>
  <si>
    <t>aa/aa+</t>
  </si>
  <si>
    <t>bbb</t>
  </si>
  <si>
    <t>bb-/bb</t>
  </si>
  <si>
    <t>bb</t>
  </si>
  <si>
    <t>b+/bb-</t>
  </si>
  <si>
    <t>b</t>
  </si>
  <si>
    <t>사업위험(BRP)</t>
  </si>
  <si>
    <t>수준별 구간값(&gt;=)</t>
    <phoneticPr fontId="87" type="noConversion"/>
  </si>
  <si>
    <t>조합 내 두 등급 존재시</t>
  </si>
  <si>
    <t>조합 내 세 등급 존재시</t>
  </si>
  <si>
    <t>재무위험 BBB 이상 시 사업위험 점수</t>
    <phoneticPr fontId="87" type="noConversion"/>
  </si>
  <si>
    <t>x.50~x.99</t>
  </si>
  <si>
    <t>x.00~x.49</t>
  </si>
  <si>
    <t>x.50~x.79</t>
  </si>
  <si>
    <t>x.80~x.19</t>
  </si>
  <si>
    <t>x.20~x.49</t>
  </si>
  <si>
    <t>실적</t>
    <phoneticPr fontId="87" type="noConversion"/>
  </si>
  <si>
    <t>선택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</si>
  <si>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</si>
  <si>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</si>
  <si>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</si>
  <si>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</si>
  <si>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8. 기타 특수성</t>
    <phoneticPr fontId="87" type="noConversion"/>
  </si>
  <si>
    <t>작성원칙</t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</si>
  <si>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</si>
  <si>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</si>
  <si>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</si>
  <si>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개선..)</t>
  </si>
  <si>
    <t>계량화 기준</t>
    <phoneticPr fontId="75" type="noConversion"/>
  </si>
  <si>
    <t>AAA</t>
    <phoneticPr fontId="87" type="noConversion"/>
  </si>
  <si>
    <t>AA</t>
    <phoneticPr fontId="87" type="noConversion"/>
  </si>
  <si>
    <t>A</t>
    <phoneticPr fontId="87" type="noConversion"/>
  </si>
  <si>
    <t>각 항목별 가중치 설정</t>
    <phoneticPr fontId="75" type="noConversion"/>
  </si>
  <si>
    <t>회사가 추가될 경우 sheet를 이동/복사 추가하여 입력</t>
    <phoneticPr fontId="75" type="noConversion"/>
  </si>
  <si>
    <t>[증권업 평가방법론]</t>
  </si>
  <si>
    <t>평가요소</t>
  </si>
  <si>
    <t>가중치</t>
  </si>
  <si>
    <t>Grid</t>
  </si>
  <si>
    <t>5개년평균</t>
    <phoneticPr fontId="73" type="noConversion"/>
  </si>
  <si>
    <t>사업위험</t>
  </si>
  <si>
    <t>시장지위</t>
  </si>
  <si>
    <t>극히 우수</t>
  </si>
  <si>
    <t>매우 우수</t>
  </si>
  <si>
    <t>우수</t>
  </si>
  <si>
    <t>미흡</t>
  </si>
  <si>
    <t>총자산순이익률(ROA)</t>
  </si>
  <si>
    <t>&gt;2.5</t>
  </si>
  <si>
    <t>1.0~2.5</t>
  </si>
  <si>
    <t>0.5~1.0</t>
  </si>
  <si>
    <t>0.1~0.5</t>
  </si>
  <si>
    <t>≤0.1</t>
  </si>
  <si>
    <t>운영효율성</t>
  </si>
  <si>
    <t>경쟁지위 평가결과</t>
  </si>
  <si>
    <t>사업위험 평가결과</t>
  </si>
  <si>
    <t>자산건전성</t>
  </si>
  <si>
    <t>충당금 기준 Coverage Ratio</t>
  </si>
  <si>
    <t>&gt;150.0</t>
  </si>
  <si>
    <t>120.0~150.0</t>
  </si>
  <si>
    <t>90.0~120.0</t>
  </si>
  <si>
    <t>70.0~90.0</t>
  </si>
  <si>
    <t>≤70.0</t>
  </si>
  <si>
    <t>순요주의이하자산 비중</t>
  </si>
  <si>
    <t>&lt;1.0</t>
  </si>
  <si>
    <t>1.0~3.0</t>
  </si>
  <si>
    <t>3.0~5.0</t>
  </si>
  <si>
    <t>5.0~7.0</t>
  </si>
  <si>
    <t>≥7.0</t>
  </si>
  <si>
    <t>자산건전성 평가결과</t>
  </si>
  <si>
    <t>자본적정성</t>
  </si>
  <si>
    <t>&gt;500.0</t>
  </si>
  <si>
    <t>≤100.0</t>
  </si>
  <si>
    <t>자본적정성 평가결과</t>
  </si>
  <si>
    <t>유동성</t>
  </si>
  <si>
    <t>유동성비율</t>
  </si>
  <si>
    <t>130.0~150.0</t>
  </si>
  <si>
    <t>120.0~130.0</t>
  </si>
  <si>
    <t>100.0~120.0</t>
  </si>
  <si>
    <t>조정유동성비율</t>
  </si>
  <si>
    <t>&gt;140.0</t>
  </si>
  <si>
    <t>120.0~140.0</t>
  </si>
  <si>
    <t>110.0~120.0</t>
  </si>
  <si>
    <t>90.0~110.0</t>
  </si>
  <si>
    <t>≤90.0</t>
  </si>
  <si>
    <t>재무적 융통성</t>
  </si>
  <si>
    <t>유동성평가결과</t>
  </si>
  <si>
    <t>재무위험 평가결과</t>
  </si>
  <si>
    <t>BB</t>
    <phoneticPr fontId="87" type="noConversion"/>
  </si>
  <si>
    <t>'15.06</t>
    <phoneticPr fontId="73" type="noConversion"/>
  </si>
  <si>
    <t>'15.09</t>
    <phoneticPr fontId="73" type="noConversion"/>
  </si>
  <si>
    <t>K-IFRS</t>
    <phoneticPr fontId="75" type="noConversion"/>
  </si>
  <si>
    <t>억원</t>
    <phoneticPr fontId="75" type="noConversion"/>
  </si>
  <si>
    <t>부</t>
    <phoneticPr fontId="286" type="noConversion"/>
  </si>
  <si>
    <t>N</t>
    <phoneticPr fontId="286" type="noConversion"/>
  </si>
  <si>
    <t>추</t>
    <phoneticPr fontId="286" type="noConversion"/>
  </si>
  <si>
    <t>평</t>
    <phoneticPr fontId="286" type="noConversion"/>
  </si>
  <si>
    <t>보</t>
    <phoneticPr fontId="286" type="noConversion"/>
  </si>
  <si>
    <t>FY12</t>
  </si>
  <si>
    <t>FY13</t>
  </si>
  <si>
    <t>FY14</t>
  </si>
  <si>
    <t>표</t>
    <phoneticPr fontId="286" type="noConversion"/>
  </si>
  <si>
    <t>C</t>
    <phoneticPr fontId="286" type="noConversion"/>
  </si>
  <si>
    <t>정</t>
    <phoneticPr fontId="286" type="noConversion"/>
  </si>
  <si>
    <t>고</t>
    <phoneticPr fontId="286" type="noConversion"/>
  </si>
  <si>
    <t>'12.03</t>
    <phoneticPr fontId="75" type="noConversion"/>
  </si>
  <si>
    <t>'13.03</t>
  </si>
  <si>
    <t>'13.12</t>
  </si>
  <si>
    <t>'14.12</t>
  </si>
  <si>
    <t>감사보고서</t>
    <phoneticPr fontId="286" type="noConversion"/>
  </si>
  <si>
    <t>현금 및 예치금</t>
  </si>
  <si>
    <t>당기손익인식금융자산</t>
    <phoneticPr fontId="73" type="noConversion"/>
  </si>
  <si>
    <t>매도가능금융자산</t>
    <phoneticPr fontId="73" type="noConversion"/>
  </si>
  <si>
    <t>종속기업및관계기업투자지분</t>
    <phoneticPr fontId="73" type="noConversion"/>
  </si>
  <si>
    <t>자산총계</t>
    <phoneticPr fontId="73" type="noConversion"/>
  </si>
  <si>
    <t>부채총계</t>
    <phoneticPr fontId="73" type="noConversion"/>
  </si>
  <si>
    <t>자본금</t>
    <phoneticPr fontId="73" type="noConversion"/>
  </si>
  <si>
    <t>이익잉여금</t>
    <phoneticPr fontId="73" type="noConversion"/>
  </si>
  <si>
    <t>자본총계</t>
    <phoneticPr fontId="73" type="noConversion"/>
  </si>
  <si>
    <t>수수료비용</t>
    <phoneticPr fontId="73" type="noConversion"/>
  </si>
  <si>
    <t>순이자손익</t>
    <phoneticPr fontId="73" type="noConversion"/>
  </si>
  <si>
    <t>이자수익</t>
    <phoneticPr fontId="73" type="noConversion"/>
  </si>
  <si>
    <t>이자비용</t>
    <phoneticPr fontId="73" type="noConversion"/>
  </si>
  <si>
    <t>영업이익</t>
    <phoneticPr fontId="73" type="noConversion"/>
  </si>
  <si>
    <t>법인세비용차감전순이익(세전계속사업이익)</t>
    <phoneticPr fontId="73" type="noConversion"/>
  </si>
  <si>
    <t>법인세비용</t>
    <phoneticPr fontId="73" type="noConversion"/>
  </si>
  <si>
    <t>계속사업이익</t>
    <phoneticPr fontId="73" type="noConversion"/>
  </si>
  <si>
    <t>주석</t>
    <phoneticPr fontId="286" type="noConversion"/>
  </si>
  <si>
    <t>업무보고서</t>
    <phoneticPr fontId="286" type="noConversion"/>
  </si>
  <si>
    <t>대손충당금</t>
    <phoneticPr fontId="73" type="noConversion"/>
  </si>
  <si>
    <t>자산건전성분류대상자산</t>
    <phoneticPr fontId="73" type="noConversion"/>
  </si>
  <si>
    <t>건전성</t>
    <phoneticPr fontId="73" type="noConversion"/>
  </si>
  <si>
    <t>정상</t>
    <phoneticPr fontId="73" type="noConversion"/>
  </si>
  <si>
    <t>요주의</t>
    <phoneticPr fontId="73" type="noConversion"/>
  </si>
  <si>
    <t>고정</t>
    <phoneticPr fontId="73" type="noConversion"/>
  </si>
  <si>
    <t>회수의문</t>
    <phoneticPr fontId="73" type="noConversion"/>
  </si>
  <si>
    <t>추정손실</t>
    <phoneticPr fontId="73" type="noConversion"/>
  </si>
  <si>
    <t>고정이하자산</t>
    <phoneticPr fontId="73" type="noConversion"/>
  </si>
  <si>
    <t>유동성자산(90일이내)</t>
    <phoneticPr fontId="73" type="noConversion"/>
  </si>
  <si>
    <t>유동성부채(90일이내)</t>
    <phoneticPr fontId="73" type="noConversion"/>
  </si>
  <si>
    <t>계산</t>
    <phoneticPr fontId="286" type="noConversion"/>
  </si>
  <si>
    <t>대고객부채</t>
    <phoneticPr fontId="73" type="noConversion"/>
  </si>
  <si>
    <t>외부차입부채</t>
    <phoneticPr fontId="73" type="noConversion"/>
  </si>
  <si>
    <t>대손충당금등</t>
    <phoneticPr fontId="73" type="noConversion"/>
  </si>
  <si>
    <t>대손충당금등/고정이하자산</t>
    <phoneticPr fontId="73" type="noConversion"/>
  </si>
  <si>
    <t>순요주의이하자산비중(%)</t>
  </si>
  <si>
    <t>영업용순자본비율</t>
    <phoneticPr fontId="73" type="noConversion"/>
  </si>
  <si>
    <t>유동성비율</t>
    <phoneticPr fontId="73" type="noConversion"/>
  </si>
  <si>
    <t>외부차입비중</t>
    <phoneticPr fontId="73" type="noConversion"/>
  </si>
  <si>
    <t>수수료수익분산도</t>
    <phoneticPr fontId="73" type="noConversion"/>
  </si>
  <si>
    <t>ROA</t>
    <phoneticPr fontId="73" type="noConversion"/>
  </si>
  <si>
    <t>영업이익/순영업수익</t>
    <phoneticPr fontId="73" type="noConversion"/>
  </si>
  <si>
    <t>총자산증가율</t>
    <phoneticPr fontId="73" type="noConversion"/>
  </si>
  <si>
    <t>대고객부채증가율</t>
    <phoneticPr fontId="73" type="noConversion"/>
  </si>
  <si>
    <t>영업이익증가율</t>
    <phoneticPr fontId="73" type="noConversion"/>
  </si>
  <si>
    <t>순이익증가율</t>
    <phoneticPr fontId="73" type="noConversion"/>
  </si>
  <si>
    <t>회계기준</t>
    <phoneticPr fontId="64" type="noConversion"/>
  </si>
  <si>
    <t xml:space="preserve"> </t>
    <phoneticPr fontId="64" type="noConversion"/>
  </si>
  <si>
    <t>* 대고객부채 = 예수부채 + 환매조건부채권매도 + 매도파생결합증권</t>
  </si>
  <si>
    <t>충당금 등/고정이하자산(%)</t>
  </si>
  <si>
    <t>유동성비율(%)</t>
  </si>
  <si>
    <t>조정유동성비율(%)</t>
  </si>
  <si>
    <t>외부차입비중(%)</t>
  </si>
  <si>
    <t>총자산순이익률(ROA)(%)</t>
  </si>
  <si>
    <t>영업이익/순영업수익(%)</t>
  </si>
  <si>
    <t>종속기업및관계기업투자</t>
  </si>
  <si>
    <t xml:space="preserve">  매도유가증권</t>
  </si>
  <si>
    <t>별도</t>
    <phoneticPr fontId="73" type="noConversion"/>
  </si>
  <si>
    <t>5년 평균</t>
  </si>
  <si>
    <t>재무비율</t>
  </si>
  <si>
    <t>포괄손익계산서 (억원)</t>
  </si>
  <si>
    <t>순수수료손익</t>
  </si>
  <si>
    <t>순이자손익</t>
  </si>
  <si>
    <t xml:space="preserve">  이자수익</t>
  </si>
  <si>
    <t xml:space="preserve">  이자비용</t>
  </si>
  <si>
    <t>자기매매손익</t>
  </si>
  <si>
    <t>기타영업손익</t>
  </si>
  <si>
    <t>순영업손익</t>
  </si>
  <si>
    <t>세전계속사업이익</t>
  </si>
  <si>
    <t>&lt;수익구조및안정성&gt;</t>
  </si>
  <si>
    <t>조정유동성비율</t>
    <phoneticPr fontId="73" type="noConversion"/>
  </si>
  <si>
    <t>조정유동성부채</t>
    <phoneticPr fontId="73" type="noConversion"/>
  </si>
  <si>
    <t>지급보증</t>
    <phoneticPr fontId="73" type="noConversion"/>
  </si>
  <si>
    <t>매입보장약정</t>
    <phoneticPr fontId="73" type="noConversion"/>
  </si>
  <si>
    <t>채무인수약정</t>
    <phoneticPr fontId="73" type="noConversion"/>
  </si>
  <si>
    <t>우발채무 계</t>
    <phoneticPr fontId="73" type="noConversion"/>
  </si>
  <si>
    <t>미사용삭제확인</t>
    <phoneticPr fontId="286" type="noConversion"/>
  </si>
  <si>
    <t>금액</t>
    <phoneticPr fontId="75" type="noConversion"/>
  </si>
  <si>
    <t>비중</t>
    <phoneticPr fontId="75" type="noConversion"/>
  </si>
  <si>
    <t>요지</t>
    <phoneticPr fontId="75" type="noConversion"/>
  </si>
  <si>
    <t>표지</t>
    <phoneticPr fontId="75" type="noConversion"/>
  </si>
  <si>
    <t>억 원</t>
    <phoneticPr fontId="75" type="noConversion"/>
  </si>
  <si>
    <t>주요 재무지표</t>
    <phoneticPr fontId="75" type="noConversion"/>
  </si>
  <si>
    <t>요지</t>
    <phoneticPr fontId="75" type="noConversion"/>
  </si>
  <si>
    <t>자산운용 추이</t>
    <phoneticPr fontId="75" type="noConversion"/>
  </si>
  <si>
    <t>재무위험</t>
    <phoneticPr fontId="75" type="noConversion"/>
  </si>
  <si>
    <t>대손관련수익</t>
    <phoneticPr fontId="73" type="noConversion"/>
  </si>
  <si>
    <t>대손관련비용</t>
  </si>
  <si>
    <t>대출채권매각손실</t>
  </si>
  <si>
    <t>대출채권평가이익</t>
    <phoneticPr fontId="73" type="noConversion"/>
  </si>
  <si>
    <t>대출채권관련이익 기타</t>
    <phoneticPr fontId="73" type="noConversion"/>
  </si>
  <si>
    <t>기타대손충당금환입</t>
    <phoneticPr fontId="73" type="noConversion"/>
  </si>
  <si>
    <t>대출채권평가손실</t>
    <phoneticPr fontId="73" type="noConversion"/>
  </si>
  <si>
    <t>기타대손상각비</t>
    <phoneticPr fontId="73" type="noConversion"/>
  </si>
  <si>
    <t>대출채권관련손실기타</t>
    <phoneticPr fontId="73" type="noConversion"/>
  </si>
  <si>
    <t>대손상각손익</t>
    <phoneticPr fontId="73" type="noConversion"/>
  </si>
  <si>
    <t>요주의이하자산</t>
    <phoneticPr fontId="73" type="noConversion"/>
  </si>
  <si>
    <t>지점</t>
    <phoneticPr fontId="73" type="noConversion"/>
  </si>
  <si>
    <t>CMA(발행어음 종금계정)</t>
    <phoneticPr fontId="73" type="noConversion"/>
  </si>
  <si>
    <t>대출채권대손충당금</t>
    <phoneticPr fontId="73" type="noConversion"/>
  </si>
  <si>
    <t>충당금차감전 대출채권</t>
    <phoneticPr fontId="73" type="noConversion"/>
  </si>
  <si>
    <t>금융부문</t>
  </si>
  <si>
    <t>위탁매매비중</t>
  </si>
  <si>
    <t>영업용순자본(A)</t>
  </si>
  <si>
    <t>총위험액(B)</t>
  </si>
  <si>
    <t>잉여자본(A-B)</t>
  </si>
  <si>
    <t>'15.12</t>
    <phoneticPr fontId="73" type="noConversion"/>
  </si>
  <si>
    <t>당기순이익</t>
    <phoneticPr fontId="73" type="noConversion"/>
  </si>
  <si>
    <t>5.대출금(증권계정)</t>
    <phoneticPr fontId="73" type="noConversion"/>
  </si>
  <si>
    <t>대출금 등</t>
    <phoneticPr fontId="73" type="noConversion"/>
  </si>
  <si>
    <t>우발채무/자기자본</t>
    <phoneticPr fontId="73" type="noConversion"/>
  </si>
  <si>
    <t>외부차입부채</t>
    <phoneticPr fontId="73" type="noConversion"/>
  </si>
  <si>
    <t>대고객부채</t>
    <phoneticPr fontId="73" type="noConversion"/>
  </si>
  <si>
    <t>3.환매조건부매도(RP매도)</t>
    <phoneticPr fontId="73" type="noConversion"/>
  </si>
  <si>
    <t>II.차입부채 중 10.기타</t>
    <phoneticPr fontId="73" type="noConversion"/>
  </si>
  <si>
    <t>조달합계</t>
    <phoneticPr fontId="73" type="noConversion"/>
  </si>
  <si>
    <t>외부차입비중</t>
    <phoneticPr fontId="73" type="noConversion"/>
  </si>
  <si>
    <t>현금및현금성자산</t>
    <phoneticPr fontId="73" type="noConversion"/>
  </si>
  <si>
    <t xml:space="preserve">  환매조건부매수 대손충당금</t>
    <phoneticPr fontId="73" type="noConversion"/>
  </si>
  <si>
    <t>환매조건부매수(대손고려)</t>
    <phoneticPr fontId="73" type="noConversion"/>
  </si>
  <si>
    <t>현금+RP매수</t>
    <phoneticPr fontId="73" type="noConversion"/>
  </si>
  <si>
    <t>한국증권금융 약정</t>
    <phoneticPr fontId="73" type="noConversion"/>
  </si>
  <si>
    <t>임직원</t>
    <phoneticPr fontId="73" type="noConversion"/>
  </si>
  <si>
    <t>국내지점</t>
    <phoneticPr fontId="73" type="noConversion"/>
  </si>
  <si>
    <t>임직원수</t>
    <phoneticPr fontId="73" type="noConversion"/>
  </si>
  <si>
    <t>국내지점수</t>
    <phoneticPr fontId="73" type="noConversion"/>
  </si>
  <si>
    <t>임직원증가율</t>
    <phoneticPr fontId="73" type="noConversion"/>
  </si>
  <si>
    <t>국내지점증가율</t>
    <phoneticPr fontId="73" type="noConversion"/>
  </si>
  <si>
    <t>위탁매매 수수료</t>
    <phoneticPr fontId="73" type="noConversion"/>
  </si>
  <si>
    <t>자산관리부문 수수료</t>
    <phoneticPr fontId="73" type="noConversion"/>
  </si>
  <si>
    <t>IB부문 수수료</t>
    <phoneticPr fontId="73" type="noConversion"/>
  </si>
  <si>
    <t>위탁매매 수수료</t>
    <phoneticPr fontId="73" type="noConversion"/>
  </si>
  <si>
    <t>자산관리 수수료</t>
    <phoneticPr fontId="73" type="noConversion"/>
  </si>
  <si>
    <t>IB 수수료</t>
    <phoneticPr fontId="73" type="noConversion"/>
  </si>
  <si>
    <t>업무보고서 BS</t>
    <phoneticPr fontId="286" type="noConversion"/>
  </si>
  <si>
    <t>업무보고서 IS</t>
    <phoneticPr fontId="286" type="noConversion"/>
  </si>
  <si>
    <t>순영업손익(순영업수익)</t>
    <phoneticPr fontId="73" type="noConversion"/>
  </si>
  <si>
    <t>Ⅰ.예수부채 1. 투자자예수금</t>
    <phoneticPr fontId="73" type="noConversion"/>
  </si>
  <si>
    <t>국공채및특수채</t>
    <phoneticPr fontId="73" type="noConversion"/>
  </si>
  <si>
    <t>자산총계</t>
    <phoneticPr fontId="73" type="noConversion"/>
  </si>
  <si>
    <t>기타자산</t>
    <phoneticPr fontId="73" type="noConversion"/>
  </si>
  <si>
    <t>위탁매매수수료</t>
    <phoneticPr fontId="73" type="noConversion"/>
  </si>
  <si>
    <t>자산관리수수료</t>
    <phoneticPr fontId="73" type="noConversion"/>
  </si>
  <si>
    <t>IB수수료</t>
    <phoneticPr fontId="73" type="noConversion"/>
  </si>
  <si>
    <t>기타</t>
    <phoneticPr fontId="73" type="noConversion"/>
  </si>
  <si>
    <t>수수료수익</t>
    <phoneticPr fontId="73" type="noConversion"/>
  </si>
  <si>
    <t>수수료수익분산도</t>
    <phoneticPr fontId="73" type="noConversion"/>
  </si>
  <si>
    <t>순영업수익구성</t>
    <phoneticPr fontId="73" type="noConversion"/>
  </si>
  <si>
    <t>위탁매매</t>
    <phoneticPr fontId="73" type="noConversion"/>
  </si>
  <si>
    <t>자산관리</t>
    <phoneticPr fontId="73" type="noConversion"/>
  </si>
  <si>
    <t>IB</t>
    <phoneticPr fontId="73" type="noConversion"/>
  </si>
  <si>
    <t>금융</t>
    <phoneticPr fontId="73" type="noConversion"/>
  </si>
  <si>
    <t>순영업수익</t>
    <phoneticPr fontId="73" type="noConversion"/>
  </si>
  <si>
    <t>순영업수익</t>
    <phoneticPr fontId="73" type="noConversion"/>
  </si>
  <si>
    <t>자기매매</t>
    <phoneticPr fontId="73" type="noConversion"/>
  </si>
  <si>
    <t xml:space="preserve">  대손관련손익</t>
    <phoneticPr fontId="73" type="noConversion"/>
  </si>
  <si>
    <t>영업이익</t>
    <phoneticPr fontId="73" type="noConversion"/>
  </si>
  <si>
    <t>당기순이익</t>
    <phoneticPr fontId="73" type="noConversion"/>
  </si>
  <si>
    <t>ROA</t>
    <phoneticPr fontId="73" type="noConversion"/>
  </si>
  <si>
    <t>대손관련손익</t>
    <phoneticPr fontId="73" type="noConversion"/>
  </si>
  <si>
    <t>영업이익</t>
    <phoneticPr fontId="73" type="noConversion"/>
  </si>
  <si>
    <t>유동성비율</t>
    <phoneticPr fontId="136" type="noConversion"/>
  </si>
  <si>
    <t>조정유동성비율</t>
    <phoneticPr fontId="136" type="noConversion"/>
  </si>
  <si>
    <t>유동성</t>
    <phoneticPr fontId="136" type="noConversion"/>
  </si>
  <si>
    <t>자본변동표</t>
    <phoneticPr fontId="286" type="noConversion"/>
  </si>
  <si>
    <t>유상증자</t>
    <phoneticPr fontId="73" type="noConversion"/>
  </si>
  <si>
    <t>배당</t>
    <phoneticPr fontId="73" type="noConversion"/>
  </si>
  <si>
    <t>요주의이하자산</t>
    <phoneticPr fontId="73" type="noConversion"/>
  </si>
  <si>
    <t>5.대출관련손실 3)대손상각비</t>
  </si>
  <si>
    <t>5.대출관련손실 4)기타</t>
  </si>
  <si>
    <t>대손상각비 등</t>
    <phoneticPr fontId="73" type="noConversion"/>
  </si>
  <si>
    <t>운용조달 Gap</t>
    <phoneticPr fontId="73" type="noConversion"/>
  </si>
  <si>
    <t>운용자산 (운용조달 Gap)</t>
    <phoneticPr fontId="73" type="noConversion"/>
  </si>
  <si>
    <t>자금조달(운용조달 Gap)</t>
    <phoneticPr fontId="73" type="noConversion"/>
  </si>
  <si>
    <r>
      <t>N</t>
    </r>
    <r>
      <rPr>
        <sz val="11"/>
        <color theme="1"/>
        <rFont val="맑은 고딕"/>
        <family val="2"/>
        <charset val="129"/>
        <scheme val="minor"/>
      </rPr>
      <t>CP실적</t>
    </r>
    <phoneticPr fontId="73" type="noConversion"/>
  </si>
  <si>
    <t>전망</t>
    <phoneticPr fontId="73" type="noConversion"/>
  </si>
  <si>
    <r>
      <t>A</t>
    </r>
    <r>
      <rPr>
        <sz val="11"/>
        <color theme="1"/>
        <rFont val="맑은 고딕"/>
        <family val="2"/>
        <charset val="129"/>
        <scheme val="minor"/>
      </rPr>
      <t>VG</t>
    </r>
    <phoneticPr fontId="73" type="noConversion"/>
  </si>
  <si>
    <t>표준재무부표</t>
  </si>
  <si>
    <t>재무제표기준</t>
    <phoneticPr fontId="64" type="noConversion"/>
  </si>
  <si>
    <t xml:space="preserve"> </t>
    <phoneticPr fontId="64" type="noConversion"/>
  </si>
  <si>
    <t xml:space="preserve"> </t>
    <phoneticPr fontId="64" type="noConversion"/>
  </si>
  <si>
    <t xml:space="preserve"> </t>
    <phoneticPr fontId="64" type="noConversion"/>
  </si>
  <si>
    <t>* 당기손익인식금융자산은 단기매매금융자산을 포함</t>
    <phoneticPr fontId="64" type="noConversion"/>
  </si>
  <si>
    <t xml:space="preserve"> </t>
    <phoneticPr fontId="64" type="noConversion"/>
  </si>
  <si>
    <t>회계기준</t>
    <phoneticPr fontId="64" type="noConversion"/>
  </si>
  <si>
    <t>'15.12</t>
  </si>
  <si>
    <t>순자본비율 (%)</t>
  </si>
  <si>
    <t>대출채권등평가및처분손익</t>
  </si>
  <si>
    <t>총자본순이익률(ROE)(%)</t>
  </si>
  <si>
    <t>ROE</t>
    <phoneticPr fontId="73" type="noConversion"/>
  </si>
  <si>
    <t>평정 사항</t>
    <phoneticPr fontId="64" type="noConversion"/>
  </si>
  <si>
    <t>구분</t>
    <phoneticPr fontId="75" type="noConversion"/>
  </si>
  <si>
    <t>내용</t>
    <phoneticPr fontId="64" type="noConversion"/>
  </si>
  <si>
    <t>평가구분</t>
    <phoneticPr fontId="75" type="noConversion"/>
  </si>
  <si>
    <t>제시 등급</t>
    <phoneticPr fontId="75" type="noConversion"/>
  </si>
  <si>
    <t>평가 History</t>
    <phoneticPr fontId="64" type="noConversion"/>
  </si>
  <si>
    <t>연도</t>
    <phoneticPr fontId="75" type="noConversion"/>
  </si>
  <si>
    <t>NICE</t>
    <phoneticPr fontId="75" type="noConversion"/>
  </si>
  <si>
    <t>KIS</t>
    <phoneticPr fontId="75" type="noConversion"/>
  </si>
  <si>
    <t>KR</t>
    <phoneticPr fontId="75" type="noConversion"/>
  </si>
  <si>
    <t>등급</t>
    <phoneticPr fontId="75" type="noConversion"/>
  </si>
  <si>
    <t>등급</t>
  </si>
  <si>
    <t>임직원</t>
  </si>
  <si>
    <t>전망</t>
    <phoneticPr fontId="286" type="noConversion"/>
  </si>
  <si>
    <t>시장지위(5Y AVG)</t>
    <phoneticPr fontId="286" type="noConversion"/>
  </si>
  <si>
    <t>손익분석</t>
    <phoneticPr fontId="286" type="noConversion"/>
  </si>
  <si>
    <t>영업이익</t>
    <phoneticPr fontId="286" type="noConversion"/>
  </si>
  <si>
    <t>영업외이익</t>
    <phoneticPr fontId="75" type="noConversion"/>
  </si>
  <si>
    <t>당기순이익</t>
    <phoneticPr fontId="286" type="noConversion"/>
  </si>
  <si>
    <t>판관비 세부</t>
    <phoneticPr fontId="286" type="noConversion"/>
  </si>
  <si>
    <t>판관비 총계</t>
    <phoneticPr fontId="286" type="noConversion"/>
  </si>
  <si>
    <t>ROA</t>
    <phoneticPr fontId="286" type="noConversion"/>
  </si>
  <si>
    <r>
      <t>N</t>
    </r>
    <r>
      <rPr>
        <b/>
        <sz val="9"/>
        <color theme="1"/>
        <rFont val="맑은 고딕"/>
        <family val="3"/>
        <charset val="129"/>
      </rPr>
      <t>CP 지표</t>
    </r>
    <phoneticPr fontId="75" type="noConversion"/>
  </si>
  <si>
    <t>ROA</t>
    <phoneticPr fontId="75" type="noConversion"/>
  </si>
  <si>
    <t>자산 구성 추이</t>
    <phoneticPr fontId="286" type="noConversion"/>
  </si>
  <si>
    <t>현금/예치금</t>
  </si>
  <si>
    <t>합계</t>
    <phoneticPr fontId="75" type="noConversion"/>
  </si>
  <si>
    <t>유가증권 운용</t>
    <phoneticPr fontId="286" type="noConversion"/>
  </si>
  <si>
    <t>자회사등 투자지분</t>
  </si>
  <si>
    <t>총유가증권</t>
  </si>
  <si>
    <t>자산건전성</t>
    <phoneticPr fontId="286" type="noConversion"/>
  </si>
  <si>
    <t>고정이하 Coverage</t>
    <phoneticPr fontId="286" type="noConversion"/>
  </si>
  <si>
    <t>자본적정성</t>
    <phoneticPr fontId="286" type="noConversion"/>
  </si>
  <si>
    <t>이익잉여금</t>
    <phoneticPr fontId="286" type="noConversion"/>
  </si>
  <si>
    <t>자본총계</t>
    <phoneticPr fontId="286" type="noConversion"/>
  </si>
  <si>
    <t>배당금</t>
    <phoneticPr fontId="286" type="noConversion"/>
  </si>
  <si>
    <t>배당성향</t>
    <phoneticPr fontId="286" type="noConversion"/>
  </si>
  <si>
    <t>자금조달 현황</t>
    <phoneticPr fontId="286" type="noConversion"/>
  </si>
  <si>
    <t>총 자금조달</t>
  </si>
  <si>
    <t>유동성 현황</t>
    <phoneticPr fontId="286" type="noConversion"/>
  </si>
  <si>
    <t>주주현황</t>
    <phoneticPr fontId="286" type="noConversion"/>
  </si>
  <si>
    <t>-</t>
    <phoneticPr fontId="73" type="noConversion"/>
  </si>
  <si>
    <t>기본사항</t>
    <phoneticPr fontId="286" type="noConversion"/>
  </si>
  <si>
    <t>시장지위</t>
    <phoneticPr fontId="75" type="noConversion"/>
  </si>
  <si>
    <t>순영업수익</t>
    <phoneticPr fontId="286" type="noConversion"/>
  </si>
  <si>
    <t>수탁수수료</t>
    <phoneticPr fontId="286" type="noConversion"/>
  </si>
  <si>
    <t>IB수수료</t>
    <phoneticPr fontId="286" type="noConversion"/>
  </si>
  <si>
    <t>필요유지자기자본</t>
    <phoneticPr fontId="73" type="noConversion"/>
  </si>
  <si>
    <t>수익구성</t>
    <phoneticPr fontId="286" type="noConversion"/>
  </si>
  <si>
    <t>기타</t>
    <phoneticPr fontId="286" type="noConversion"/>
  </si>
  <si>
    <t xml:space="preserve">  채권이자</t>
    <phoneticPr fontId="73" type="noConversion"/>
  </si>
  <si>
    <t xml:space="preserve">  대출금이자</t>
    <phoneticPr fontId="73" type="noConversion"/>
  </si>
  <si>
    <t>비중</t>
    <phoneticPr fontId="73" type="noConversion"/>
  </si>
  <si>
    <t>영업조직</t>
    <phoneticPr fontId="75" type="noConversion"/>
  </si>
  <si>
    <t xml:space="preserve">  순영업수익 점유율</t>
    <phoneticPr fontId="73" type="noConversion"/>
  </si>
  <si>
    <t>10%~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</si>
  <si>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</si>
  <si>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</si>
  <si>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</si>
  <si>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~0.5%</t>
    <phoneticPr fontId="73" type="noConversion"/>
  </si>
  <si>
    <t>판관비용</t>
    <phoneticPr fontId="75" type="noConversion"/>
  </si>
  <si>
    <t>순이자이익</t>
    <phoneticPr fontId="73" type="noConversion"/>
  </si>
  <si>
    <t>수수료이익</t>
    <phoneticPr fontId="75" type="noConversion"/>
  </si>
  <si>
    <t>기타</t>
    <phoneticPr fontId="73" type="noConversion"/>
  </si>
  <si>
    <t>세전이익</t>
    <phoneticPr fontId="286" type="noConversion"/>
  </si>
  <si>
    <t>급여</t>
    <phoneticPr fontId="73" type="noConversion"/>
  </si>
  <si>
    <t>퇴직급여</t>
    <phoneticPr fontId="73" type="noConversion"/>
  </si>
  <si>
    <t>복리후생</t>
    <phoneticPr fontId="73" type="noConversion"/>
  </si>
  <si>
    <t>인건비</t>
    <phoneticPr fontId="73" type="noConversion"/>
  </si>
  <si>
    <t>급여 및 복리후생</t>
    <phoneticPr fontId="75" type="noConversion"/>
  </si>
  <si>
    <t>전산운용</t>
    <phoneticPr fontId="75" type="noConversion"/>
  </si>
  <si>
    <t>전산운용</t>
    <phoneticPr fontId="73" type="noConversion"/>
  </si>
  <si>
    <t>지급수수료</t>
    <phoneticPr fontId="73" type="noConversion"/>
  </si>
  <si>
    <t>지급수수료</t>
    <phoneticPr fontId="75" type="noConversion"/>
  </si>
  <si>
    <t>ROE</t>
    <phoneticPr fontId="286" type="noConversion"/>
  </si>
  <si>
    <t>운영효율성</t>
    <phoneticPr fontId="75" type="noConversion"/>
  </si>
  <si>
    <t>유가증권</t>
    <phoneticPr fontId="73" type="noConversion"/>
  </si>
  <si>
    <t xml:space="preserve">  국공채및특수채</t>
    <phoneticPr fontId="73" type="noConversion"/>
  </si>
  <si>
    <t xml:space="preserve">  관계기업지분증권</t>
    <phoneticPr fontId="73" type="noConversion"/>
  </si>
  <si>
    <t>파생상품자산</t>
    <phoneticPr fontId="75" type="noConversion"/>
  </si>
  <si>
    <t>대출채권</t>
    <phoneticPr fontId="75" type="noConversion"/>
  </si>
  <si>
    <t>유형자산</t>
    <phoneticPr fontId="75" type="noConversion"/>
  </si>
  <si>
    <t>기타자산</t>
    <phoneticPr fontId="75" type="noConversion"/>
  </si>
  <si>
    <t>대출채권 구성</t>
    <phoneticPr fontId="286" type="noConversion"/>
  </si>
  <si>
    <t xml:space="preserve">  1.콜론</t>
    <phoneticPr fontId="73" type="noConversion"/>
  </si>
  <si>
    <t xml:space="preserve">  2.신용공여금</t>
    <phoneticPr fontId="73" type="noConversion"/>
  </si>
  <si>
    <t xml:space="preserve">  3.환매조건부매수</t>
    <phoneticPr fontId="73" type="noConversion"/>
  </si>
  <si>
    <t xml:space="preserve">  7.할인어음(종금계정)</t>
    <phoneticPr fontId="73" type="noConversion"/>
  </si>
  <si>
    <t>신용공여</t>
    <phoneticPr fontId="286" type="noConversion"/>
  </si>
  <si>
    <t>기타대출</t>
    <phoneticPr fontId="73" type="noConversion"/>
  </si>
  <si>
    <t>회사채</t>
    <phoneticPr fontId="73" type="noConversion"/>
  </si>
  <si>
    <t>집합투자증권</t>
    <phoneticPr fontId="73" type="noConversion"/>
  </si>
  <si>
    <t>기업어음증권</t>
    <phoneticPr fontId="73" type="noConversion"/>
  </si>
  <si>
    <t>국공채 및 특수채</t>
    <phoneticPr fontId="73" type="noConversion"/>
  </si>
  <si>
    <t xml:space="preserve">  신용공여</t>
    <phoneticPr fontId="73" type="noConversion"/>
  </si>
  <si>
    <t>건전성분류대상자산</t>
    <phoneticPr fontId="286" type="noConversion"/>
  </si>
  <si>
    <t>고정이하자산비율</t>
    <phoneticPr fontId="73" type="noConversion"/>
  </si>
  <si>
    <t>요주의이하자산비율</t>
    <phoneticPr fontId="73" type="noConversion"/>
  </si>
  <si>
    <t>순요주의이하자산비율</t>
    <phoneticPr fontId="73" type="noConversion"/>
  </si>
  <si>
    <t>유동성비율</t>
    <phoneticPr fontId="73" type="noConversion"/>
  </si>
  <si>
    <t>충당금Coverage ratio</t>
    <phoneticPr fontId="75" type="noConversion"/>
  </si>
  <si>
    <t>순요주의이하자산비율</t>
    <phoneticPr fontId="75" type="noConversion"/>
  </si>
  <si>
    <t>120~150</t>
    <phoneticPr fontId="73" type="noConversion"/>
  </si>
  <si>
    <t>90~120</t>
    <phoneticPr fontId="73" type="noConversion"/>
  </si>
  <si>
    <t>70~90</t>
    <phoneticPr fontId="73" type="noConversion"/>
  </si>
  <si>
    <t>AA</t>
    <phoneticPr fontId="73" type="noConversion"/>
  </si>
  <si>
    <t>영업용순자본</t>
    <phoneticPr fontId="286" type="noConversion"/>
  </si>
  <si>
    <t>총위험액</t>
    <phoneticPr fontId="286" type="noConversion"/>
  </si>
  <si>
    <t>영업용순자본비율</t>
    <phoneticPr fontId="286" type="noConversion"/>
  </si>
  <si>
    <t>순자본비율</t>
    <phoneticPr fontId="73" type="noConversion"/>
  </si>
  <si>
    <t>FY12</t>
    <phoneticPr fontId="73" type="noConversion"/>
  </si>
  <si>
    <t>FY13</t>
    <phoneticPr fontId="73" type="noConversion"/>
  </si>
  <si>
    <t>자본구성 및 배당 현황</t>
    <phoneticPr fontId="286" type="noConversion"/>
  </si>
  <si>
    <t>자본금 및 잉여금</t>
    <phoneticPr fontId="73" type="noConversion"/>
  </si>
  <si>
    <t>350~500</t>
    <phoneticPr fontId="73" type="noConversion"/>
  </si>
  <si>
    <t>200~350</t>
    <phoneticPr fontId="73" type="noConversion"/>
  </si>
  <si>
    <t>100~200</t>
    <phoneticPr fontId="73" type="noConversion"/>
  </si>
  <si>
    <t>외부차입부채</t>
    <phoneticPr fontId="73" type="noConversion"/>
  </si>
  <si>
    <t>매도증권</t>
    <phoneticPr fontId="73" type="noConversion"/>
  </si>
  <si>
    <t>파생상품부채</t>
    <phoneticPr fontId="73" type="noConversion"/>
  </si>
  <si>
    <t>기타부채</t>
    <phoneticPr fontId="73" type="noConversion"/>
  </si>
  <si>
    <t>자기자본</t>
    <phoneticPr fontId="73" type="noConversion"/>
  </si>
  <si>
    <t xml:space="preserve">  예수부채</t>
    <phoneticPr fontId="73" type="noConversion"/>
  </si>
  <si>
    <t xml:space="preserve">  RP매도</t>
    <phoneticPr fontId="73" type="noConversion"/>
  </si>
  <si>
    <t xml:space="preserve">  매도파생결합증권</t>
    <phoneticPr fontId="73" type="noConversion"/>
  </si>
  <si>
    <t xml:space="preserve">  콜머니</t>
    <phoneticPr fontId="73" type="noConversion"/>
  </si>
  <si>
    <t xml:space="preserve">  차입금</t>
    <phoneticPr fontId="73" type="noConversion"/>
  </si>
  <si>
    <t xml:space="preserve">  사채</t>
    <phoneticPr fontId="73" type="noConversion"/>
  </si>
  <si>
    <t>유동성비율(3개월)</t>
    <phoneticPr fontId="286" type="noConversion"/>
  </si>
  <si>
    <t>조정유동성비율(우발채무)</t>
    <phoneticPr fontId="73" type="noConversion"/>
  </si>
  <si>
    <t xml:space="preserve">  우발채무</t>
    <phoneticPr fontId="73" type="noConversion"/>
  </si>
  <si>
    <t xml:space="preserve">  운용자산</t>
    <phoneticPr fontId="73" type="noConversion"/>
  </si>
  <si>
    <t>재무적융통성</t>
    <phoneticPr fontId="286" type="noConversion"/>
  </si>
  <si>
    <t xml:space="preserve">  자금조달</t>
    <phoneticPr fontId="286" type="noConversion"/>
  </si>
  <si>
    <t>재무적융통성</t>
    <phoneticPr fontId="73" type="noConversion"/>
  </si>
  <si>
    <t>130~150</t>
    <phoneticPr fontId="73" type="noConversion"/>
  </si>
  <si>
    <t>120~130</t>
    <phoneticPr fontId="73" type="noConversion"/>
  </si>
  <si>
    <t>100~120</t>
    <phoneticPr fontId="73" type="noConversion"/>
  </si>
  <si>
    <t>120~140</t>
    <phoneticPr fontId="73" type="noConversion"/>
  </si>
  <si>
    <t>110~120</t>
    <phoneticPr fontId="73" type="noConversion"/>
  </si>
  <si>
    <t>90~110</t>
    <phoneticPr fontId="73" type="noConversion"/>
  </si>
  <si>
    <t xml:space="preserve">        ① 대출확약</t>
  </si>
  <si>
    <t xml:space="preserve">        ② 증권인수확약</t>
  </si>
  <si>
    <t xml:space="preserve">        ③ 한도대출약정</t>
  </si>
  <si>
    <t xml:space="preserve">매입확약 세부 </t>
    <phoneticPr fontId="73" type="noConversion"/>
  </si>
  <si>
    <t xml:space="preserve"> </t>
    <phoneticPr fontId="73" type="noConversion"/>
  </si>
  <si>
    <t>주식 및 출자금</t>
  </si>
  <si>
    <t>국공채 및 특수채</t>
  </si>
  <si>
    <t>유가증권 합계</t>
    <phoneticPr fontId="73" type="noConversion"/>
  </si>
  <si>
    <t>AA급 이상 비중</t>
    <phoneticPr fontId="73" type="noConversion"/>
  </si>
  <si>
    <t>충당금기준 Coverage Ratio</t>
  </si>
  <si>
    <t>대손충당금 등</t>
  </si>
  <si>
    <t>순요주의이하자산</t>
  </si>
  <si>
    <t>순요주의이하자산</t>
    <phoneticPr fontId="73" type="noConversion"/>
  </si>
  <si>
    <t>ABCP매입약정</t>
    <phoneticPr fontId="73" type="noConversion"/>
  </si>
  <si>
    <t>한도대출약정</t>
    <phoneticPr fontId="73" type="noConversion"/>
  </si>
  <si>
    <t>담보대출확약</t>
    <phoneticPr fontId="73" type="noConversion"/>
  </si>
  <si>
    <t>2015년부터 채무보증이 난외계정인 우발채무 부담액 포함함</t>
    <phoneticPr fontId="73" type="noConversion"/>
  </si>
  <si>
    <t>ABCP 매입</t>
    <phoneticPr fontId="73" type="noConversion"/>
  </si>
  <si>
    <t>한도대출</t>
    <phoneticPr fontId="73" type="noConversion"/>
  </si>
  <si>
    <t>대출확약</t>
    <phoneticPr fontId="73" type="noConversion"/>
  </si>
  <si>
    <t>자기자본 구성 추이</t>
    <phoneticPr fontId="73" type="noConversion"/>
  </si>
  <si>
    <t>기타포괄손익누계액</t>
  </si>
  <si>
    <t>자기자본 합계</t>
  </si>
  <si>
    <t>기타포괄손익누계액</t>
    <phoneticPr fontId="73" type="noConversion"/>
  </si>
  <si>
    <t>영업용순자본비율(A/B)</t>
  </si>
  <si>
    <t>순영업수익/판관비</t>
    <phoneticPr fontId="73" type="noConversion"/>
  </si>
  <si>
    <t>조정총자산</t>
    <phoneticPr fontId="73" type="noConversion"/>
  </si>
  <si>
    <t>조정자기자본</t>
    <phoneticPr fontId="73" type="noConversion"/>
  </si>
  <si>
    <t>레버리지비율</t>
    <phoneticPr fontId="73" type="noConversion"/>
  </si>
  <si>
    <t xml:space="preserve">  콜머니</t>
  </si>
  <si>
    <t xml:space="preserve">  투자자예수금</t>
  </si>
  <si>
    <t xml:space="preserve">  RP매도</t>
  </si>
  <si>
    <t>자금조달 합계</t>
  </si>
  <si>
    <t>유동성비율(A/B*100)</t>
  </si>
  <si>
    <t>유동성자산(A)</t>
  </si>
  <si>
    <t>유동성부채(B)</t>
  </si>
  <si>
    <t xml:space="preserve">   우발채무</t>
  </si>
  <si>
    <t>외부차입비중(C/D*100)</t>
  </si>
  <si>
    <t xml:space="preserve">   외부차입(C)</t>
  </si>
  <si>
    <t xml:space="preserve">   총자산(D)</t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</si>
  <si>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</si>
  <si>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</si>
  <si>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</si>
  <si>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전망</t>
    <phoneticPr fontId="136" type="noConversion"/>
  </si>
  <si>
    <t>평가</t>
    <phoneticPr fontId="87" type="noConversion"/>
  </si>
  <si>
    <t>계량화</t>
    <phoneticPr fontId="87" type="noConversion"/>
  </si>
  <si>
    <t>총자산순이익률(ROA)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</si>
  <si>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</si>
  <si>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</si>
  <si>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</si>
  <si>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</si>
  <si>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</si>
  <si>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</si>
  <si>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재무적 융통성</t>
    <phoneticPr fontId="87" type="noConversion"/>
  </si>
  <si>
    <t>유동성 평가결과</t>
    <phoneticPr fontId="87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</si>
  <si>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</si>
  <si>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</si>
  <si>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</si>
  <si>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</si>
  <si>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</si>
  <si>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</si>
  <si>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</si>
  <si>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</si>
  <si>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</si>
  <si>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</si>
  <si>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</si>
  <si>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</si>
  <si>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</si>
  <si>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</si>
  <si>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</si>
  <si>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</si>
  <si>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</si>
  <si>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bb+/bbb-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</si>
  <si>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</si>
  <si>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</si>
  <si>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</si>
  <si>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</si>
  <si>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</si>
  <si>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</si>
  <si>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Step2 - 조합 내 등급선택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</si>
  <si>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</si>
  <si>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</si>
  <si>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</si>
  <si>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</si>
  <si>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</si>
  <si>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최종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</si>
  <si>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</si>
  <si>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</si>
  <si>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</si>
  <si>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</si>
  <si>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</si>
  <si>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</si>
  <si>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</si>
  <si>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</si>
  <si>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</si>
  <si>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B</t>
    <phoneticPr fontId="87" type="noConversion"/>
  </si>
  <si>
    <t>개정 예정(연말)인 평가지표 사용</t>
    <phoneticPr fontId="75" type="noConversion"/>
  </si>
  <si>
    <t>실적</t>
    <phoneticPr fontId="73" type="noConversion"/>
  </si>
  <si>
    <t>300~700%</t>
  </si>
  <si>
    <t>700~900%</t>
  </si>
  <si>
    <t>900~1,100%</t>
  </si>
  <si>
    <t>단순레버리지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</si>
  <si>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</si>
  <si>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</si>
  <si>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</si>
  <si>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</si>
  <si>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</si>
  <si>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재무상태표 / 포괄손익</t>
    <phoneticPr fontId="286" type="noConversion"/>
  </si>
  <si>
    <t>기타(기타금융자산/부채 처분 평가 이익)</t>
    <phoneticPr fontId="73" type="noConversion"/>
  </si>
  <si>
    <t>(-)기타</t>
  </si>
  <si>
    <t>위탁매매부문 손익</t>
    <phoneticPr fontId="73" type="noConversion"/>
  </si>
  <si>
    <t>위탁매매 손익</t>
    <phoneticPr fontId="73" type="noConversion"/>
  </si>
  <si>
    <t>금융부문 손익</t>
    <phoneticPr fontId="73" type="noConversion"/>
  </si>
  <si>
    <t>금융부문 손익</t>
    <phoneticPr fontId="73" type="noConversion"/>
  </si>
  <si>
    <t xml:space="preserve">    기타수입이자(할인어음,종금계정,신탁계정 대 이자)</t>
    <phoneticPr fontId="73" type="noConversion"/>
  </si>
  <si>
    <t>자산관리부문손익</t>
    <phoneticPr fontId="73" type="noConversion"/>
  </si>
  <si>
    <t>IB부문손익</t>
    <phoneticPr fontId="73" type="noConversion"/>
  </si>
  <si>
    <t>매수및합병수수료(금융자문수수료=확약수수료)</t>
    <phoneticPr fontId="73" type="noConversion"/>
  </si>
  <si>
    <t>자기매매 손익</t>
    <phoneticPr fontId="73" type="noConversion"/>
  </si>
  <si>
    <t>주식/신주인수권운용손익</t>
  </si>
  <si>
    <t xml:space="preserve">  주식매매이익</t>
  </si>
  <si>
    <t>채권/어음운용손익</t>
  </si>
  <si>
    <t>집합투자(수익)증권운용손익</t>
  </si>
  <si>
    <t>증권손상차손익</t>
  </si>
  <si>
    <t>신종증권운용손익</t>
  </si>
  <si>
    <t>매도유가증권운용손익</t>
  </si>
  <si>
    <t>기타유가증권운용손익</t>
  </si>
  <si>
    <t xml:space="preserve">  기타유가증권운용이익</t>
  </si>
  <si>
    <t xml:space="preserve">  (-)기타유가증권운용손실</t>
  </si>
  <si>
    <t>외환손익</t>
  </si>
  <si>
    <t xml:space="preserve">    기타이자비용(CMA수탁금이자, 콜머니 등)</t>
    <phoneticPr fontId="73" type="noConversion"/>
  </si>
  <si>
    <t xml:space="preserve">  신주인수권관련이익</t>
    <phoneticPr fontId="73" type="noConversion"/>
  </si>
  <si>
    <t xml:space="preserve">  (-)신주인수권증서관련손실</t>
    <phoneticPr fontId="73" type="noConversion"/>
  </si>
  <si>
    <t xml:space="preserve">  집합투자증권매매/평가이익</t>
    <phoneticPr fontId="73" type="noConversion"/>
  </si>
  <si>
    <t xml:space="preserve">  (-)집합투자증권매매/평가손실</t>
    <phoneticPr fontId="73" type="noConversion"/>
  </si>
  <si>
    <t>만기보유증권손익</t>
    <phoneticPr fontId="73" type="noConversion"/>
  </si>
  <si>
    <t xml:space="preserve">  신종증권거래이익(매도포함)</t>
    <phoneticPr fontId="73" type="noConversion"/>
  </si>
  <si>
    <t xml:space="preserve">  (-)신종증권거래손실(매도포함)</t>
    <phoneticPr fontId="73" type="noConversion"/>
  </si>
  <si>
    <t xml:space="preserve">  파생상품거래/평가이익</t>
    <phoneticPr fontId="73" type="noConversion"/>
  </si>
  <si>
    <t xml:space="preserve">  (-)파생상품거래/평가손실</t>
    <phoneticPr fontId="73" type="noConversion"/>
  </si>
  <si>
    <t>기타영업수익</t>
    <phoneticPr fontId="73" type="noConversion"/>
  </si>
  <si>
    <t>기타부문수익</t>
    <phoneticPr fontId="73" type="noConversion"/>
  </si>
  <si>
    <t>기타부문비용</t>
    <phoneticPr fontId="73" type="noConversion"/>
  </si>
  <si>
    <t>퇴직급여</t>
    <phoneticPr fontId="73" type="noConversion"/>
  </si>
  <si>
    <t xml:space="preserve">  주식운용</t>
    <phoneticPr fontId="73" type="noConversion"/>
  </si>
  <si>
    <t xml:space="preserve">  채권운용</t>
    <phoneticPr fontId="73" type="noConversion"/>
  </si>
  <si>
    <t xml:space="preserve">  파생상품손익</t>
    <phoneticPr fontId="73" type="noConversion"/>
  </si>
  <si>
    <t xml:space="preserve">  주식운용</t>
    <phoneticPr fontId="73" type="noConversion"/>
  </si>
  <si>
    <t xml:space="preserve">  파생상품</t>
    <phoneticPr fontId="73" type="noConversion"/>
  </si>
  <si>
    <t>대손관련손익</t>
    <phoneticPr fontId="73" type="noConversion"/>
  </si>
  <si>
    <t>대손관련수익</t>
  </si>
  <si>
    <t>기타의대손상각비</t>
  </si>
  <si>
    <t>계산항목</t>
    <phoneticPr fontId="73" type="noConversion"/>
  </si>
  <si>
    <t>조정총자산=총자산-대고객부채(예수부채+환매조건부채권매도+매도파생결합증권)</t>
    <phoneticPr fontId="73" type="noConversion"/>
  </si>
  <si>
    <t>조정자기자본=자본금+자본잉여금+이익잉여금</t>
    <phoneticPr fontId="73" type="noConversion"/>
  </si>
  <si>
    <t>미수금</t>
    <phoneticPr fontId="73" type="noConversion"/>
  </si>
  <si>
    <t>운용자산</t>
    <phoneticPr fontId="73" type="noConversion"/>
  </si>
  <si>
    <t>파생결합(신종)증권</t>
    <phoneticPr fontId="73" type="noConversion"/>
  </si>
  <si>
    <t>파생상품자산</t>
    <phoneticPr fontId="73" type="noConversion"/>
  </si>
  <si>
    <t xml:space="preserve">    관계회사투자지분</t>
    <phoneticPr fontId="64" type="noConversion"/>
  </si>
  <si>
    <t xml:space="preserve">    만기보유증권</t>
    <phoneticPr fontId="64" type="noConversion"/>
  </si>
  <si>
    <t xml:space="preserve">    매도가능증권</t>
    <phoneticPr fontId="64" type="noConversion"/>
  </si>
  <si>
    <t xml:space="preserve">    당기손익인식증권</t>
    <phoneticPr fontId="64" type="noConversion"/>
  </si>
  <si>
    <t>외부차입부채</t>
    <phoneticPr fontId="73" type="noConversion"/>
  </si>
  <si>
    <t xml:space="preserve">    콜머니</t>
    <phoneticPr fontId="73" type="noConversion"/>
  </si>
  <si>
    <t xml:space="preserve">    차입금</t>
    <phoneticPr fontId="73" type="noConversion"/>
  </si>
  <si>
    <t xml:space="preserve">    RP매도</t>
    <phoneticPr fontId="73" type="noConversion"/>
  </si>
  <si>
    <t xml:space="preserve">    매도파생결합(신종)증권</t>
    <phoneticPr fontId="73" type="noConversion"/>
  </si>
  <si>
    <t xml:space="preserve">    예수부채(종금계정 발행어음 포함)</t>
    <phoneticPr fontId="73" type="noConversion"/>
  </si>
  <si>
    <t xml:space="preserve">    사채(후순위포함)</t>
    <phoneticPr fontId="73" type="noConversion"/>
  </si>
  <si>
    <t>자금조달</t>
    <phoneticPr fontId="73" type="noConversion"/>
  </si>
  <si>
    <t>주석</t>
    <phoneticPr fontId="75" type="noConversion"/>
  </si>
  <si>
    <t>재무현황 각주항목</t>
    <phoneticPr fontId="73" type="noConversion"/>
  </si>
  <si>
    <t>B1</t>
    <phoneticPr fontId="73" type="noConversion"/>
  </si>
  <si>
    <t>총자산</t>
    <phoneticPr fontId="73" type="noConversion"/>
  </si>
  <si>
    <t>Check 항목</t>
    <phoneticPr fontId="73" type="noConversion"/>
  </si>
  <si>
    <t>자기자본</t>
    <phoneticPr fontId="73" type="noConversion"/>
  </si>
  <si>
    <t>당기순이익</t>
    <phoneticPr fontId="73" type="noConversion"/>
  </si>
  <si>
    <t>총포괄이익</t>
    <phoneticPr fontId="73" type="noConversion"/>
  </si>
  <si>
    <t>업무vs감사</t>
    <phoneticPr fontId="73" type="noConversion"/>
  </si>
  <si>
    <t>Ⅰ. 영업수익</t>
  </si>
  <si>
    <t xml:space="preserve">    1. 수수료수익</t>
  </si>
  <si>
    <t xml:space="preserve">        1) 수탁수수료</t>
  </si>
  <si>
    <t xml:space="preserve">            ① 유가증권시장</t>
  </si>
  <si>
    <t xml:space="preserve">            ② 코스닥시장</t>
  </si>
  <si>
    <t xml:space="preserve">            ③ 파생상품시장</t>
  </si>
  <si>
    <t xml:space="preserve">            ④ 외화증권수탁</t>
  </si>
  <si>
    <t xml:space="preserve">            ⑤ 채권장외중개</t>
  </si>
  <si>
    <t xml:space="preserve">            ⑥ 전자장외증권시장</t>
  </si>
  <si>
    <t xml:space="preserve">            ⑦ 해외파생상품</t>
  </si>
  <si>
    <t xml:space="preserve">            ⑧ 기타</t>
  </si>
  <si>
    <t xml:space="preserve">        2) 인수 및 주선수수료</t>
  </si>
  <si>
    <t xml:space="preserve">            ① 원화증권</t>
  </si>
  <si>
    <t xml:space="preserve">            ② 외화증권</t>
  </si>
  <si>
    <t xml:space="preserve">        3) 사채모집수탁수수료</t>
  </si>
  <si>
    <t xml:space="preserve">        4) 집합투자증권취급수수료</t>
  </si>
  <si>
    <t xml:space="preserve">            ① 판매수수료</t>
  </si>
  <si>
    <t xml:space="preserve">            ② 판매보수</t>
  </si>
  <si>
    <t xml:space="preserve">        5) 자산관리수수료</t>
  </si>
  <si>
    <t xml:space="preserve">            ① 투자자문</t>
  </si>
  <si>
    <t xml:space="preserve">            ② 투자일임</t>
  </si>
  <si>
    <t xml:space="preserve">            ③ 기타</t>
  </si>
  <si>
    <t xml:space="preserve">        6) 집합투자기구운용보수</t>
  </si>
  <si>
    <t xml:space="preserve">            ① 투자신탁위탁자보수</t>
  </si>
  <si>
    <t xml:space="preserve">            ② 투자회사운용수수료수익</t>
  </si>
  <si>
    <t xml:space="preserve">        7) 어음지급보증료</t>
  </si>
  <si>
    <t xml:space="preserve">        8) 매수및합병수수료</t>
  </si>
  <si>
    <t xml:space="preserve">            ① 평가수수료</t>
  </si>
  <si>
    <t xml:space="preserve">            ② 매수합병중개수수료</t>
  </si>
  <si>
    <t xml:space="preserve">            ③ 구조조정및금융상담수수료</t>
  </si>
  <si>
    <t xml:space="preserve">            ④ 기타</t>
  </si>
  <si>
    <t xml:space="preserve">        9) 파생결합증권판매수수료</t>
  </si>
  <si>
    <t xml:space="preserve">            ① 주가연계증권</t>
  </si>
  <si>
    <t xml:space="preserve">            ② 주식워런트증권</t>
  </si>
  <si>
    <t xml:space="preserve">        10) 신탁보수</t>
  </si>
  <si>
    <t xml:space="preserve">            ① 금전신탁</t>
  </si>
  <si>
    <t xml:space="preserve">            ② 토지신탁</t>
  </si>
  <si>
    <t xml:space="preserve">            ③ 관리신탁</t>
  </si>
  <si>
    <t xml:space="preserve">            ④ 처분신탁</t>
  </si>
  <si>
    <t xml:space="preserve">            ⑤ 담보신탁</t>
  </si>
  <si>
    <t xml:space="preserve">            ⑥ 분양관리신탁</t>
  </si>
  <si>
    <t xml:space="preserve">            ⑦ 기타</t>
  </si>
  <si>
    <t xml:space="preserve">        11) 온라인소액투자중개 수수료</t>
  </si>
  <si>
    <t xml:space="preserve">            ① 지분증권</t>
  </si>
  <si>
    <t xml:space="preserve">            ② 채무증권</t>
  </si>
  <si>
    <t xml:space="preserve">            ③ 투자계약증권</t>
  </si>
  <si>
    <t xml:space="preserve">        13) 송금수수료</t>
  </si>
  <si>
    <t xml:space="preserve">        14) 대리업무보수</t>
  </si>
  <si>
    <t xml:space="preserve">        15) 기타</t>
  </si>
  <si>
    <t xml:space="preserve">    2.증권평가 및 처분이익</t>
  </si>
  <si>
    <t xml:space="preserve">        1) 당기손익인식증권처분이익</t>
  </si>
  <si>
    <t xml:space="preserve">            ① 주식처분이익</t>
  </si>
  <si>
    <t xml:space="preserve">            ② 신주인수권증서처분이익</t>
  </si>
  <si>
    <t xml:space="preserve">            ③ 채권처분이익</t>
  </si>
  <si>
    <t xml:space="preserve">            ④ 집합투자증권처분이익</t>
  </si>
  <si>
    <t xml:space="preserve">            ⑤ 기업어음증권처분이익</t>
  </si>
  <si>
    <t xml:space="preserve">            ⑥ 당기손익인식증권상환이익</t>
  </si>
  <si>
    <t xml:space="preserve">        2) 당기손익인식증권평가이익</t>
  </si>
  <si>
    <t xml:space="preserve">            ① 주식평가이익</t>
  </si>
  <si>
    <t xml:space="preserve">            ② 신주인수권평가이익</t>
  </si>
  <si>
    <t xml:space="preserve">            ③ 채권평가이익</t>
  </si>
  <si>
    <t xml:space="preserve">            ④ 집합투자증권평가이익 </t>
  </si>
  <si>
    <t xml:space="preserve">            ⑤ 기업어음증권평가이익</t>
  </si>
  <si>
    <t xml:space="preserve">            ⑥ 기타</t>
  </si>
  <si>
    <t xml:space="preserve">        3) 매도가능증권처분이익</t>
  </si>
  <si>
    <t xml:space="preserve">            ② 채권처분이익</t>
  </si>
  <si>
    <t xml:space="preserve">            ③ 집합투자증권처분이익</t>
  </si>
  <si>
    <t xml:space="preserve">            ④ 기업어음증권처분이익</t>
  </si>
  <si>
    <t xml:space="preserve">            ⑤ 매도가능증권상환이익</t>
  </si>
  <si>
    <t xml:space="preserve">        4) 만기보유증권처분이익</t>
  </si>
  <si>
    <t xml:space="preserve">            ① 채권매매이익</t>
  </si>
  <si>
    <t xml:space="preserve">            ② 채권상환이익</t>
  </si>
  <si>
    <t xml:space="preserve">        5) 증권손상차손환입</t>
  </si>
  <si>
    <t xml:space="preserve">            ① 채권손상차손환입</t>
  </si>
  <si>
    <t xml:space="preserve">            ② 기타손상차손환입</t>
  </si>
  <si>
    <t xml:space="preserve">        6) 매도증권평가이익</t>
  </si>
  <si>
    <t xml:space="preserve">            ② 채권평가이익</t>
  </si>
  <si>
    <t xml:space="preserve">        7) 파생결합증권처분이익</t>
  </si>
  <si>
    <t xml:space="preserve">        8) 파생결합증권평가이익</t>
  </si>
  <si>
    <t xml:space="preserve">        9) 파생결합증권상환이익</t>
  </si>
  <si>
    <t xml:space="preserve">        10) 매도파생결합증권평가이익</t>
  </si>
  <si>
    <t xml:space="preserve">            ① 매도주가연계증권</t>
  </si>
  <si>
    <t xml:space="preserve">            ② 매도주식워런트증권</t>
  </si>
  <si>
    <t xml:space="preserve">        11) 매도파생결합증권상환이익</t>
  </si>
  <si>
    <t xml:space="preserve">    3. 파생상품 관련 이익</t>
  </si>
  <si>
    <t xml:space="preserve">        1) 파생상품거래이익</t>
  </si>
  <si>
    <t xml:space="preserve">            ① 이자율관련거래이익</t>
  </si>
  <si>
    <t xml:space="preserve">            ② 통화관련거래이익</t>
  </si>
  <si>
    <t xml:space="preserve">            ③ 주식관련거래이익</t>
  </si>
  <si>
    <t xml:space="preserve">            ④ 신용관련거래이익</t>
  </si>
  <si>
    <t xml:space="preserve">            ⑤ 상품관련거래이익</t>
  </si>
  <si>
    <t xml:space="preserve">            ⑥ 기타파생상품관련거래이익</t>
  </si>
  <si>
    <t xml:space="preserve">        2) 파생상품평가이익</t>
  </si>
  <si>
    <t xml:space="preserve">            ① 이자율관련평가이익</t>
  </si>
  <si>
    <t xml:space="preserve">            ② 통화관련평가이익</t>
  </si>
  <si>
    <t xml:space="preserve">            ③ 주식관련평가이익</t>
  </si>
  <si>
    <t xml:space="preserve">            ④ 신용관련평가이익</t>
  </si>
  <si>
    <t xml:space="preserve">            ⑤ 상품관련평가이익</t>
  </si>
  <si>
    <t xml:space="preserve">            ⑥ 기타파생상품관련평가이익</t>
  </si>
  <si>
    <t xml:space="preserve">    4. 이자수익</t>
  </si>
  <si>
    <t xml:space="preserve">        1) 신용공여이자</t>
  </si>
  <si>
    <t xml:space="preserve">            ① 신용거래융자이자</t>
  </si>
  <si>
    <t xml:space="preserve">            ② 주식청약자금대출이자</t>
  </si>
  <si>
    <t xml:space="preserve">            ③ 증권매입자금대출이자</t>
  </si>
  <si>
    <t xml:space="preserve">            ④ 예탁증권담보대출이자</t>
  </si>
  <si>
    <t xml:space="preserve">            ⑤ 기타</t>
  </si>
  <si>
    <t xml:space="preserve">        2) 매입대출채권이자</t>
  </si>
  <si>
    <t xml:space="preserve">        3) 대출금이자</t>
  </si>
  <si>
    <t xml:space="preserve">        4) 할인어음이자</t>
  </si>
  <si>
    <t xml:space="preserve">        5) 채권이자</t>
  </si>
  <si>
    <t xml:space="preserve">        6) 차주매각대금이용료</t>
  </si>
  <si>
    <t xml:space="preserve">        7) 기업어음증권이자</t>
  </si>
  <si>
    <t xml:space="preserve">        8) 증금예치금이자</t>
  </si>
  <si>
    <t xml:space="preserve">        9) 양도성예금증서이자</t>
  </si>
  <si>
    <t xml:space="preserve">        10) 금융기관예치금이자</t>
  </si>
  <si>
    <t xml:space="preserve">        11) 콜론이자</t>
  </si>
  <si>
    <t xml:space="preserve">        12) 환매조건부매수이자</t>
  </si>
  <si>
    <t xml:space="preserve">        13) 양도성예금증서거래이익</t>
  </si>
  <si>
    <t xml:space="preserve">        14) 대지급금이자</t>
  </si>
  <si>
    <t xml:space="preserve">        15) 예금이자</t>
  </si>
  <si>
    <t xml:space="preserve">        16) 미수금이자</t>
  </si>
  <si>
    <t xml:space="preserve">        17) 신탁계정대이자</t>
  </si>
  <si>
    <t xml:space="preserve">        18) 종금계정대이자</t>
  </si>
  <si>
    <t xml:space="preserve">        19) 기타이자</t>
  </si>
  <si>
    <t xml:space="preserve">    5.대출채권 관련 이익</t>
  </si>
  <si>
    <t xml:space="preserve">        1) 대출채권매각이익</t>
  </si>
  <si>
    <t xml:space="preserve">        2) 대출채권평가이익</t>
  </si>
  <si>
    <t xml:space="preserve">        3) 대손충당금환입</t>
  </si>
  <si>
    <t xml:space="preserve">        4) 기타 </t>
  </si>
  <si>
    <t xml:space="preserve">    6.외환거래이익</t>
  </si>
  <si>
    <t xml:space="preserve">        1) 외환차익</t>
  </si>
  <si>
    <t xml:space="preserve">        2) 외화환산이익</t>
  </si>
  <si>
    <t xml:space="preserve">    7. 기타의 영업수익</t>
  </si>
  <si>
    <t xml:space="preserve">        1) 배당금수익</t>
  </si>
  <si>
    <t xml:space="preserve">        2) 분배금수익</t>
  </si>
  <si>
    <t xml:space="preserve">        3) 별도예치금평가이익</t>
  </si>
  <si>
    <t xml:space="preserve">        4) CMA운용수익(종금계정)</t>
  </si>
  <si>
    <t xml:space="preserve">            ① CMA할인어음이자</t>
  </si>
  <si>
    <t xml:space="preserve">            ② 기타</t>
  </si>
  <si>
    <t xml:space="preserve">        5) CMA운용수수료 (종금계정)</t>
  </si>
  <si>
    <t xml:space="preserve">        6) 리스수익(종금계정)</t>
  </si>
  <si>
    <t xml:space="preserve">            ① 금융리스이자</t>
  </si>
  <si>
    <t xml:space="preserve">            ② 운용리스료수입</t>
  </si>
  <si>
    <t xml:space="preserve">            ③ 리스자산처분이익</t>
  </si>
  <si>
    <t xml:space="preserve">        7) 일반상품 처분이익</t>
  </si>
  <si>
    <t xml:space="preserve">        8) 일반상품 평가이익</t>
  </si>
  <si>
    <t xml:space="preserve">        9) 충당금환입액</t>
  </si>
  <si>
    <t xml:space="preserve">            ① 채무보증충당금환입</t>
  </si>
  <si>
    <t xml:space="preserve">            ② 복구충당부채환입</t>
  </si>
  <si>
    <t xml:space="preserve">            ③ 신탁위험충당금환입</t>
  </si>
  <si>
    <t xml:space="preserve">        10) 기타대손충당금환입</t>
  </si>
  <si>
    <t xml:space="preserve">        11) 파생결합증권신용위험평가조정환입</t>
  </si>
  <si>
    <t xml:space="preserve">        12) 파생상품신용위험평가조정환입</t>
  </si>
  <si>
    <t xml:space="preserve">        13) 파생결합증권거래일손익인식평가조정환입</t>
  </si>
  <si>
    <t xml:space="preserve">        14) 파생상품거래일손익인식평가조정환입</t>
  </si>
  <si>
    <t xml:space="preserve">    8. 기타당기손익인식금융상품 관련 이익</t>
  </si>
  <si>
    <t xml:space="preserve">        1) 기타금융자산처분이익</t>
  </si>
  <si>
    <t xml:space="preserve">            ① 예치금처분이익</t>
  </si>
  <si>
    <t xml:space="preserve">        2) 기타금융자산평가이익</t>
  </si>
  <si>
    <t xml:space="preserve">            ① 예치금평가이익</t>
  </si>
  <si>
    <t xml:space="preserve">        3) 기타금융부채처분이익</t>
  </si>
  <si>
    <t xml:space="preserve">            ① 예수부채처분이익</t>
  </si>
  <si>
    <t xml:space="preserve">            ② 차입부채처분이익</t>
  </si>
  <si>
    <t xml:space="preserve">        4) 기타금융부채평가이익</t>
  </si>
  <si>
    <t xml:space="preserve">            ① 예수부채평가이익</t>
  </si>
  <si>
    <t xml:space="preserve">            ② 차입부채평가이익</t>
  </si>
  <si>
    <t xml:space="preserve">        5) 기타금융자산손상차손환입</t>
  </si>
  <si>
    <t>Ⅱ. 영업비용</t>
  </si>
  <si>
    <t xml:space="preserve">    1. 수수료비용</t>
  </si>
  <si>
    <t xml:space="preserve">        1) 매매수수료</t>
  </si>
  <si>
    <t xml:space="preserve">            ① 국내분</t>
  </si>
  <si>
    <t xml:space="preserve">            ② 해외분</t>
  </si>
  <si>
    <t xml:space="preserve">        2) 투자상담사수수료</t>
  </si>
  <si>
    <t xml:space="preserve">        3) 투자자문수수료</t>
  </si>
  <si>
    <t xml:space="preserve">        4) 투자일임수수료</t>
  </si>
  <si>
    <t xml:space="preserve">        5) 운용위탁수수료</t>
  </si>
  <si>
    <t xml:space="preserve">        6) 송금수수료</t>
  </si>
  <si>
    <t xml:space="preserve">        7) 기타수수료비용</t>
  </si>
  <si>
    <t xml:space="preserve">    2. 증권평가 및 처분손실</t>
  </si>
  <si>
    <t xml:space="preserve">        1) 당기손익인식증권처분손실</t>
  </si>
  <si>
    <t xml:space="preserve">            ① 주식처분손실</t>
  </si>
  <si>
    <t xml:space="preserve">            ② 신주인수권증서처분손실</t>
  </si>
  <si>
    <t xml:space="preserve">            ③ 채권처분손실</t>
  </si>
  <si>
    <t xml:space="preserve">            ④ 집합투자증권처분손실</t>
  </si>
  <si>
    <t xml:space="preserve">            ⑤ 기업어음증권처분손실</t>
  </si>
  <si>
    <t xml:space="preserve">            ⑥ 당기손익인식증권상환손실</t>
  </si>
  <si>
    <t xml:space="preserve">        2) 당기손익인식증권평가손실</t>
  </si>
  <si>
    <t xml:space="preserve">            ① 주식평가손실</t>
  </si>
  <si>
    <t xml:space="preserve">            ② 신주인수권평가손실</t>
  </si>
  <si>
    <t xml:space="preserve">            ③ 채권평가손실</t>
  </si>
  <si>
    <t xml:space="preserve">            ④ 집합투자증권평가손실</t>
  </si>
  <si>
    <t xml:space="preserve">            ⑤ 기업어음증권평가손실</t>
  </si>
  <si>
    <t xml:space="preserve">        3) 매도가능증권처분손실</t>
  </si>
  <si>
    <t xml:space="preserve">            ② 채권처분손실</t>
  </si>
  <si>
    <t xml:space="preserve">            ③ 집합투자증권처분손실</t>
  </si>
  <si>
    <t xml:space="preserve">            ④ 기업어음증권처분손실</t>
  </si>
  <si>
    <t xml:space="preserve">            ⑤ 매도가능증권상환손실</t>
  </si>
  <si>
    <t xml:space="preserve">        4) 만기보유증권처분손실</t>
  </si>
  <si>
    <t xml:space="preserve">            ① 채권처분손실</t>
  </si>
  <si>
    <t xml:space="preserve">            ② 채권상환손실</t>
  </si>
  <si>
    <t xml:space="preserve">        5) 증권손상차손</t>
  </si>
  <si>
    <t xml:space="preserve">            ① 주식손상차손</t>
  </si>
  <si>
    <t xml:space="preserve">            ② 채권손상차손</t>
  </si>
  <si>
    <t xml:space="preserve">        6) 매도증권평가손실</t>
  </si>
  <si>
    <t xml:space="preserve">            ② 채권평가손실</t>
  </si>
  <si>
    <t xml:space="preserve">        7) 파생결합증권처분손실</t>
  </si>
  <si>
    <t xml:space="preserve">        8) 파생결합증권평가손실</t>
  </si>
  <si>
    <t xml:space="preserve">        9) 파생결합증권상환손실</t>
  </si>
  <si>
    <t xml:space="preserve">        10) 매도파생결합증권평가손실</t>
  </si>
  <si>
    <t xml:space="preserve">        11) 매도파생결합증권상환손실</t>
  </si>
  <si>
    <t xml:space="preserve">    3. 파생상품 관련 손실</t>
  </si>
  <si>
    <t xml:space="preserve">        1) 파생상품거래손실</t>
  </si>
  <si>
    <t xml:space="preserve">            ① 이자율관련거래손실</t>
  </si>
  <si>
    <t xml:space="preserve">            ② 통화관련거래손실</t>
  </si>
  <si>
    <t xml:space="preserve">            ③ 주식관련거래손실</t>
  </si>
  <si>
    <t xml:space="preserve">            ④ 신용관련거래손실</t>
  </si>
  <si>
    <t xml:space="preserve">            ⑤ 상품관련거래손실</t>
  </si>
  <si>
    <t xml:space="preserve">            ⑥ 기타파생상품관련거래손실</t>
  </si>
  <si>
    <t xml:space="preserve">        2) 파생상품평가손실</t>
  </si>
  <si>
    <t xml:space="preserve">            ① 이자율관련평가손실</t>
  </si>
  <si>
    <t xml:space="preserve">            ② 통화관련평가손실</t>
  </si>
  <si>
    <t xml:space="preserve">            ③ 주식관련평가손실</t>
  </si>
  <si>
    <t xml:space="preserve">            ④ 신용관련평가손실</t>
  </si>
  <si>
    <t xml:space="preserve">            ⑤ 상품관련평가손실</t>
  </si>
  <si>
    <t xml:space="preserve">            ⑥ 기타파생상품관련평가손실</t>
  </si>
  <si>
    <t xml:space="preserve">        3) 파생상품손상차손</t>
  </si>
  <si>
    <t xml:space="preserve">    4. 이자비용</t>
  </si>
  <si>
    <t xml:space="preserve">        1) 차입금이자</t>
  </si>
  <si>
    <t xml:space="preserve">            ① 증금차입금이자</t>
  </si>
  <si>
    <t xml:space="preserve">            ② 은행차입금이자</t>
  </si>
  <si>
    <t xml:space="preserve">        2) 대주매각대금이용료</t>
  </si>
  <si>
    <t xml:space="preserve">        3) 투자자예탁금이용료</t>
  </si>
  <si>
    <t xml:space="preserve">        4) 환매조건부매도이자</t>
  </si>
  <si>
    <t xml:space="preserve">        5) 양도성예금증서 거래손실</t>
  </si>
  <si>
    <t xml:space="preserve">        6) 콜머니이자</t>
  </si>
  <si>
    <t xml:space="preserve">        7) 사채이자</t>
  </si>
  <si>
    <t xml:space="preserve">        8) 발행어음이자</t>
  </si>
  <si>
    <t xml:space="preserve">        9) 신탁계정차이자</t>
  </si>
  <si>
    <t xml:space="preserve">        10) 종금계정차이자</t>
  </si>
  <si>
    <t xml:space="preserve">        11) CMA수탁금이자(종금계정)</t>
  </si>
  <si>
    <t xml:space="preserve">        12) 요구불상환지분관련이자</t>
  </si>
  <si>
    <t xml:space="preserve">        13) 기타</t>
  </si>
  <si>
    <t xml:space="preserve">    5. 대출채권 관련 손실</t>
  </si>
  <si>
    <t xml:space="preserve">        1) 대출채권매각손실</t>
  </si>
  <si>
    <t xml:space="preserve">        2) 대출채권평가손실</t>
  </si>
  <si>
    <t xml:space="preserve">        3) 대손상각비</t>
  </si>
  <si>
    <t xml:space="preserve">        4) 기타</t>
  </si>
  <si>
    <t xml:space="preserve">    6. 외환거래손실</t>
  </si>
  <si>
    <t xml:space="preserve">        1) 외환차손</t>
  </si>
  <si>
    <t xml:space="preserve">        2) 외화환산손실</t>
  </si>
  <si>
    <t xml:space="preserve">    7. 판매비와관리비</t>
  </si>
  <si>
    <t xml:space="preserve">        1) 급여</t>
  </si>
  <si>
    <t xml:space="preserve">            ① 임원</t>
  </si>
  <si>
    <t xml:space="preserve">            ② 직원</t>
  </si>
  <si>
    <t xml:space="preserve">        2) 퇴직급여</t>
  </si>
  <si>
    <t xml:space="preserve">                (확정기여형)</t>
  </si>
  <si>
    <t xml:space="preserve">                (확정급여형)</t>
  </si>
  <si>
    <t xml:space="preserve">        3) 명예퇴직금</t>
  </si>
  <si>
    <t xml:space="preserve">        4) 복리후생비</t>
  </si>
  <si>
    <t xml:space="preserve">        5) 전산운용비</t>
  </si>
  <si>
    <t xml:space="preserve">        6) 임차료</t>
  </si>
  <si>
    <t xml:space="preserve">        7) 지급수수료</t>
  </si>
  <si>
    <t xml:space="preserve">        8) 접대비</t>
  </si>
  <si>
    <t xml:space="preserve">        9) 광고선전비</t>
  </si>
  <si>
    <t xml:space="preserve">        10) 감가상각비</t>
  </si>
  <si>
    <t xml:space="preserve">        11) 조사연구비</t>
  </si>
  <si>
    <t xml:space="preserve">        12) 연수비</t>
  </si>
  <si>
    <t xml:space="preserve">        13) 무형자산상각비</t>
  </si>
  <si>
    <t xml:space="preserve">        14) 세금과공과금</t>
  </si>
  <si>
    <t xml:space="preserve">        15) 업무위탁수수료</t>
  </si>
  <si>
    <t xml:space="preserve">        16) 판매부대비</t>
  </si>
  <si>
    <t xml:space="preserve">        17) 발행비</t>
  </si>
  <si>
    <t xml:space="preserve">        18) 등기소송비 및 공고비</t>
  </si>
  <si>
    <t xml:space="preserve">        19) 회의비</t>
  </si>
  <si>
    <t xml:space="preserve">        20) 인쇄비</t>
  </si>
  <si>
    <t xml:space="preserve">        21) 여비교통비</t>
  </si>
  <si>
    <t xml:space="preserve">        22) 차량유지비</t>
  </si>
  <si>
    <t xml:space="preserve">        23) 소모품비</t>
  </si>
  <si>
    <t xml:space="preserve">        24) 수도광열비</t>
  </si>
  <si>
    <t xml:space="preserve">        25) 보험료</t>
  </si>
  <si>
    <t xml:space="preserve">        26) 행사비</t>
  </si>
  <si>
    <t xml:space="preserve">        27) 기타</t>
  </si>
  <si>
    <t xml:space="preserve">    8. 기타의 영업비용</t>
  </si>
  <si>
    <t xml:space="preserve">        1) 별도예치금평가손실</t>
  </si>
  <si>
    <t xml:space="preserve">        2) 리스비용(종금계정)</t>
  </si>
  <si>
    <t xml:space="preserve">            ① 리스자산 감가상각비</t>
  </si>
  <si>
    <t xml:space="preserve">            ② 리스지급수수료</t>
  </si>
  <si>
    <t xml:space="preserve">            ③ 리스자산처분손실</t>
  </si>
  <si>
    <t xml:space="preserve">            ④ 금융리스정산손실</t>
  </si>
  <si>
    <t xml:space="preserve">        3) 일반상품 처분손실</t>
  </si>
  <si>
    <t xml:space="preserve">        4) 일반상품 평가손실</t>
  </si>
  <si>
    <t xml:space="preserve">        5) 충당금전입액</t>
  </si>
  <si>
    <t xml:space="preserve">            ① 채무보증충당금전입액</t>
  </si>
  <si>
    <t xml:space="preserve">            ② 복구충당부채전입액</t>
  </si>
  <si>
    <t xml:space="preserve">            ③ 신탁위험충당금전입액</t>
  </si>
  <si>
    <t xml:space="preserve">        6) 기타대손상각비</t>
  </si>
  <si>
    <t xml:space="preserve">        7) 파생결합증권신용위험평가조정전입</t>
  </si>
  <si>
    <t xml:space="preserve">        8) 파생상품신용위험평가조정전입</t>
  </si>
  <si>
    <t xml:space="preserve">        9) 파생결합증권거래일손익인식평가조정전입</t>
  </si>
  <si>
    <t xml:space="preserve">        10) 파생상품거래일손익인식평가조정전입</t>
  </si>
  <si>
    <t xml:space="preserve">        11) 기타</t>
  </si>
  <si>
    <t xml:space="preserve">    9. 기타당기손익인식금융상품 관련 손실</t>
  </si>
  <si>
    <t xml:space="preserve">        1) 기타금융자산처분손실</t>
  </si>
  <si>
    <t xml:space="preserve">            ① 예치금처분손실</t>
  </si>
  <si>
    <t xml:space="preserve">        2) 기타금융자산평가손실</t>
  </si>
  <si>
    <t xml:space="preserve">            ① 예치금평가손실</t>
  </si>
  <si>
    <t xml:space="preserve">        3) 기타금융부채처분손실</t>
  </si>
  <si>
    <t xml:space="preserve">            ① 예수부채처분손실</t>
  </si>
  <si>
    <t xml:space="preserve">            ② 차입부채처분손실</t>
  </si>
  <si>
    <t xml:space="preserve">        4) 기타금융부채평가손실</t>
  </si>
  <si>
    <t xml:space="preserve">            ① 예수부채평가손실</t>
  </si>
  <si>
    <t xml:space="preserve">            ② 차입부채평가손실</t>
  </si>
  <si>
    <t xml:space="preserve">        5) 기타금융자산손상차손</t>
  </si>
  <si>
    <t>Ⅲ. 영업이익(손실)</t>
  </si>
  <si>
    <t>Ⅳ. 영업외수익</t>
  </si>
  <si>
    <t xml:space="preserve">    1. 유형자산처분이익</t>
  </si>
  <si>
    <t xml:space="preserve">    2. 투자부동산처분이익</t>
  </si>
  <si>
    <t xml:space="preserve">    3. 임대료</t>
  </si>
  <si>
    <t xml:space="preserve">    4. 지분법이익</t>
  </si>
  <si>
    <t xml:space="preserve">    5. 지분법적용투자주식처분이익</t>
  </si>
  <si>
    <t xml:space="preserve">    6. 지분법적용투자주식손상차손환입</t>
  </si>
  <si>
    <t xml:space="preserve">    7. 관계회사투자지분처분이익</t>
  </si>
  <si>
    <t xml:space="preserve">    8. 상각채권추심이익</t>
  </si>
  <si>
    <t xml:space="preserve">    9. 본 지점이자</t>
  </si>
  <si>
    <t xml:space="preserve">    10. 자산수증이익</t>
  </si>
  <si>
    <t xml:space="preserve">    11. 채무면제이익</t>
  </si>
  <si>
    <t xml:space="preserve">    12. 보험차익</t>
  </si>
  <si>
    <t xml:space="preserve">    13. 유형자산손상차손환입</t>
  </si>
  <si>
    <t xml:space="preserve">    14. 무형자산손상차손환입</t>
  </si>
  <si>
    <t xml:space="preserve">    15. 기타자산손상차손환입</t>
  </si>
  <si>
    <t xml:space="preserve">    16. 유형자산재평가손실환입</t>
  </si>
  <si>
    <t xml:space="preserve">    17. 기타</t>
  </si>
  <si>
    <t>Ⅴ. 영업외비용</t>
  </si>
  <si>
    <t xml:space="preserve">    1. 유형자산처분손실</t>
  </si>
  <si>
    <t xml:space="preserve">    2. 투자부동산처분손실</t>
  </si>
  <si>
    <t xml:space="preserve">    3. 지분법손실 </t>
  </si>
  <si>
    <t xml:space="preserve">    4. 지분법적용투자주식처분손실</t>
  </si>
  <si>
    <t xml:space="preserve">    5. 지분법적용투자주식손상차손</t>
  </si>
  <si>
    <t xml:space="preserve">    6. 관계회사투자지분처분손실</t>
  </si>
  <si>
    <t xml:space="preserve">    7. 기부금</t>
  </si>
  <si>
    <t xml:space="preserve">    8. 본 지점이자</t>
  </si>
  <si>
    <t xml:space="preserve">    9. 재해손실</t>
  </si>
  <si>
    <t xml:space="preserve">    10. 사고손실</t>
  </si>
  <si>
    <t xml:space="preserve">    11. 배상손실</t>
  </si>
  <si>
    <t xml:space="preserve">    12. 우선지급손실</t>
  </si>
  <si>
    <t xml:space="preserve">    13. 채무면제손실</t>
  </si>
  <si>
    <t xml:space="preserve">    14. 유형자산손상차손</t>
  </si>
  <si>
    <t xml:space="preserve">    15. 무형자산손상차손</t>
  </si>
  <si>
    <t xml:space="preserve">    16. 기타자산손상차손</t>
  </si>
  <si>
    <t xml:space="preserve">    17. 유형자산재평가손실</t>
  </si>
  <si>
    <t xml:space="preserve">    18. 기타</t>
  </si>
  <si>
    <t>Ⅵ. 법인세비용차감전계속사업손익</t>
  </si>
  <si>
    <t>Ⅶ. 계속사업손익 법인세비용</t>
  </si>
  <si>
    <t>Ⅷ. 계속사업이익(손실)</t>
  </si>
  <si>
    <t>Ⅸ. 중단사업손익</t>
  </si>
  <si>
    <t>Ⅹ. 당기순이익(손실)</t>
  </si>
  <si>
    <t xml:space="preserve">    (대손준비금적립액)</t>
  </si>
  <si>
    <t xml:space="preserve">    (대손준비금적립후 당기순이익)</t>
  </si>
  <si>
    <t xml:space="preserve">    1. 매도가능금융자산평가손익</t>
  </si>
  <si>
    <t xml:space="preserve">    2. 지분법 자본변동</t>
  </si>
  <si>
    <t xml:space="preserve">    3. 부의 지분법 자본변동</t>
  </si>
  <si>
    <t xml:space="preserve">    4. 현금흐름위험회피 파생상품평가손익</t>
  </si>
  <si>
    <t xml:space="preserve">    6. 유형자산재평가이익</t>
  </si>
  <si>
    <t xml:space="preserve">    7. 기타</t>
  </si>
  <si>
    <t xml:space="preserve">    8. 기타포괄손익에 대한 법인세효과</t>
  </si>
  <si>
    <t>ⅩⅡ. 총포괄이익(손실)</t>
  </si>
  <si>
    <t>'16.03</t>
    <phoneticPr fontId="73" type="noConversion"/>
  </si>
  <si>
    <t>증권인수확약</t>
    <phoneticPr fontId="73" type="noConversion"/>
  </si>
  <si>
    <t xml:space="preserve">    2. 매입보장약정</t>
  </si>
  <si>
    <t>ABCP매입 세부</t>
    <phoneticPr fontId="73" type="noConversion"/>
  </si>
  <si>
    <t>영업용순자본(A) (14까지 영업용기준)</t>
    <phoneticPr fontId="73" type="noConversion"/>
  </si>
  <si>
    <t>국내지점</t>
    <phoneticPr fontId="75" type="noConversion"/>
  </si>
  <si>
    <t>단순레버리지비율</t>
    <phoneticPr fontId="73" type="noConversion"/>
  </si>
  <si>
    <t>우발채무</t>
    <phoneticPr fontId="73" type="noConversion"/>
  </si>
  <si>
    <t>우발채무합계/자기자본</t>
    <phoneticPr fontId="73" type="noConversion"/>
  </si>
  <si>
    <t>유상증자</t>
    <phoneticPr fontId="73" type="noConversion"/>
  </si>
  <si>
    <t>당기순이익</t>
    <phoneticPr fontId="73" type="noConversion"/>
  </si>
  <si>
    <t>순자본비율</t>
    <phoneticPr fontId="73" type="noConversion"/>
  </si>
  <si>
    <t>필요유지자기자본</t>
    <phoneticPr fontId="73" type="noConversion"/>
  </si>
  <si>
    <t>단순레버리지비율</t>
    <phoneticPr fontId="73" type="noConversion"/>
  </si>
  <si>
    <t>위탁자산 = 예수증권 + 투자자 예수금</t>
    <phoneticPr fontId="73" type="noConversion"/>
  </si>
  <si>
    <t>개별 순자본</t>
    <phoneticPr fontId="73" type="noConversion"/>
  </si>
  <si>
    <t>개별 총위험액</t>
    <phoneticPr fontId="73" type="noConversion"/>
  </si>
  <si>
    <t>개별 잉여자본</t>
    <phoneticPr fontId="73" type="noConversion"/>
  </si>
  <si>
    <t>연결 순자본</t>
  </si>
  <si>
    <t>연결 총위험액</t>
  </si>
  <si>
    <t>연결 잉여자본</t>
  </si>
  <si>
    <t>연결 필요유지자기자본</t>
  </si>
  <si>
    <t>연결 순자본비율</t>
    <phoneticPr fontId="73" type="noConversion"/>
  </si>
  <si>
    <t>개별 순자본비율</t>
    <phoneticPr fontId="73" type="noConversion"/>
  </si>
  <si>
    <t>FY15</t>
    <phoneticPr fontId="73" type="noConversion"/>
  </si>
  <si>
    <t>110~150%</t>
  </si>
  <si>
    <t>100~110%</t>
  </si>
  <si>
    <t>90~100%</t>
  </si>
  <si>
    <t>&gt;150%</t>
    <phoneticPr fontId="73" type="noConversion"/>
  </si>
  <si>
    <t>90%&gt;</t>
    <phoneticPr fontId="73" type="noConversion"/>
  </si>
  <si>
    <t>순영업수익/판관비</t>
    <phoneticPr fontId="286" type="noConversion"/>
  </si>
  <si>
    <t>연결기준 순자본비율</t>
  </si>
  <si>
    <t>연결 순자본비율</t>
  </si>
  <si>
    <t>잉여자본</t>
    <phoneticPr fontId="73" type="noConversion"/>
  </si>
  <si>
    <t>단순레버리지비율</t>
    <phoneticPr fontId="286" type="noConversion"/>
  </si>
  <si>
    <t>순자본비율(NCR)</t>
    <phoneticPr fontId="73" type="noConversion"/>
  </si>
  <si>
    <t>레버리지 비율</t>
    <phoneticPr fontId="73" type="noConversion"/>
  </si>
  <si>
    <t>&gt; 1,100%</t>
    <phoneticPr fontId="73" type="noConversion"/>
  </si>
  <si>
    <t>&lt; 300%</t>
    <phoneticPr fontId="73" type="noConversion"/>
  </si>
  <si>
    <t>극히우수</t>
    <phoneticPr fontId="73" type="noConversion"/>
  </si>
  <si>
    <t>매우우수</t>
    <phoneticPr fontId="73" type="noConversion"/>
  </si>
  <si>
    <t>우수</t>
    <phoneticPr fontId="73" type="noConversion"/>
  </si>
  <si>
    <t>보통</t>
    <phoneticPr fontId="73" type="noConversion"/>
  </si>
  <si>
    <t>미흡</t>
    <phoneticPr fontId="73" type="noConversion"/>
  </si>
  <si>
    <t>리스크관리</t>
    <phoneticPr fontId="75" type="noConversion"/>
  </si>
  <si>
    <t>'16.06</t>
    <phoneticPr fontId="73" type="noConversion"/>
  </si>
  <si>
    <t>GA023</t>
    <phoneticPr fontId="73" type="noConversion"/>
  </si>
  <si>
    <t>GA025</t>
    <phoneticPr fontId="73" type="noConversion"/>
  </si>
  <si>
    <t>기타자산 미수금</t>
    <phoneticPr fontId="73" type="noConversion"/>
  </si>
  <si>
    <t>'16.09</t>
    <phoneticPr fontId="73" type="noConversion"/>
  </si>
  <si>
    <t>우발부채/자기자본</t>
  </si>
  <si>
    <t>0</t>
    <phoneticPr fontId="73" type="noConversion"/>
  </si>
  <si>
    <t>N.A.</t>
    <phoneticPr fontId="73" type="noConversion"/>
  </si>
  <si>
    <t>0. 해당사항 없음</t>
  </si>
  <si>
    <t>당기순이익</t>
    <phoneticPr fontId="73" type="noConversion"/>
  </si>
  <si>
    <t>총자산순이익률(ROA)</t>
    <phoneticPr fontId="73" type="noConversion"/>
  </si>
  <si>
    <t>FY16</t>
    <phoneticPr fontId="73" type="noConversion"/>
  </si>
  <si>
    <t>'16.12</t>
    <phoneticPr fontId="73" type="noConversion"/>
  </si>
  <si>
    <t>FY17</t>
    <phoneticPr fontId="73" type="noConversion"/>
  </si>
  <si>
    <t>'17.12</t>
    <phoneticPr fontId="73" type="noConversion"/>
  </si>
  <si>
    <t>'15.12</t>
    <phoneticPr fontId="73" type="noConversion"/>
  </si>
  <si>
    <t>'16.12</t>
    <phoneticPr fontId="73" type="noConversion"/>
  </si>
  <si>
    <t>'17.03</t>
    <phoneticPr fontId="73" type="noConversion"/>
  </si>
  <si>
    <t>'17.06</t>
    <phoneticPr fontId="73" type="noConversion"/>
  </si>
  <si>
    <t>'17.09</t>
    <phoneticPr fontId="73" type="noConversion"/>
  </si>
  <si>
    <t>'17.12</t>
    <phoneticPr fontId="73" type="noConversion"/>
  </si>
  <si>
    <t xml:space="preserve">        1) 전자단기사채</t>
  </si>
  <si>
    <t xml:space="preserve">        2) 전자단기사채 이외</t>
  </si>
  <si>
    <t xml:space="preserve">    10. 발행어음(종합금융투자사업자)</t>
  </si>
  <si>
    <t xml:space="preserve">    11. 기타</t>
  </si>
  <si>
    <t xml:space="preserve">        12) 채무보증 관련 수수료</t>
  </si>
  <si>
    <t xml:space="preserve">            ① 채무보증수수료</t>
  </si>
  <si>
    <t xml:space="preserve">            ② 인수 및 주선 수수료</t>
  </si>
  <si>
    <t xml:space="preserve">            ③ 금융자문 수수료</t>
  </si>
  <si>
    <t xml:space="preserve">    5. 외환차이</t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</si>
  <si>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</si>
  <si>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당기포괄순이익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</si>
  <si>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자기매매</t>
    <phoneticPr fontId="136" type="noConversion"/>
  </si>
  <si>
    <t>판관비</t>
    <phoneticPr fontId="136" type="noConversion"/>
  </si>
  <si>
    <t>영업이익</t>
    <phoneticPr fontId="136" type="noConversion"/>
  </si>
  <si>
    <t>영업외손익</t>
    <phoneticPr fontId="136" type="noConversion"/>
  </si>
  <si>
    <t>세전이익</t>
    <phoneticPr fontId="136" type="noConversion"/>
  </si>
  <si>
    <t>당기순이익</t>
    <phoneticPr fontId="136" type="noConversion"/>
  </si>
  <si>
    <t>예탁원</t>
    <phoneticPr fontId="286" type="noConversion"/>
  </si>
  <si>
    <t>리스크관리</t>
    <phoneticPr fontId="73" type="noConversion"/>
  </si>
  <si>
    <t>양호</t>
  </si>
  <si>
    <t>≥2.5</t>
  </si>
  <si>
    <t>1~2.5</t>
  </si>
  <si>
    <t>0.5~1</t>
  </si>
  <si>
    <t>&lt;0</t>
  </si>
  <si>
    <t>평가일</t>
    <phoneticPr fontId="87" type="noConversion"/>
  </si>
  <si>
    <t>적용 방법론</t>
    <phoneticPr fontId="87" type="noConversion"/>
  </si>
  <si>
    <t>증권업</t>
    <phoneticPr fontId="87" type="noConversion"/>
  </si>
  <si>
    <t>별도 기준</t>
    <phoneticPr fontId="75" type="noConversion"/>
  </si>
  <si>
    <t>과거실적
적용기간</t>
    <phoneticPr fontId="87" type="noConversion"/>
  </si>
  <si>
    <t>5년</t>
    <phoneticPr fontId="87" type="noConversion"/>
  </si>
  <si>
    <t>김성진</t>
    <phoneticPr fontId="75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</si>
  <si>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</si>
  <si>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</si>
  <si>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</si>
  <si>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</si>
  <si>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</si>
  <si>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</si>
  <si>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</si>
  <si>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</si>
  <si>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</si>
  <si>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</si>
  <si>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≥150.0</t>
  </si>
  <si>
    <t>&lt;70.0</t>
  </si>
  <si>
    <t>≥500</t>
  </si>
  <si>
    <t>350~500</t>
  </si>
  <si>
    <t>250~350</t>
  </si>
  <si>
    <t>100~250</t>
  </si>
  <si>
    <t>&lt;100</t>
  </si>
  <si>
    <t>&lt;300</t>
  </si>
  <si>
    <t>300~700</t>
  </si>
  <si>
    <t>700~900</t>
  </si>
  <si>
    <t>900~1100</t>
  </si>
  <si>
    <t>≥1100</t>
  </si>
  <si>
    <t>&lt;100.0</t>
  </si>
  <si>
    <t>≥140.0</t>
  </si>
  <si>
    <t>&lt;90.0</t>
  </si>
  <si>
    <t>TLAC (Total Loss Absorbing Capacity)</t>
    <phoneticPr fontId="75" type="noConversion"/>
  </si>
  <si>
    <t>계열지원가능성</t>
    <phoneticPr fontId="87" type="noConversion"/>
  </si>
  <si>
    <t>정부지원가능성</t>
    <phoneticPr fontId="75" type="noConversion"/>
  </si>
  <si>
    <t>순영업수익/판관비</t>
    <phoneticPr fontId="73" type="noConversion"/>
  </si>
  <si>
    <t>신탁보수</t>
    <phoneticPr fontId="73" type="noConversion"/>
  </si>
  <si>
    <t>순영업수익 Check</t>
    <phoneticPr fontId="73" type="noConversion"/>
  </si>
  <si>
    <t>ELS</t>
  </si>
  <si>
    <t>DLS</t>
  </si>
  <si>
    <t>ELB</t>
  </si>
  <si>
    <t>DLB</t>
  </si>
  <si>
    <t>잔액계</t>
  </si>
  <si>
    <t>원금비보장: ELS/DLS</t>
    <phoneticPr fontId="73" type="noConversion"/>
  </si>
  <si>
    <t>원금비보장: ELS/DLS 비중</t>
    <phoneticPr fontId="73" type="noConversion"/>
  </si>
  <si>
    <t>파생결합증권 발행잔액</t>
    <phoneticPr fontId="73" type="noConversion"/>
  </si>
  <si>
    <t>원금비보장(ELS/DLS) 비중</t>
    <phoneticPr fontId="73" type="noConversion"/>
  </si>
  <si>
    <t>원금비보장(ELS/DLS) 잔액</t>
    <phoneticPr fontId="73" type="noConversion"/>
  </si>
  <si>
    <t>자본대비 원금비보장(ELS/DLS) 비중</t>
    <phoneticPr fontId="73" type="noConversion"/>
  </si>
  <si>
    <t>파생 DR060/061 계산 후 입력</t>
    <phoneticPr fontId="286" type="noConversion"/>
  </si>
  <si>
    <t>ELS 자체헤지</t>
  </si>
  <si>
    <t>ELS 백투백헤지</t>
  </si>
  <si>
    <t>DLS 자체헤지</t>
  </si>
  <si>
    <t>DLS 백투백헤지</t>
  </si>
  <si>
    <t>자체헤지</t>
    <phoneticPr fontId="73" type="noConversion"/>
  </si>
  <si>
    <t>백투백헤지</t>
    <phoneticPr fontId="73" type="noConversion"/>
  </si>
  <si>
    <t>총합</t>
    <phoneticPr fontId="73" type="noConversion"/>
  </si>
  <si>
    <t>자체헤지 비중</t>
    <phoneticPr fontId="73" type="noConversion"/>
  </si>
  <si>
    <r>
      <t>매입확약 및</t>
    </r>
    <r>
      <rPr>
        <sz val="9"/>
        <color theme="1"/>
        <rFont val="맑은 고딕"/>
        <family val="2"/>
        <charset val="129"/>
      </rPr>
      <t xml:space="preserve"> 기타</t>
    </r>
    <phoneticPr fontId="73" type="noConversion"/>
  </si>
  <si>
    <t>본문</t>
    <phoneticPr fontId="75" type="noConversion"/>
  </si>
  <si>
    <t>신NCR</t>
  </si>
  <si>
    <t>[추정변수]</t>
    <phoneticPr fontId="73" type="noConversion"/>
  </si>
  <si>
    <t>구분</t>
    <phoneticPr fontId="73" type="noConversion"/>
  </si>
  <si>
    <t>Actual</t>
    <phoneticPr fontId="73" type="noConversion"/>
  </si>
  <si>
    <t>부정적</t>
    <phoneticPr fontId="73" type="noConversion"/>
  </si>
  <si>
    <t>중립적</t>
    <phoneticPr fontId="73" type="noConversion"/>
  </si>
  <si>
    <t>긍정적</t>
    <phoneticPr fontId="73" type="noConversion"/>
  </si>
  <si>
    <t>2019(E)</t>
  </si>
  <si>
    <t>산업전체 일평균수탁거래증가율</t>
    <phoneticPr fontId="75" type="noConversion"/>
  </si>
  <si>
    <t>산업전체 수탁수수료율</t>
    <phoneticPr fontId="75" type="noConversion"/>
  </si>
  <si>
    <t>산업전체 순영업수익 증가율</t>
    <phoneticPr fontId="73" type="noConversion"/>
  </si>
  <si>
    <t>회사수탁거래MS</t>
    <phoneticPr fontId="75" type="noConversion"/>
  </si>
  <si>
    <t>회사수탁수수료율</t>
    <phoneticPr fontId="75" type="noConversion"/>
  </si>
  <si>
    <t>총자산성장율(%)</t>
    <phoneticPr fontId="75" type="noConversion"/>
  </si>
  <si>
    <t>판관비증가율(%)</t>
    <phoneticPr fontId="75" type="noConversion"/>
  </si>
  <si>
    <t>자기매매손익/유가증권평잔(%)</t>
    <phoneticPr fontId="73" type="noConversion"/>
  </si>
  <si>
    <t>금융손익/
(유가증권+대출채권평잔)(%)</t>
    <phoneticPr fontId="73" type="noConversion"/>
  </si>
  <si>
    <t>자산관리영업순익증가율(%)</t>
    <phoneticPr fontId="73" type="noConversion"/>
  </si>
  <si>
    <t>고정이하자산증가율(%)</t>
    <phoneticPr fontId="73" type="noConversion"/>
  </si>
  <si>
    <t>대손상각비/
자산건전성분류자산(t-1)(%)</t>
    <phoneticPr fontId="73" type="noConversion"/>
  </si>
  <si>
    <t>우발채무증가율(%)</t>
    <phoneticPr fontId="73" type="noConversion"/>
  </si>
  <si>
    <t>유동성자산 증가율(%)</t>
  </si>
  <si>
    <t>유동성부채 증가율(%)</t>
  </si>
  <si>
    <t>[추정결과]</t>
    <phoneticPr fontId="73" type="noConversion"/>
  </si>
  <si>
    <t>구분</t>
    <phoneticPr fontId="75" type="noConversion"/>
  </si>
  <si>
    <t>Actual</t>
    <phoneticPr fontId="75" type="noConversion"/>
  </si>
  <si>
    <t>중립적</t>
    <phoneticPr fontId="73" type="noConversion"/>
  </si>
  <si>
    <t>긍정적</t>
    <phoneticPr fontId="73" type="noConversion"/>
  </si>
  <si>
    <t>2020(E)</t>
  </si>
  <si>
    <t>총자산</t>
    <phoneticPr fontId="75" type="noConversion"/>
  </si>
  <si>
    <t>자기자본</t>
    <phoneticPr fontId="75" type="noConversion"/>
  </si>
  <si>
    <t>우발채무</t>
    <phoneticPr fontId="75" type="noConversion"/>
  </si>
  <si>
    <t>순영업수익</t>
    <phoneticPr fontId="75" type="noConversion"/>
  </si>
  <si>
    <t>판관비</t>
    <phoneticPr fontId="75" type="noConversion"/>
  </si>
  <si>
    <t>세전이익</t>
    <phoneticPr fontId="75" type="noConversion"/>
  </si>
  <si>
    <t>당기순이익</t>
    <phoneticPr fontId="75" type="noConversion"/>
  </si>
  <si>
    <t>순영업수익MS</t>
    <phoneticPr fontId="75" type="noConversion"/>
  </si>
  <si>
    <t>순영업수익/판관비</t>
    <phoneticPr fontId="75" type="noConversion"/>
  </si>
  <si>
    <t>ROA</t>
    <phoneticPr fontId="75" type="noConversion"/>
  </si>
  <si>
    <t>ROE</t>
    <phoneticPr fontId="73" type="noConversion"/>
  </si>
  <si>
    <t>충당금 등/고정이하자산</t>
  </si>
  <si>
    <t>신NCR</t>
    <phoneticPr fontId="73" type="noConversion"/>
  </si>
  <si>
    <t>단순레버리지비율</t>
    <phoneticPr fontId="75" type="noConversion"/>
  </si>
  <si>
    <t>우발채무/자기자본</t>
    <phoneticPr fontId="75" type="noConversion"/>
  </si>
  <si>
    <t>유동성비율</t>
    <phoneticPr fontId="75" type="noConversion"/>
  </si>
  <si>
    <t>조정유동성비율</t>
    <phoneticPr fontId="75" type="noConversion"/>
  </si>
  <si>
    <t xml:space="preserve">주요 재무 및 등급변동 지표 전망                                              </t>
  </si>
  <si>
    <t>‘15</t>
  </si>
  <si>
    <t>‘16</t>
  </si>
  <si>
    <t>'17</t>
    <phoneticPr fontId="75" type="noConversion"/>
  </si>
  <si>
    <t>‘18(F)</t>
    <phoneticPr fontId="75" type="noConversion"/>
  </si>
  <si>
    <t>‘19(F)</t>
    <phoneticPr fontId="75" type="noConversion"/>
  </si>
  <si>
    <t>총자산(조원)</t>
  </si>
  <si>
    <t>순영업수익(억원)</t>
  </si>
  <si>
    <t>당기순이익(억원)</t>
  </si>
  <si>
    <t>신NCR(%)</t>
  </si>
  <si>
    <t>충당금등/고정이하여신(%)</t>
    <phoneticPr fontId="73" type="noConversion"/>
  </si>
  <si>
    <t>우발채무/자기자본(%)</t>
  </si>
  <si>
    <t>ROA(%)</t>
  </si>
  <si>
    <t>순영업수익/판관비(%)</t>
  </si>
  <si>
    <t>단순레버리지</t>
    <phoneticPr fontId="75" type="noConversion"/>
  </si>
  <si>
    <t>2018(F)</t>
    <phoneticPr fontId="75" type="noConversion"/>
  </si>
  <si>
    <t>2019(F)</t>
    <phoneticPr fontId="75" type="noConversion"/>
  </si>
  <si>
    <t>구  분</t>
  </si>
  <si>
    <t>'17</t>
    <phoneticPr fontId="73" type="noConversion"/>
  </si>
  <si>
    <t>하한</t>
    <phoneticPr fontId="75" type="noConversion"/>
  </si>
  <si>
    <t>상한</t>
    <phoneticPr fontId="75" type="noConversion"/>
  </si>
  <si>
    <t>순영업수익</t>
    <phoneticPr fontId="75" type="noConversion"/>
  </si>
  <si>
    <t>당기순이익</t>
    <phoneticPr fontId="75" type="noConversion"/>
  </si>
  <si>
    <t>신NCR</t>
    <phoneticPr fontId="75" type="noConversion"/>
  </si>
  <si>
    <t>충당금 등/고정이하자산</t>
    <phoneticPr fontId="75" type="noConversion"/>
  </si>
  <si>
    <t>우발채무/자기자본</t>
    <phoneticPr fontId="75" type="noConversion"/>
  </si>
  <si>
    <t>순영업수익/판관비(%)</t>
    <phoneticPr fontId="75" type="noConversion"/>
  </si>
  <si>
    <t>유동성비율</t>
    <phoneticPr fontId="75" type="noConversion"/>
  </si>
  <si>
    <t>조정유동성비율</t>
    <phoneticPr fontId="75" type="noConversion"/>
  </si>
  <si>
    <t>[ROA]</t>
    <phoneticPr fontId="75" type="noConversion"/>
  </si>
  <si>
    <t>[순영업수익M/S]</t>
    <phoneticPr fontId="75" type="noConversion"/>
  </si>
  <si>
    <t>[순영업수익MS]</t>
    <phoneticPr fontId="136" type="noConversion"/>
  </si>
  <si>
    <t>ROA</t>
    <phoneticPr fontId="136" type="noConversion"/>
  </si>
  <si>
    <t>UP</t>
    <phoneticPr fontId="136" type="noConversion"/>
  </si>
  <si>
    <t>DOWN</t>
    <phoneticPr fontId="136" type="noConversion"/>
  </si>
  <si>
    <t>최소값</t>
    <phoneticPr fontId="136" type="noConversion"/>
  </si>
  <si>
    <t>최대값</t>
    <phoneticPr fontId="136" type="noConversion"/>
  </si>
  <si>
    <t>UP</t>
    <phoneticPr fontId="136" type="noConversion"/>
  </si>
  <si>
    <t>DOWN</t>
    <phoneticPr fontId="136" type="noConversion"/>
  </si>
  <si>
    <t>'14</t>
    <phoneticPr fontId="136" type="noConversion"/>
  </si>
  <si>
    <t>'14</t>
    <phoneticPr fontId="136" type="noConversion"/>
  </si>
  <si>
    <t>'15</t>
    <phoneticPr fontId="136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</si>
  <si>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</si>
  <si>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</si>
  <si>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</si>
  <si>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</si>
  <si>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</si>
  <si>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[충당금 등/고정이하자산]</t>
    <phoneticPr fontId="75" type="noConversion"/>
  </si>
  <si>
    <t>[신NCR]</t>
    <phoneticPr fontId="75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</si>
  <si>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</si>
  <si>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</si>
  <si>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</si>
  <si>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t>'17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</si>
  <si>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</si>
  <si>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</si>
  <si>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[순영업수익/판관비]</t>
    <phoneticPr fontId="73" type="noConversion"/>
  </si>
  <si>
    <t>[단순레버리지]</t>
    <phoneticPr fontId="73" type="noConversion"/>
  </si>
  <si>
    <t>[유동성비율]</t>
    <phoneticPr fontId="75" type="noConversion"/>
  </si>
  <si>
    <t>[조정유동성비율]</t>
    <phoneticPr fontId="75" type="noConversion"/>
  </si>
  <si>
    <t>[유동성비율]</t>
    <phoneticPr fontId="73" type="noConversion"/>
  </si>
  <si>
    <t>[조정유동성비율]</t>
    <phoneticPr fontId="73" type="noConversion"/>
  </si>
  <si>
    <t>'14</t>
    <phoneticPr fontId="136" type="noConversion"/>
  </si>
  <si>
    <t>1) 표시되어 있는 부분(테두리안, 색깔 표시)의 숫자들만 입력</t>
    <phoneticPr fontId="136" type="noConversion"/>
  </si>
  <si>
    <t>2) 세로축의 범위를 조정하려면 세로축 클릭 후 축옵션&gt;경계&gt;최대값/최소값을 지정</t>
    <phoneticPr fontId="136" type="noConversion"/>
  </si>
  <si>
    <t>3) 데이터를 추가하려면 3열 ~ 8열 사이에 행 추가 후 데이터 입력</t>
    <phoneticPr fontId="136" type="noConversion"/>
  </si>
  <si>
    <t>4) 그래프 완성 후에는 그래프 및 글박스(단위, Upside, Downside)를 선택 후 붙여넣기(그림메타파일)</t>
    <phoneticPr fontId="136" type="noConversion"/>
  </si>
  <si>
    <t>주요 재무지표(전망값)</t>
    <phoneticPr fontId="136" type="noConversion"/>
  </si>
  <si>
    <t>12.,3~13.3</t>
  </si>
  <si>
    <t>13.4~12</t>
  </si>
  <si>
    <t>(단위:억 원, %)</t>
    <phoneticPr fontId="136" type="noConversion"/>
  </si>
  <si>
    <t>구분</t>
    <phoneticPr fontId="136" type="noConversion"/>
  </si>
  <si>
    <t>FY14</t>
    <phoneticPr fontId="73" type="noConversion"/>
  </si>
  <si>
    <t>FY15</t>
    <phoneticPr fontId="73" type="noConversion"/>
  </si>
  <si>
    <t>FY16</t>
    <phoneticPr fontId="73" type="noConversion"/>
  </si>
  <si>
    <t>FY17</t>
    <phoneticPr fontId="73" type="noConversion"/>
  </si>
  <si>
    <t>3개년 평균</t>
    <phoneticPr fontId="136" type="noConversion"/>
  </si>
  <si>
    <t>전망 
평가결과</t>
    <phoneticPr fontId="136" type="noConversion"/>
  </si>
  <si>
    <t>NCP기재</t>
    <phoneticPr fontId="73" type="noConversion"/>
  </si>
  <si>
    <t>전망, NCP기재 비교</t>
    <phoneticPr fontId="73" type="noConversion"/>
  </si>
  <si>
    <t>시장지위</t>
    <phoneticPr fontId="136" type="noConversion"/>
  </si>
  <si>
    <t xml:space="preserve"> 순영업수익 MS</t>
    <phoneticPr fontId="136" type="noConversion"/>
  </si>
  <si>
    <t>수익성</t>
    <phoneticPr fontId="136" type="noConversion"/>
  </si>
  <si>
    <t>ROA</t>
    <phoneticPr fontId="136" type="noConversion"/>
  </si>
  <si>
    <t>순영업수익/판관비</t>
    <phoneticPr fontId="136" type="noConversion"/>
  </si>
  <si>
    <t>자산건전성</t>
    <phoneticPr fontId="136" type="noConversion"/>
  </si>
  <si>
    <t>충당금 등/고정이하자산</t>
    <phoneticPr fontId="136" type="noConversion"/>
  </si>
  <si>
    <t>순요주의이하자산비중</t>
    <phoneticPr fontId="136" type="noConversion"/>
  </si>
  <si>
    <t>자본적정성</t>
    <phoneticPr fontId="136" type="noConversion"/>
  </si>
  <si>
    <t>순자본비율(신NCR)</t>
    <phoneticPr fontId="136" type="noConversion"/>
  </si>
  <si>
    <t>n.a.</t>
    <phoneticPr fontId="136" type="noConversion"/>
  </si>
  <si>
    <t>단순레버리지비율</t>
    <phoneticPr fontId="136" type="noConversion"/>
  </si>
  <si>
    <t>ROE(참고)</t>
    <phoneticPr fontId="136" type="noConversion"/>
  </si>
  <si>
    <t>B/S Projection</t>
    <phoneticPr fontId="136" type="noConversion"/>
  </si>
  <si>
    <t>2018(E)</t>
    <phoneticPr fontId="136" type="noConversion"/>
  </si>
  <si>
    <t>2019(E)</t>
    <phoneticPr fontId="136" type="noConversion"/>
  </si>
  <si>
    <t>2020(E)</t>
    <phoneticPr fontId="136" type="noConversion"/>
  </si>
  <si>
    <t>추정 3개년 평균</t>
    <phoneticPr fontId="136" type="noConversion"/>
  </si>
  <si>
    <t>자산총계</t>
    <phoneticPr fontId="136" type="noConversion"/>
  </si>
  <si>
    <t>유가증권</t>
    <phoneticPr fontId="136" type="noConversion"/>
  </si>
  <si>
    <t>대출채권</t>
    <phoneticPr fontId="73" type="noConversion"/>
  </si>
  <si>
    <t>기타자산</t>
    <phoneticPr fontId="73" type="noConversion"/>
  </si>
  <si>
    <t>총부채</t>
    <phoneticPr fontId="136" type="noConversion"/>
  </si>
  <si>
    <t>대고객부채</t>
    <phoneticPr fontId="136" type="noConversion"/>
  </si>
  <si>
    <t>외부차입부채</t>
    <phoneticPr fontId="136" type="noConversion"/>
  </si>
  <si>
    <t>자본총계</t>
    <phoneticPr fontId="136" type="noConversion"/>
  </si>
  <si>
    <t>유가증권+대출채권</t>
    <phoneticPr fontId="73" type="noConversion"/>
  </si>
  <si>
    <t>자산총계/유가증권(%)</t>
    <phoneticPr fontId="136" type="noConversion"/>
  </si>
  <si>
    <t>자산건전성분류자산/자산총계(%)</t>
    <phoneticPr fontId="136" type="noConversion"/>
  </si>
  <si>
    <t>대고객부채/유가증권(%)</t>
    <phoneticPr fontId="136" type="noConversion"/>
  </si>
  <si>
    <t>외부차입부채/자산총계(%)</t>
    <phoneticPr fontId="136" type="noConversion"/>
  </si>
  <si>
    <t>유가증권증가율(%)</t>
    <phoneticPr fontId="136" type="noConversion"/>
  </si>
  <si>
    <t>P/L Projection</t>
    <phoneticPr fontId="136" type="noConversion"/>
  </si>
  <si>
    <t>순영업수익</t>
    <phoneticPr fontId="136" type="noConversion"/>
  </si>
  <si>
    <t>위탁매매</t>
    <phoneticPr fontId="136" type="noConversion"/>
  </si>
  <si>
    <t>자산관리</t>
    <phoneticPr fontId="136" type="noConversion"/>
  </si>
  <si>
    <t>IB</t>
    <phoneticPr fontId="136" type="noConversion"/>
  </si>
  <si>
    <t>금융</t>
    <phoneticPr fontId="136" type="noConversion"/>
  </si>
  <si>
    <t>기타</t>
    <phoneticPr fontId="136" type="noConversion"/>
  </si>
  <si>
    <t>대출채권등평가및처분손익</t>
    <phoneticPr fontId="136" type="noConversion"/>
  </si>
  <si>
    <t>법인세비용</t>
    <phoneticPr fontId="136" type="noConversion"/>
  </si>
  <si>
    <t>법인세비용/세전이익(%)</t>
    <phoneticPr fontId="136" type="noConversion"/>
  </si>
  <si>
    <t>국내증권사 순영업수익</t>
    <phoneticPr fontId="136" type="noConversion"/>
  </si>
  <si>
    <t xml:space="preserve">   증가율(%)</t>
    <phoneticPr fontId="73" type="noConversion"/>
  </si>
  <si>
    <t>회사순영업수익</t>
    <phoneticPr fontId="136" type="noConversion"/>
  </si>
  <si>
    <t>순영업수익 MS</t>
    <phoneticPr fontId="136" type="noConversion"/>
  </si>
  <si>
    <t>ROA</t>
    <phoneticPr fontId="136" type="noConversion"/>
  </si>
  <si>
    <t>ROE</t>
    <phoneticPr fontId="136" type="noConversion"/>
  </si>
  <si>
    <t>주요 재무항목</t>
    <phoneticPr fontId="136" type="noConversion"/>
  </si>
  <si>
    <t>(단위:억 원, %)</t>
    <phoneticPr fontId="136" type="noConversion"/>
  </si>
  <si>
    <t>구분</t>
    <phoneticPr fontId="136" type="noConversion"/>
  </si>
  <si>
    <t>배당금(현금기준+중간배당 포함)</t>
    <phoneticPr fontId="136" type="noConversion"/>
  </si>
  <si>
    <t>배당률(배당수익/당기순이익)</t>
    <phoneticPr fontId="136" type="noConversion"/>
  </si>
  <si>
    <t>유상증자</t>
    <phoneticPr fontId="136" type="noConversion"/>
  </si>
  <si>
    <t>고정이하자산</t>
    <phoneticPr fontId="136" type="noConversion"/>
  </si>
  <si>
    <t>요주의이하자산</t>
    <phoneticPr fontId="136" type="noConversion"/>
  </si>
  <si>
    <t xml:space="preserve"> 요주의이하/고정이하</t>
    <phoneticPr fontId="136" type="noConversion"/>
  </si>
  <si>
    <t>자산건전성분류자산</t>
    <phoneticPr fontId="136" type="noConversion"/>
  </si>
  <si>
    <t>대손충당금 등</t>
    <phoneticPr fontId="136" type="noConversion"/>
  </si>
  <si>
    <t>대손상각비</t>
    <phoneticPr fontId="136" type="noConversion"/>
  </si>
  <si>
    <t>대손상각비/자산건전성분류자산(t-1)</t>
    <phoneticPr fontId="136" type="noConversion"/>
  </si>
  <si>
    <t>상각(제각)-준비금전입</t>
    <phoneticPr fontId="136" type="noConversion"/>
  </si>
  <si>
    <t>고정이하충당금Coverage</t>
    <phoneticPr fontId="136" type="noConversion"/>
  </si>
  <si>
    <t>영업용순자본</t>
    <phoneticPr fontId="136" type="noConversion"/>
  </si>
  <si>
    <t>영업용순자본/자기자본</t>
    <phoneticPr fontId="136" type="noConversion"/>
  </si>
  <si>
    <t>총위험액</t>
    <phoneticPr fontId="136" type="noConversion"/>
  </si>
  <si>
    <t>총위험액/총자산</t>
    <phoneticPr fontId="136" type="noConversion"/>
  </si>
  <si>
    <t>영업용순자본비율(NCR)</t>
    <phoneticPr fontId="136" type="noConversion"/>
  </si>
  <si>
    <t>순자본비율(신NCR)</t>
    <phoneticPr fontId="136" type="noConversion"/>
  </si>
  <si>
    <t>잉여자본</t>
    <phoneticPr fontId="136" type="noConversion"/>
  </si>
  <si>
    <t>필요유지자기자본</t>
    <phoneticPr fontId="136" type="noConversion"/>
  </si>
  <si>
    <t>유동성자산</t>
    <phoneticPr fontId="136" type="noConversion"/>
  </si>
  <si>
    <t xml:space="preserve">  증가율</t>
    <phoneticPr fontId="73" type="noConversion"/>
  </si>
  <si>
    <t>유동성부채</t>
    <phoneticPr fontId="136" type="noConversion"/>
  </si>
  <si>
    <t>우발채무</t>
    <phoneticPr fontId="136" type="noConversion"/>
  </si>
  <si>
    <t>산업</t>
    <phoneticPr fontId="136" type="noConversion"/>
  </si>
  <si>
    <t>전체 수탁거래(지분증권) (매수+매도)</t>
    <phoneticPr fontId="136" type="noConversion"/>
  </si>
  <si>
    <t>전체</t>
    <phoneticPr fontId="136" type="noConversion"/>
  </si>
  <si>
    <t>영업일수</t>
    <phoneticPr fontId="136" type="noConversion"/>
  </si>
  <si>
    <t>일평균수탁거래</t>
    <phoneticPr fontId="136" type="noConversion"/>
  </si>
  <si>
    <t xml:space="preserve">  증가율(%)</t>
    <phoneticPr fontId="136" type="noConversion"/>
  </si>
  <si>
    <t>전체수탁수수료</t>
    <phoneticPr fontId="136" type="noConversion"/>
  </si>
  <si>
    <t>수수료율(%)</t>
    <phoneticPr fontId="136" type="noConversion"/>
  </si>
  <si>
    <t>회사</t>
    <phoneticPr fontId="136" type="noConversion"/>
  </si>
  <si>
    <t>회사 수탁거래</t>
    <phoneticPr fontId="136" type="noConversion"/>
  </si>
  <si>
    <t>회사 수탁거래MS</t>
    <phoneticPr fontId="136" type="noConversion"/>
  </si>
  <si>
    <t>회사 수수료율</t>
    <phoneticPr fontId="136" type="noConversion"/>
  </si>
  <si>
    <t>회사 수탁수수료(A)</t>
    <phoneticPr fontId="136" type="noConversion"/>
  </si>
  <si>
    <t>기타비용 등(B)</t>
    <phoneticPr fontId="136" type="noConversion"/>
  </si>
  <si>
    <t>B/A (%)</t>
    <phoneticPr fontId="136" type="noConversion"/>
  </si>
  <si>
    <t>위탁매매손익(A-B)</t>
    <phoneticPr fontId="136" type="noConversion"/>
  </si>
  <si>
    <t>자기매매 및 금융손익</t>
    <phoneticPr fontId="136" type="noConversion"/>
  </si>
  <si>
    <t>추정 3개년 평균</t>
    <phoneticPr fontId="136" type="noConversion"/>
  </si>
  <si>
    <t>자기매매손익</t>
    <phoneticPr fontId="136" type="noConversion"/>
  </si>
  <si>
    <t>유가증권</t>
    <phoneticPr fontId="136" type="noConversion"/>
  </si>
  <si>
    <t>(자기매매/유가증권평잔)(%)</t>
    <phoneticPr fontId="136" type="noConversion"/>
  </si>
  <si>
    <t>금융손익</t>
    <phoneticPr fontId="136" type="noConversion"/>
  </si>
  <si>
    <t>유가증권+대출채권</t>
    <phoneticPr fontId="136" type="noConversion"/>
  </si>
  <si>
    <t>(금융손익/(유가증권+대출채권평잔))</t>
    <phoneticPr fontId="136" type="noConversion"/>
  </si>
  <si>
    <t>비고</t>
    <phoneticPr fontId="73" type="noConversion"/>
  </si>
  <si>
    <t>5년평균</t>
    <phoneticPr fontId="73" type="noConversion"/>
  </si>
  <si>
    <t>FY18</t>
    <phoneticPr fontId="136" type="noConversion"/>
  </si>
  <si>
    <t>FY19</t>
    <phoneticPr fontId="73" type="noConversion"/>
  </si>
  <si>
    <t>FY20</t>
    <phoneticPr fontId="73" type="noConversion"/>
  </si>
  <si>
    <t>산업전체 일평균수탁거래증가율</t>
    <phoneticPr fontId="136" type="noConversion"/>
  </si>
  <si>
    <t>업권공통</t>
    <phoneticPr fontId="73" type="noConversion"/>
  </si>
  <si>
    <t>산업전체 수탁수수료율</t>
    <phoneticPr fontId="136" type="noConversion"/>
  </si>
  <si>
    <t>증권업전체 순영업수입증가율(%)</t>
    <phoneticPr fontId="136" type="noConversion"/>
  </si>
  <si>
    <t>업권공통</t>
    <phoneticPr fontId="73" type="noConversion"/>
  </si>
  <si>
    <t>회사수탁거래MS</t>
    <phoneticPr fontId="136" type="noConversion"/>
  </si>
  <si>
    <t>회사수탁수수료율</t>
    <phoneticPr fontId="136" type="noConversion"/>
  </si>
  <si>
    <t>총자산 증가율(%)</t>
    <phoneticPr fontId="136" type="noConversion"/>
  </si>
  <si>
    <t>유가증권 증가율(%)</t>
    <phoneticPr fontId="136" type="noConversion"/>
  </si>
  <si>
    <t>대출채권 증가율(%)</t>
    <phoneticPr fontId="73" type="noConversion"/>
  </si>
  <si>
    <t>기타자산 증가율(%)</t>
    <phoneticPr fontId="73" type="noConversion"/>
  </si>
  <si>
    <t>대고객부채 증가율(%)</t>
    <phoneticPr fontId="136" type="noConversion"/>
  </si>
  <si>
    <t>외부차입부채 증가율(%)</t>
    <phoneticPr fontId="136" type="noConversion"/>
  </si>
  <si>
    <t>자산관리 순영업수익 증가율(%)</t>
    <phoneticPr fontId="136" type="noConversion"/>
  </si>
  <si>
    <t>IB 순영업수익 증가율(%)</t>
    <phoneticPr fontId="136" type="noConversion"/>
  </si>
  <si>
    <t>자기매매/유가증권평잔(%)</t>
    <phoneticPr fontId="136" type="noConversion"/>
  </si>
  <si>
    <t>금융손익/(유가증권+대출채권 평잔)(%)</t>
    <phoneticPr fontId="136" type="noConversion"/>
  </si>
  <si>
    <t>기타손익(3년평균)</t>
    <phoneticPr fontId="136" type="noConversion"/>
  </si>
  <si>
    <t>대손상각비/자산건전성분류자산(t-1) (%)</t>
    <phoneticPr fontId="136" type="noConversion"/>
  </si>
  <si>
    <t>판관비증가율(%)</t>
    <phoneticPr fontId="136" type="noConversion"/>
  </si>
  <si>
    <t>법인세비용률(%)</t>
    <phoneticPr fontId="136" type="noConversion"/>
  </si>
  <si>
    <t>배당률(%)</t>
    <phoneticPr fontId="136" type="noConversion"/>
  </si>
  <si>
    <t>고정이하자산증가율(%)</t>
    <phoneticPr fontId="136" type="noConversion"/>
  </si>
  <si>
    <t xml:space="preserve"> 요주의이하/고정이하자산</t>
    <phoneticPr fontId="136" type="noConversion"/>
  </si>
  <si>
    <t>제각액-준비금전입(5년평균)</t>
    <phoneticPr fontId="136" type="noConversion"/>
  </si>
  <si>
    <t>영업용순자본/자기자본(%)</t>
    <phoneticPr fontId="136" type="noConversion"/>
  </si>
  <si>
    <t>총위험액/총자산(%)</t>
    <phoneticPr fontId="136" type="noConversion"/>
  </si>
  <si>
    <t>유동성자산 증가율(%)</t>
    <phoneticPr fontId="136" type="noConversion"/>
  </si>
  <si>
    <t>유동성부채 증가율(%)</t>
    <phoneticPr fontId="136" type="noConversion"/>
  </si>
  <si>
    <t>우발채무증가율(%)</t>
    <phoneticPr fontId="136" type="noConversion"/>
  </si>
  <si>
    <t>10.발행어음(종합금융투자)</t>
    <phoneticPr fontId="73" type="noConversion"/>
  </si>
  <si>
    <r>
      <t>R</t>
    </r>
    <r>
      <rPr>
        <sz val="9"/>
        <color theme="1"/>
        <rFont val="맑은 고딕"/>
        <family val="2"/>
        <charset val="129"/>
      </rPr>
      <t>OE</t>
    </r>
    <phoneticPr fontId="73" type="noConversion"/>
  </si>
  <si>
    <t>고정이하자산비율</t>
    <phoneticPr fontId="136" type="noConversion"/>
  </si>
  <si>
    <t>'13.03</t>
    <phoneticPr fontId="73" type="noConversion"/>
  </si>
  <si>
    <t>'13.12</t>
    <phoneticPr fontId="73" type="noConversion"/>
  </si>
  <si>
    <t>'14.12</t>
    <phoneticPr fontId="73" type="noConversion"/>
  </si>
  <si>
    <t>'15.12</t>
    <phoneticPr fontId="73" type="noConversion"/>
  </si>
  <si>
    <t>'16.12</t>
    <phoneticPr fontId="73" type="noConversion"/>
  </si>
  <si>
    <t>'17.12</t>
    <phoneticPr fontId="73" type="noConversion"/>
  </si>
  <si>
    <t>'18.12</t>
    <phoneticPr fontId="73" type="noConversion"/>
  </si>
  <si>
    <t>'19.12</t>
    <phoneticPr fontId="73" type="noConversion"/>
  </si>
  <si>
    <t>'20.12</t>
    <phoneticPr fontId="73" type="noConversion"/>
  </si>
  <si>
    <t>위탁매매 기타비용율</t>
    <phoneticPr fontId="136" type="noConversion"/>
  </si>
  <si>
    <t>3조원이상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</si>
  <si>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</si>
  <si>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</si>
  <si>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</si>
  <si>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IB 영업수익 증가율(%)</t>
    <phoneticPr fontId="73" type="noConversion"/>
  </si>
  <si>
    <t>주요 재무항목 추정치</t>
    <phoneticPr fontId="136" type="noConversion"/>
  </si>
  <si>
    <t>N.A.</t>
    <phoneticPr fontId="73" type="noConversion"/>
  </si>
  <si>
    <t>일괄조정사용</t>
    <phoneticPr fontId="73" type="noConversion"/>
  </si>
  <si>
    <t>우발채무</t>
    <phoneticPr fontId="73" type="noConversion"/>
  </si>
  <si>
    <t>잉여자본</t>
    <phoneticPr fontId="73" type="noConversion"/>
  </si>
  <si>
    <t>단순레버리지비율</t>
    <phoneticPr fontId="73" type="noConversion"/>
  </si>
  <si>
    <t>우발채무/자기자본</t>
    <phoneticPr fontId="73" type="noConversion"/>
  </si>
  <si>
    <t>순영업수익/판관비(%)</t>
    <phoneticPr fontId="73" type="noConversion"/>
  </si>
  <si>
    <t>현금예치금</t>
    <phoneticPr fontId="73" type="noConversion"/>
  </si>
  <si>
    <t>투자자예탁금별도예치금(신탁)</t>
    <phoneticPr fontId="73" type="noConversion"/>
  </si>
  <si>
    <r>
      <t>콜머니 및</t>
    </r>
    <r>
      <rPr>
        <sz val="9"/>
        <color theme="1"/>
        <rFont val="맑은 고딕"/>
        <family val="2"/>
        <charset val="129"/>
      </rPr>
      <t xml:space="preserve"> 차입금</t>
    </r>
    <phoneticPr fontId="73" type="noConversion"/>
  </si>
  <si>
    <t>우발채무/자기자본</t>
  </si>
  <si>
    <t>순영업수익MS</t>
  </si>
  <si>
    <t>단순레버리지</t>
  </si>
  <si>
    <r>
      <t>감사보고서 수치와</t>
    </r>
    <r>
      <rPr>
        <sz val="9"/>
        <color theme="1"/>
        <rFont val="맑은 고딕"/>
        <family val="2"/>
        <charset val="129"/>
      </rPr>
      <t xml:space="preserve"> 업무보고서 수치 차이는 이연대출부대손익 차이에서 발생함</t>
    </r>
    <phoneticPr fontId="73" type="noConversion"/>
  </si>
  <si>
    <r>
      <t xml:space="preserve">예수부채 </t>
    </r>
    <r>
      <rPr>
        <sz val="9"/>
        <color theme="1"/>
        <rFont val="맑은 고딕"/>
        <family val="2"/>
        <charset val="129"/>
      </rPr>
      <t>= 예수부채 + 종금계정 발행어음</t>
    </r>
    <phoneticPr fontId="73" type="noConversion"/>
  </si>
  <si>
    <t>자본잉여금</t>
    <phoneticPr fontId="73" type="noConversion"/>
  </si>
  <si>
    <t>지분구조</t>
    <phoneticPr fontId="286" type="noConversion"/>
  </si>
  <si>
    <t>총자산</t>
    <phoneticPr fontId="73" type="noConversion"/>
  </si>
  <si>
    <t>자기자본</t>
    <phoneticPr fontId="73" type="noConversion"/>
  </si>
  <si>
    <t>미수금</t>
    <phoneticPr fontId="73" type="noConversion"/>
  </si>
  <si>
    <t>파생결합증권</t>
    <phoneticPr fontId="73" type="noConversion"/>
  </si>
  <si>
    <r>
      <t xml:space="preserve">증권 </t>
    </r>
    <r>
      <rPr>
        <sz val="9"/>
        <color theme="1"/>
        <rFont val="맑은 고딕"/>
        <family val="2"/>
        <charset val="129"/>
      </rPr>
      <t>- 파생결합증권 = 유가증권</t>
    </r>
    <phoneticPr fontId="73" type="noConversion"/>
  </si>
  <si>
    <t xml:space="preserve">  국공채및특수채</t>
    <phoneticPr fontId="73" type="noConversion"/>
  </si>
  <si>
    <t xml:space="preserve">  회사채 및 기업어음</t>
    <phoneticPr fontId="73" type="noConversion"/>
  </si>
  <si>
    <t xml:space="preserve">  관계기업지분</t>
    <phoneticPr fontId="73" type="noConversion"/>
  </si>
  <si>
    <t>현금+국공채 비중</t>
    <phoneticPr fontId="73" type="noConversion"/>
  </si>
  <si>
    <t>매입대출채권</t>
    <phoneticPr fontId="73" type="noConversion"/>
  </si>
  <si>
    <r>
      <t>주식 및</t>
    </r>
    <r>
      <rPr>
        <sz val="9"/>
        <color theme="1"/>
        <rFont val="맑은 고딕"/>
        <family val="2"/>
        <charset val="129"/>
      </rPr>
      <t xml:space="preserve"> 출자금</t>
    </r>
    <phoneticPr fontId="73" type="noConversion"/>
  </si>
  <si>
    <t>기타수수료</t>
    <phoneticPr fontId="73" type="noConversion"/>
  </si>
  <si>
    <t xml:space="preserve">  수탁수수료</t>
    <phoneticPr fontId="73" type="noConversion"/>
  </si>
  <si>
    <t xml:space="preserve">  집합투자증권취급수수료</t>
    <phoneticPr fontId="73" type="noConversion"/>
  </si>
  <si>
    <t xml:space="preserve">  파생결합증권판매수수료</t>
    <phoneticPr fontId="73" type="noConversion"/>
  </si>
  <si>
    <t xml:space="preserve">  자산관리수수료</t>
    <phoneticPr fontId="73" type="noConversion"/>
  </si>
  <si>
    <t xml:space="preserve">  신탁수수료</t>
    <phoneticPr fontId="73" type="noConversion"/>
  </si>
  <si>
    <t>Ⅰ. 현금 및 예치금</t>
  </si>
  <si>
    <t xml:space="preserve">    1. 현금 및 현금성 자산</t>
  </si>
  <si>
    <t xml:space="preserve">        1) 현금</t>
  </si>
  <si>
    <t xml:space="preserve">        2) 정기예.적금</t>
  </si>
  <si>
    <t xml:space="preserve">        3) 보통예금</t>
  </si>
  <si>
    <t xml:space="preserve">        4) 당좌예금</t>
  </si>
  <si>
    <t xml:space="preserve">        5) 외화예금</t>
  </si>
  <si>
    <t xml:space="preserve">        6) 양도성예금증서</t>
  </si>
  <si>
    <t xml:space="preserve">        7) MMDA</t>
  </si>
  <si>
    <t xml:space="preserve">        8) MMF</t>
  </si>
  <si>
    <t xml:space="preserve">        9) 금융어음</t>
  </si>
  <si>
    <t xml:space="preserve">        10) 기타</t>
  </si>
  <si>
    <t xml:space="preserve">    2. 예치금</t>
  </si>
  <si>
    <t xml:space="preserve">        1) 청약예치금</t>
  </si>
  <si>
    <t xml:space="preserve">            ① 자기분</t>
  </si>
  <si>
    <t xml:space="preserve">            ② 투자자분</t>
  </si>
  <si>
    <t xml:space="preserve">        2) 투자자예탁금별도예치금(예금)</t>
  </si>
  <si>
    <t xml:space="preserve">            ① 일반예수분</t>
  </si>
  <si>
    <t xml:space="preserve">            ② 장내파생상품거래분</t>
  </si>
  <si>
    <t xml:space="preserve">            ③ 집합투자증권투자자예수분</t>
  </si>
  <si>
    <t xml:space="preserve">        3) 투자자예탁금별도예치금(신탁)</t>
  </si>
  <si>
    <t xml:space="preserve">        4) 대차거래이행보증금</t>
  </si>
  <si>
    <t xml:space="preserve">        5) 매매예납금 </t>
  </si>
  <si>
    <t xml:space="preserve">        6) 장내파생상품거래예치금</t>
  </si>
  <si>
    <t xml:space="preserve">            ① 자기분(국내)</t>
  </si>
  <si>
    <t xml:space="preserve">            ② 자기분(해외)</t>
  </si>
  <si>
    <t xml:space="preserve">            ③ 투자자분(국내)</t>
  </si>
  <si>
    <t xml:space="preserve">            ④ 투자자분(해외)</t>
  </si>
  <si>
    <t xml:space="preserve">        7) 장내파생상품매매증거금</t>
  </si>
  <si>
    <t xml:space="preserve">        8) 유통금융차주담보금</t>
  </si>
  <si>
    <t xml:space="preserve">        9) 유통금융담보금</t>
  </si>
  <si>
    <t xml:space="preserve">        10) 장기성예금</t>
  </si>
  <si>
    <t xml:space="preserve">        11) 특정예금 등</t>
  </si>
  <si>
    <t xml:space="preserve">        12) 신탁공탁금</t>
  </si>
  <si>
    <t>Ⅱ. 증권</t>
  </si>
  <si>
    <t xml:space="preserve">    1.당기손익인식증권</t>
  </si>
  <si>
    <t xml:space="preserve">        1) 주식</t>
  </si>
  <si>
    <t xml:space="preserve">        2) 신주인수권증서</t>
  </si>
  <si>
    <t xml:space="preserve">        3) 국채·지방채</t>
  </si>
  <si>
    <t xml:space="preserve">        4) 특수채</t>
  </si>
  <si>
    <t xml:space="preserve">        5) 회사채</t>
  </si>
  <si>
    <t xml:space="preserve">        6) 집합투자증권</t>
  </si>
  <si>
    <t xml:space="preserve">            ① 미매각집합투자증권</t>
  </si>
  <si>
    <t xml:space="preserve">            ② 기타집합투자증권</t>
  </si>
  <si>
    <t xml:space="preserve">        7) 기업어음증권</t>
  </si>
  <si>
    <t xml:space="preserve">        8) 외화증권</t>
  </si>
  <si>
    <t xml:space="preserve">            ① 외화주식</t>
  </si>
  <si>
    <t xml:space="preserve">            ② 외화채권</t>
  </si>
  <si>
    <t xml:space="preserve">        9) 기타</t>
  </si>
  <si>
    <t xml:space="preserve">    2. 매도가능증권</t>
  </si>
  <si>
    <t xml:space="preserve">        2) 출자금</t>
  </si>
  <si>
    <t xml:space="preserve">    3. 만기보유증권</t>
  </si>
  <si>
    <t xml:space="preserve">        1) 국채·지방채</t>
  </si>
  <si>
    <t xml:space="preserve">        2) 특수채</t>
  </si>
  <si>
    <t xml:space="preserve">        3) 회사채</t>
  </si>
  <si>
    <t xml:space="preserve">    4. 관계회사투자지분</t>
  </si>
  <si>
    <t xml:space="preserve">        1) 연결대상회사 투자지분</t>
  </si>
  <si>
    <t xml:space="preserve">            ① 주식</t>
  </si>
  <si>
    <t xml:space="preserve">            ② 출자금</t>
  </si>
  <si>
    <t xml:space="preserve">            ③ 집합투자증권</t>
  </si>
  <si>
    <t xml:space="preserve">        2) 비연결대상회사 투자지분</t>
  </si>
  <si>
    <t xml:space="preserve">    5. 파생결합증권</t>
  </si>
  <si>
    <t xml:space="preserve">        1) 주가연계증권</t>
  </si>
  <si>
    <t xml:space="preserve">        2) 주식워런트증권</t>
  </si>
  <si>
    <t xml:space="preserve">        3) 기타</t>
  </si>
  <si>
    <t xml:space="preserve">        4) 파생결합증권 신용위험평가조정액</t>
  </si>
  <si>
    <t xml:space="preserve">        5) 파생결합증권 거래일손익인식평가조정액</t>
  </si>
  <si>
    <t>Ⅲ. 파생상품자산</t>
  </si>
  <si>
    <t xml:space="preserve">    1. 이자율관련</t>
  </si>
  <si>
    <t xml:space="preserve">        1) 이자율선도</t>
  </si>
  <si>
    <t xml:space="preserve">        2) 이자율스왑</t>
  </si>
  <si>
    <t xml:space="preserve">        3) 매입이자율옵션</t>
  </si>
  <si>
    <t xml:space="preserve">    2. 통화관련</t>
  </si>
  <si>
    <t xml:space="preserve">        1) 통화선도</t>
  </si>
  <si>
    <t xml:space="preserve">        2) 통화스왑</t>
  </si>
  <si>
    <t xml:space="preserve">        3) 매입통화옵션</t>
  </si>
  <si>
    <t xml:space="preserve">    3. 주식관련</t>
  </si>
  <si>
    <t xml:space="preserve">        1) 주식선도</t>
  </si>
  <si>
    <t xml:space="preserve">        2) 주식스왑</t>
  </si>
  <si>
    <t xml:space="preserve">        3) 매입주식옵션</t>
  </si>
  <si>
    <t xml:space="preserve">    4. 신용관련</t>
  </si>
  <si>
    <t xml:space="preserve">        1) 신용스왑</t>
  </si>
  <si>
    <t xml:space="preserve">        2) 매입신용옵션</t>
  </si>
  <si>
    <t xml:space="preserve">    5. 상품관련</t>
  </si>
  <si>
    <t xml:space="preserve">        1) 상품선도</t>
  </si>
  <si>
    <t xml:space="preserve">        2) 상품스왑</t>
  </si>
  <si>
    <t xml:space="preserve">        3) 매입상품옵션</t>
  </si>
  <si>
    <t xml:space="preserve">    6. 기타파생상품자산</t>
  </si>
  <si>
    <t xml:space="preserve">    7. 파생상품 신용위험평가조정액</t>
  </si>
  <si>
    <t xml:space="preserve">    8. 파생상품 거래일손익인식평가조정액</t>
  </si>
  <si>
    <t>Ⅳ. 대출채권</t>
  </si>
  <si>
    <t xml:space="preserve">    (현재가치할인차금)(-)</t>
  </si>
  <si>
    <t xml:space="preserve">    (현재가치할증차금)(+)</t>
  </si>
  <si>
    <t xml:space="preserve">    (이연대출부대손익)</t>
  </si>
  <si>
    <t xml:space="preserve">    1. 콜론</t>
  </si>
  <si>
    <t xml:space="preserve">    2. 신용공여금</t>
  </si>
  <si>
    <t xml:space="preserve">        1) 신용거래융자금</t>
  </si>
  <si>
    <t xml:space="preserve">        2) 주식청약자금 대출금</t>
  </si>
  <si>
    <t xml:space="preserve">        3) 증권매입자금 대출금</t>
  </si>
  <si>
    <t xml:space="preserve">        4) 증권담보대출금</t>
  </si>
  <si>
    <t xml:space="preserve">        5) 기타</t>
  </si>
  <si>
    <t xml:space="preserve">    3. 환매조건부매수</t>
  </si>
  <si>
    <t xml:space="preserve">    4. 대여금</t>
  </si>
  <si>
    <t xml:space="preserve">        1) 증권저축할부대여금</t>
  </si>
  <si>
    <t xml:space="preserve">        2) 임직원대여금</t>
  </si>
  <si>
    <t xml:space="preserve">    5. 대출금</t>
  </si>
  <si>
    <t xml:space="preserve">    6. 대출금(종금계정)</t>
  </si>
  <si>
    <t xml:space="preserve">    7. 할인어음(종금계정)</t>
  </si>
  <si>
    <t xml:space="preserve">    8. 매입 대출채권</t>
  </si>
  <si>
    <t xml:space="preserve">    9. 대지급금</t>
  </si>
  <si>
    <t xml:space="preserve">        1) 사채지급보증대지급금</t>
  </si>
  <si>
    <t xml:space="preserve">        2) 어음지급보증 대지급금(종금계정)</t>
  </si>
  <si>
    <t xml:space="preserve">        3) 사고대지급금</t>
  </si>
  <si>
    <t xml:space="preserve">        4) 우선대지급금</t>
  </si>
  <si>
    <t xml:space="preserve">    10. 부도채권</t>
  </si>
  <si>
    <t xml:space="preserve">    11. 부도어음</t>
  </si>
  <si>
    <t xml:space="preserve">    12. 사모사채</t>
  </si>
  <si>
    <t xml:space="preserve">    13. 신탁계정대</t>
  </si>
  <si>
    <t xml:space="preserve">    14. 종금계정대</t>
  </si>
  <si>
    <t xml:space="preserve">    15. 기타 대출채권</t>
  </si>
  <si>
    <t xml:space="preserve">    16. 대손충당금(-)</t>
  </si>
  <si>
    <t xml:space="preserve">        1) 콜론대손충당금</t>
  </si>
  <si>
    <t xml:space="preserve">        2) 신용공여금대손충당금</t>
  </si>
  <si>
    <t xml:space="preserve">        3) 환매조건부매수대손충당금</t>
  </si>
  <si>
    <t xml:space="preserve">        4) 대여금대손충당금</t>
  </si>
  <si>
    <t xml:space="preserve">        5) 대출금대손충당금</t>
  </si>
  <si>
    <t xml:space="preserve">        6) 대출금(종금계정)대손충당금</t>
  </si>
  <si>
    <t xml:space="preserve">        7) 할인어음(종금계정) 대손충당금</t>
  </si>
  <si>
    <t xml:space="preserve">        8) 매입대출채권 대손충당금</t>
  </si>
  <si>
    <t xml:space="preserve">        9) 대지급금대손충당금</t>
  </si>
  <si>
    <t xml:space="preserve">        10) 부도채권 대손충당금</t>
  </si>
  <si>
    <t xml:space="preserve">        11) 부도어음 대손충당금</t>
  </si>
  <si>
    <t xml:space="preserve">        12) 사모사채 대손충당금</t>
  </si>
  <si>
    <t xml:space="preserve">        13) 신탁계정대 대손충당금</t>
  </si>
  <si>
    <t xml:space="preserve">        14) 종금계정대 대손충당금</t>
  </si>
  <si>
    <t xml:space="preserve">        15) 기타 대손충당금</t>
  </si>
  <si>
    <t>Ⅴ. 유형자산</t>
  </si>
  <si>
    <t xml:space="preserve">    (손상차손누계액)</t>
  </si>
  <si>
    <t xml:space="preserve">    1. 토지</t>
  </si>
  <si>
    <t xml:space="preserve">    2. 건물</t>
  </si>
  <si>
    <t xml:space="preserve">    3. 구축물</t>
  </si>
  <si>
    <t xml:space="preserve">    4. 차량운반구</t>
  </si>
  <si>
    <t xml:space="preserve">    5. 비품</t>
  </si>
  <si>
    <t xml:space="preserve">    6. 건설중인자산</t>
  </si>
  <si>
    <t xml:space="preserve">    7. 운용리스자산(종금계정)</t>
  </si>
  <si>
    <t xml:space="preserve">    8. 선급리스자산(종금계정)</t>
  </si>
  <si>
    <t xml:space="preserve">    9. 기타</t>
  </si>
  <si>
    <t xml:space="preserve">    10. 감가상각누계액(-)</t>
  </si>
  <si>
    <t xml:space="preserve">        1) 건물</t>
  </si>
  <si>
    <t xml:space="preserve">        2) 구축물</t>
  </si>
  <si>
    <t xml:space="preserve">        3) 차량운반구</t>
  </si>
  <si>
    <t xml:space="preserve">        4) 비품</t>
  </si>
  <si>
    <t xml:space="preserve">    11. 감가상각누계액(종금계정)(-)</t>
  </si>
  <si>
    <t xml:space="preserve">    12. 처분손실충당금(종금계정)(-)</t>
  </si>
  <si>
    <t>Ⅵ. CMA운용자산(종금계정)</t>
  </si>
  <si>
    <t xml:space="preserve">    1. CMA 현금과예금</t>
  </si>
  <si>
    <t xml:space="preserve">    2. CMA 증권</t>
  </si>
  <si>
    <t xml:space="preserve">    3. CMA 할인어음</t>
  </si>
  <si>
    <t xml:space="preserve">    4. CMA 기타</t>
  </si>
  <si>
    <t xml:space="preserve">    5. 대손충당금(종금계정)(-)</t>
  </si>
  <si>
    <t>Ⅶ. 리스자산(종금계정)</t>
  </si>
  <si>
    <t xml:space="preserve">    1. 금융리스채권</t>
  </si>
  <si>
    <t xml:space="preserve">    2. 기타</t>
  </si>
  <si>
    <t xml:space="preserve">    3. 대손충당금(종금계정)(-)</t>
  </si>
  <si>
    <t xml:space="preserve">Ⅷ. 기타자산 </t>
  </si>
  <si>
    <t xml:space="preserve">    1. 미수금</t>
  </si>
  <si>
    <t xml:space="preserve">        1) 자기매매미수금</t>
  </si>
  <si>
    <t xml:space="preserve">            ① 주식미수금</t>
  </si>
  <si>
    <t xml:space="preserve">            ② 채권미수금</t>
  </si>
  <si>
    <t xml:space="preserve">            ③ 장내파생상품미수금</t>
  </si>
  <si>
    <t xml:space="preserve">        2) 위탁매매미수금(결제일)</t>
  </si>
  <si>
    <t xml:space="preserve">        3) 장내거래미수금(거래일)</t>
  </si>
  <si>
    <t xml:space="preserve">            ① 고객미수금</t>
  </si>
  <si>
    <t xml:space="preserve">            ② 한국거래소미수금</t>
  </si>
  <si>
    <t xml:space="preserve">        4) 신탁보수미수금</t>
  </si>
  <si>
    <t xml:space="preserve">    2. 미수수익</t>
  </si>
  <si>
    <t xml:space="preserve">        1) 미수수수료</t>
  </si>
  <si>
    <t xml:space="preserve">            ① 미수수탁수수료</t>
  </si>
  <si>
    <t xml:space="preserve">            ② 미수인수및주선수수료</t>
  </si>
  <si>
    <t xml:space="preserve">            ③ 미수집합투자증권취급수수료</t>
  </si>
  <si>
    <t xml:space="preserve">            ④ 미수파생결합증권판매수수료</t>
  </si>
  <si>
    <t xml:space="preserve">            ⑤ 미수투자자문수수료</t>
  </si>
  <si>
    <t xml:space="preserve">            ⑥ 미수투자일임수수료</t>
  </si>
  <si>
    <t xml:space="preserve">            ⑦ 미수투자신탁위탁자보수</t>
  </si>
  <si>
    <t xml:space="preserve">            ⑧ 미수투자회사운용수수료</t>
  </si>
  <si>
    <t xml:space="preserve">            ⑨ 미수신탁보수</t>
  </si>
  <si>
    <t xml:space="preserve">            ⑩ 기타</t>
  </si>
  <si>
    <t xml:space="preserve">        2) 미수이자</t>
  </si>
  <si>
    <t xml:space="preserve">            ① 미수신용거래융자이자</t>
  </si>
  <si>
    <t xml:space="preserve">            ② 미수채권이자</t>
  </si>
  <si>
    <t xml:space="preserve">            ③ 미수신탁계정대이자</t>
  </si>
  <si>
    <t xml:space="preserve">        3) 미수배당금</t>
  </si>
  <si>
    <t xml:space="preserve">        4) 미수분배금</t>
  </si>
  <si>
    <t xml:space="preserve">    3. 선급금</t>
  </si>
  <si>
    <t xml:space="preserve">        1) 채권경과이자</t>
  </si>
  <si>
    <t xml:space="preserve">        2) 수익증권경과분배금</t>
  </si>
  <si>
    <t xml:space="preserve">        3) 양도성예금증서경과이자</t>
  </si>
  <si>
    <t xml:space="preserve">    4. 선급비용</t>
  </si>
  <si>
    <t xml:space="preserve">    5. 선급제세</t>
  </si>
  <si>
    <t xml:space="preserve">        1) 선급법인세</t>
  </si>
  <si>
    <t xml:space="preserve">        2) 선급부가가치세</t>
  </si>
  <si>
    <t xml:space="preserve">    6. 대리점</t>
  </si>
  <si>
    <t xml:space="preserve">    7. 본.지점</t>
  </si>
  <si>
    <t xml:space="preserve">    8. 선물자기거래정산차금</t>
  </si>
  <si>
    <t xml:space="preserve">        1) 국내분</t>
  </si>
  <si>
    <t xml:space="preserve">        2) 해외분</t>
  </si>
  <si>
    <t xml:space="preserve">    9. 보증금</t>
  </si>
  <si>
    <t xml:space="preserve">        1) 전세권</t>
  </si>
  <si>
    <t xml:space="preserve">        2) 전신전화가입권</t>
  </si>
  <si>
    <t xml:space="preserve">        3) 임차보증금</t>
  </si>
  <si>
    <t xml:space="preserve">        4) 회원보증금</t>
  </si>
  <si>
    <t xml:space="preserve">    10. 투자부동산</t>
  </si>
  <si>
    <t xml:space="preserve">        (손상차손누계액)</t>
  </si>
  <si>
    <t xml:space="preserve">        1) 토지</t>
  </si>
  <si>
    <t xml:space="preserve">        2) 건물</t>
  </si>
  <si>
    <t xml:space="preserve">        3) 건물감가상각누계액(-)</t>
  </si>
  <si>
    <t xml:space="preserve">    11. 손해배상공동기금</t>
  </si>
  <si>
    <t xml:space="preserve">        1) 증권시장공동기금</t>
  </si>
  <si>
    <t xml:space="preserve">        2) 파생상품시장공동기금</t>
  </si>
  <si>
    <t xml:space="preserve">    12. 무형자산</t>
  </si>
  <si>
    <t xml:space="preserve">        1) 영업권</t>
  </si>
  <si>
    <t xml:space="preserve">        2) 개발비</t>
  </si>
  <si>
    <t xml:space="preserve">        3) 소프트웨어</t>
  </si>
  <si>
    <t xml:space="preserve">        4) 회원권</t>
  </si>
  <si>
    <t xml:space="preserve">    13. 가지급금</t>
  </si>
  <si>
    <t xml:space="preserve">    14. 이연법인세자산</t>
  </si>
  <si>
    <t xml:space="preserve">    15. 일반상품</t>
  </si>
  <si>
    <t xml:space="preserve">    16. 기타</t>
  </si>
  <si>
    <t xml:space="preserve">    17. 대손충당금(-)</t>
  </si>
  <si>
    <t xml:space="preserve">        1) 미수금대손충당금</t>
  </si>
  <si>
    <t xml:space="preserve">        2) 미수수익대손충당금</t>
  </si>
  <si>
    <t xml:space="preserve">            ① 미수수수료대손충당금</t>
  </si>
  <si>
    <t xml:space="preserve">            ② 미수이자대손충당금</t>
  </si>
  <si>
    <t xml:space="preserve">            ③ 기타대손충당금</t>
  </si>
  <si>
    <t xml:space="preserve">        3) 선급금대손충당금</t>
  </si>
  <si>
    <t xml:space="preserve">        4) 기타대손충당금</t>
  </si>
  <si>
    <t>Ⅰ. 예수부채</t>
  </si>
  <si>
    <t xml:space="preserve">    1. 투자자예수금</t>
  </si>
  <si>
    <t xml:space="preserve">        1) 위탁자예수금</t>
  </si>
  <si>
    <t xml:space="preserve">        2) 장내파생상품거래예수금</t>
  </si>
  <si>
    <t xml:space="preserve">        3) 청약자예수금</t>
  </si>
  <si>
    <t xml:space="preserve">        4) 저축자예수금</t>
  </si>
  <si>
    <t xml:space="preserve">        5) 조건부예수금</t>
  </si>
  <si>
    <t xml:space="preserve">        6) 집합투자증권투자자예수금</t>
  </si>
  <si>
    <t xml:space="preserve">        7) 기타</t>
  </si>
  <si>
    <t xml:space="preserve">    2. 수입담보금</t>
  </si>
  <si>
    <t xml:space="preserve">        1) 신용거래계좌설정보증금</t>
  </si>
  <si>
    <t xml:space="preserve">        2) 신용대주담보금</t>
  </si>
  <si>
    <t xml:space="preserve">        3) 신용공여담보금</t>
  </si>
  <si>
    <t xml:space="preserve">    3. 리스보증금(종금계정)</t>
  </si>
  <si>
    <t xml:space="preserve">    4. CMA수탁금(종금계정)</t>
  </si>
  <si>
    <t xml:space="preserve">    5. 기타</t>
  </si>
  <si>
    <t>Ⅱ. 차입부채</t>
  </si>
  <si>
    <t xml:space="preserve">    1. 콜머니</t>
  </si>
  <si>
    <t xml:space="preserve">    2. 차입금</t>
  </si>
  <si>
    <t xml:space="preserve">        1) 당좌차월</t>
  </si>
  <si>
    <t xml:space="preserve">        2) 은행차입금</t>
  </si>
  <si>
    <t xml:space="preserve">        3) 증금차입금</t>
  </si>
  <si>
    <t xml:space="preserve">        4) 외화차입금</t>
  </si>
  <si>
    <t xml:space="preserve">    3. 환매조건부매도</t>
  </si>
  <si>
    <t xml:space="preserve">    4. 매도증권</t>
  </si>
  <si>
    <t xml:space="preserve">        2) 국채·지방채</t>
  </si>
  <si>
    <t xml:space="preserve">        3) 특수채</t>
  </si>
  <si>
    <t xml:space="preserve">        4) 회사채</t>
  </si>
  <si>
    <t xml:space="preserve">    5. 매도파생결합증권</t>
  </si>
  <si>
    <t xml:space="preserve">        1) 매도주가연계증권</t>
  </si>
  <si>
    <t xml:space="preserve">        2) 매도주식워런트증권</t>
  </si>
  <si>
    <t xml:space="preserve">        4) 매도파생결합증권 신용위험평가조정액</t>
  </si>
  <si>
    <t xml:space="preserve">        5) 매도파생결합증권 거래일손익인식평가조정액</t>
  </si>
  <si>
    <t xml:space="preserve">    6. 사채</t>
  </si>
  <si>
    <t xml:space="preserve">        (사채발행차금)</t>
  </si>
  <si>
    <t xml:space="preserve">    7. 후순위사채</t>
  </si>
  <si>
    <t xml:space="preserve">    8. 후순위차입금</t>
  </si>
  <si>
    <t xml:space="preserve">    9. 발행어음(종금계정)</t>
  </si>
  <si>
    <t>Ⅲ. 파생상품부채</t>
  </si>
  <si>
    <t xml:space="preserve">        3) 매도이자율옵션</t>
  </si>
  <si>
    <t xml:space="preserve">        3) 매도통화옵션</t>
  </si>
  <si>
    <t xml:space="preserve">        3) 매도주식옵션</t>
  </si>
  <si>
    <t xml:space="preserve">        2) 매도신용옵션</t>
  </si>
  <si>
    <t xml:space="preserve">        3) 매도상품옵션</t>
  </si>
  <si>
    <t xml:space="preserve">    6. 기타파생상품부채</t>
  </si>
  <si>
    <t>Ⅳ. 기타부채</t>
  </si>
  <si>
    <t xml:space="preserve">    1. 퇴직급여부채</t>
  </si>
  <si>
    <t xml:space="preserve">        1) 확정급여채무</t>
  </si>
  <si>
    <t xml:space="preserve">        2) 미인식보험수리적손익(+,-)</t>
  </si>
  <si>
    <t xml:space="preserve">        3) 미인식과거근무원가(-)</t>
  </si>
  <si>
    <t xml:space="preserve">        4) 사외적립자산(-)</t>
  </si>
  <si>
    <t xml:space="preserve">            ① 퇴직연금(-)</t>
  </si>
  <si>
    <t xml:space="preserve">            ② 기타사외적립자산(-)</t>
  </si>
  <si>
    <t xml:space="preserve">    2. 충당부채</t>
  </si>
  <si>
    <t xml:space="preserve">        1) 채무보증충당부채</t>
  </si>
  <si>
    <t xml:space="preserve">        2) 복구충당부채</t>
  </si>
  <si>
    <t xml:space="preserve">        3) 특별대손충당금</t>
  </si>
  <si>
    <t xml:space="preserve">        4) 신탁위험충당금</t>
  </si>
  <si>
    <t xml:space="preserve">    3. 미지급법인세</t>
  </si>
  <si>
    <t xml:space="preserve">    4. 미지급배당금</t>
  </si>
  <si>
    <t xml:space="preserve">    5. 미지급금</t>
  </si>
  <si>
    <t xml:space="preserve">    6. 미지급비용</t>
  </si>
  <si>
    <t xml:space="preserve">    7. 임대보증금</t>
  </si>
  <si>
    <t xml:space="preserve">    8. 선수금</t>
  </si>
  <si>
    <t xml:space="preserve">    9. 선수수익</t>
  </si>
  <si>
    <t xml:space="preserve">    10. 가수금</t>
  </si>
  <si>
    <t xml:space="preserve">    11. 대리점</t>
  </si>
  <si>
    <t xml:space="preserve">    12. 본.지점</t>
  </si>
  <si>
    <t xml:space="preserve">    13. 선물자기거래 정산차금</t>
  </si>
  <si>
    <t xml:space="preserve">    14. 이연법인세부채</t>
  </si>
  <si>
    <t xml:space="preserve">    15. 제세금예수금</t>
  </si>
  <si>
    <t xml:space="preserve">    16. 신탁계정차</t>
  </si>
  <si>
    <t xml:space="preserve">    17. 종금계정차</t>
  </si>
  <si>
    <t>Ⅴ. 요구불상환지분</t>
  </si>
  <si>
    <t>Ⅰ. 자본금</t>
  </si>
  <si>
    <t xml:space="preserve">    1. 보통주자본금</t>
  </si>
  <si>
    <t xml:space="preserve">    2. 우선주자본금</t>
  </si>
  <si>
    <t xml:space="preserve">        1) 상환우선주</t>
  </si>
  <si>
    <t xml:space="preserve">        2) 전환우선주</t>
  </si>
  <si>
    <t xml:space="preserve">    1. 주식발행초과금</t>
  </si>
  <si>
    <t xml:space="preserve">    2. 감자차익</t>
  </si>
  <si>
    <t xml:space="preserve">    3. 자기주식처분이익</t>
  </si>
  <si>
    <t xml:space="preserve">    4. 기타자본잉여금</t>
  </si>
  <si>
    <t xml:space="preserve">    1. 주식할인발행차금</t>
  </si>
  <si>
    <t xml:space="preserve">    2. 자기주식</t>
  </si>
  <si>
    <t xml:space="preserve">    3. 자기주식처분손실</t>
  </si>
  <si>
    <t xml:space="preserve">    4. 주식매입선택권 </t>
  </si>
  <si>
    <t xml:space="preserve">    5. 신주청약증거금</t>
  </si>
  <si>
    <t xml:space="preserve">    6. 기타</t>
  </si>
  <si>
    <t xml:space="preserve">    1. 매도가능증권평가손익</t>
  </si>
  <si>
    <t xml:space="preserve">        7) 외화증권</t>
  </si>
  <si>
    <t xml:space="preserve">        8) 기타</t>
  </si>
  <si>
    <t xml:space="preserve">    4. 위험회피 파생상품평가손익</t>
  </si>
  <si>
    <t xml:space="preserve">    5. 외환차이누계액</t>
  </si>
  <si>
    <t xml:space="preserve">    1. 이익준비금</t>
  </si>
  <si>
    <t xml:space="preserve">    2. 대손준비금</t>
  </si>
  <si>
    <t xml:space="preserve">    3. 전자금융사고배상준비금</t>
  </si>
  <si>
    <t xml:space="preserve">    4. 기타법정준비금</t>
  </si>
  <si>
    <t xml:space="preserve">    5. 신탁사업적립금</t>
  </si>
  <si>
    <t xml:space="preserve">    6. 임의적립금</t>
  </si>
  <si>
    <t xml:space="preserve">    7. 미처분이익잉여금</t>
  </si>
  <si>
    <t xml:space="preserve">    1. 상환우선주</t>
  </si>
  <si>
    <t>Ⅱ. 자본잉여금</t>
  </si>
  <si>
    <t>Ⅲ. 자본조정</t>
  </si>
  <si>
    <t>Ⅳ. 기타포괄손익누계액</t>
  </si>
  <si>
    <t>Ⅴ. 이익잉여금</t>
  </si>
  <si>
    <t>신탁수수료</t>
    <phoneticPr fontId="73" type="noConversion"/>
  </si>
  <si>
    <t xml:space="preserve">  인수및주선수수료</t>
    <phoneticPr fontId="73" type="noConversion"/>
  </si>
  <si>
    <t xml:space="preserve">  매수및합병수수료(자문수수료)</t>
    <phoneticPr fontId="73" type="noConversion"/>
  </si>
  <si>
    <t xml:space="preserve">  사채모집수수료</t>
    <phoneticPr fontId="73" type="noConversion"/>
  </si>
  <si>
    <t>사채모집수탁수수료</t>
    <phoneticPr fontId="73" type="noConversion"/>
  </si>
  <si>
    <t>판관비</t>
    <phoneticPr fontId="73" type="noConversion"/>
  </si>
  <si>
    <t>순영업수익/판관비</t>
    <phoneticPr fontId="73" type="noConversion"/>
  </si>
  <si>
    <t>우발채무</t>
    <phoneticPr fontId="73" type="noConversion"/>
  </si>
  <si>
    <t>자본조정</t>
    <phoneticPr fontId="73" type="noConversion"/>
  </si>
  <si>
    <t>배당결의액</t>
    <phoneticPr fontId="73" type="noConversion"/>
  </si>
  <si>
    <t>자본조정</t>
    <phoneticPr fontId="73" type="noConversion"/>
  </si>
  <si>
    <t>배당결의액은 차년에 배당하기로 한 금액이기 때문에 올해 이익과 내년도에 배당할 배당결의액을 같이 봄</t>
    <phoneticPr fontId="73" type="noConversion"/>
  </si>
  <si>
    <t>주석</t>
    <phoneticPr fontId="73" type="noConversion"/>
  </si>
  <si>
    <t>미지급금</t>
    <phoneticPr fontId="73" type="noConversion"/>
  </si>
  <si>
    <t xml:space="preserve">  기타부채 중 미지급금</t>
    <phoneticPr fontId="73" type="noConversion"/>
  </si>
  <si>
    <r>
      <t xml:space="preserve">기타부채 </t>
    </r>
    <r>
      <rPr>
        <sz val="9"/>
        <color theme="1"/>
        <rFont val="맑은 고딕"/>
        <family val="2"/>
        <charset val="129"/>
      </rPr>
      <t>- 미지급금</t>
    </r>
    <phoneticPr fontId="73" type="noConversion"/>
  </si>
  <si>
    <t xml:space="preserve">  사채 (선순위+후순위)</t>
    <phoneticPr fontId="73" type="noConversion"/>
  </si>
  <si>
    <t>선순위사채</t>
    <phoneticPr fontId="73" type="noConversion"/>
  </si>
  <si>
    <t>후순위사채</t>
    <phoneticPr fontId="73" type="noConversion"/>
  </si>
  <si>
    <t xml:space="preserve">  발행어음</t>
    <phoneticPr fontId="73" type="noConversion"/>
  </si>
  <si>
    <t>차입금</t>
    <phoneticPr fontId="73" type="noConversion"/>
  </si>
  <si>
    <t>전단채</t>
    <phoneticPr fontId="73" type="noConversion"/>
  </si>
  <si>
    <r>
      <t xml:space="preserve">발행사채 </t>
    </r>
    <r>
      <rPr>
        <sz val="9"/>
        <color theme="1"/>
        <rFont val="맑은 고딕"/>
        <family val="2"/>
        <charset val="129"/>
      </rPr>
      <t>= 선순위+후순위</t>
    </r>
    <phoneticPr fontId="73" type="noConversion"/>
  </si>
  <si>
    <r>
      <t>6</t>
    </r>
    <r>
      <rPr>
        <sz val="9"/>
        <color theme="1"/>
        <rFont val="맑은 고딕"/>
        <family val="2"/>
        <charset val="129"/>
      </rPr>
      <t xml:space="preserve">.1) </t>
    </r>
    <r>
      <rPr>
        <sz val="9"/>
        <color theme="1"/>
        <rFont val="맑은 고딕"/>
        <family val="2"/>
        <charset val="129"/>
      </rPr>
      <t>전자단기사채</t>
    </r>
    <phoneticPr fontId="73" type="noConversion"/>
  </si>
  <si>
    <r>
      <t>6.</t>
    </r>
    <r>
      <rPr>
        <sz val="9"/>
        <color theme="1"/>
        <rFont val="맑은 고딕"/>
        <family val="2"/>
        <charset val="129"/>
      </rPr>
      <t xml:space="preserve">2) </t>
    </r>
    <r>
      <rPr>
        <sz val="9"/>
        <color theme="1"/>
        <rFont val="맑은 고딕"/>
        <family val="2"/>
        <charset val="129"/>
      </rPr>
      <t>사채</t>
    </r>
    <r>
      <rPr>
        <sz val="9"/>
        <color theme="1"/>
        <rFont val="맑은 고딕"/>
        <family val="2"/>
        <charset val="129"/>
      </rPr>
      <t>(선순위사채)</t>
    </r>
    <phoneticPr fontId="73" type="noConversion"/>
  </si>
  <si>
    <r>
      <t>9.발행어음(종금계정)</t>
    </r>
    <r>
      <rPr>
        <sz val="9"/>
        <color theme="1"/>
        <rFont val="맑은 고딕"/>
        <family val="2"/>
        <charset val="129"/>
      </rPr>
      <t xml:space="preserve"> CMA</t>
    </r>
    <phoneticPr fontId="73" type="noConversion"/>
  </si>
  <si>
    <t xml:space="preserve">  차입금 = 차입금(CP가포함됨)+전단채</t>
    <phoneticPr fontId="73" type="noConversion"/>
  </si>
  <si>
    <r>
      <t>전자단기사채의 사채</t>
    </r>
    <r>
      <rPr>
        <sz val="9"/>
        <color theme="1"/>
        <rFont val="맑은 고딕"/>
        <family val="2"/>
        <charset val="129"/>
      </rPr>
      <t xml:space="preserve"> 포함으로 17.12말 연결식 변경됨</t>
    </r>
    <phoneticPr fontId="73" type="noConversion"/>
  </si>
  <si>
    <t xml:space="preserve">   운용자산(E)</t>
  </si>
  <si>
    <t xml:space="preserve">   자금조달(F)</t>
  </si>
  <si>
    <t>재무적융통성 (운용조달GAP)</t>
    <phoneticPr fontId="73" type="noConversion"/>
  </si>
  <si>
    <t>순영업수익 MS</t>
    <phoneticPr fontId="73" type="noConversion"/>
  </si>
  <si>
    <t>ROA</t>
    <phoneticPr fontId="73" type="noConversion"/>
  </si>
  <si>
    <t>투자부동산</t>
    <phoneticPr fontId="73" type="noConversion"/>
  </si>
  <si>
    <t>BB</t>
    <phoneticPr fontId="73" type="noConversion"/>
  </si>
  <si>
    <t>AA</t>
    <phoneticPr fontId="136" type="noConversion"/>
  </si>
  <si>
    <t>업권공통</t>
  </si>
  <si>
    <t>긍정</t>
    <phoneticPr fontId="73" type="noConversion"/>
  </si>
  <si>
    <t>부정</t>
    <phoneticPr fontId="73" type="noConversion"/>
  </si>
  <si>
    <t>&lt;0.1</t>
    <phoneticPr fontId="73" type="noConversion"/>
  </si>
  <si>
    <t>순요주의이하자산/자기자본</t>
  </si>
  <si>
    <t>순요주의이하자산/자기자본</t>
    <phoneticPr fontId="73" type="noConversion"/>
  </si>
  <si>
    <t>현금및 현금성자산(+RP매수)</t>
    <phoneticPr fontId="73" type="noConversion"/>
  </si>
  <si>
    <t>리스크관리</t>
    <phoneticPr fontId="136" type="noConversion"/>
  </si>
  <si>
    <t>운영효율성</t>
    <phoneticPr fontId="136" type="noConversion"/>
  </si>
  <si>
    <t>A</t>
    <phoneticPr fontId="73" type="noConversion"/>
  </si>
  <si>
    <t>순자본비율(신NCR)</t>
    <phoneticPr fontId="136" type="noConversion"/>
  </si>
  <si>
    <t>레버리지비율</t>
    <phoneticPr fontId="136" type="noConversion"/>
  </si>
  <si>
    <t>대손준비금</t>
    <phoneticPr fontId="73" type="noConversion"/>
  </si>
  <si>
    <r>
      <t>투자자 예수증권 등</t>
    </r>
    <r>
      <rPr>
        <sz val="9"/>
        <color theme="1"/>
        <rFont val="맑은 고딕"/>
        <family val="2"/>
        <charset val="129"/>
      </rPr>
      <t xml:space="preserve"> 밑에</t>
    </r>
    <r>
      <rPr>
        <sz val="9"/>
        <color theme="1"/>
        <rFont val="맑은 고딕"/>
        <family val="2"/>
        <charset val="129"/>
      </rPr>
      <t xml:space="preserve"> 예수증권</t>
    </r>
    <phoneticPr fontId="73" type="noConversion"/>
  </si>
  <si>
    <t>국내지점</t>
    <phoneticPr fontId="73" type="noConversion"/>
  </si>
  <si>
    <t>수익성</t>
    <phoneticPr fontId="73" type="noConversion"/>
  </si>
  <si>
    <t>보증수수료(어음지급보증 + 17.12말 이전 어음지급보증 / 17.12말 이후 채무보증)</t>
    <phoneticPr fontId="73" type="noConversion"/>
  </si>
  <si>
    <t>현금성자산</t>
    <phoneticPr fontId="73" type="noConversion"/>
  </si>
  <si>
    <t>BBB</t>
    <phoneticPr fontId="73" type="noConversion"/>
  </si>
  <si>
    <t>5년평균 및 추세 반영</t>
  </si>
  <si>
    <t>5년평균 및 추세 반영</t>
    <phoneticPr fontId="73" type="noConversion"/>
  </si>
  <si>
    <t>5년평균치 사용</t>
  </si>
  <si>
    <t>5년평균치 사용</t>
    <phoneticPr fontId="73" type="noConversion"/>
  </si>
  <si>
    <t>순영업수익 MS</t>
    <phoneticPr fontId="73" type="noConversion"/>
  </si>
  <si>
    <t>신용공여</t>
    <phoneticPr fontId="73" type="noConversion"/>
  </si>
  <si>
    <t>사모사채</t>
    <phoneticPr fontId="73" type="noConversion"/>
  </si>
  <si>
    <t xml:space="preserve">  채무보증수수료</t>
    <phoneticPr fontId="73" type="noConversion"/>
  </si>
  <si>
    <r>
      <t>1</t>
    </r>
    <r>
      <rPr>
        <sz val="9"/>
        <color theme="1"/>
        <rFont val="맑은 고딕"/>
        <family val="2"/>
        <charset val="129"/>
      </rPr>
      <t xml:space="preserve">7.12이후 채무보증수수료/ 이전 </t>
    </r>
    <r>
      <rPr>
        <sz val="9"/>
        <color theme="1"/>
        <rFont val="맑은 고딕"/>
        <family val="2"/>
        <charset val="129"/>
      </rPr>
      <t>지급보증료</t>
    </r>
    <phoneticPr fontId="73" type="noConversion"/>
  </si>
  <si>
    <t>순요주의하자산비중</t>
    <phoneticPr fontId="73" type="noConversion"/>
  </si>
  <si>
    <t>Stable</t>
  </si>
  <si>
    <t>한국투자증권</t>
    <phoneticPr fontId="75" type="noConversion"/>
  </si>
  <si>
    <r>
      <t>n</t>
    </r>
    <r>
      <rPr>
        <sz val="9"/>
        <color theme="1"/>
        <rFont val="맑은 고딕"/>
        <family val="2"/>
        <charset val="129"/>
      </rPr>
      <t>.a.</t>
    </r>
    <phoneticPr fontId="73" type="noConversion"/>
  </si>
  <si>
    <t>영업이익</t>
    <phoneticPr fontId="73" type="noConversion"/>
  </si>
  <si>
    <t>계속사업이익</t>
    <phoneticPr fontId="73" type="noConversion"/>
  </si>
  <si>
    <t>한국투자금융지주</t>
    <phoneticPr fontId="73" type="noConversion"/>
  </si>
  <si>
    <t>한국투자금융지주</t>
    <phoneticPr fontId="73" type="noConversion"/>
  </si>
  <si>
    <t>우발채무 / 자기자본</t>
    <phoneticPr fontId="73" type="noConversion"/>
  </si>
  <si>
    <t>[한국투자증권 추정(긍정적)]</t>
    <phoneticPr fontId="73" type="noConversion"/>
  </si>
  <si>
    <t>[한국투자증권 추정(중립적)]</t>
    <phoneticPr fontId="73" type="noConversion"/>
  </si>
  <si>
    <t>[한국투자증권 추정(부정적)]</t>
    <phoneticPr fontId="73" type="noConversion"/>
  </si>
  <si>
    <t>업권 공통 (수수료율 하락 추세 지속) / FISIS 업데이트에 따라 수치가 바뀌었음 이에 대한 의사결정 필요</t>
  </si>
  <si>
    <t>업권 공통 (수수료율 하락 추세 지속) / FISIS 업데이트에 따라 수치가 바뀌었음 이에 대한 의사결정 필요</t>
    <phoneticPr fontId="73" type="noConversion"/>
  </si>
  <si>
    <t>FISIS업데이트로 바뀜</t>
  </si>
  <si>
    <t>FISIS업데이트로 바뀜</t>
    <phoneticPr fontId="73" type="noConversion"/>
  </si>
  <si>
    <t>발행어음 사업 개시로 타사 대비 자산성장율 높을 것으로 예상</t>
  </si>
  <si>
    <t>발행어음 사업 개시로 대출금 크게 증가</t>
  </si>
  <si>
    <t>IB사업 경쟁심화 2018년 이후 성장율 둔화</t>
  </si>
  <si>
    <t>운용환경 저하(시장 금리 상승, 2017년 주식시장 호조의 기저효과 등 감안 )</t>
  </si>
  <si>
    <t>5년 평균 및 추세 반영</t>
  </si>
  <si>
    <t>5년 평균 사용</t>
  </si>
  <si>
    <t>한투는 타 대형사 대비 판관비가 매우 낮음. 점진적 비용 정상화 가정 (실적 호조에 따른 성과급 확대도 감안)</t>
  </si>
  <si>
    <t xml:space="preserve">2017년은 실제치(2016년 배당결의액+2017년 중간배당) 반영 </t>
  </si>
  <si>
    <t>대출금 증가에 따라 건전성 관련 부실자산 증가 전망</t>
  </si>
  <si>
    <t>대손준비금 증가 전망</t>
  </si>
  <si>
    <t>평균 및 최근 추세 반영</t>
  </si>
  <si>
    <t>총위험액 증가 전망</t>
  </si>
  <si>
    <t>최근 급격한 우발채무 증가-&gt;부동산 경기 저하, 리스크관리 강화로 '19년 이후 감소 예상</t>
  </si>
  <si>
    <t>AAA</t>
    <phoneticPr fontId="73" type="noConversion"/>
  </si>
  <si>
    <t>A</t>
    <phoneticPr fontId="87" type="noConversion"/>
  </si>
  <si>
    <t>발행어음 증가로 단기 조달자금 비중 상승 전망</t>
  </si>
  <si>
    <t>비고</t>
  </si>
  <si>
    <t>한국투자신탁 배당금수익</t>
    <phoneticPr fontId="73" type="noConversion"/>
  </si>
  <si>
    <t>한국투자밸류자산운용 배당금</t>
    <phoneticPr fontId="73" type="noConversion"/>
  </si>
  <si>
    <t>New 손익 계산</t>
    <phoneticPr fontId="73" type="noConversion"/>
  </si>
  <si>
    <t>위탁매매손익 = 위탁매매수익 - 위탁매매 비용</t>
    <phoneticPr fontId="73" type="noConversion"/>
  </si>
  <si>
    <t>위탁매매수익 = 수탁수수료 + 송금수수료 수익 + 신용공여이자 + 증금예치금이자 + 미수금이자 + 차주매각대금이용료+별도예치금평가이익</t>
    <phoneticPr fontId="73" type="noConversion"/>
  </si>
  <si>
    <t xml:space="preserve">  수탁수수료 수익</t>
    <phoneticPr fontId="73" type="noConversion"/>
  </si>
  <si>
    <t xml:space="preserve">  송금수수료 수익</t>
    <phoneticPr fontId="73" type="noConversion"/>
  </si>
  <si>
    <t xml:space="preserve">  신용공여이자</t>
    <phoneticPr fontId="73" type="noConversion"/>
  </si>
  <si>
    <t xml:space="preserve">  증금예치금이자</t>
    <phoneticPr fontId="73" type="noConversion"/>
  </si>
  <si>
    <t xml:space="preserve">  미수금이자</t>
    <phoneticPr fontId="73" type="noConversion"/>
  </si>
  <si>
    <t xml:space="preserve">  차주매각대금이용료</t>
    <phoneticPr fontId="73" type="noConversion"/>
  </si>
  <si>
    <t xml:space="preserve">  별도예치금평가이익</t>
    <phoneticPr fontId="73" type="noConversion"/>
  </si>
  <si>
    <t>위탁매매비용 = 매매수수료 + 투자상담사수수료 + 송금수수료 + 대주매각대금이용료 + 투자자예탁금이용료 + 별도예치금평가손실</t>
    <phoneticPr fontId="73" type="noConversion"/>
  </si>
  <si>
    <t xml:space="preserve"> 매매수수료</t>
    <phoneticPr fontId="73" type="noConversion"/>
  </si>
  <si>
    <t xml:space="preserve">  투자상담수수료</t>
    <phoneticPr fontId="73" type="noConversion"/>
  </si>
  <si>
    <t xml:space="preserve">  송금수수료 비용</t>
    <phoneticPr fontId="73" type="noConversion"/>
  </si>
  <si>
    <t xml:space="preserve">  대주매각대금이용료</t>
    <phoneticPr fontId="73" type="noConversion"/>
  </si>
  <si>
    <t xml:space="preserve">  투자자예탁금이용료</t>
    <phoneticPr fontId="73" type="noConversion"/>
  </si>
  <si>
    <t xml:space="preserve">  별도예치금평가손실</t>
    <phoneticPr fontId="73" type="noConversion"/>
  </si>
  <si>
    <t>투자은행 손익 = 인수주선수수료 + 사채모집수탁수수료 + 어음지급보증료 + 매수 및 합병수수료 + 대지급금이자 + 지급보증료 -&gt; 채무보증료</t>
    <phoneticPr fontId="73" type="noConversion"/>
  </si>
  <si>
    <t>인수주선수수료</t>
    <phoneticPr fontId="73" type="noConversion"/>
  </si>
  <si>
    <t>사채모집수탁수수료</t>
    <phoneticPr fontId="73" type="noConversion"/>
  </si>
  <si>
    <t>어음지금보증료</t>
    <phoneticPr fontId="73" type="noConversion"/>
  </si>
  <si>
    <t>매수 및 합병 수수료</t>
    <phoneticPr fontId="73" type="noConversion"/>
  </si>
  <si>
    <t>대지급금이자</t>
    <phoneticPr fontId="73" type="noConversion"/>
  </si>
  <si>
    <t>지급보증료 -&gt; 채무보증료</t>
    <phoneticPr fontId="73" type="noConversion"/>
  </si>
  <si>
    <t>자산관리 및 상품판매</t>
    <phoneticPr fontId="73" type="noConversion"/>
  </si>
  <si>
    <t>자산관리 손익 = 자산관리수수료 + 신탁보수 - 투자자문 수수료 - 투자일임수수료</t>
    <phoneticPr fontId="73" type="noConversion"/>
  </si>
  <si>
    <t>자산관리 수수료</t>
    <phoneticPr fontId="73" type="noConversion"/>
  </si>
  <si>
    <t>신탁 보수</t>
    <phoneticPr fontId="73" type="noConversion"/>
  </si>
  <si>
    <t>- 투자자문 수수료</t>
    <phoneticPr fontId="73" type="noConversion"/>
  </si>
  <si>
    <t>- 투자일임수수료</t>
    <phoneticPr fontId="73" type="noConversion"/>
  </si>
  <si>
    <t>상품판매 손익 = 집합투자증권취급수수료 + 집합투자기구운용보수 + 파생결합증권판매수수료 + CMA운용수익(종금) + CMA운용수수료(종금) - CMA수탁금이자(종금)</t>
    <phoneticPr fontId="73" type="noConversion"/>
  </si>
  <si>
    <t xml:space="preserve">  집합투자증권취급수수료</t>
    <phoneticPr fontId="73" type="noConversion"/>
  </si>
  <si>
    <t xml:space="preserve">  집합투자기구운용보수</t>
    <phoneticPr fontId="73" type="noConversion"/>
  </si>
  <si>
    <t xml:space="preserve">  파생결합증권판매 수수료</t>
    <phoneticPr fontId="73" type="noConversion"/>
  </si>
  <si>
    <t xml:space="preserve">  CMA 운용수익(종금)</t>
    <phoneticPr fontId="73" type="noConversion"/>
  </si>
  <si>
    <t xml:space="preserve">  CMA 운용수수료(종금)</t>
    <phoneticPr fontId="73" type="noConversion"/>
  </si>
  <si>
    <t xml:space="preserve">  - CMA 수탁금이자(종금)</t>
    <phoneticPr fontId="73" type="noConversion"/>
  </si>
  <si>
    <t>자기매매이익 - 대출채권관련손익</t>
    <phoneticPr fontId="73" type="noConversion"/>
  </si>
  <si>
    <t>증권평가 및 처분손익</t>
    <phoneticPr fontId="73" type="noConversion"/>
  </si>
  <si>
    <t>파생상품 관련손익</t>
    <phoneticPr fontId="73" type="noConversion"/>
  </si>
  <si>
    <t>대출채권 관련손익</t>
    <phoneticPr fontId="73" type="noConversion"/>
  </si>
  <si>
    <t>외환거래손익</t>
    <phoneticPr fontId="73" type="noConversion"/>
  </si>
  <si>
    <t>배당금 및 분배금 수익</t>
    <phoneticPr fontId="73" type="noConversion"/>
  </si>
  <si>
    <t>일반상품 처분 및 평가손익</t>
    <phoneticPr fontId="73" type="noConversion"/>
  </si>
  <si>
    <t>기타당기손익인식금융상품관련 이익</t>
    <phoneticPr fontId="73" type="noConversion"/>
  </si>
  <si>
    <t>양도성예금증서거래손익</t>
    <phoneticPr fontId="73" type="noConversion"/>
  </si>
  <si>
    <t>파생상품 및 파생결합증권 신용위험+거래일손익인식평가조정환입/전입</t>
    <phoneticPr fontId="73" type="noConversion"/>
  </si>
  <si>
    <t>채권,어음 등 관련 이자손익</t>
    <phoneticPr fontId="73" type="noConversion"/>
  </si>
  <si>
    <t>채권,어음등 관련 이자수익</t>
    <phoneticPr fontId="73" type="noConversion"/>
  </si>
  <si>
    <t>채권 어음등 관련 이자비용</t>
    <phoneticPr fontId="73" type="noConversion"/>
  </si>
  <si>
    <t>영업수익</t>
    <phoneticPr fontId="73" type="noConversion"/>
  </si>
  <si>
    <t>영업비용</t>
    <phoneticPr fontId="73" type="noConversion"/>
  </si>
  <si>
    <t>판매관리비</t>
    <phoneticPr fontId="73" type="noConversion"/>
  </si>
  <si>
    <t>대손관련손익</t>
    <phoneticPr fontId="73" type="noConversion"/>
  </si>
  <si>
    <t>대출채권평가이익</t>
  </si>
  <si>
    <t>대출채권관련이익 기타</t>
  </si>
  <si>
    <t>대출채권평가손실</t>
  </si>
  <si>
    <t>대출채권관련손실기타</t>
  </si>
  <si>
    <t>기타대손상각비</t>
  </si>
  <si>
    <t>현재기준 순영업수익 = 영업이익 + 판관비 - 대손관련손익</t>
    <phoneticPr fontId="73" type="noConversion"/>
  </si>
  <si>
    <t>기타손익</t>
    <phoneticPr fontId="73" type="noConversion"/>
  </si>
  <si>
    <t>New 손익 정리</t>
    <phoneticPr fontId="73" type="noConversion"/>
  </si>
  <si>
    <t>위탁매매손익</t>
  </si>
  <si>
    <t>투자은행손익</t>
  </si>
  <si>
    <t>자산관리 및 상품판매 손익</t>
  </si>
  <si>
    <t>자기매매 손익</t>
  </si>
  <si>
    <t>기타 손익</t>
  </si>
  <si>
    <t>판매관리비</t>
  </si>
  <si>
    <t>구 손익정리</t>
    <phoneticPr fontId="73" type="noConversion"/>
  </si>
  <si>
    <t>자산관리 손익</t>
    <phoneticPr fontId="73" type="noConversion"/>
  </si>
  <si>
    <t>금융부문손익</t>
    <phoneticPr fontId="73" type="noConversion"/>
  </si>
  <si>
    <t>순영업수익 역산</t>
    <phoneticPr fontId="73" type="noConversion"/>
  </si>
  <si>
    <t>대손관련손익</t>
    <phoneticPr fontId="73" type="noConversion"/>
  </si>
  <si>
    <t>한국투자금융지주</t>
    <phoneticPr fontId="73" type="noConversion"/>
  </si>
  <si>
    <t>시스템중요성</t>
  </si>
  <si>
    <t>시스템중요성</t>
    <phoneticPr fontId="73" type="noConversion"/>
  </si>
  <si>
    <t>극히높음</t>
    <phoneticPr fontId="73" type="noConversion"/>
  </si>
  <si>
    <t>매우높음</t>
    <phoneticPr fontId="73" type="noConversion"/>
  </si>
  <si>
    <t>높음</t>
    <phoneticPr fontId="73" type="noConversion"/>
  </si>
  <si>
    <t>보통</t>
    <phoneticPr fontId="73" type="noConversion"/>
  </si>
  <si>
    <t>낮음</t>
    <phoneticPr fontId="73" type="noConversion"/>
  </si>
  <si>
    <t>자체헤지</t>
    <phoneticPr fontId="73" type="noConversion"/>
  </si>
  <si>
    <t>원금비보장형/자기자본</t>
    <phoneticPr fontId="73" type="noConversion"/>
  </si>
  <si>
    <t>비보장ELS/DLS/자기자본</t>
    <phoneticPr fontId="73" type="noConversion"/>
  </si>
  <si>
    <t>시스템/고정비</t>
  </si>
  <si>
    <t>시스템/고정비</t>
    <phoneticPr fontId="73" type="noConversion"/>
  </si>
  <si>
    <t>관리 극히우수</t>
    <phoneticPr fontId="73" type="noConversion"/>
  </si>
  <si>
    <t>관리 매우우수</t>
    <phoneticPr fontId="73" type="noConversion"/>
  </si>
  <si>
    <t>관리 우수</t>
    <phoneticPr fontId="73" type="noConversion"/>
  </si>
  <si>
    <t>관리 보통</t>
    <phoneticPr fontId="73" type="noConversion"/>
  </si>
  <si>
    <t>관리 낮음</t>
    <phoneticPr fontId="73" type="noConversion"/>
  </si>
  <si>
    <t>한국투자금융그룹</t>
    <phoneticPr fontId="136" type="noConversion"/>
  </si>
  <si>
    <t>aa</t>
    <phoneticPr fontId="73" type="noConversion"/>
  </si>
  <si>
    <t>매우높음</t>
    <phoneticPr fontId="73" type="noConversion"/>
  </si>
  <si>
    <t>AA/Stable</t>
    <phoneticPr fontId="73" type="noConversion"/>
  </si>
  <si>
    <t>~17.12</t>
    <phoneticPr fontId="73" type="noConversion"/>
  </si>
  <si>
    <t>18.03~</t>
    <phoneticPr fontId="73" type="noConversion"/>
  </si>
  <si>
    <t xml:space="preserve">    1.당기손익-공정가치측정증권</t>
  </si>
  <si>
    <t xml:space="preserve">    2. 기타포괄손익-공정가치측정증권</t>
  </si>
  <si>
    <t xml:space="preserve">    3. 상각후원가측정증권</t>
  </si>
  <si>
    <t xml:space="preserve">    6. 대손충당금(-)</t>
  </si>
  <si>
    <t xml:space="preserve">        1) 상각후원가측정증권대손충당금</t>
  </si>
  <si>
    <t xml:space="preserve">    1. 기타포괄손익-공정가치측정금융자산평가손익</t>
  </si>
  <si>
    <t xml:space="preserve">        8) 대출채권</t>
  </si>
  <si>
    <t xml:space="preserve">    2. 기타포괄손익-공정가치측정금융자산처분손익</t>
  </si>
  <si>
    <t xml:space="preserve">    3. 지분법 자본변동</t>
  </si>
  <si>
    <t xml:space="preserve">    4. 부의 지분법 자본변동</t>
  </si>
  <si>
    <t xml:space="preserve">    5. 위험회피 파생상품평가손익</t>
  </si>
  <si>
    <t xml:space="preserve">    6. 외환차이누계액</t>
  </si>
  <si>
    <t xml:space="preserve">    7. 유형자산재평가이익</t>
  </si>
  <si>
    <t xml:space="preserve">    8. 기타</t>
  </si>
  <si>
    <t xml:space="preserve">        1) 당기손익-공정가치측정증권처분이익</t>
  </si>
  <si>
    <t xml:space="preserve">            ⑥ 당기손익-공정가치측정증권상환이익</t>
  </si>
  <si>
    <t xml:space="preserve">        2) 당기손익-공정가치측정증권평가이익</t>
  </si>
  <si>
    <t xml:space="preserve">        3) 기타포괄손익-공정가치측정증권처분이익</t>
  </si>
  <si>
    <t xml:space="preserve">            ① 채권처분이익</t>
  </si>
  <si>
    <t xml:space="preserve">            ② 집합투자증권처분이익</t>
  </si>
  <si>
    <t xml:space="preserve">            ③ 기업어음증권처분이익</t>
  </si>
  <si>
    <t xml:space="preserve">            ④ 기타포괄손익-공정가치측정증권상환이익</t>
  </si>
  <si>
    <t xml:space="preserve">        4) 상각후원가측정증권처분이익</t>
  </si>
  <si>
    <t xml:space="preserve">        5) 증권 대손충당금환입액</t>
  </si>
  <si>
    <t xml:space="preserve">            ① 기타포괄손익-공정가치측정증권 대손충당금환입액</t>
  </si>
  <si>
    <t xml:space="preserve">            ② 상각후원가측정증권 대손충당금환입액</t>
  </si>
  <si>
    <t xml:space="preserve">    8. 기타당기손익-공정가치측정금융상품 관련 이익</t>
  </si>
  <si>
    <t xml:space="preserve">        1) 당기손익-공정가치측정증권처분손실</t>
  </si>
  <si>
    <t xml:space="preserve">            ⑥ 당기손익-공정가치측정증권상환손실</t>
  </si>
  <si>
    <t xml:space="preserve">        2) 당기손익-공정가치측정증권평가손실</t>
  </si>
  <si>
    <t xml:space="preserve">        3) 기타포괄손익-공정가치측정증권처분손실</t>
  </si>
  <si>
    <t xml:space="preserve">            ② 집합투자증권처분손실</t>
  </si>
  <si>
    <t xml:space="preserve">            ③ 기업어음증권처분손실</t>
  </si>
  <si>
    <t xml:space="preserve">            ④ 기타포괄손익-공정가치측정증권상환손실</t>
  </si>
  <si>
    <t xml:space="preserve">        4) 상각후원가측정증권처분손실</t>
  </si>
  <si>
    <t xml:space="preserve">        5) 증권 대손충당금전입액</t>
  </si>
  <si>
    <t xml:space="preserve">            ① 기타포괄손익-공정가치측정증권 대손충당금전입액</t>
  </si>
  <si>
    <t xml:space="preserve">            ② 상각후원가측정증권 대손충당금전입액</t>
  </si>
  <si>
    <t xml:space="preserve">    9. 기타당기손익-공정가치측정금융상품 관련 손실</t>
  </si>
  <si>
    <t xml:space="preserve">    5. 현금흐름위험회피 파생상품평가손익</t>
  </si>
  <si>
    <t xml:space="preserve">    6. 외환차이</t>
  </si>
  <si>
    <t xml:space="preserve">    9. 기타포괄손익에 대한 법인세효과</t>
  </si>
  <si>
    <t>FY18.1Q</t>
    <phoneticPr fontId="73" type="noConversion"/>
  </si>
  <si>
    <t>'18.03</t>
    <phoneticPr fontId="73" type="noConversion"/>
  </si>
  <si>
    <t>유가증권</t>
    <phoneticPr fontId="73" type="noConversion"/>
  </si>
  <si>
    <t>당기손익-공정가치</t>
    <phoneticPr fontId="73" type="noConversion"/>
  </si>
  <si>
    <t>기타포괄손익-공정가치</t>
    <phoneticPr fontId="73" type="noConversion"/>
  </si>
  <si>
    <t>'18.03</t>
    <phoneticPr fontId="73" type="noConversion"/>
  </si>
  <si>
    <t>1. 자산건전성 관련비율</t>
    <phoneticPr fontId="64" type="noConversion"/>
  </si>
  <si>
    <t>(대손충당금+대손준비금)/고정이하자산*100</t>
  </si>
  <si>
    <t>(자산건전성분류대상자산-정상자산-대손충당금등)/자기자본*100</t>
  </si>
  <si>
    <t>2. 자본적정성 관련비율</t>
    <phoneticPr fontId="64" type="noConversion"/>
  </si>
  <si>
    <t>영업용순자본/총위험액*100</t>
  </si>
  <si>
    <t>순자본비율(%)</t>
    <phoneticPr fontId="64" type="noConversion"/>
  </si>
  <si>
    <t>(영업용순자본-총위험액)/필요 유지 자기자본*100</t>
    <phoneticPr fontId="64" type="noConversion"/>
  </si>
  <si>
    <t>잉여자본(억원)</t>
    <phoneticPr fontId="136" type="noConversion"/>
  </si>
  <si>
    <t>영업용순자본 - 총위험액</t>
    <phoneticPr fontId="64" type="noConversion"/>
  </si>
  <si>
    <t>단순레버리지비율(%)</t>
    <phoneticPr fontId="64" type="noConversion"/>
  </si>
  <si>
    <t>자산총계/자본총계*100</t>
    <phoneticPr fontId="64" type="noConversion"/>
  </si>
  <si>
    <t>우발채무/자기자본(%)</t>
    <phoneticPr fontId="136" type="noConversion"/>
  </si>
  <si>
    <t>우발채무/자본총계*100</t>
    <phoneticPr fontId="64" type="noConversion"/>
  </si>
  <si>
    <t>3. 유동성 관련비율</t>
    <phoneticPr fontId="64" type="noConversion"/>
  </si>
  <si>
    <t>유동성자산/유동성부채*100</t>
  </si>
  <si>
    <t>유동성자산/(유동성부채+우발채무)*100</t>
    <phoneticPr fontId="64" type="noConversion"/>
  </si>
  <si>
    <t>(콜머니+차입금+사채)/총자산*100</t>
  </si>
  <si>
    <t>4. 수익구조및안정성 관련비율</t>
    <phoneticPr fontId="64" type="noConversion"/>
  </si>
  <si>
    <t>수수료수익분산도(%)</t>
    <phoneticPr fontId="64" type="noConversion"/>
  </si>
  <si>
    <t>(1-수탁수수료/수수료수익)*100</t>
    <phoneticPr fontId="64" type="noConversion"/>
  </si>
  <si>
    <t>5. 수익성 관련비율</t>
    <phoneticPr fontId="64" type="noConversion"/>
  </si>
  <si>
    <t>당기순이익/총자산평잔*100</t>
  </si>
  <si>
    <t>총자본순이익률(ROE)(%)</t>
    <phoneticPr fontId="64" type="noConversion"/>
  </si>
  <si>
    <t>당기순이익/총자본평잔*100</t>
    <phoneticPr fontId="64" type="noConversion"/>
  </si>
  <si>
    <t>영업이익/순영업수익*100</t>
  </si>
  <si>
    <t>순영업수익/판관비(%)</t>
    <phoneticPr fontId="64" type="noConversion"/>
  </si>
  <si>
    <t>순영업손익/판관비*100</t>
    <phoneticPr fontId="64" type="noConversion"/>
  </si>
  <si>
    <t>6. 성장성 관련비율</t>
    <phoneticPr fontId="64" type="noConversion"/>
  </si>
  <si>
    <t>(당기총자산/전기총자산-1)*100</t>
  </si>
  <si>
    <t>(당기대고객부채/전기대고객부채-1)*100</t>
  </si>
  <si>
    <t>(당기영업이익/전기영업이익-1)*100</t>
  </si>
  <si>
    <t>(당기순이익/전기순이익-1)*100</t>
  </si>
  <si>
    <t>7. 유의사항</t>
    <phoneticPr fontId="64" type="noConversion"/>
  </si>
  <si>
    <t>(*) 분/반기시점에서는 연환산기준임</t>
    <phoneticPr fontId="64" type="noConversion"/>
  </si>
  <si>
    <t xml:space="preserve">  Flow항목(포괄손익계산서 항목)은 연환산금액 산출시 당기분반기 수치의 연환산 적용 </t>
    <phoneticPr fontId="64" type="noConversion"/>
  </si>
  <si>
    <t xml:space="preserve">  Stock항목(재무상태표 항목)은 평균잔액 산출시 전기수치는 결산기말, 당기수치는 분반기말 적용</t>
    <phoneticPr fontId="64" type="noConversion"/>
  </si>
  <si>
    <t>개별재무제표 기준은 별도재무제표 기준을 포괄하는 개념임.</t>
    <phoneticPr fontId="64" type="noConversion"/>
  </si>
  <si>
    <t>재무지표상 회계기준 K-GAAP은 K-GAAP자체 또는 K-IFRS가 아닌 회계기준(일반기준,특수기준)을 포괄하는 개념임.</t>
    <phoneticPr fontId="64" type="noConversion"/>
  </si>
  <si>
    <t xml:space="preserve">전기 이전 재무제표의 수정은 결산 기준 비교재무제표 또는 수정공시에 한하며, 비상장기업 등은 전기 이전 재무자료의 수정사항이 미반영될 수 있음. </t>
  </si>
  <si>
    <t xml:space="preserve">※ 본 재무자료는 회사로부터 제공받거나 공시된 자료에 기초하여 분석을 위한 참조목적으로 가공된 것으로서, 분류 및 분석 기준 등이 실제 자료와 상이할 수 있으며, 신용평가에 적용한 자료와 차이가 존재할 수 있습니다. NICE신용평가㈜는 본 재무자료에 제시된 어떠한 정보에 대해서도 그 정확성, 적합성 또는 충분성을 보증하지 않으며, 정보의 오류, 사기 및 허위, 미제공 등과 관련한 어떠한 형태의 책임도 부담하지 않습니다. 입력 및 수정 과정에서의 일부 오류 가능성 등으로 정확성이 담보되지 않으니  정보이용자들은 해당 기업의 공시된 자료 등 실제 자료를 반드시 확인하시기 바랍니다. 본 재무자료에 수록된 모든 정보의 저작권은 NICE신용평가㈜의 소유입니다. 따라서 NICE신용평가㈜의 사전 서면동의 없이는 본 정보의 무단 전재, 복사, 유포(재배포), 인용, 가공(재가공), 인쇄(재인쇄), 재판매 등 어떠한 형태든 저작권에 위배되는 모든 행위를 금합니다. </t>
    <phoneticPr fontId="64" type="noConversion"/>
  </si>
  <si>
    <t>유가증권</t>
    <phoneticPr fontId="73" type="noConversion"/>
  </si>
  <si>
    <t>해외사무소</t>
    <phoneticPr fontId="73" type="noConversion"/>
  </si>
  <si>
    <t>현지법인</t>
    <phoneticPr fontId="73" type="noConversion"/>
  </si>
  <si>
    <t>FY17.1Q</t>
    <phoneticPr fontId="73" type="noConversion"/>
  </si>
  <si>
    <t>'17.03</t>
    <phoneticPr fontId="73" type="noConversion"/>
  </si>
  <si>
    <t>자본총계</t>
    <phoneticPr fontId="73" type="noConversion"/>
  </si>
  <si>
    <t>한국증권금융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</si>
  <si>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5. 우발상황 및 주요 약정사항</t>
    </r>
    <phoneticPr fontId="73" type="noConversion"/>
  </si>
  <si>
    <t>운영자금차입금</t>
    <phoneticPr fontId="73" type="noConversion"/>
  </si>
  <si>
    <t>할인어음차입</t>
    <phoneticPr fontId="73" type="noConversion"/>
  </si>
  <si>
    <t>담보금융지원대출</t>
    <phoneticPr fontId="73" type="noConversion"/>
  </si>
  <si>
    <t>신유통금융차입</t>
    <phoneticPr fontId="73" type="noConversion"/>
  </si>
  <si>
    <t>해외사무소</t>
    <phoneticPr fontId="73" type="noConversion"/>
  </si>
  <si>
    <t>현지법인</t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</si>
  <si>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A급이상 비중 </t>
    </r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</si>
  <si>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급이상 비중 </t>
    </r>
    <phoneticPr fontId="73" type="noConversion"/>
  </si>
  <si>
    <t>A급 이상비중</t>
    <phoneticPr fontId="73" type="noConversion"/>
  </si>
  <si>
    <t>대출 채권 중 비중</t>
    <phoneticPr fontId="73" type="noConversion"/>
  </si>
  <si>
    <t xml:space="preserve">  6.대출금(일반계정)</t>
    <phoneticPr fontId="73" type="noConversion"/>
  </si>
  <si>
    <t>일반대출금</t>
    <phoneticPr fontId="73" type="noConversion"/>
  </si>
  <si>
    <t>신용공여+일반대출금+사모사채</t>
    <phoneticPr fontId="73" type="noConversion"/>
  </si>
  <si>
    <t>배당수익</t>
    <phoneticPr fontId="73" type="noConversion"/>
  </si>
  <si>
    <t>자회사 배당수익</t>
    <phoneticPr fontId="73" type="noConversion"/>
  </si>
  <si>
    <t>요주의이하자산</t>
    <phoneticPr fontId="73" type="noConversion"/>
  </si>
  <si>
    <t>자기자본 대비 요주의</t>
    <phoneticPr fontId="73" type="noConversion"/>
  </si>
  <si>
    <t>한국증권금융차입금</t>
    <phoneticPr fontId="73" type="noConversion"/>
  </si>
  <si>
    <t>증권금융차입금</t>
    <phoneticPr fontId="73" type="noConversion"/>
  </si>
  <si>
    <t>증권사 비교표</t>
    <phoneticPr fontId="286" type="noConversion"/>
  </si>
  <si>
    <t>순영업수익점유율</t>
    <phoneticPr fontId="73" type="noConversion"/>
  </si>
  <si>
    <r>
      <t>N</t>
    </r>
    <r>
      <rPr>
        <sz val="9"/>
        <color theme="1"/>
        <rFont val="맑은 고딕"/>
        <family val="2"/>
        <charset val="129"/>
      </rPr>
      <t>A</t>
    </r>
    <phoneticPr fontId="73" type="noConversion"/>
  </si>
  <si>
    <t>회사수탁거래</t>
    <phoneticPr fontId="73" type="noConversion"/>
  </si>
  <si>
    <t>FY18.1~6</t>
    <phoneticPr fontId="73" type="noConversion"/>
  </si>
  <si>
    <t>'18.06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</si>
  <si>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6. 특수관계자 거래 (2)</t>
    </r>
    <phoneticPr fontId="73" type="noConversion"/>
  </si>
  <si>
    <t>'18.06</t>
    <phoneticPr fontId="73" type="noConversion"/>
  </si>
  <si>
    <t>자회사 배당</t>
    <phoneticPr fontId="73" type="noConversion"/>
  </si>
  <si>
    <t>FY15</t>
    <phoneticPr fontId="73" type="noConversion"/>
  </si>
  <si>
    <t>FY17.1~6</t>
    <phoneticPr fontId="73" type="noConversion"/>
  </si>
  <si>
    <t>채권</t>
    <phoneticPr fontId="73" type="noConversion"/>
  </si>
  <si>
    <t>국공채</t>
  </si>
  <si>
    <t>특수채</t>
  </si>
  <si>
    <t>CP</t>
  </si>
  <si>
    <t>FY18.1~9</t>
    <phoneticPr fontId="73" type="noConversion"/>
  </si>
  <si>
    <t>'18.09</t>
    <phoneticPr fontId="73" type="noConversion"/>
  </si>
  <si>
    <t>FY17.1~9</t>
    <phoneticPr fontId="73" type="noConversion"/>
  </si>
  <si>
    <t>사업확대에 따른 레버리지 상승전망</t>
    <phoneticPr fontId="73" type="noConversion"/>
  </si>
  <si>
    <t>FY18</t>
    <phoneticPr fontId="73" type="noConversion"/>
  </si>
  <si>
    <r>
      <t>'1</t>
    </r>
    <r>
      <rPr>
        <b/>
        <sz val="10"/>
        <color theme="0"/>
        <rFont val="맑은 고딕"/>
        <family val="3"/>
        <charset val="129"/>
      </rPr>
      <t>8.12</t>
    </r>
    <phoneticPr fontId="73" type="noConversion"/>
  </si>
  <si>
    <r>
      <t>FY1</t>
    </r>
    <r>
      <rPr>
        <sz val="10"/>
        <color theme="1"/>
        <rFont val="맑은 고딕"/>
        <family val="3"/>
        <charset val="129"/>
      </rPr>
      <t>8</t>
    </r>
    <phoneticPr fontId="73" type="noConversion"/>
  </si>
  <si>
    <t>'19.12</t>
  </si>
  <si>
    <t>'20.12</t>
  </si>
  <si>
    <t>'21.12</t>
    <phoneticPr fontId="73" type="noConversion"/>
  </si>
  <si>
    <r>
      <t>202</t>
    </r>
    <r>
      <rPr>
        <b/>
        <sz val="10"/>
        <color theme="0"/>
        <rFont val="맑은 고딕"/>
        <family val="3"/>
        <charset val="129"/>
      </rPr>
      <t>1</t>
    </r>
    <r>
      <rPr>
        <b/>
        <sz val="10"/>
        <color theme="0"/>
        <rFont val="나눔고딕"/>
        <family val="3"/>
        <charset val="129"/>
      </rPr>
      <t>(E)</t>
    </r>
    <phoneticPr fontId="136" type="noConversion"/>
  </si>
  <si>
    <t>FY19</t>
  </si>
  <si>
    <t>FY20</t>
  </si>
  <si>
    <r>
      <t>FY2</t>
    </r>
    <r>
      <rPr>
        <sz val="10"/>
        <color theme="1"/>
        <rFont val="맑은 고딕"/>
        <family val="3"/>
        <charset val="129"/>
      </rPr>
      <t>1</t>
    </r>
    <phoneticPr fontId="73" type="noConversion"/>
  </si>
  <si>
    <t>2019년 순영업수익은 금융투자협회 기준</t>
    <phoneticPr fontId="73" type="noConversion"/>
  </si>
  <si>
    <t>2018년은 2,302 였다가 12말 결산에 3902억원으로 확인됨</t>
    <phoneticPr fontId="73" type="noConversion"/>
  </si>
  <si>
    <t>2019년</t>
    <phoneticPr fontId="73" type="noConversion"/>
  </si>
  <si>
    <t>2021(E)</t>
  </si>
  <si>
    <t>2021(E)</t>
    <phoneticPr fontId="75" type="noConversion"/>
  </si>
  <si>
    <t>'18</t>
  </si>
  <si>
    <t>'18</t>
    <phoneticPr fontId="73" type="noConversion"/>
  </si>
  <si>
    <t>2020(F)</t>
    <phoneticPr fontId="75" type="noConversion"/>
  </si>
  <si>
    <t>‘19(F)</t>
    <phoneticPr fontId="73" type="noConversion"/>
  </si>
  <si>
    <t>‘20(F)</t>
    <phoneticPr fontId="73" type="noConversion"/>
  </si>
  <si>
    <t>조정폭</t>
    <phoneticPr fontId="73" type="noConversion"/>
  </si>
  <si>
    <t>'15</t>
  </si>
  <si>
    <t>'16</t>
  </si>
  <si>
    <t>'17</t>
  </si>
  <si>
    <t>'18</t>
    <phoneticPr fontId="136" type="noConversion"/>
  </si>
  <si>
    <r>
      <t>'20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</si>
  <si>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'19F</t>
  </si>
  <si>
    <t>'20F</t>
  </si>
  <si>
    <t>18.09 지점점유율</t>
    <phoneticPr fontId="73" type="noConversion"/>
  </si>
  <si>
    <t>금융지주 연결</t>
    <phoneticPr fontId="73" type="noConversion"/>
  </si>
  <si>
    <t>선순위</t>
  </si>
  <si>
    <t>(이하 단위: 억 원, %)</t>
    <phoneticPr fontId="75" type="noConversion"/>
  </si>
  <si>
    <t>FY15</t>
  </si>
  <si>
    <t>0.5~1.0%</t>
    <phoneticPr fontId="73" type="noConversion"/>
  </si>
  <si>
    <t>대출금</t>
    <phoneticPr fontId="73" type="noConversion"/>
  </si>
  <si>
    <t>&lt;1.0%</t>
    <phoneticPr fontId="73" type="noConversion"/>
  </si>
  <si>
    <t>순자본비율</t>
    <phoneticPr fontId="286" type="noConversion"/>
  </si>
  <si>
    <t>연결기준 순자본비율</t>
    <phoneticPr fontId="73" type="noConversion"/>
  </si>
  <si>
    <t>900~1,100</t>
    <phoneticPr fontId="73" type="noConversion"/>
  </si>
  <si>
    <t xml:space="preserve">  전자단기사채</t>
    <phoneticPr fontId="73" type="noConversion"/>
  </si>
  <si>
    <t>주요 평가 근거</t>
    <phoneticPr fontId="75" type="noConversion"/>
  </si>
  <si>
    <t xml:space="preserve"> 등급변동 검토 요인</t>
    <phoneticPr fontId="64" type="noConversion"/>
  </si>
  <si>
    <t>상향조정 검토</t>
    <phoneticPr fontId="75" type="noConversion"/>
  </si>
  <si>
    <t>하향조정 검토</t>
    <phoneticPr fontId="75" type="noConversion"/>
  </si>
  <si>
    <t>정기평가</t>
    <phoneticPr fontId="73" type="noConversion"/>
  </si>
  <si>
    <t>AA/S</t>
  </si>
  <si>
    <t>수수료이익</t>
    <phoneticPr fontId="73" type="noConversion"/>
  </si>
  <si>
    <t xml:space="preserve">  대출금</t>
    <phoneticPr fontId="73" type="noConversion"/>
  </si>
  <si>
    <t>전망 수치 110</t>
    <phoneticPr fontId="73" type="noConversion"/>
  </si>
  <si>
    <t>전망수치 90</t>
    <phoneticPr fontId="73" type="noConversion"/>
  </si>
  <si>
    <t>발행어음 등 신규사업 확대 전망</t>
  </si>
  <si>
    <t>자산관리 부문을 중심으로 매우 우수한 경쟁지위 보유</t>
    <phoneticPr fontId="73" type="noConversion"/>
  </si>
  <si>
    <t>우수한 수익성 유지</t>
    <phoneticPr fontId="73" type="noConversion"/>
  </si>
  <si>
    <t>파생결합증권, 우발채무 리스크에 대한 모니터링 필요</t>
    <phoneticPr fontId="73" type="noConversion"/>
  </si>
  <si>
    <t>대규모 유상증자를 통한 자본완충력 제고</t>
    <phoneticPr fontId="73" type="noConversion"/>
  </si>
  <si>
    <t>경쟁지위 강화에 따른 수익성 제고 추세 지속</t>
  </si>
  <si>
    <t>우수한 경쟁지위를 바탕으로 점유율 상승 &amp;</t>
    <phoneticPr fontId="73" type="noConversion"/>
  </si>
  <si>
    <t>우발채무 등 총위험액 증가에 따른 재무안정성 큰 폭 저하</t>
  </si>
  <si>
    <t>경쟁심화 등으로 총자산순이익률(ROA)이 0.5%를 지속적으로 하회 or</t>
    <phoneticPr fontId="73" type="noConversion"/>
  </si>
  <si>
    <t>2005년 6월 구 한국투자증권이 구 동원증권을 흡수합병하여 출범</t>
    <phoneticPr fontId="73" type="noConversion"/>
  </si>
  <si>
    <t>한국투자금융그룹 내 주력 증권회사</t>
  </si>
  <si>
    <t>자산총계</t>
    <phoneticPr fontId="286" type="noConversion"/>
  </si>
  <si>
    <t>브로커리지 이자</t>
    <phoneticPr fontId="73" type="noConversion"/>
  </si>
  <si>
    <t>기타 이자수익</t>
    <phoneticPr fontId="73" type="noConversion"/>
  </si>
  <si>
    <t>수수료 비용 전체</t>
    <phoneticPr fontId="73" type="noConversion"/>
  </si>
  <si>
    <t>한투증권은 위탁매매수수료 비용에 전체 수수료(기타 포함)을 사용</t>
    <phoneticPr fontId="73" type="noConversion"/>
  </si>
  <si>
    <t>총이자수익</t>
    <phoneticPr fontId="73" type="noConversion"/>
  </si>
  <si>
    <t>위탁매매,투자은행,자산관리,상품판매,자기매매 이익, 이자수익</t>
    <phoneticPr fontId="73" type="noConversion"/>
  </si>
  <si>
    <t>FY19.1~3</t>
    <phoneticPr fontId="73" type="noConversion"/>
  </si>
  <si>
    <t>'19.03</t>
    <phoneticPr fontId="73" type="noConversion"/>
  </si>
  <si>
    <t>'19.03</t>
    <phoneticPr fontId="73" type="noConversion"/>
  </si>
  <si>
    <t>상대적 유동성 위험</t>
    <phoneticPr fontId="87" type="noConversion"/>
  </si>
  <si>
    <t>낮음</t>
    <phoneticPr fontId="87" type="noConversion"/>
  </si>
  <si>
    <t>보통</t>
    <phoneticPr fontId="75" type="noConversion"/>
  </si>
  <si>
    <t>최종 단기신용등급</t>
    <phoneticPr fontId="87" type="noConversion"/>
  </si>
  <si>
    <t>A1</t>
    <phoneticPr fontId="136" type="noConversion"/>
  </si>
  <si>
    <t>'19.06</t>
    <phoneticPr fontId="73" type="noConversion"/>
  </si>
  <si>
    <t>FY19.1~6</t>
    <phoneticPr fontId="73" type="noConversion"/>
  </si>
  <si>
    <t>규제레버리지 총자산</t>
    <phoneticPr fontId="73" type="noConversion"/>
  </si>
  <si>
    <t>규제레버리지 자기자본</t>
    <phoneticPr fontId="73" type="noConversion"/>
  </si>
  <si>
    <t>규제레버리지비율</t>
    <phoneticPr fontId="73" type="noConversion"/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</si>
  <si>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</si>
  <si>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</si>
  <si>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</si>
  <si>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가중치</t>
    <phoneticPr fontId="75" type="noConversion"/>
  </si>
  <si>
    <t>실적</t>
    <phoneticPr fontId="136" type="noConversion"/>
  </si>
  <si>
    <t>전망</t>
    <phoneticPr fontId="136" type="noConversion"/>
  </si>
  <si>
    <t>전망의 근거
실적과 차이 발생시 작성</t>
    <phoneticPr fontId="87" type="noConversion"/>
  </si>
  <si>
    <t>평가</t>
    <phoneticPr fontId="87" type="noConversion"/>
  </si>
  <si>
    <t>계량화</t>
    <phoneticPr fontId="87" type="noConversion"/>
  </si>
  <si>
    <t>평가</t>
    <phoneticPr fontId="87" type="noConversion"/>
  </si>
  <si>
    <t>사업위험</t>
    <phoneticPr fontId="87" type="noConversion"/>
  </si>
  <si>
    <t>BBB</t>
    <phoneticPr fontId="87" type="noConversion"/>
  </si>
  <si>
    <t>시장지위</t>
    <phoneticPr fontId="136" type="noConversion"/>
  </si>
  <si>
    <t>AA</t>
    <phoneticPr fontId="73" type="noConversion"/>
  </si>
  <si>
    <t>총자산순이익률(ROA)</t>
    <phoneticPr fontId="136" type="noConversion"/>
  </si>
  <si>
    <t>리스크관리</t>
    <phoneticPr fontId="136" type="noConversion"/>
  </si>
  <si>
    <t>A</t>
    <phoneticPr fontId="87" type="noConversion"/>
  </si>
  <si>
    <t>순영업수익/판관비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</si>
  <si>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</si>
  <si>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</si>
  <si>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</si>
  <si>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</si>
  <si>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</si>
  <si>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</si>
  <si>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순자본비율(신NCR)</t>
    <phoneticPr fontId="136" type="noConversion"/>
  </si>
  <si>
    <t>영업용순자본/총위험액</t>
    <phoneticPr fontId="136" type="noConversion"/>
  </si>
  <si>
    <t>총레버리지비율</t>
    <phoneticPr fontId="136" type="noConversion"/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</si>
  <si>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</si>
  <si>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</si>
  <si>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</si>
  <si>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재무적 융통성</t>
    <phoneticPr fontId="87" type="noConversion"/>
  </si>
  <si>
    <t>AAA</t>
    <phoneticPr fontId="73" type="noConversion"/>
  </si>
  <si>
    <t>유동성 평가결과</t>
    <phoneticPr fontId="87" type="noConversion"/>
  </si>
  <si>
    <t>재무위험 수준</t>
    <phoneticPr fontId="75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</si>
  <si>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</si>
  <si>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</si>
  <si>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</si>
  <si>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</si>
  <si>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</si>
  <si>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</si>
  <si>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계열 통합 Profile</t>
    <phoneticPr fontId="87" type="noConversion"/>
  </si>
  <si>
    <t>신용의존성</t>
    <phoneticPr fontId="87" type="noConversion"/>
  </si>
  <si>
    <t>계열지원가능성</t>
    <phoneticPr fontId="87" type="noConversion"/>
  </si>
  <si>
    <t>TLAC (Total Loss Absorbing Capacity)</t>
    <phoneticPr fontId="75" type="noConversion"/>
  </si>
  <si>
    <t>정부지원가능성</t>
    <phoneticPr fontId="75" type="noConversion"/>
  </si>
  <si>
    <t>등급전망</t>
    <phoneticPr fontId="87" type="noConversion"/>
  </si>
  <si>
    <t>최종장기신용등급</t>
    <phoneticPr fontId="87" type="noConversion"/>
  </si>
  <si>
    <t>상대적 유동성 위험</t>
    <phoneticPr fontId="87" type="noConversion"/>
  </si>
  <si>
    <t>최종 단기신용등급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</si>
  <si>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</si>
  <si>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</si>
  <si>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</si>
  <si>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</si>
  <si>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</si>
  <si>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</si>
  <si>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</si>
  <si>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</si>
  <si>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</si>
  <si>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</si>
  <si>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</si>
  <si>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</si>
  <si>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</si>
  <si>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</si>
  <si>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a-/a/a+</t>
    <phoneticPr fontId="136" type="noConversion"/>
  </si>
  <si>
    <t>bb+/bbb-</t>
    <phoneticPr fontId="136" type="noConversion"/>
  </si>
  <si>
    <t>bbb-/bbb/bbb+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</si>
  <si>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</si>
  <si>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</si>
  <si>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</si>
  <si>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bb+/bbb-/bbb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</si>
  <si>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</si>
  <si>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</si>
  <si>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</si>
  <si>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수준별 구간값(&gt;=)</t>
    <phoneticPr fontId="87" type="noConversion"/>
  </si>
  <si>
    <t>Step2 - 조합 내 등급선택</t>
    <phoneticPr fontId="87" type="noConversion"/>
  </si>
  <si>
    <t>재무위험 BBB 이상 시 사업위험 점수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</si>
  <si>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</si>
  <si>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</si>
  <si>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</si>
  <si>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</si>
  <si>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</si>
  <si>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실적</t>
    <phoneticPr fontId="87" type="noConversion"/>
  </si>
  <si>
    <t>선택</t>
    <phoneticPr fontId="87" type="noConversion"/>
  </si>
  <si>
    <t>최종</t>
    <phoneticPr fontId="87" type="noConversion"/>
  </si>
  <si>
    <t>전망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</si>
  <si>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</si>
  <si>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</si>
  <si>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</si>
  <si>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</si>
  <si>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</si>
  <si>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</si>
  <si>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</si>
  <si>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</si>
  <si>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</si>
  <si>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</si>
  <si>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8. 기타 특수성</t>
    <phoneticPr fontId="87" type="noConversion"/>
  </si>
  <si>
    <t>작성원칙</t>
    <phoneticPr fontId="75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</si>
  <si>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</si>
  <si>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</si>
  <si>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</si>
  <si>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</si>
  <si>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</si>
  <si>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</si>
  <si>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계량화 기준</t>
    <phoneticPr fontId="75" type="noConversion"/>
  </si>
  <si>
    <t>AAA</t>
    <phoneticPr fontId="87" type="noConversion"/>
  </si>
  <si>
    <t>AA</t>
    <phoneticPr fontId="87" type="noConversion"/>
  </si>
  <si>
    <t>BB</t>
    <phoneticPr fontId="87" type="noConversion"/>
  </si>
  <si>
    <t>B</t>
    <phoneticPr fontId="87" type="noConversion"/>
  </si>
  <si>
    <t>각 항목별 가중치 설정</t>
    <phoneticPr fontId="75" type="noConversion"/>
  </si>
  <si>
    <t>개정 예정(연말)인 평가지표 사용</t>
    <phoneticPr fontId="75" type="noConversion"/>
  </si>
  <si>
    <t>회사가 추가될 경우 sheet를 이동/복사 추가하여 입력</t>
    <phoneticPr fontId="75" type="noConversion"/>
  </si>
  <si>
    <t>'16.12</t>
  </si>
  <si>
    <t>'17.12</t>
  </si>
  <si>
    <t>'18.12</t>
  </si>
  <si>
    <t>'19.06</t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</si>
  <si>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</si>
  <si>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</si>
  <si>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</si>
  <si>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충당금 Coverage Ratio</t>
  </si>
  <si>
    <t>연결 신NCR</t>
    <phoneticPr fontId="136" type="noConversion"/>
  </si>
  <si>
    <t>연결영업용순자본/총위험액</t>
    <phoneticPr fontId="136" type="noConversion"/>
  </si>
  <si>
    <t>개별영업용순자본/총위험액</t>
    <phoneticPr fontId="136" type="noConversion"/>
  </si>
  <si>
    <t>총레버리지비율</t>
  </si>
  <si>
    <t>유동성비율(잔존만기 3개월 이내 기준)</t>
  </si>
  <si>
    <t>개별 신NCR</t>
    <phoneticPr fontId="136" type="noConversion"/>
  </si>
  <si>
    <t>실제 작성</t>
    <phoneticPr fontId="73" type="noConversion"/>
  </si>
  <si>
    <t>5개년평균</t>
    <phoneticPr fontId="73" type="noConversion"/>
  </si>
  <si>
    <t>실적</t>
    <phoneticPr fontId="73" type="noConversion"/>
  </si>
  <si>
    <r>
      <t>A</t>
    </r>
    <r>
      <rPr>
        <sz val="10"/>
        <color rgb="FF000000"/>
        <rFont val="맑은 고딕"/>
        <family val="3"/>
        <charset val="129"/>
        <scheme val="minor"/>
      </rPr>
      <t>VG</t>
    </r>
    <phoneticPr fontId="73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</si>
  <si>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</si>
  <si>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</si>
  <si>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</si>
  <si>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</si>
  <si>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</si>
  <si>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&lt;0.1</t>
    <phoneticPr fontId="73" type="noConversion"/>
  </si>
  <si>
    <t>BBB</t>
    <phoneticPr fontId="73" type="noConversion"/>
  </si>
  <si>
    <t>리스크관리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</si>
  <si>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</si>
  <si>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</si>
  <si>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</si>
  <si>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</si>
  <si>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</si>
  <si>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A</t>
    <phoneticPr fontId="73" type="noConversion"/>
  </si>
  <si>
    <t>레버리지비율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</si>
  <si>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</si>
  <si>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</si>
  <si>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</si>
  <si>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</si>
  <si>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</si>
  <si>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등급</t>
    <phoneticPr fontId="136" type="noConversion"/>
  </si>
  <si>
    <t>5년평균</t>
    <phoneticPr fontId="136" type="noConversion"/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</si>
  <si>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</si>
  <si>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</si>
  <si>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</si>
  <si>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순영업수익/판관비</t>
    <phoneticPr fontId="136" type="noConversion"/>
  </si>
  <si>
    <t>변경 순영업수익/판관비</t>
    <phoneticPr fontId="73" type="noConversion"/>
  </si>
  <si>
    <t>변경 순영업수익</t>
    <phoneticPr fontId="73" type="noConversion"/>
  </si>
  <si>
    <r>
      <t>연결 구</t>
    </r>
    <r>
      <rPr>
        <sz val="9"/>
        <color theme="1"/>
        <rFont val="맑은 고딕"/>
        <family val="2"/>
        <charset val="129"/>
      </rPr>
      <t>NCR</t>
    </r>
    <phoneticPr fontId="73" type="noConversion"/>
  </si>
  <si>
    <t>AA</t>
    <phoneticPr fontId="87" type="noConversion"/>
  </si>
  <si>
    <t>FY19.1~9</t>
    <phoneticPr fontId="73" type="noConversion"/>
  </si>
  <si>
    <t>'19.09</t>
    <phoneticPr fontId="73" type="noConversion"/>
  </si>
  <si>
    <t>'19.09</t>
    <phoneticPr fontId="73" type="noConversion"/>
  </si>
  <si>
    <t>장기등급 AA- 이상으로 단기등급 A1임</t>
    <phoneticPr fontId="73" type="noConversion"/>
  </si>
  <si>
    <t>2019.12</t>
    <phoneticPr fontId="73" type="noConversion"/>
  </si>
  <si>
    <t>자기자본 규모, 순영업수익 점유율, 경제시스템 내 중요성, 주요 사업부문에서의 상대적 경쟁력 등</t>
  </si>
  <si>
    <t>매우 미흡</t>
  </si>
  <si>
    <t>리스크관리</t>
  </si>
  <si>
    <t>≥2.5%</t>
  </si>
  <si>
    <t>1.0~2.5%</t>
  </si>
  <si>
    <t>0.5~1.0%</t>
  </si>
  <si>
    <t>0.1~0.5%</t>
  </si>
  <si>
    <t>0.0~0.1%</t>
  </si>
  <si>
    <t>&lt;0.0%</t>
  </si>
  <si>
    <t>순영업수익 / 판관비</t>
  </si>
  <si>
    <t>≥150%</t>
  </si>
  <si>
    <t>70~90%</t>
  </si>
  <si>
    <t>&lt;70%</t>
  </si>
  <si>
    <t>120~150%</t>
  </si>
  <si>
    <t>90~120%</t>
  </si>
  <si>
    <t>40~70%</t>
  </si>
  <si>
    <t>&lt;40%</t>
  </si>
  <si>
    <t>&lt;1%</t>
  </si>
  <si>
    <t>1~3%</t>
  </si>
  <si>
    <t>3~5%</t>
  </si>
  <si>
    <t>5~7%</t>
  </si>
  <si>
    <t>7~12%</t>
  </si>
  <si>
    <t>≥12%</t>
  </si>
  <si>
    <t>순자본비율(신NCR)</t>
  </si>
  <si>
    <t>순자본비율</t>
  </si>
  <si>
    <t>≥500%</t>
  </si>
  <si>
    <t>350~500%</t>
  </si>
  <si>
    <t>250~350%</t>
  </si>
  <si>
    <t>150~250%</t>
  </si>
  <si>
    <t>100~150%</t>
  </si>
  <si>
    <t>&lt;100%</t>
  </si>
  <si>
    <t>영업용순자본/총위험액</t>
  </si>
  <si>
    <t>≥400%</t>
  </si>
  <si>
    <t>300~400%</t>
  </si>
  <si>
    <t>200~300%</t>
  </si>
  <si>
    <t>130~200%</t>
  </si>
  <si>
    <t>100~130%</t>
  </si>
  <si>
    <t>레버리지비율</t>
  </si>
  <si>
    <t>&lt;300%</t>
  </si>
  <si>
    <t>1,100~1,400%</t>
  </si>
  <si>
    <t>≥1,400%</t>
  </si>
  <si>
    <t>130~150%</t>
  </si>
  <si>
    <t>120~130%</t>
  </si>
  <si>
    <t>100~120%</t>
  </si>
  <si>
    <t>80~100%</t>
  </si>
  <si>
    <t>&lt;80%</t>
  </si>
  <si>
    <t xml:space="preserve"> 자기자본 규모</t>
    <phoneticPr fontId="73" type="noConversion"/>
  </si>
  <si>
    <t>전망</t>
    <phoneticPr fontId="73" type="noConversion"/>
  </si>
  <si>
    <t>전망, NCP기재 비교</t>
    <phoneticPr fontId="73" type="noConversion"/>
  </si>
  <si>
    <t>위험선호도, 리스크관리 및 내부통제 시스템, 해외 대체투자 등 포트폴리오 구성, 우발채무,파생결합증권 익스포져 및 헷지 관리 등</t>
    <phoneticPr fontId="73" type="noConversion"/>
  </si>
  <si>
    <t>연결기준 순자본비율(신NCR)</t>
    <phoneticPr fontId="136" type="noConversion"/>
  </si>
  <si>
    <t>n.a.</t>
    <phoneticPr fontId="136" type="noConversion"/>
  </si>
  <si>
    <t>영업용순자본/총위험액</t>
    <phoneticPr fontId="136" type="noConversion"/>
  </si>
  <si>
    <t>정성</t>
    <phoneticPr fontId="73" type="noConversion"/>
  </si>
  <si>
    <t>유동성 대응력, 보유자산 담보력, 차환가능성, 금융기관 Credit Line,우발채무 현실화시 대응력 등</t>
    <phoneticPr fontId="73" type="noConversion"/>
  </si>
  <si>
    <t>연결기준 영업용순자본</t>
    <phoneticPr fontId="73" type="noConversion"/>
  </si>
  <si>
    <t>연결기준 총위험액</t>
    <phoneticPr fontId="73" type="noConversion"/>
  </si>
  <si>
    <t>연결기준 순자본비율(신NCR)</t>
    <phoneticPr fontId="73" type="noConversion"/>
  </si>
  <si>
    <t>연결기준 잉여자본</t>
    <phoneticPr fontId="73" type="noConversion"/>
  </si>
  <si>
    <t>연결기준 필요유지자기자본</t>
    <phoneticPr fontId="73" type="noConversion"/>
  </si>
  <si>
    <t>연결기준 영업용순자본 증가율</t>
    <phoneticPr fontId="73" type="noConversion"/>
  </si>
  <si>
    <t>연결기준 총위험액 증가율</t>
    <phoneticPr fontId="73" type="noConversion"/>
  </si>
  <si>
    <t>정성</t>
    <phoneticPr fontId="73" type="noConversion"/>
  </si>
  <si>
    <t>총자산순이익률(ROA)</t>
    <phoneticPr fontId="136" type="noConversion"/>
  </si>
  <si>
    <t>AAA</t>
    <phoneticPr fontId="73" type="noConversion"/>
  </si>
  <si>
    <t>AA</t>
    <phoneticPr fontId="73" type="noConversion"/>
  </si>
  <si>
    <t>AAA</t>
    <phoneticPr fontId="73" type="noConversion"/>
  </si>
  <si>
    <t>BBB</t>
    <phoneticPr fontId="73" type="noConversion"/>
  </si>
  <si>
    <t>BBB</t>
    <phoneticPr fontId="73" type="noConversion"/>
  </si>
  <si>
    <t>사업규모 확대 및 사업 다각화에 따른 총위험액 증가 전망</t>
    <phoneticPr fontId="73" type="noConversion"/>
  </si>
  <si>
    <t>경쟁심화 수수료 하락등에 따른 수익성 하락 압력 전망</t>
    <phoneticPr fontId="73" type="noConversion"/>
  </si>
  <si>
    <t>사업규모 확대에 따른 레버리지 상승 전망</t>
    <phoneticPr fontId="73" type="noConversion"/>
  </si>
  <si>
    <t>장기자산 투자 증가에 따른 유동성 비율 하락 전망</t>
    <phoneticPr fontId="73" type="noConversion"/>
  </si>
  <si>
    <t>영업용순자본/총위험액</t>
    <phoneticPr fontId="73" type="noConversion"/>
  </si>
  <si>
    <t>연결 순자본비율</t>
    <phoneticPr fontId="73" type="noConversion"/>
  </si>
  <si>
    <t>영업용순자본/총위험액</t>
    <phoneticPr fontId="73" type="noConversion"/>
  </si>
  <si>
    <t>유동성비율</t>
    <phoneticPr fontId="73" type="noConversion"/>
  </si>
  <si>
    <t>연결기준</t>
    <phoneticPr fontId="73" type="noConversion"/>
  </si>
  <si>
    <t>별도기준</t>
    <phoneticPr fontId="73" type="noConversion"/>
  </si>
  <si>
    <t>2020.02</t>
    <phoneticPr fontId="7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</si>
</sst>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6">
    <numFmt numFmtId="41" formatCode="_(* #,##0_);_(* \(#,##0\);_(* &quot;-&quot;_);_(@_)"/>
    <numFmt numFmtId="43" formatCode="_(* #,##0.00_);_(* \(#,##0.00\);_(* &quot;-&quot;??_);_(@_)"/>
    <numFmt numFmtId="176" formatCode="_-&quot;₩&quot;* #,##0_-;\-&quot;₩&quot;* #,##0_-;_-&quot;₩&quot;* &quot;-&quot;_-;_-@_-"/>
    <numFmt numFmtId="177" formatCode="_-* #,##0_-;\-* #,##0_-;_-* &quot;-&quot;_-;_-@_-"/>
    <numFmt numFmtId="178" formatCode="_-&quot;₩&quot;* #,##0.00_-;\-&quot;₩&quot;* #,##0.00_-;_-&quot;₩&quot;* &quot;-&quot;??_-;_-@_-"/>
    <numFmt numFmtId="179" formatCode="_-* #,##0.00_-;\-* #,##0.00_-;_-* &quot;-&quot;??_-;_-@_-"/>
    <numFmt numFmtId="180" formatCode="#,##0_ "/>
    <numFmt numFmtId="181" formatCode="_-[$€-2]* #,##0.00_-;\-[$€-2]* #,##0.00_-;_-[$€-2]* &quot;-&quot;??_-"/>
    <numFmt numFmtId="182" formatCode="#,##0.0_ "/>
    <numFmt numFmtId="183" formatCode="0.0_ "/>
    <numFmt numFmtId="184" formatCode="#,##0.0_);[Red]\(#,##0.0\)"/>
    <numFmt numFmtId="185" formatCode="#,##0.0"/>
    <numFmt numFmtId="186" formatCode="0.0%"/>
    <numFmt numFmtId="187" formatCode="#,##0.0_ ;[Red]\-#,##0.0\ "/>
    <numFmt numFmtId="188" formatCode="#,##0_ ;[Red]\-#,##0\ "/>
    <numFmt numFmtId="189" formatCode="#,##0.00_ "/>
    <numFmt numFmtId="190" formatCode="_-* #,##0.0_-;\-* #,##0.0_-;_-* &quot;-&quot;_-;_-@_-"/>
    <numFmt numFmtId="191" formatCode="_-* #,##0.00_-;\-* #,##0.00_-;_-* &quot;-&quot;_-;_-@_-"/>
    <numFmt numFmtId="192" formatCode="0_ "/>
    <numFmt numFmtId="193" formatCode="0.0"/>
    <numFmt numFmtId="194" formatCode="_ * #,##0.00_ ;_ * &quot;₩&quot;&quot;₩&quot;\!\!\-#,##0.00_ ;_ * &quot;-&quot;??_ ;_ @_ "/>
    <numFmt numFmtId="195" formatCode=";;;"/>
    <numFmt numFmtId="196" formatCode="_ * #,##0.00_ ;_ * \-#,##0.00_ ;_ * &quot;-&quot;??_ ;_ @_ "/>
    <numFmt numFmtId="197" formatCode=";;"/>
    <numFmt numFmtId="198" formatCode=".00"/>
    <numFmt numFmtId="199" formatCode="#,##0&quot;%&quot;"/>
    <numFmt numFmtId="200" formatCode="&quot;₩&quot;#,##0.00;[Red]&quot;₩&quot;\-#,##0.00"/>
    <numFmt numFmtId="201" formatCode="#,##0.0&quot;%&quot;"/>
    <numFmt numFmtId="202" formatCode="&quot;?#,##0;\-&quot;&quot;?&quot;#,##0"/>
    <numFmt numFmtId="203" formatCode="_(&quot;￡&quot;* #,##0_);_(&quot;￡&quot;* \(#,##0\);_(&quot;￡&quot;* &quot;-&quot;_);_(@_)"/>
    <numFmt numFmtId="204" formatCode="_(&quot;￡&quot;* #,##0.0_);_(&quot;￡&quot;* \(#,##0.0\);_(&quot;￡&quot;* &quot;-&quot;_);_(@_)"/>
    <numFmt numFmtId="205" formatCode="_(&quot;￡&quot;* #,##0.00_);_(&quot;￡&quot;* \(#,##0.00\);_(&quot;￡&quot;* &quot;-&quot;_);_(@_)"/>
    <numFmt numFmtId="206" formatCode="_(* #,##0\p_);_(* \(#,##0\p\);_(* &quot;-&quot;\ \p_);_(@_)"/>
    <numFmt numFmtId="207" formatCode="_(* #,##0.00\p_);_(* \(#,##0.00\p\);_(* &quot;-&quot;\ \p_);_(@_)"/>
    <numFmt numFmtId="208" formatCode="&quot;￡&quot;#,##0.00"/>
    <numFmt numFmtId="209" formatCode="_-&quot;$&quot;* #,##0_-;\-&quot;$&quot;* #,##0_-;_-&quot;$&quot;* &quot;-&quot;_-;_-@_-"/>
    <numFmt numFmtId="210" formatCode="_ * #,##0_ ;_ * \-#,##0_ ;_ * &quot;-&quot;_ ;_ @_ "/>
    <numFmt numFmtId="211" formatCode="\(0%\)"/>
    <numFmt numFmtId="212" formatCode="_(&quot;$&quot;* #,##0_);_(&quot;$&quot;* \(#,##0\);_(&quot;$&quot;* &quot;-&quot;_);_(@_)"/>
    <numFmt numFmtId="213" formatCode="_ &quot;₩&quot;* #,##0_ ;_ &quot;₩&quot;* \-#,##0_ ;_ &quot;₩&quot;* &quot;-&quot;_ ;_ @_ "/>
    <numFmt numFmtId="214" formatCode="_ &quot;₩&quot;* #,##0.00_ ;_ &quot;₩&quot;* \-#,##0.00_ ;_ &quot;₩&quot;* &quot;-&quot;??_ ;_ @_ "/>
    <numFmt numFmtId="215" formatCode="_-&quot;$&quot;* #,##0.00_-;\-&quot;$&quot;* #,##0.00_-;_-&quot;$&quot;* &quot;-&quot;??_-;_-@_-"/>
    <numFmt numFmtId="216" formatCode="_(&quot;$&quot;* #,##0.00_);_(&quot;$&quot;* \(#,##0.00\);_(&quot;$&quot;* &quot;-&quot;??_);_(@_)"/>
    <numFmt numFmtId="217" formatCode="_-* #,##0.00\ _F_-;\-* #,##0.00\ _F_-;_-* &quot;-&quot;??\ _F_-;_-@_-"/>
    <numFmt numFmtId="218" formatCode="_-* #,##0.00\ &quot;F&quot;_-;\-* #,##0.00\ &quot;F&quot;_-;_-* &quot;-&quot;??\ &quot;F&quot;_-;_-@_-"/>
    <numFmt numFmtId="219" formatCode="_(&quot;$&quot;* #,##0.00_);_(&quot;$&quot;* &quot;₩&quot;&quot;₩&quot;&quot;₩&quot;&quot;₩&quot;\(#,##0.00&quot;₩&quot;&quot;₩&quot;&quot;₩&quot;&quot;₩&quot;\);_(&quot;$&quot;* &quot;-&quot;??_);_(@_)"/>
    <numFmt numFmtId="220" formatCode=".##"/>
    <numFmt numFmtId="221" formatCode="&quot;₩&quot;#,##0;[Red]&quot;₩&quot;\-#,##0"/>
    <numFmt numFmtId="222" formatCode="_-* #,##0.000\ _F_-;\-* #,##0.000\ _F_-;_-* &quot;-&quot;??\ _F_-;_-@_-"/>
    <numFmt numFmtId="226" formatCode="General_)"/>
    <numFmt numFmtId="227" formatCode="_ &quot;₩&quot;* #,##0.00_ ;_ &quot;₩&quot;* &quot;₩&quot;&quot;₩&quot;&quot;₩&quot;&quot;₩&quot;\-#,##0.00_ ;_ &quot;₩&quot;* &quot;-&quot;??_ ;_ @_ "/>
    <numFmt numFmtId="228" formatCode="_(* #,##0.0_);_(* \(#,##0.0\);_(* &quot;-&quot;??_);_(@_)"/>
    <numFmt numFmtId="229" formatCode="_ &quot;$&quot;* #,##0_ ;_ &quot;$&quot;* \-#,##0_ ;_ &quot;$&quot;* &quot;-&quot;_ ;_ @_ "/>
    <numFmt numFmtId="230" formatCode="_(&quot;$&quot;* #,##0.0_);_(&quot;$&quot;* \(#,##0.0\);_(&quot;$&quot;* &quot;-&quot;_);_(@_)"/>
    <numFmt numFmtId="231" formatCode="#,##0.000"/>
    <numFmt numFmtId="232" formatCode="&quot;$&quot;#,##0.00"/>
    <numFmt numFmtId="233" formatCode="#,###,##0"/>
    <numFmt numFmtId="234" formatCode="#,##0;[Red]&quot;-&quot;#,##0"/>
    <numFmt numFmtId="235" formatCode="_(&quot;Cr$&quot;* #,##0_);_(&quot;Cr$&quot;* \(#,##0\);_(&quot;Cr$&quot;* &quot;-&quot;_);_(@_)"/>
    <numFmt numFmtId="236" formatCode="_(&quot;Cr$&quot;* #,##0.00_);_(&quot;Cr$&quot;* \(#,##0.00\);_(&quot;Cr$&quot;* &quot;-&quot;??_);_(@_)"/>
    <numFmt numFmtId="237" formatCode="\$#,##0.00;\(\$#,##0.00\)"/>
    <numFmt numFmtId="238" formatCode="_(* #,##0.00\ \x_);_(* \(#,##0.00\ \x\);_(* &quot;-&quot;??_);_(@_)"/>
    <numFmt numFmtId="239" formatCode="_(* #,##0\ \x_);_(* \(#,##0\ \x\);_(* &quot;-&quot;??_);_(@_)"/>
    <numFmt numFmtId="240" formatCode="_(* #,##0.0\ \x_);_(* \(#,##0.0\ \x\);_(* &quot;-&quot;??_);_(@_)"/>
    <numFmt numFmtId="241" formatCode="\ \ \ \ #,##0&quot;(億원)&quot;"/>
    <numFmt numFmtId="242" formatCode="_ * #,##0_)\ _R_$_ ;_ * \(#,##0\)\ _R_$_ ;_ * &quot;-&quot;_)\ _R_$_ ;_ @_ "/>
    <numFmt numFmtId="243" formatCode="_ * #,##0.00_)\ _R_$_ ;_ * \(#,##0.00\)\ _R_$_ ;_ * &quot;-&quot;??_)\ _R_$_ ;_ @_ "/>
    <numFmt numFmtId="244" formatCode="&quot;$&quot;#,##0_);[Red]\(&quot;$&quot;#,##0\)"/>
    <numFmt numFmtId="245" formatCode="0.000000000000000000000"/>
    <numFmt numFmtId="246" formatCode="0.0000000000000000000000"/>
    <numFmt numFmtId="247" formatCode="0.000"/>
    <numFmt numFmtId="248" formatCode="#,##0;&quot;△&quot;#,##0"/>
    <numFmt numFmtId="249" formatCode="&quot;₩&quot;#,##0.00;&quot;₩&quot;\-#,##0.00"/>
    <numFmt numFmtId="250" formatCode="h&quot;시&quot;mm&quot;분&quot;"/>
    <numFmt numFmtId="251" formatCode="#,##0;[Red]#,##0"/>
    <numFmt numFmtId="252" formatCode="yyyy&quot;년&quot;m&quot;월&quot;d&quot;일&quot;"/>
    <numFmt numFmtId="253" formatCode="yy&quot;/&quot;m&quot;/&quot;d"/>
    <numFmt numFmtId="254" formatCode="&quot;₩&quot;#,##0;&quot;₩&quot;\-#,##0"/>
    <numFmt numFmtId="255" formatCode="&quot;￦ &quot;#,##0_);\(&quot;￦ &quot;#,##0\);&quot;￦ &quot;\-_)"/>
    <numFmt numFmtId="256" formatCode="_ * #,##0_ ;_ * &quot;₩&quot;&quot;₩&quot;\!\!\-#,##0_ ;_ * &quot;-&quot;_ ;_ @_ "/>
    <numFmt numFmtId="257" formatCode="&quot;S&quot;\ #,##0.00;[Red]\-&quot;S&quot;\ #,##0.00"/>
    <numFmt numFmtId="258" formatCode="0.0_);[Red]\(0.0\)"/>
    <numFmt numFmtId="259" formatCode="_-* #,##0.000_-;\-* #,##0.000_-;_-* &quot;-&quot;_-;_-@_-"/>
    <numFmt numFmtId="260" formatCode="#,##0.000_ "/>
    <numFmt numFmtId="261" formatCode="_-* #,##0.0_-;\-* #,##0.0_-;_-* &quot;-&quot;??_-;_-@_-"/>
    <numFmt numFmtId="262" formatCode="#,##0.00_ ;[Red]\-#,##0.00\ "/>
  </numFmts>
  <fonts count="359">
    <font>
      <sz val="10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FF0000"/>
      <name val="HY견고딕"/>
      <family val="1"/>
      <charset val="129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indexed="8"/>
      <name val="Tahoma"/>
      <family val="2"/>
    </font>
    <font>
      <sz val="10"/>
      <color indexed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theme="0"/>
      <name val="돋움"/>
      <family val="3"/>
      <charset val="129"/>
    </font>
    <font>
      <b/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8"/>
      <name val="맑은 고딕"/>
      <family val="3"/>
    </font>
    <font>
      <b/>
      <sz val="11"/>
      <color indexed="8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b/>
      <sz val="8"/>
      <name val="맑은 고딕"/>
      <family val="3"/>
      <charset val="129"/>
    </font>
    <font>
      <sz val="9"/>
      <color indexed="8"/>
      <name val="맑은 고딕"/>
      <family val="2"/>
      <charset val="129"/>
      <scheme val="minor"/>
    </font>
    <font>
      <sz val="9"/>
      <color indexed="8"/>
      <name val="맑은 고딕"/>
      <family val="3"/>
    </font>
    <font>
      <sz val="8"/>
      <name val="맑은 고딕"/>
      <family val="2"/>
      <charset val="129"/>
      <scheme val="minor"/>
    </font>
    <font>
      <b/>
      <sz val="8"/>
      <color rgb="FF000000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color indexed="8"/>
      <name val="맑은 고딕"/>
      <family val="3"/>
      <charset val="129"/>
    </font>
    <font>
      <b/>
      <sz val="8"/>
      <color theme="0"/>
      <name val="맑은 고딕"/>
      <family val="3"/>
      <charset val="129"/>
    </font>
    <font>
      <b/>
      <sz val="8"/>
      <color indexed="8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9"/>
      <color theme="1"/>
      <name val="맑은 고딕"/>
      <family val="2"/>
      <charset val="129"/>
    </font>
    <font>
      <b/>
      <sz val="9"/>
      <color theme="1"/>
      <name val="맑은 고딕"/>
      <family val="3"/>
      <charset val="129"/>
    </font>
    <font>
      <b/>
      <sz val="9"/>
      <color rgb="FF0000FF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b/>
      <sz val="12"/>
      <color theme="1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0"/>
      <color theme="1"/>
      <name val="HY크리스탈M"/>
      <family val="1"/>
      <charset val="129"/>
    </font>
    <font>
      <sz val="1"/>
      <color indexed="8"/>
      <name val="Courier"/>
      <family val="3"/>
    </font>
    <font>
      <sz val="10"/>
      <name val="Arial"/>
      <family val="2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2"/>
      <name val="돋움체"/>
      <family val="3"/>
      <charset val="129"/>
    </font>
    <font>
      <sz val="12"/>
      <color indexed="8"/>
      <name val="굴림"/>
      <family val="3"/>
      <charset val="129"/>
    </font>
    <font>
      <sz val="10"/>
      <name val="Times New Roman"/>
      <family val="1"/>
    </font>
    <font>
      <sz val="14"/>
      <name val="??"/>
      <family val="1"/>
    </font>
    <font>
      <sz val="11"/>
      <name val="¹????¼"/>
      <family val="3"/>
      <charset val="129"/>
    </font>
    <font>
      <sz val="11"/>
      <name val="??"/>
      <family val="3"/>
    </font>
    <font>
      <sz val="12"/>
      <name val="굴림체"/>
      <family val="3"/>
      <charset val="129"/>
    </font>
    <font>
      <sz val="12"/>
      <name val="¡Ps2OcuAe"/>
      <family val="3"/>
      <charset val="129"/>
    </font>
    <font>
      <sz val="12"/>
      <color indexed="8"/>
      <name val="?UAAA?"/>
      <family val="2"/>
      <charset val="204"/>
    </font>
    <font>
      <u/>
      <sz val="12"/>
      <color indexed="12"/>
      <name val="!Ps2OcuAe"/>
      <family val="1"/>
    </font>
    <font>
      <u/>
      <sz val="11"/>
      <color indexed="12"/>
      <name val="Times New Roman"/>
      <family val="1"/>
    </font>
    <font>
      <u/>
      <sz val="12"/>
      <color indexed="12"/>
      <name val="¡Ps2OcuAe"/>
      <family val="3"/>
      <charset val="129"/>
    </font>
    <font>
      <sz val="11"/>
      <name val="돋?o"/>
      <family val="3"/>
      <charset val="129"/>
    </font>
    <font>
      <sz val="10"/>
      <name val="MS Sans Serif"/>
      <family val="2"/>
    </font>
    <font>
      <sz val="10"/>
      <name val="Helv"/>
      <family val="2"/>
    </font>
    <font>
      <sz val="12"/>
      <name val="Arial"/>
      <family val="2"/>
    </font>
    <font>
      <sz val="9"/>
      <name val="Arial"/>
      <family val="2"/>
    </font>
    <font>
      <sz val="10"/>
      <name val="굴림체"/>
      <family val="3"/>
      <charset val="129"/>
    </font>
    <font>
      <sz val="11"/>
      <name val="바탕체"/>
      <family val="1"/>
      <charset val="129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Times New Roman"/>
      <family val="1"/>
    </font>
    <font>
      <sz val="12"/>
      <name val="·s²Ó©úÅé"/>
      <family val="3"/>
      <charset val="129"/>
    </font>
    <font>
      <b/>
      <sz val="18"/>
      <color indexed="24"/>
      <name val="¹UAAA¼"/>
      <family val="1"/>
      <charset val="129"/>
    </font>
    <font>
      <b/>
      <sz val="15"/>
      <color indexed="24"/>
      <name val="¹UAAA¼"/>
      <family val="1"/>
      <charset val="129"/>
    </font>
    <font>
      <u/>
      <sz val="10"/>
      <color indexed="12"/>
      <name val="Times New Roman"/>
      <family val="1"/>
    </font>
    <font>
      <sz val="12"/>
      <name val="¾©"/>
      <family val="1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4"/>
      <name val="굴림체"/>
      <family val="3"/>
      <charset val="129"/>
    </font>
    <font>
      <sz val="12"/>
      <name val="?UAAA?"/>
      <family val="1"/>
    </font>
    <font>
      <sz val="11"/>
      <name val="??o"/>
      <family val="1"/>
    </font>
    <font>
      <sz val="12"/>
      <name val="¨IoUAAA¡§u"/>
      <family val="1"/>
    </font>
    <font>
      <sz val="12"/>
      <name val="￥i￠￢￠?oA¨u"/>
      <family val="3"/>
      <charset val="129"/>
    </font>
    <font>
      <sz val="11"/>
      <name val="￠RIi￠RE￠Rⓒ­￠RE?o"/>
      <family val="3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0"/>
      <name val="±¼¸²Ã¼"/>
      <family val="3"/>
      <charset val="129"/>
    </font>
    <font>
      <sz val="12"/>
      <name val="μ¸¿oA¼"/>
      <family val="3"/>
      <charset val="129"/>
    </font>
    <font>
      <sz val="12"/>
      <name val="¹ÙÅÁÃ¼"/>
      <family val="3"/>
      <charset val="129"/>
    </font>
    <font>
      <sz val="11"/>
      <name val="μ¸¿oA¼"/>
      <family val="3"/>
      <charset val="129"/>
    </font>
    <font>
      <sz val="12"/>
      <name val="±¼¸²Ã¼"/>
      <family val="3"/>
      <charset val="129"/>
    </font>
    <font>
      <sz val="12"/>
      <name val="±¼¸²A¼"/>
      <family val="3"/>
      <charset val="129"/>
    </font>
    <font>
      <sz val="10"/>
      <name val="µ¸¿òÃ¼"/>
      <family val="3"/>
      <charset val="129"/>
    </font>
    <font>
      <sz val="11"/>
      <name val="µ¸¿òÃ¼"/>
      <family val="3"/>
      <charset val="129"/>
    </font>
    <font>
      <sz val="12"/>
      <name val="¹UAAA "/>
      <family val="1"/>
      <charset val="129"/>
    </font>
    <font>
      <sz val="11"/>
      <name val="µ¸¿o"/>
      <family val="3"/>
      <charset val="129"/>
    </font>
    <font>
      <sz val="10"/>
      <name val="μ¸¿oA¼"/>
      <family val="3"/>
      <charset val="129"/>
    </font>
    <font>
      <sz val="11"/>
      <name val="±¼¸²Ã¼"/>
      <family val="3"/>
      <charset val="129"/>
    </font>
    <font>
      <sz val="9"/>
      <name val="Arial MT"/>
      <family val="2"/>
    </font>
    <font>
      <sz val="12"/>
      <name val="Tms Rmn"/>
      <family val="1"/>
    </font>
    <font>
      <sz val="10"/>
      <name val="돋움체"/>
      <family val="3"/>
      <charset val="129"/>
    </font>
    <font>
      <sz val="10"/>
      <name val="Tms Rmn"/>
      <family val="1"/>
    </font>
    <font>
      <sz val="10"/>
      <name val="µ¸¿o"/>
      <family val="3"/>
      <charset val="129"/>
    </font>
    <font>
      <sz val="12"/>
      <name val="µ¸¿oA "/>
      <family val="3"/>
      <charset val="129"/>
    </font>
    <font>
      <sz val="12"/>
      <name val="??oA?"/>
      <family val="2"/>
      <charset val="204"/>
    </font>
    <font>
      <sz val="10"/>
      <name val="ⓒoUAAA¨u"/>
      <family val="1"/>
      <charset val="129"/>
    </font>
    <font>
      <sz val="12"/>
      <name val="©öUAAA¨ù"/>
      <family val="1"/>
      <charset val="129"/>
    </font>
    <font>
      <sz val="10"/>
      <name val="¹ÙÅÁÃ¼"/>
      <family val="3"/>
      <charset val="129"/>
    </font>
    <font>
      <sz val="10"/>
      <name val="¹UAAA¼"/>
      <family val="1"/>
      <charset val="129"/>
    </font>
    <font>
      <sz val="10"/>
      <name val="±¼¸²A¼"/>
      <family val="3"/>
      <charset val="129"/>
    </font>
    <font>
      <sz val="12"/>
      <name val="µ¸¿òÃ¼"/>
      <family val="3"/>
      <charset val="129"/>
    </font>
    <font>
      <sz val="11"/>
      <name val="±¼¸²A¼"/>
      <family val="3"/>
      <charset val="129"/>
    </font>
    <font>
      <sz val="12"/>
      <name val="¸íÁ¶"/>
      <family val="3"/>
      <charset val="129"/>
    </font>
    <font>
      <b/>
      <sz val="10"/>
      <name val="Helv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맑은 고딕"/>
      <family val="3"/>
    </font>
    <font>
      <sz val="8"/>
      <color indexed="12"/>
      <name val="Times New Roma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11"/>
      <name val="굴림체"/>
      <family val="3"/>
      <charset val="129"/>
    </font>
    <font>
      <b/>
      <sz val="10"/>
      <name val="Helvetica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sz val="6"/>
      <color indexed="18"/>
      <name val="Arial"/>
      <family val="2"/>
    </font>
    <font>
      <sz val="11"/>
      <color indexed="62"/>
      <name val="Calibri"/>
      <family val="2"/>
    </font>
    <font>
      <b/>
      <sz val="8"/>
      <color indexed="21"/>
      <name val="Tahoma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name val="CG Times (W1)"/>
      <family val="1"/>
    </font>
    <font>
      <b/>
      <sz val="11"/>
      <name val="Helv"/>
      <family val="2"/>
    </font>
    <font>
      <sz val="8"/>
      <name val="Times New Roman"/>
      <family val="1"/>
    </font>
    <font>
      <sz val="7"/>
      <name val="Small Fonts"/>
      <family val="2"/>
    </font>
    <font>
      <sz val="12"/>
      <name val="Helv"/>
      <family val="2"/>
    </font>
    <font>
      <sz val="10"/>
      <name val="Courier"/>
      <family val="3"/>
    </font>
    <font>
      <sz val="14"/>
      <name val="뼻뮝"/>
      <family val="3"/>
      <charset val="129"/>
    </font>
    <font>
      <sz val="8"/>
      <name val="Helv"/>
      <family val="2"/>
    </font>
    <font>
      <sz val="11"/>
      <name val="Arial"/>
      <family val="2"/>
    </font>
    <font>
      <b/>
      <sz val="8"/>
      <color indexed="8"/>
      <name val="Helv"/>
      <family val="2"/>
    </font>
    <font>
      <b/>
      <sz val="9"/>
      <name val="Arial"/>
      <family val="2"/>
    </font>
    <font>
      <b/>
      <sz val="16"/>
      <color indexed="62"/>
      <name val="Arial"/>
      <family val="2"/>
    </font>
    <font>
      <b/>
      <sz val="10"/>
      <color indexed="37"/>
      <name val="Arial"/>
      <family val="2"/>
    </font>
    <font>
      <b/>
      <sz val="10"/>
      <color indexed="8"/>
      <name val="Arial"/>
      <family val="2"/>
    </font>
    <font>
      <b/>
      <i/>
      <sz val="12"/>
      <color indexed="10"/>
      <name val="Arial"/>
      <family val="2"/>
    </font>
    <font>
      <b/>
      <sz val="11"/>
      <color indexed="8"/>
      <name val="맑은 고딕"/>
      <family val="3"/>
    </font>
    <font>
      <sz val="8"/>
      <color indexed="18"/>
      <name val="Tahoma"/>
      <family val="2"/>
    </font>
    <font>
      <sz val="8"/>
      <color indexed="20"/>
      <name val="Tahoma"/>
      <family val="2"/>
    </font>
    <font>
      <sz val="12"/>
      <name val="Osaka"/>
      <family val="3"/>
      <charset val="128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Courier"/>
      <family val="3"/>
    </font>
    <font>
      <sz val="10"/>
      <name val="PragmaticaCTT"/>
      <family val="1"/>
    </font>
    <font>
      <b/>
      <sz val="16"/>
      <name val="굴림체"/>
      <family val="3"/>
      <charset val="129"/>
    </font>
    <font>
      <u/>
      <sz val="11"/>
      <color indexed="20"/>
      <name val="돋움"/>
      <family val="3"/>
      <charset val="129"/>
    </font>
    <font>
      <sz val="14"/>
      <name val="뼥?ⓒ"/>
      <family val="1"/>
      <charset val="129"/>
    </font>
    <font>
      <sz val="12"/>
      <name val="┭병릇"/>
      <family val="1"/>
      <charset val="129"/>
    </font>
    <font>
      <sz val="12"/>
      <name val="뼻뮝"/>
      <family val="3"/>
      <charset val="129"/>
    </font>
    <font>
      <sz val="13"/>
      <name val="Arial"/>
      <family val="2"/>
    </font>
    <font>
      <b/>
      <sz val="12"/>
      <color indexed="16"/>
      <name val="굴림체"/>
      <family val="3"/>
      <charset val="129"/>
    </font>
    <font>
      <sz val="12"/>
      <name val="돋움"/>
      <family val="3"/>
      <charset val="129"/>
    </font>
    <font>
      <b/>
      <sz val="11"/>
      <name val="굴림체"/>
      <family val="3"/>
      <charset val="129"/>
    </font>
    <font>
      <sz val="12"/>
      <name val="宋体"/>
      <family val="3"/>
      <charset val="129"/>
    </font>
    <font>
      <b/>
      <sz val="20"/>
      <name val="굴림체"/>
      <family val="3"/>
      <charset val="129"/>
    </font>
    <font>
      <b/>
      <sz val="12"/>
      <name val="굴림체"/>
      <family val="3"/>
      <charset val="129"/>
    </font>
    <font>
      <sz val="12"/>
      <name val="옢?릇"/>
      <family val="3"/>
      <charset val="129"/>
    </font>
    <font>
      <u/>
      <sz val="9"/>
      <color indexed="12"/>
      <name val="Arial"/>
      <family val="2"/>
    </font>
    <font>
      <b/>
      <sz val="7.5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name val="맑은 고딕"/>
      <family val="2"/>
      <charset val="129"/>
    </font>
    <font>
      <b/>
      <sz val="9"/>
      <color indexed="8"/>
      <name val="맑은 고딕"/>
      <family val="3"/>
      <charset val="129"/>
      <scheme val="minor"/>
    </font>
    <font>
      <sz val="9"/>
      <color rgb="FF0070C0"/>
      <name val="맑은 고딕"/>
      <family val="2"/>
      <charset val="129"/>
    </font>
    <font>
      <sz val="9"/>
      <color rgb="FFFF0000"/>
      <name val="맑은 고딕"/>
      <family val="2"/>
      <charset val="129"/>
    </font>
    <font>
      <sz val="9"/>
      <color rgb="FF7030A0"/>
      <name val="맑은 고딕"/>
      <family val="2"/>
      <charset val="129"/>
    </font>
    <font>
      <sz val="8"/>
      <color indexed="10"/>
      <name val="맑은 고딕"/>
      <family val="3"/>
      <charset val="129"/>
    </font>
    <font>
      <u/>
      <sz val="13.2"/>
      <color indexed="12"/>
      <name val="맑은 고딕"/>
      <family val="3"/>
      <charset val="129"/>
    </font>
    <font>
      <sz val="6"/>
      <color indexed="8"/>
      <name val="맑은 고딕"/>
      <family val="3"/>
      <charset val="129"/>
    </font>
    <font>
      <b/>
      <i/>
      <u/>
      <sz val="9"/>
      <color indexed="8"/>
      <name val="맑은 고딕"/>
      <family val="3"/>
      <charset val="129"/>
      <scheme val="minor"/>
    </font>
    <font>
      <sz val="9"/>
      <color rgb="FF7030A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rgb="FF0070C0"/>
      <name val="나눔고딕"/>
      <family val="3"/>
      <charset val="129"/>
    </font>
    <font>
      <sz val="8"/>
      <color theme="1"/>
      <name val="나눔고딕"/>
      <family val="3"/>
      <charset val="129"/>
    </font>
    <font>
      <i/>
      <sz val="10"/>
      <color theme="1"/>
      <name val="나눔고딕"/>
      <family val="3"/>
      <charset val="129"/>
    </font>
    <font>
      <sz val="10"/>
      <color rgb="FFFF0000"/>
      <name val="나눔고딕"/>
      <family val="3"/>
      <charset val="129"/>
    </font>
    <font>
      <b/>
      <sz val="20"/>
      <name val="맑은 고딕"/>
      <family val="3"/>
      <charset val="129"/>
    </font>
    <font>
      <b/>
      <sz val="9"/>
      <color indexed="56"/>
      <name val="맑은 고딕"/>
      <family val="3"/>
      <charset val="129"/>
    </font>
    <font>
      <b/>
      <sz val="7"/>
      <name val="맑은 고딕"/>
      <family val="3"/>
      <charset val="129"/>
    </font>
    <font>
      <b/>
      <sz val="6.5"/>
      <name val="맑은 고딕"/>
      <family val="3"/>
      <charset val="129"/>
    </font>
    <font>
      <b/>
      <sz val="7"/>
      <color indexed="8"/>
      <name val="맑은 고딕"/>
      <family val="3"/>
      <charset val="129"/>
    </font>
    <font>
      <b/>
      <sz val="6.5"/>
      <color indexed="8"/>
      <name val="맑은 고딕"/>
      <family val="3"/>
      <charset val="129"/>
    </font>
    <font>
      <sz val="6.5"/>
      <color indexed="8"/>
      <name val="맑은 고딕"/>
      <family val="3"/>
      <charset val="129"/>
    </font>
    <font>
      <b/>
      <sz val="6"/>
      <color indexed="8"/>
      <name val="맑은 고딕"/>
      <family val="3"/>
      <charset val="129"/>
    </font>
    <font>
      <sz val="7"/>
      <color indexed="8"/>
      <name val="맑은 고딕"/>
      <family val="3"/>
      <charset val="129"/>
    </font>
    <font>
      <sz val="6"/>
      <name val="맑은 고딕"/>
      <family val="3"/>
      <charset val="129"/>
    </font>
    <font>
      <b/>
      <sz val="7"/>
      <color rgb="FF7030A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sz val="6.5"/>
      <color rgb="FF7030A0"/>
      <name val="맑은 고딕"/>
      <family val="3"/>
      <charset val="129"/>
    </font>
    <font>
      <b/>
      <sz val="6.5"/>
      <color rgb="FF0070C0"/>
      <name val="맑은 고딕"/>
      <family val="3"/>
      <charset val="129"/>
    </font>
    <font>
      <sz val="6.5"/>
      <color rgb="FF0070C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10"/>
      <color rgb="FFFF0000"/>
      <name val="Tahoma"/>
      <family val="2"/>
    </font>
    <font>
      <sz val="10"/>
      <color theme="1"/>
      <name val="Tahoma"/>
      <family val="2"/>
    </font>
    <font>
      <sz val="11"/>
      <color rgb="FF0070C0"/>
      <name val="맑은 고딕"/>
      <family val="2"/>
      <charset val="129"/>
      <scheme val="minor"/>
    </font>
    <font>
      <sz val="11"/>
      <color rgb="FF7030A0"/>
      <name val="맑은 고딕"/>
      <family val="2"/>
      <charset val="129"/>
      <scheme val="minor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rgb="FF7030A0"/>
      <name val="맑은 고딕"/>
      <family val="3"/>
      <charset val="129"/>
      <scheme val="major"/>
    </font>
    <font>
      <sz val="9"/>
      <color rgb="FF7030A0"/>
      <name val="맑은 고딕"/>
      <family val="3"/>
      <charset val="129"/>
      <scheme val="major"/>
    </font>
    <font>
      <sz val="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  <scheme val="major"/>
    </font>
    <font>
      <sz val="9"/>
      <color theme="0" tint="-0.14999847407452621"/>
      <name val="맑은 고딕"/>
      <family val="3"/>
      <charset val="129"/>
      <scheme val="major"/>
    </font>
    <font>
      <vertAlign val="superscript"/>
      <sz val="9"/>
      <name val="맑은 고딕"/>
      <family val="3"/>
      <charset val="129"/>
      <scheme val="major"/>
    </font>
    <font>
      <i/>
      <sz val="9"/>
      <color rgb="FFFF0000"/>
      <name val="맑은 고딕"/>
      <family val="3"/>
      <charset val="129"/>
      <scheme val="major"/>
    </font>
    <font>
      <i/>
      <sz val="10"/>
      <color rgb="FFFF0000"/>
      <name val="나눔고딕"/>
      <family val="3"/>
      <charset val="129"/>
    </font>
    <font>
      <sz val="10"/>
      <color rgb="FF7030A0"/>
      <name val="나눔고딕"/>
      <family val="3"/>
      <charset val="129"/>
    </font>
    <font>
      <i/>
      <sz val="10"/>
      <color rgb="FF0070C0"/>
      <name val="나눔고딕"/>
      <family val="3"/>
      <charset val="129"/>
    </font>
    <font>
      <i/>
      <sz val="10"/>
      <color rgb="FF7030A0"/>
      <name val="나눔고딕"/>
      <family val="3"/>
      <charset val="129"/>
    </font>
    <font>
      <sz val="9"/>
      <color rgb="FF0070C0"/>
      <name val="맑은 고딕"/>
      <family val="3"/>
      <charset val="129"/>
      <scheme val="major"/>
    </font>
    <font>
      <b/>
      <sz val="10"/>
      <color indexed="8"/>
      <name val="Tahoma"/>
      <family val="2"/>
    </font>
    <font>
      <sz val="6.5"/>
      <color rgb="FFFF0000"/>
      <name val="맑은 고딕"/>
      <family val="3"/>
      <charset val="129"/>
    </font>
    <font>
      <sz val="8"/>
      <color rgb="FF7030A0"/>
      <name val="맑은 고딕"/>
      <family val="3"/>
      <charset val="129"/>
      <scheme val="minor"/>
    </font>
    <font>
      <sz val="9"/>
      <color indexed="81"/>
      <name val="Tahoma"/>
      <family val="2"/>
      <charset val="129"/>
    </font>
    <font>
      <b/>
      <sz val="9"/>
      <color indexed="81"/>
      <name val="Tahoma"/>
      <family val="2"/>
      <charset val="129"/>
    </font>
    <font>
      <sz val="8"/>
      <color rgb="FF7030A0"/>
      <name val="나눔고딕"/>
      <family val="3"/>
      <charset val="129"/>
    </font>
    <font>
      <b/>
      <sz val="9"/>
      <color rgb="FF0070C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</font>
    <font>
      <sz val="6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0"/>
      <color rgb="FF0070C0"/>
      <name val="Tahoma"/>
      <family val="2"/>
    </font>
    <font>
      <b/>
      <sz val="9"/>
      <color rgb="FF7030A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8"/>
      <color rgb="FF0070C0"/>
      <name val="맑은 고딕"/>
      <family val="3"/>
      <charset val="129"/>
    </font>
    <font>
      <sz val="9"/>
      <color rgb="FF7030A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sz val="8"/>
      <color rgb="FF000000"/>
      <name val="나눔고딕"/>
      <family val="3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0F8FF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gray0625">
        <fgColor indexed="9"/>
      </patternFill>
    </fill>
    <fill>
      <patternFill patternType="solid">
        <fgColor indexed="26"/>
        <bgColor indexed="22"/>
      </patternFill>
    </fill>
    <fill>
      <patternFill patternType="gray0625">
        <fgColor indexed="9"/>
        <bgColor indexed="9"/>
      </patternFill>
    </fill>
    <fill>
      <patternFill patternType="lightGray">
        <fgColor indexed="13"/>
      </patternFill>
    </fill>
    <fill>
      <patternFill patternType="lightGray">
        <fgColor indexed="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5"/>
      </patternFill>
    </fill>
    <fill>
      <patternFill patternType="solid">
        <fgColor indexed="3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00FF"/>
        <bgColor indexed="64"/>
      </patternFill>
    </fill>
  </fills>
  <borders count="26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theme="0" tint="-0.34998626667073579"/>
      </right>
      <top/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otted">
        <color theme="0" tint="-0.34998626667073579"/>
      </right>
      <top style="dashed">
        <color theme="0" tint="-0.34998626667073579"/>
      </top>
      <bottom/>
      <diagonal/>
    </border>
    <border>
      <left/>
      <right style="thin">
        <color auto="1"/>
      </right>
      <top style="dashed">
        <color theme="0" tint="-0.34998626667073579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ashed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indexed="55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thick">
        <color indexed="56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/>
      <right style="hair">
        <color theme="0" tint="-0.499984740745262"/>
      </right>
      <top/>
      <bottom/>
      <diagonal/>
    </border>
    <border>
      <left/>
      <right style="dotted">
        <color theme="0" tint="-0.34998626667073579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448D"/>
      </top>
      <bottom style="medium">
        <color rgb="FF00448D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00448D"/>
      </bottom>
      <diagonal/>
    </border>
    <border>
      <left/>
      <right style="medium">
        <color indexed="64"/>
      </right>
      <top style="medium">
        <color indexed="64"/>
      </top>
      <bottom style="medium">
        <color rgb="FF00448D"/>
      </bottom>
      <diagonal/>
    </border>
    <border>
      <left style="medium">
        <color indexed="64"/>
      </left>
      <right/>
      <top style="medium">
        <color rgb="FF00448D"/>
      </top>
      <bottom style="medium">
        <color rgb="FF00448D"/>
      </bottom>
      <diagonal/>
    </border>
    <border>
      <left/>
      <right style="medium">
        <color indexed="64"/>
      </right>
      <top style="medium">
        <color rgb="FF00448D"/>
      </top>
      <bottom style="medium">
        <color rgb="FF00448D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hair">
        <color indexed="23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499984740745262"/>
      </left>
      <right style="thin">
        <color theme="0" tint="-0.2499465926084170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3664FD"/>
      </top>
      <bottom style="thin">
        <color rgb="FF3664FD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</borders>
  <cellStyleXfs count="5465">
    <xf numFmtId="0" fontId="0" fillId="0" borderId="0">
      <alignment vertical="center"/>
    </xf>
    <xf numFmtId="176" fontId="65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1" applyNumberFormat="0" applyFill="0" applyAlignment="0" applyProtection="0">
      <alignment vertical="center"/>
    </xf>
    <xf numFmtId="0" fontId="51" fillId="0" borderId="2" applyNumberFormat="0" applyFill="0" applyAlignment="0" applyProtection="0">
      <alignment vertical="center"/>
    </xf>
    <xf numFmtId="0" fontId="52" fillId="0" borderId="3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2" borderId="0" applyNumberFormat="0" applyBorder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5" borderId="4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66" fillId="33" borderId="0" applyNumberFormat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7" borderId="7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48" fillId="8" borderId="8" applyNumberFormat="0" applyFon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3" fillId="9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0" fontId="47" fillId="0" borderId="0">
      <alignment vertical="center"/>
    </xf>
    <xf numFmtId="0" fontId="96" fillId="6" borderId="4" applyNumberFormat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0" borderId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0" borderId="0">
      <alignment vertical="center"/>
    </xf>
    <xf numFmtId="0" fontId="46" fillId="8" borderId="8" applyNumberFormat="0" applyFont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0" borderId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8" fillId="12" borderId="0" applyNumberFormat="0" applyBorder="0" applyAlignment="0" applyProtection="0">
      <alignment vertical="center"/>
    </xf>
    <xf numFmtId="0" fontId="98" fillId="16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4" borderId="0" applyNumberFormat="0" applyBorder="0" applyAlignment="0" applyProtection="0">
      <alignment vertical="center"/>
    </xf>
    <xf numFmtId="0" fontId="98" fillId="28" borderId="0" applyNumberFormat="0" applyBorder="0" applyAlignment="0" applyProtection="0">
      <alignment vertical="center"/>
    </xf>
    <xf numFmtId="0" fontId="98" fillId="32" borderId="0" applyNumberFormat="0" applyBorder="0" applyAlignment="0" applyProtection="0">
      <alignment vertical="center"/>
    </xf>
    <xf numFmtId="0" fontId="98" fillId="9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25" borderId="0" applyNumberFormat="0" applyBorder="0" applyAlignment="0" applyProtection="0">
      <alignment vertical="center"/>
    </xf>
    <xf numFmtId="0" fontId="98" fillId="29" borderId="0" applyNumberFormat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66" fillId="6" borderId="4" applyNumberFormat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97" fillId="8" borderId="8" applyNumberFormat="0" applyFont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7" borderId="7" applyNumberFormat="0" applyAlignment="0" applyProtection="0">
      <alignment vertical="center"/>
    </xf>
    <xf numFmtId="0" fontId="104" fillId="0" borderId="6" applyNumberFormat="0" applyFill="0" applyAlignment="0" applyProtection="0">
      <alignment vertical="center"/>
    </xf>
    <xf numFmtId="0" fontId="105" fillId="0" borderId="9" applyNumberFormat="0" applyFill="0" applyAlignment="0" applyProtection="0">
      <alignment vertical="center"/>
    </xf>
    <xf numFmtId="0" fontId="106" fillId="5" borderId="4" applyNumberFormat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" applyNumberFormat="0" applyFill="0" applyAlignment="0" applyProtection="0">
      <alignment vertical="center"/>
    </xf>
    <xf numFmtId="0" fontId="109" fillId="0" borderId="2" applyNumberFormat="0" applyFill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2" borderId="0" applyNumberFormat="0" applyBorder="0" applyAlignment="0" applyProtection="0">
      <alignment vertical="center"/>
    </xf>
    <xf numFmtId="0" fontId="112" fillId="6" borderId="5" applyNumberFormat="0" applyAlignment="0" applyProtection="0">
      <alignment vertical="center"/>
    </xf>
    <xf numFmtId="0" fontId="113" fillId="0" borderId="0">
      <alignment vertical="center"/>
    </xf>
    <xf numFmtId="0" fontId="42" fillId="8" borderId="8" applyNumberFormat="0" applyFont="0" applyAlignment="0" applyProtection="0">
      <alignment vertical="center"/>
    </xf>
    <xf numFmtId="0" fontId="42" fillId="10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1" fillId="0" borderId="0">
      <alignment vertical="center"/>
    </xf>
    <xf numFmtId="177" fontId="41" fillId="0" borderId="0" applyFont="0" applyFill="0" applyBorder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29" fillId="0" borderId="0"/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177" fontId="40" fillId="0" borderId="0" applyFont="0" applyFill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8" borderId="8" applyNumberFormat="0" applyFont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8" borderId="8" applyNumberFormat="0" applyFont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8" borderId="8" applyNumberFormat="0" applyFont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6" fillId="0" borderId="0">
      <alignment vertical="center"/>
    </xf>
    <xf numFmtId="0" fontId="36" fillId="8" borderId="8" applyNumberFormat="0" applyFont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5" fillId="0" borderId="0">
      <alignment vertical="center"/>
    </xf>
    <xf numFmtId="0" fontId="129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146" fillId="0" borderId="0">
      <alignment vertical="center"/>
    </xf>
    <xf numFmtId="0" fontId="160" fillId="0" borderId="0">
      <protection locked="0"/>
    </xf>
    <xf numFmtId="0" fontId="161" fillId="0" borderId="0"/>
    <xf numFmtId="0" fontId="161" fillId="0" borderId="0"/>
    <xf numFmtId="0" fontId="162" fillId="0" borderId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94" fontId="129" fillId="79" borderId="13"/>
    <xf numFmtId="3" fontId="164" fillId="0" borderId="15"/>
    <xf numFmtId="0" fontId="162" fillId="0" borderId="0"/>
    <xf numFmtId="0" fontId="165" fillId="0" borderId="0"/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195" fontId="166" fillId="0" borderId="0" applyFont="0" applyFill="0" applyBorder="0" applyAlignment="0"/>
    <xf numFmtId="0" fontId="129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1" fillId="0" borderId="0" applyNumberFormat="0" applyFill="0" applyBorder="0" applyAlignment="0" applyProtection="0"/>
    <xf numFmtId="40" fontId="167" fillId="0" borderId="0" applyFont="0" applyFill="0" applyBorder="0" applyAlignment="0" applyProtection="0"/>
    <xf numFmtId="38" fontId="167" fillId="0" borderId="0" applyFont="0" applyFill="0" applyBorder="0" applyAlignment="0" applyProtection="0"/>
    <xf numFmtId="0" fontId="168" fillId="0" borderId="0"/>
    <xf numFmtId="0" fontId="169" fillId="0" borderId="0"/>
    <xf numFmtId="0" fontId="170" fillId="0" borderId="0"/>
    <xf numFmtId="0" fontId="161" fillId="0" borderId="0"/>
    <xf numFmtId="177" fontId="171" fillId="0" borderId="0" applyFont="0" applyFill="0" applyBorder="0" applyAlignment="0" applyProtection="0"/>
    <xf numFmtId="9" fontId="172" fillId="0" borderId="0" applyBorder="0" applyAlignment="0" applyProtection="0"/>
    <xf numFmtId="0" fontId="173" fillId="0" borderId="0" applyNumberFormat="0" applyFill="0" applyBorder="0" applyAlignment="0" applyProtection="0">
      <protection locked="0"/>
    </xf>
    <xf numFmtId="0" fontId="174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5" fillId="0" borderId="0" applyNumberFormat="0" applyFill="0" applyBorder="0" applyAlignment="0" applyProtection="0">
      <protection locked="0"/>
    </xf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/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1" fillId="0" borderId="0" applyFont="0" applyFill="0" applyBorder="0" applyAlignment="0" applyProtection="0"/>
    <xf numFmtId="38" fontId="177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62" fillId="0" borderId="0" applyFont="0" applyFill="0" applyBorder="0" applyAlignment="0" applyProtection="0"/>
    <xf numFmtId="0" fontId="178" fillId="0" borderId="0"/>
    <xf numFmtId="0" fontId="161" fillId="0" borderId="0"/>
    <xf numFmtId="0" fontId="161" fillId="0" borderId="0"/>
    <xf numFmtId="0" fontId="178" fillId="0" borderId="0"/>
    <xf numFmtId="0" fontId="161" fillId="0" borderId="0"/>
    <xf numFmtId="0" fontId="162" fillId="0" borderId="0"/>
    <xf numFmtId="0" fontId="165" fillId="0" borderId="0"/>
    <xf numFmtId="0" fontId="162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61" fillId="0" borderId="0"/>
    <xf numFmtId="0" fontId="178" fillId="0" borderId="0"/>
    <xf numFmtId="0" fontId="178" fillId="0" borderId="0"/>
    <xf numFmtId="0" fontId="178" fillId="0" borderId="0"/>
    <xf numFmtId="0" fontId="161" fillId="0" borderId="0"/>
    <xf numFmtId="0" fontId="162" fillId="0" borderId="0"/>
    <xf numFmtId="0" fontId="178" fillId="0" borderId="0"/>
    <xf numFmtId="0" fontId="166" fillId="0" borderId="0"/>
    <xf numFmtId="0" fontId="162" fillId="0" borderId="0" applyFont="0" applyFill="0" applyBorder="0" applyAlignment="0" applyProtection="0"/>
    <xf numFmtId="0" fontId="165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78" fillId="0" borderId="0"/>
    <xf numFmtId="0" fontId="179" fillId="0" borderId="0"/>
    <xf numFmtId="0" fontId="161" fillId="0" borderId="0"/>
    <xf numFmtId="0" fontId="161" fillId="0" borderId="0"/>
    <xf numFmtId="0" fontId="165" fillId="0" borderId="0"/>
    <xf numFmtId="0" fontId="162" fillId="0" borderId="0"/>
    <xf numFmtId="0" fontId="162" fillId="0" borderId="0"/>
    <xf numFmtId="0" fontId="166" fillId="0" borderId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1" fillId="0" borderId="0"/>
    <xf numFmtId="197" fontId="129" fillId="0" borderId="0" applyFont="0" applyFill="0" applyBorder="0" applyAlignment="0" applyProtection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79" fillId="0" borderId="0"/>
    <xf numFmtId="0" fontId="161" fillId="0" borderId="0"/>
    <xf numFmtId="0" fontId="179" fillId="0" borderId="0"/>
    <xf numFmtId="0" fontId="162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2" fillId="0" borderId="0"/>
    <xf numFmtId="0" fontId="179" fillId="0" borderId="0"/>
    <xf numFmtId="0" fontId="179" fillId="0" borderId="0"/>
    <xf numFmtId="0" fontId="161" fillId="0" borderId="0"/>
    <xf numFmtId="0" fontId="162" fillId="0" borderId="0"/>
    <xf numFmtId="0" fontId="161" fillId="0" borderId="0"/>
    <xf numFmtId="0" fontId="177" fillId="0" borderId="0"/>
    <xf numFmtId="0" fontId="161" fillId="0" borderId="0"/>
    <xf numFmtId="0" fontId="165" fillId="0" borderId="0"/>
    <xf numFmtId="0" fontId="179" fillId="0" borderId="0"/>
    <xf numFmtId="0" fontId="179" fillId="0" borderId="0"/>
    <xf numFmtId="0" fontId="181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3" fontId="180" fillId="0" borderId="0"/>
    <xf numFmtId="0" fontId="165" fillId="0" borderId="0"/>
    <xf numFmtId="0" fontId="162" fillId="0" borderId="0" applyFont="0" applyFill="0" applyBorder="0" applyAlignment="0" applyProtection="0"/>
    <xf numFmtId="0" fontId="161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0" fontId="178" fillId="0" borderId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1" fillId="0" borderId="0"/>
    <xf numFmtId="0" fontId="177" fillId="0" borderId="0"/>
    <xf numFmtId="0" fontId="166" fillId="0" borderId="0"/>
    <xf numFmtId="198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00" fontId="182" fillId="0" borderId="0" applyFont="0" applyFill="0" applyBorder="0" applyAlignment="0" applyProtection="0"/>
    <xf numFmtId="201" fontId="129" fillId="0" borderId="0" applyFont="0" applyFill="0" applyBorder="0" applyAlignment="0" applyProtection="0"/>
    <xf numFmtId="202" fontId="182" fillId="0" borderId="0" applyFont="0" applyFill="0" applyBorder="0" applyAlignment="0" applyProtection="0"/>
    <xf numFmtId="197" fontId="129" fillId="0" borderId="0" applyFont="0" applyFill="0" applyBorder="0" applyAlignment="0" applyProtection="0"/>
    <xf numFmtId="0" fontId="179" fillId="0" borderId="0"/>
    <xf numFmtId="0" fontId="161" fillId="0" borderId="0"/>
    <xf numFmtId="0" fontId="178" fillId="0" borderId="0"/>
    <xf numFmtId="0" fontId="162" fillId="0" borderId="0"/>
    <xf numFmtId="0" fontId="162" fillId="0" borderId="0"/>
    <xf numFmtId="0" fontId="161" fillId="0" borderId="0"/>
    <xf numFmtId="0" fontId="177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78" fillId="0" borderId="0"/>
    <xf numFmtId="0" fontId="162" fillId="0" borderId="0"/>
    <xf numFmtId="0" fontId="162" fillId="0" borderId="0"/>
    <xf numFmtId="0" fontId="161" fillId="0" borderId="0"/>
    <xf numFmtId="0" fontId="166" fillId="0" borderId="0"/>
    <xf numFmtId="0" fontId="177" fillId="0" borderId="0"/>
    <xf numFmtId="0" fontId="161" fillId="0" borderId="0"/>
    <xf numFmtId="0" fontId="161" fillId="0" borderId="0"/>
    <xf numFmtId="0" fontId="161" fillId="0" borderId="0"/>
    <xf numFmtId="0" fontId="177" fillId="0" borderId="0"/>
    <xf numFmtId="0" fontId="177" fillId="0" borderId="0"/>
    <xf numFmtId="0" fontId="166" fillId="0" borderId="0"/>
    <xf numFmtId="0" fontId="161" fillId="0" borderId="0"/>
    <xf numFmtId="0" fontId="161" fillId="0" borderId="0"/>
    <xf numFmtId="0" fontId="177" fillId="0" borderId="0"/>
    <xf numFmtId="0" fontId="161" fillId="0" borderId="0"/>
    <xf numFmtId="0" fontId="178" fillId="0" borderId="0"/>
    <xf numFmtId="0" fontId="161" fillId="0" borderId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203" fontId="183" fillId="0" borderId="0" applyFont="0" applyFill="0" applyBorder="0" applyAlignment="0" applyProtection="0"/>
    <xf numFmtId="204" fontId="183" fillId="0" borderId="0" applyFont="0" applyFill="0" applyBorder="0" applyAlignment="0" applyProtection="0"/>
    <xf numFmtId="205" fontId="183" fillId="0" borderId="0" applyFont="0" applyFill="0" applyBorder="0" applyAlignment="0" applyProtection="0"/>
    <xf numFmtId="206" fontId="183" fillId="0" borderId="0" applyFont="0" applyFill="0" applyBorder="0" applyAlignment="0" applyProtection="0"/>
    <xf numFmtId="207" fontId="183" fillId="0" borderId="0" applyFont="0" applyFill="0" applyBorder="0" applyAlignment="0" applyProtection="0"/>
    <xf numFmtId="208" fontId="184" fillId="0" borderId="0" applyFont="0" applyFill="0" applyBorder="0" applyAlignment="0" applyProtection="0"/>
    <xf numFmtId="0" fontId="185" fillId="0" borderId="0"/>
    <xf numFmtId="0" fontId="171" fillId="0" borderId="0"/>
    <xf numFmtId="177" fontId="186" fillId="0" borderId="0" applyFont="0" applyFill="0" applyBorder="0" applyAlignment="0" applyProtection="0"/>
    <xf numFmtId="0" fontId="187" fillId="0" borderId="0" applyNumberFormat="0" applyFill="0" applyBorder="0" applyAlignment="0" applyProtection="0"/>
    <xf numFmtId="0" fontId="188" fillId="0" borderId="0" applyNumberFormat="0" applyFill="0" applyBorder="0" applyAlignment="0" applyProtection="0"/>
    <xf numFmtId="0" fontId="189" fillId="0" borderId="0" applyNumberFormat="0" applyFill="0" applyBorder="0" applyAlignment="0" applyProtection="0">
      <protection locked="0"/>
    </xf>
    <xf numFmtId="0" fontId="190" fillId="0" borderId="0"/>
    <xf numFmtId="0" fontId="181" fillId="0" borderId="0"/>
    <xf numFmtId="3" fontId="164" fillId="0" borderId="15"/>
    <xf numFmtId="3" fontId="164" fillId="0" borderId="15"/>
    <xf numFmtId="0" fontId="161" fillId="0" borderId="0"/>
    <xf numFmtId="4" fontId="191" fillId="0" borderId="55">
      <alignment vertical="center"/>
    </xf>
    <xf numFmtId="0" fontId="170" fillId="0" borderId="0">
      <alignment vertical="center"/>
    </xf>
    <xf numFmtId="9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209" fontId="171" fillId="0" borderId="0" applyFont="0" applyFill="0" applyBorder="0" applyAlignment="0" applyProtection="0"/>
    <xf numFmtId="209" fontId="186" fillId="0" borderId="0" applyFont="0" applyFill="0" applyBorder="0" applyAlignment="0" applyProtection="0"/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62" fillId="0" borderId="0" applyFont="0" applyFill="0" applyBorder="0" applyAlignment="0" applyProtection="0"/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93" fillId="0" borderId="0">
      <alignment vertical="center"/>
    </xf>
    <xf numFmtId="0" fontId="16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211" fontId="129" fillId="0" borderId="0" applyFont="0" applyFill="0" applyBorder="0" applyAlignment="0" applyProtection="0"/>
    <xf numFmtId="0" fontId="202" fillId="0" borderId="0" applyFont="0" applyFill="0" applyBorder="0" applyAlignment="0" applyProtection="0"/>
    <xf numFmtId="212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00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2" fillId="0" borderId="0" applyFont="0" applyFill="0" applyBorder="0" applyAlignment="0" applyProtection="0"/>
    <xf numFmtId="213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17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8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8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7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177" fontId="192" fillId="0" borderId="0" applyFont="0" applyFill="0" applyBorder="0" applyAlignment="0" applyProtection="0"/>
    <xf numFmtId="0" fontId="202" fillId="0" borderId="0" applyFont="0" applyFill="0" applyBorder="0" applyAlignment="0" applyProtection="0"/>
    <xf numFmtId="220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21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11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77" fillId="0" borderId="0"/>
    <xf numFmtId="178" fontId="170" fillId="0" borderId="0" applyFont="0" applyFill="0" applyBorder="0" applyAlignment="0" applyProtection="0"/>
    <xf numFmtId="210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22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217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8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10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7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217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217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13" fillId="0" borderId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15" fillId="52" borderId="0" applyNumberFormat="0" applyBorder="0" applyAlignment="0" applyProtection="0">
      <alignment vertical="center"/>
    </xf>
    <xf numFmtId="0" fontId="214" fillId="0" borderId="0" applyNumberFormat="0" applyFill="0" applyBorder="0" applyAlignment="0" applyProtection="0"/>
    <xf numFmtId="0" fontId="215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226" fontId="216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7" fillId="0" borderId="0"/>
    <xf numFmtId="0" fontId="210" fillId="0" borderId="0"/>
    <xf numFmtId="0" fontId="210" fillId="0" borderId="0"/>
    <xf numFmtId="0" fontId="210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226" fontId="216" fillId="0" borderId="0"/>
    <xf numFmtId="0" fontId="209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7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161" fillId="0" borderId="0"/>
    <xf numFmtId="0" fontId="210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161" fillId="0" borderId="0"/>
    <xf numFmtId="39" fontId="178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217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39" fontId="178" fillId="0" borderId="0"/>
    <xf numFmtId="0" fontId="161" fillId="0" borderId="0"/>
    <xf numFmtId="0" fontId="179" fillId="0" borderId="0"/>
    <xf numFmtId="0" fontId="218" fillId="0" borderId="0" applyFont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39" fontId="178" fillId="0" borderId="0"/>
    <xf numFmtId="0" fontId="161" fillId="0" borderId="0"/>
    <xf numFmtId="0" fontId="210" fillId="0" borderId="0"/>
    <xf numFmtId="0" fontId="217" fillId="0" borderId="0"/>
    <xf numFmtId="0" fontId="209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9" fillId="0" borderId="0"/>
    <xf numFmtId="0" fontId="198" fillId="0" borderId="0"/>
    <xf numFmtId="0" fontId="220" fillId="0" borderId="0"/>
    <xf numFmtId="0" fontId="221" fillId="0" borderId="0"/>
    <xf numFmtId="0" fontId="197" fillId="0" borderId="0"/>
    <xf numFmtId="0" fontId="196" fillId="0" borderId="0"/>
    <xf numFmtId="0" fontId="211" fillId="0" borderId="0"/>
    <xf numFmtId="0" fontId="207" fillId="0" borderId="0"/>
    <xf numFmtId="0" fontId="206" fillId="0" borderId="0"/>
    <xf numFmtId="0" fontId="202" fillId="0" borderId="0"/>
    <xf numFmtId="0" fontId="203" fillId="0" borderId="0"/>
    <xf numFmtId="0" fontId="203" fillId="0" borderId="0"/>
    <xf numFmtId="0" fontId="200" fillId="0" borderId="0"/>
    <xf numFmtId="0" fontId="199" fillId="0" borderId="0"/>
    <xf numFmtId="0" fontId="192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22" fillId="0" borderId="0"/>
    <xf numFmtId="0" fontId="200" fillId="0" borderId="0"/>
    <xf numFmtId="0" fontId="161" fillId="0" borderId="0"/>
    <xf numFmtId="0" fontId="192" fillId="0" borderId="0"/>
    <xf numFmtId="0" fontId="203" fillId="0" borderId="0"/>
    <xf numFmtId="0" fontId="161" fillId="0" borderId="0"/>
    <xf numFmtId="0" fontId="201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6" fillId="0" borderId="0"/>
    <xf numFmtId="0" fontId="212" fillId="0" borderId="0"/>
    <xf numFmtId="0" fontId="205" fillId="0" borderId="0"/>
    <xf numFmtId="2" fontId="192" fillId="0" borderId="0"/>
    <xf numFmtId="0" fontId="204" fillId="0" borderId="0"/>
    <xf numFmtId="0" fontId="208" fillId="0" borderId="0"/>
    <xf numFmtId="0" fontId="192" fillId="0" borderId="0"/>
    <xf numFmtId="0" fontId="225" fillId="0" borderId="0"/>
    <xf numFmtId="0" fontId="200" fillId="0" borderId="0"/>
    <xf numFmtId="0" fontId="203" fillId="0" borderId="0"/>
    <xf numFmtId="0" fontId="20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/>
    <xf numFmtId="0" fontId="207" fillId="0" borderId="0"/>
    <xf numFmtId="0" fontId="226" fillId="0" borderId="0"/>
    <xf numFmtId="0" fontId="227" fillId="0" borderId="0"/>
    <xf numFmtId="0" fontId="192" fillId="0" borderId="0"/>
    <xf numFmtId="0" fontId="208" fillId="0" borderId="0"/>
    <xf numFmtId="0" fontId="192" fillId="0" borderId="0"/>
    <xf numFmtId="0" fontId="203" fillId="0" borderId="0"/>
    <xf numFmtId="0" fontId="200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0" fillId="0" borderId="0"/>
    <xf numFmtId="0" fontId="199" fillId="0" borderId="0"/>
    <xf numFmtId="0" fontId="200" fillId="0" borderId="0"/>
    <xf numFmtId="0" fontId="192" fillId="0" borderId="0"/>
    <xf numFmtId="0" fontId="199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00" fillId="0" borderId="0"/>
    <xf numFmtId="0" fontId="203" fillId="0" borderId="0"/>
    <xf numFmtId="0" fontId="224" fillId="0" borderId="0"/>
    <xf numFmtId="0" fontId="208" fillId="0" borderId="0"/>
    <xf numFmtId="0" fontId="224" fillId="0" borderId="0"/>
    <xf numFmtId="0" fontId="201" fillId="0" borderId="0"/>
    <xf numFmtId="0" fontId="206" fillId="0" borderId="0"/>
    <xf numFmtId="0" fontId="205" fillId="0" borderId="0"/>
    <xf numFmtId="0" fontId="224" fillId="0" borderId="0"/>
    <xf numFmtId="0" fontId="201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 applyBorder="0"/>
    <xf numFmtId="0" fontId="203" fillId="0" borderId="0"/>
    <xf numFmtId="0" fontId="179" fillId="0" borderId="0"/>
    <xf numFmtId="0" fontId="203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11" fillId="0" borderId="0"/>
    <xf numFmtId="0" fontId="207" fillId="0" borderId="0"/>
    <xf numFmtId="0" fontId="211" fillId="0" borderId="0"/>
    <xf numFmtId="227" fontId="162" fillId="0" borderId="0" applyFill="0" applyBorder="0" applyAlignment="0"/>
    <xf numFmtId="0" fontId="116" fillId="69" borderId="41" applyNumberFormat="0" applyAlignment="0" applyProtection="0">
      <alignment vertical="center"/>
    </xf>
    <xf numFmtId="0" fontId="228" fillId="0" borderId="0"/>
    <xf numFmtId="0" fontId="117" fillId="70" borderId="42" applyNumberFormat="0" applyAlignment="0" applyProtection="0">
      <alignment vertical="center"/>
    </xf>
    <xf numFmtId="0" fontId="229" fillId="80" borderId="56" applyFont="0" applyFill="0" applyBorder="0"/>
    <xf numFmtId="0" fontId="230" fillId="0" borderId="13"/>
    <xf numFmtId="4" fontId="160" fillId="0" borderId="0">
      <protection locked="0"/>
    </xf>
    <xf numFmtId="0" fontId="178" fillId="0" borderId="57"/>
    <xf numFmtId="177" fontId="231" fillId="0" borderId="0" applyFont="0" applyFill="0" applyBorder="0" applyAlignment="0" applyProtection="0">
      <alignment vertical="center"/>
    </xf>
    <xf numFmtId="228" fontId="232" fillId="0" borderId="0" applyFont="0" applyFill="0" applyBorder="0" applyAlignment="0" applyProtection="0"/>
    <xf numFmtId="0" fontId="129" fillId="0" borderId="0"/>
    <xf numFmtId="196" fontId="161" fillId="0" borderId="0" applyFont="0" applyFill="0" applyBorder="0" applyAlignment="0" applyProtection="0"/>
    <xf numFmtId="0" fontId="233" fillId="0" borderId="0" applyNumberFormat="0" applyAlignment="0">
      <alignment horizontal="left"/>
    </xf>
    <xf numFmtId="0" fontId="178" fillId="0" borderId="57"/>
    <xf numFmtId="0" fontId="181" fillId="0" borderId="0" applyFont="0" applyFill="0" applyBorder="0" applyAlignment="0" applyProtection="0"/>
    <xf numFmtId="0" fontId="160" fillId="0" borderId="0">
      <protection locked="0"/>
    </xf>
    <xf numFmtId="229" fontId="129" fillId="0" borderId="0">
      <alignment horizontal="center"/>
    </xf>
    <xf numFmtId="0" fontId="161" fillId="0" borderId="0" applyFont="0" applyFill="0" applyBorder="0" applyAlignment="0" applyProtection="0"/>
    <xf numFmtId="230" fontId="183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29" fillId="0" borderId="0"/>
    <xf numFmtId="0" fontId="129" fillId="0" borderId="0" applyFont="0" applyFill="0" applyBorder="0" applyAlignment="0" applyProtection="0"/>
    <xf numFmtId="231" fontId="129" fillId="0" borderId="0">
      <protection locked="0"/>
    </xf>
    <xf numFmtId="21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29" fillId="0" borderId="0"/>
    <xf numFmtId="232" fontId="184" fillId="0" borderId="0" applyFont="0" applyFill="0" applyBorder="0" applyAlignment="0" applyProtection="0"/>
    <xf numFmtId="200" fontId="18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234" fillId="0" borderId="0" applyNumberFormat="0" applyAlignment="0">
      <alignment horizontal="left"/>
    </xf>
    <xf numFmtId="181" fontId="129" fillId="0" borderId="0" applyFont="0" applyFill="0" applyBorder="0" applyAlignment="0" applyProtection="0">
      <alignment vertical="center"/>
    </xf>
    <xf numFmtId="179" fontId="235" fillId="0" borderId="0" applyFont="0" applyFill="0" applyBorder="0" applyAlignment="0" applyProtection="0"/>
    <xf numFmtId="0" fontId="118" fillId="0" borderId="0" applyNumberFormat="0" applyFill="0" applyBorder="0" applyAlignment="0" applyProtection="0">
      <alignment vertical="center"/>
    </xf>
    <xf numFmtId="0" fontId="236" fillId="0" borderId="0" applyNumberFormat="0" applyBorder="0" applyAlignment="0"/>
    <xf numFmtId="231" fontId="129" fillId="0" borderId="0">
      <protection locked="0"/>
    </xf>
    <xf numFmtId="0" fontId="161" fillId="0" borderId="0" applyNumberFormat="0" applyFill="0" applyBorder="0" applyAlignment="0" applyProtection="0">
      <alignment vertical="top"/>
      <protection locked="0"/>
    </xf>
    <xf numFmtId="0" fontId="119" fillId="53" borderId="0" applyNumberFormat="0" applyBorder="0" applyAlignment="0" applyProtection="0">
      <alignment vertical="center"/>
    </xf>
    <xf numFmtId="38" fontId="230" fillId="81" borderId="0" applyNumberFormat="0" applyBorder="0" applyAlignment="0" applyProtection="0"/>
    <xf numFmtId="0" fontId="237" fillId="0" borderId="0">
      <alignment horizontal="left"/>
    </xf>
    <xf numFmtId="0" fontId="238" fillId="0" borderId="58" applyNumberFormat="0" applyAlignment="0" applyProtection="0">
      <alignment horizontal="left" vertical="center"/>
    </xf>
    <xf numFmtId="0" fontId="238" fillId="0" borderId="18">
      <alignment horizontal="left"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231" fontId="129" fillId="0" borderId="0">
      <protection locked="0"/>
    </xf>
    <xf numFmtId="231" fontId="129" fillId="0" borderId="0">
      <protection locked="0"/>
    </xf>
    <xf numFmtId="0" fontId="239" fillId="0" borderId="0"/>
    <xf numFmtId="0" fontId="240" fillId="0" borderId="0">
      <alignment horizontal="left"/>
    </xf>
    <xf numFmtId="0" fontId="161" fillId="0" borderId="0" applyNumberFormat="0" applyFill="0" applyBorder="0" applyAlignment="0" applyProtection="0">
      <alignment vertical="top"/>
      <protection locked="0"/>
    </xf>
    <xf numFmtId="233" fontId="241" fillId="82" borderId="0" applyNumberFormat="0" applyBorder="0">
      <alignment horizontal="left"/>
      <protection locked="0"/>
    </xf>
    <xf numFmtId="0" fontId="123" fillId="56" borderId="41" applyNumberFormat="0" applyAlignment="0" applyProtection="0">
      <alignment vertical="center"/>
    </xf>
    <xf numFmtId="10" fontId="230" fillId="81" borderId="15" applyNumberFormat="0" applyBorder="0" applyAlignment="0" applyProtection="0"/>
    <xf numFmtId="0" fontId="242" fillId="56" borderId="41" applyNumberFormat="0" applyAlignment="0" applyProtection="0"/>
    <xf numFmtId="0" fontId="243" fillId="83" borderId="59" applyNumberFormat="0" applyProtection="0">
      <alignment horizontal="left"/>
    </xf>
    <xf numFmtId="0" fontId="162" fillId="0" borderId="0"/>
    <xf numFmtId="233" fontId="244" fillId="84" borderId="0" applyNumberFormat="0" applyBorder="0">
      <alignment horizontal="right"/>
      <protection locked="0"/>
    </xf>
    <xf numFmtId="0" fontId="124" fillId="0" borderId="46" applyNumberFormat="0" applyFill="0" applyAlignment="0" applyProtection="0">
      <alignment vertical="center"/>
    </xf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233" fontId="245" fillId="84" borderId="0" applyNumberFormat="0" applyBorder="0">
      <alignment horizontal="right"/>
      <protection locked="0"/>
    </xf>
    <xf numFmtId="234" fontId="177" fillId="0" borderId="0" applyFont="0" applyFill="0" applyBorder="0" applyAlignment="0" applyProtection="0"/>
    <xf numFmtId="179" fontId="246" fillId="0" borderId="0" applyFont="0" applyFill="0" applyBorder="0" applyAlignment="0" applyProtection="0"/>
    <xf numFmtId="41" fontId="244" fillId="0" borderId="0" applyFont="0" applyFill="0" applyBorder="0" applyAlignment="0" applyProtection="0"/>
    <xf numFmtId="43" fontId="244" fillId="0" borderId="0" applyFont="0" applyFill="0" applyBorder="0" applyAlignment="0" applyProtection="0"/>
    <xf numFmtId="0" fontId="170" fillId="0" borderId="0" applyFont="0" applyFill="0" applyBorder="0" applyAlignment="0" applyProtection="0"/>
    <xf numFmtId="0" fontId="247" fillId="0" borderId="60"/>
    <xf numFmtId="235" fontId="161" fillId="0" borderId="0" applyFont="0" applyFill="0" applyBorder="0" applyAlignment="0" applyProtection="0"/>
    <xf numFmtId="236" fontId="161" fillId="0" borderId="0" applyFont="0" applyFill="0" applyBorder="0" applyAlignment="0" applyProtection="0"/>
    <xf numFmtId="237" fontId="129" fillId="0" borderId="0" applyFont="0" applyFill="0" applyBorder="0" applyAlignment="0" applyProtection="0"/>
    <xf numFmtId="216" fontId="244" fillId="0" borderId="0" applyFont="0" applyFill="0" applyBorder="0" applyAlignment="0" applyProtection="0"/>
    <xf numFmtId="238" fontId="248" fillId="0" borderId="0" applyFont="0" applyFill="0" applyBorder="0" applyAlignment="0" applyProtection="0"/>
    <xf numFmtId="239" fontId="248" fillId="0" borderId="0" applyFont="0" applyFill="0" applyBorder="0" applyAlignment="0" applyProtection="0"/>
    <xf numFmtId="240" fontId="185" fillId="0" borderId="0" applyFont="0" applyFill="0" applyBorder="0" applyAlignment="0" applyProtection="0"/>
    <xf numFmtId="241" fontId="129" fillId="0" borderId="0" applyFont="0" applyFill="0" applyBorder="0" applyAlignment="0" applyProtection="0"/>
    <xf numFmtId="0" fontId="125" fillId="71" borderId="0" applyNumberFormat="0" applyBorder="0" applyAlignment="0" applyProtection="0">
      <alignment vertical="center"/>
    </xf>
    <xf numFmtId="37" fontId="249" fillId="0" borderId="0"/>
    <xf numFmtId="0" fontId="162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161" fillId="0" borderId="0"/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251" fillId="0" borderId="0"/>
    <xf numFmtId="0" fontId="113" fillId="72" borderId="47" applyNumberFormat="0" applyFont="0" applyAlignment="0" applyProtection="0">
      <alignment vertical="center"/>
    </xf>
    <xf numFmtId="3" fontId="180" fillId="0" borderId="50" applyBorder="0"/>
    <xf numFmtId="40" fontId="252" fillId="0" borderId="0" applyFont="0" applyFill="0" applyBorder="0" applyAlignment="0" applyProtection="0"/>
    <xf numFmtId="0" fontId="126" fillId="69" borderId="48" applyNumberFormat="0" applyAlignment="0" applyProtection="0">
      <alignment vertical="center"/>
    </xf>
    <xf numFmtId="0" fontId="160" fillId="0" borderId="0">
      <protection locked="0"/>
    </xf>
    <xf numFmtId="9" fontId="185" fillId="0" borderId="0" applyFont="0" applyFill="0" applyBorder="0" applyAlignment="0" applyProtection="0"/>
    <xf numFmtId="186" fontId="185" fillId="0" borderId="0" applyFont="0" applyFill="0" applyBorder="0" applyAlignment="0" applyProtection="0"/>
    <xf numFmtId="10" fontId="161" fillId="0" borderId="0" applyFont="0" applyFill="0" applyBorder="0" applyAlignment="0" applyProtection="0"/>
    <xf numFmtId="0" fontId="160" fillId="0" borderId="0">
      <protection locked="0"/>
    </xf>
    <xf numFmtId="49" fontId="180" fillId="0" borderId="0">
      <alignment horizontal="right"/>
    </xf>
    <xf numFmtId="30" fontId="253" fillId="0" borderId="0" applyNumberFormat="0" applyFill="0" applyBorder="0" applyAlignment="0" applyProtection="0">
      <alignment horizontal="left"/>
    </xf>
    <xf numFmtId="38" fontId="177" fillId="0" borderId="0" applyFont="0" applyFill="0" applyBorder="0" applyAlignment="0" applyProtection="0"/>
    <xf numFmtId="178" fontId="181" fillId="0" borderId="0" applyFont="0" applyFill="0" applyBorder="0" applyAlignment="0" applyProtection="0"/>
    <xf numFmtId="242" fontId="161" fillId="0" borderId="0" applyFont="0" applyFill="0" applyBorder="0" applyAlignment="0" applyProtection="0"/>
    <xf numFmtId="243" fontId="161" fillId="0" borderId="0" applyFont="0" applyFill="0" applyBorder="0" applyAlignment="0" applyProtection="0"/>
    <xf numFmtId="3" fontId="230" fillId="0" borderId="0"/>
    <xf numFmtId="2" fontId="254" fillId="0" borderId="0"/>
    <xf numFmtId="0" fontId="247" fillId="0" borderId="0"/>
    <xf numFmtId="40" fontId="255" fillId="0" borderId="0" applyBorder="0">
      <alignment horizontal="right"/>
    </xf>
    <xf numFmtId="3" fontId="256" fillId="0" borderId="0" applyNumberFormat="0"/>
    <xf numFmtId="0" fontId="192" fillId="0" borderId="0"/>
    <xf numFmtId="179" fontId="129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3" fontId="257" fillId="0" borderId="0"/>
    <xf numFmtId="233" fontId="258" fillId="85" borderId="0" applyNumberFormat="0" applyBorder="0">
      <alignment horizontal="center"/>
      <protection locked="0"/>
    </xf>
    <xf numFmtId="233" fontId="239" fillId="86" borderId="0" applyNumberFormat="0" applyBorder="0">
      <alignment horizontal="center"/>
      <protection locked="0"/>
    </xf>
    <xf numFmtId="233" fontId="259" fillId="87" borderId="0" applyNumberFormat="0" applyBorder="0">
      <alignment horizontal="left"/>
      <protection locked="0"/>
    </xf>
    <xf numFmtId="233" fontId="260" fillId="86" borderId="0" applyNumberFormat="0" applyBorder="0">
      <protection locked="0"/>
    </xf>
    <xf numFmtId="0" fontId="256" fillId="0" borderId="18">
      <alignment horizontal="center" wrapText="1"/>
    </xf>
    <xf numFmtId="0" fontId="88" fillId="0" borderId="49" applyNumberFormat="0" applyFill="0" applyAlignment="0" applyProtection="0">
      <alignment vertical="center"/>
    </xf>
    <xf numFmtId="3" fontId="256" fillId="0" borderId="17" applyNumberFormat="0"/>
    <xf numFmtId="0" fontId="261" fillId="0" borderId="49" applyNumberFormat="0" applyFill="0" applyAlignment="0" applyProtection="0">
      <alignment vertical="center"/>
    </xf>
    <xf numFmtId="177" fontId="129" fillId="0" borderId="0" applyFont="0" applyFill="0" applyBorder="0" applyAlignment="0" applyProtection="0"/>
    <xf numFmtId="179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44" fontId="177" fillId="0" borderId="0" applyFont="0" applyFill="0" applyBorder="0" applyAlignment="0" applyProtection="0"/>
    <xf numFmtId="178" fontId="129" fillId="0" borderId="0" applyFont="0" applyFill="0" applyBorder="0" applyAlignment="0" applyProtection="0"/>
    <xf numFmtId="0" fontId="262" fillId="0" borderId="0" applyNumberFormat="0" applyFill="0" applyBorder="0" applyAlignment="0" applyProtection="0"/>
    <xf numFmtId="0" fontId="263" fillId="88" borderId="61" applyNumberFormat="0" applyAlignment="0" applyProtection="0"/>
    <xf numFmtId="245" fontId="162" fillId="0" borderId="0" applyFont="0" applyFill="0" applyBorder="0" applyAlignment="0" applyProtection="0"/>
    <xf numFmtId="246" fontId="162" fillId="0" borderId="0" applyFont="0" applyFill="0" applyBorder="0" applyAlignment="0" applyProtection="0"/>
    <xf numFmtId="247" fontId="162" fillId="0" borderId="0" applyFont="0" applyFill="0" applyBorder="0" applyAlignment="0" applyProtection="0"/>
    <xf numFmtId="193" fontId="162" fillId="0" borderId="0" applyFont="0" applyFill="0" applyBorder="0" applyAlignment="0" applyProtection="0"/>
    <xf numFmtId="0" fontId="128" fillId="0" borderId="0" applyNumberFormat="0" applyFill="0" applyBorder="0" applyAlignment="0" applyProtection="0">
      <alignment vertical="center"/>
    </xf>
    <xf numFmtId="186" fontId="26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80" fillId="0" borderId="0"/>
    <xf numFmtId="0" fontId="181" fillId="0" borderId="0">
      <alignment vertical="center"/>
    </xf>
    <xf numFmtId="2" fontId="265" fillId="0" borderId="0" applyFont="0" applyFill="0" applyBorder="0" applyAlignment="0" applyProtection="0"/>
    <xf numFmtId="0" fontId="266" fillId="0" borderId="0" applyNumberFormat="0" applyFill="0" applyBorder="0" applyAlignment="0" applyProtection="0"/>
    <xf numFmtId="0" fontId="267" fillId="0" borderId="0" applyNumberFormat="0" applyFill="0" applyBorder="0" applyAlignment="0" applyProtection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9" fillId="0" borderId="0"/>
    <xf numFmtId="0" fontId="270" fillId="0" borderId="0" applyFill="0" applyBorder="0" applyAlignment="0" applyProtection="0">
      <alignment horizontal="center" vertical="center"/>
    </xf>
    <xf numFmtId="248" fontId="161" fillId="0" borderId="15">
      <alignment horizontal="right" vertical="center" shrinkToFit="1"/>
    </xf>
    <xf numFmtId="0" fontId="179" fillId="0" borderId="62" applyFill="0" applyBorder="0" applyProtection="0">
      <alignment horizontal="center" vertical="center"/>
    </xf>
    <xf numFmtId="1" fontId="235" fillId="0" borderId="15" applyFill="0" applyBorder="0">
      <alignment horizontal="center"/>
    </xf>
    <xf numFmtId="0" fontId="265" fillId="0" borderId="0" applyFont="0" applyFill="0" applyBorder="0" applyAlignment="0" applyProtection="0"/>
    <xf numFmtId="0" fontId="271" fillId="0" borderId="0" applyNumberFormat="0" applyFill="0" applyBorder="0" applyAlignment="0" applyProtection="0">
      <alignment vertical="top"/>
      <protection locked="0"/>
    </xf>
    <xf numFmtId="40" fontId="272" fillId="0" borderId="0" applyFont="0" applyFill="0" applyBorder="0" applyAlignment="0" applyProtection="0"/>
    <xf numFmtId="38" fontId="272" fillId="0" borderId="0" applyFont="0" applyFill="0" applyBorder="0" applyAlignment="0" applyProtection="0"/>
    <xf numFmtId="40" fontId="252" fillId="0" borderId="0" applyFont="0" applyFill="0" applyBorder="0" applyAlignment="0" applyProtection="0"/>
    <xf numFmtId="38" fontId="25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249" fontId="235" fillId="0" borderId="0">
      <protection locked="0"/>
    </xf>
    <xf numFmtId="249" fontId="235" fillId="0" borderId="0">
      <protection locked="0"/>
    </xf>
    <xf numFmtId="9" fontId="166" fillId="0" borderId="0" applyFont="0" applyFill="0" applyBorder="0" applyAlignment="0" applyProtection="0"/>
    <xf numFmtId="9" fontId="129" fillId="0" borderId="0" applyFont="0" applyFill="0" applyBorder="0" applyAlignment="0" applyProtection="0">
      <alignment vertical="center"/>
    </xf>
    <xf numFmtId="10" fontId="185" fillId="0" borderId="20"/>
    <xf numFmtId="10" fontId="185" fillId="0" borderId="0"/>
    <xf numFmtId="0" fontId="129" fillId="0" borderId="12">
      <alignment horizontal="center" vertical="center"/>
    </xf>
    <xf numFmtId="0" fontId="274" fillId="0" borderId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5" fillId="0" borderId="0" applyFont="0" applyAlignment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129" fillId="0" borderId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77" fontId="179" fillId="0" borderId="63" applyFill="0" applyBorder="0" applyProtection="0">
      <alignment vertical="center"/>
    </xf>
    <xf numFmtId="0" fontId="276" fillId="0" borderId="0">
      <alignment vertical="center"/>
    </xf>
    <xf numFmtId="182" fontId="179" fillId="0" borderId="0" applyFill="0" applyBorder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43" fontId="161" fillId="0" borderId="0" applyFont="0" applyFill="0" applyBorder="0" applyAlignment="0" applyProtection="0"/>
    <xf numFmtId="0" fontId="129" fillId="0" borderId="0"/>
    <xf numFmtId="0" fontId="162" fillId="0" borderId="0"/>
    <xf numFmtId="0" fontId="162" fillId="0" borderId="0"/>
    <xf numFmtId="0" fontId="162" fillId="0" borderId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197" fontId="129" fillId="0" borderId="0" applyFont="0" applyFill="0" applyBorder="0" applyAlignment="0" applyProtection="0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271" fillId="0" borderId="0" applyNumberFormat="0" applyFill="0" applyBorder="0" applyAlignment="0" applyProtection="0">
      <alignment vertical="top"/>
      <protection locked="0"/>
    </xf>
    <xf numFmtId="0" fontId="277" fillId="0" borderId="0"/>
    <xf numFmtId="25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52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3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4" fontId="129" fillId="0" borderId="0" applyFont="0" applyFill="0" applyBorder="0" applyAlignment="0" applyProtection="0"/>
    <xf numFmtId="254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4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5" fontId="178" fillId="0" borderId="0" applyFont="0" applyFill="0" applyBorder="0" applyProtection="0">
      <alignment horizontal="right"/>
    </xf>
    <xf numFmtId="0" fontId="178" fillId="0" borderId="0"/>
    <xf numFmtId="4" fontId="265" fillId="0" borderId="0" applyFont="0" applyFill="0" applyBorder="0" applyAlignment="0" applyProtection="0"/>
    <xf numFmtId="3" fontId="265" fillId="0" borderId="0" applyFont="0" applyFill="0" applyBorder="0" applyAlignment="0" applyProtection="0"/>
    <xf numFmtId="0" fontId="193" fillId="0" borderId="0">
      <alignment horizontal="left" vertical="center"/>
    </xf>
    <xf numFmtId="0" fontId="278" fillId="0" borderId="0">
      <alignment horizontal="left" vertical="center"/>
    </xf>
    <xf numFmtId="249" fontId="129" fillId="0" borderId="0">
      <alignment vertical="center"/>
    </xf>
    <xf numFmtId="0" fontId="177" fillId="0" borderId="0" applyFont="0" applyFill="0" applyBorder="0" applyAlignment="0" applyProtection="0"/>
    <xf numFmtId="0" fontId="162" fillId="0" borderId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177" fontId="129" fillId="0" borderId="0" applyFont="0" applyFill="0" applyBorder="0" applyAlignment="0" applyProtection="0"/>
    <xf numFmtId="196" fontId="279" fillId="0" borderId="0" applyFont="0" applyFill="0" applyBorder="0" applyAlignment="0" applyProtection="0"/>
    <xf numFmtId="249" fontId="235" fillId="0" borderId="0">
      <protection locked="0"/>
    </xf>
    <xf numFmtId="249" fontId="235" fillId="0" borderId="0">
      <protection locked="0"/>
    </xf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29" fillId="0" borderId="0" applyFont="0" applyFill="0" applyBorder="0" applyAlignment="0" applyProtection="0"/>
    <xf numFmtId="256" fontId="129" fillId="79" borderId="13" applyNumberFormat="0"/>
    <xf numFmtId="0" fontId="170" fillId="0" borderId="0" applyFont="0" applyFill="0" applyBorder="0" applyAlignment="0" applyProtection="0"/>
    <xf numFmtId="0" fontId="129" fillId="0" borderId="0" applyFont="0" applyFill="0" applyBorder="0" applyAlignment="0" applyProtection="0"/>
    <xf numFmtId="3" fontId="162" fillId="0" borderId="40"/>
    <xf numFmtId="0" fontId="280" fillId="0" borderId="0">
      <alignment vertical="center"/>
    </xf>
    <xf numFmtId="249" fontId="235" fillId="0" borderId="0">
      <protection locked="0"/>
    </xf>
    <xf numFmtId="249" fontId="235" fillId="0" borderId="0">
      <protection locked="0"/>
    </xf>
    <xf numFmtId="0" fontId="129" fillId="0" borderId="0">
      <alignment vertical="center"/>
      <protection locked="0"/>
    </xf>
    <xf numFmtId="0" fontId="281" fillId="89" borderId="64"/>
    <xf numFmtId="0" fontId="162" fillId="0" borderId="0" applyFont="0" applyFill="0" applyBorder="0" applyAlignment="0" applyProtection="0"/>
    <xf numFmtId="186" fontId="179" fillId="0" borderId="65" applyFill="0" applyBorder="0" applyProtection="0">
      <alignment vertical="center"/>
    </xf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249" fontId="235" fillId="0" borderId="0">
      <protection locked="0"/>
    </xf>
    <xf numFmtId="249" fontId="235" fillId="0" borderId="0">
      <protection locked="0"/>
    </xf>
    <xf numFmtId="0" fontId="129" fillId="0" borderId="0">
      <alignment vertical="center"/>
    </xf>
    <xf numFmtId="0" fontId="74" fillId="0" borderId="0"/>
    <xf numFmtId="0" fontId="231" fillId="0" borderId="0">
      <alignment vertical="center"/>
    </xf>
    <xf numFmtId="0" fontId="80" fillId="0" borderId="0">
      <alignment vertical="center"/>
    </xf>
    <xf numFmtId="0" fontId="35" fillId="0" borderId="0">
      <alignment vertical="center"/>
    </xf>
    <xf numFmtId="0" fontId="129" fillId="0" borderId="0"/>
    <xf numFmtId="0" fontId="164" fillId="0" borderId="0"/>
    <xf numFmtId="0" fontId="282" fillId="0" borderId="0"/>
    <xf numFmtId="181" fontId="283" fillId="0" borderId="0" applyNumberFormat="0" applyFill="0" applyBorder="0" applyAlignment="0" applyProtection="0">
      <alignment vertical="top"/>
      <protection locked="0"/>
    </xf>
    <xf numFmtId="0" fontId="265" fillId="0" borderId="66" applyNumberFormat="0" applyFont="0" applyFill="0" applyAlignment="0" applyProtection="0"/>
    <xf numFmtId="176" fontId="129" fillId="0" borderId="0" applyFont="0" applyFill="0" applyBorder="0" applyAlignment="0" applyProtection="0"/>
    <xf numFmtId="178" fontId="129" fillId="0" borderId="0" applyFont="0" applyFill="0" applyBorder="0" applyAlignment="0" applyProtection="0"/>
    <xf numFmtId="257" fontId="129" fillId="0" borderId="0" applyFont="0" applyFill="0" applyBorder="0" applyAlignment="0" applyProtection="0"/>
    <xf numFmtId="254" fontId="265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34" fillId="0" borderId="0">
      <alignment vertical="center"/>
    </xf>
    <xf numFmtId="0" fontId="34" fillId="8" borderId="8" applyNumberFormat="0" applyFont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181" fontId="161" fillId="0" borderId="0"/>
    <xf numFmtId="0" fontId="292" fillId="0" borderId="0" applyNumberFormat="0" applyFill="0" applyBorder="0" applyAlignment="0" applyProtection="0">
      <alignment vertical="top"/>
      <protection locked="0"/>
    </xf>
    <xf numFmtId="0" fontId="94" fillId="0" borderId="0">
      <alignment vertical="center"/>
    </xf>
    <xf numFmtId="0" fontId="161" fillId="0" borderId="0"/>
    <xf numFmtId="9" fontId="65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177" fontId="33" fillId="0" borderId="0" applyFont="0" applyFill="0" applyBorder="0" applyAlignment="0" applyProtection="0">
      <alignment vertical="center"/>
    </xf>
    <xf numFmtId="0" fontId="305" fillId="95" borderId="0" applyFont="0" applyAlignment="0" applyProtection="0">
      <alignment horizontal="center" vertical="center"/>
    </xf>
    <xf numFmtId="0" fontId="146" fillId="0" borderId="0">
      <alignment vertical="center"/>
    </xf>
    <xf numFmtId="0" fontId="146" fillId="0" borderId="0">
      <alignment vertical="center"/>
    </xf>
    <xf numFmtId="0" fontId="32" fillId="0" borderId="0">
      <alignment vertical="center"/>
    </xf>
    <xf numFmtId="0" fontId="9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181" fontId="129" fillId="0" borderId="0"/>
    <xf numFmtId="181" fontId="97" fillId="0" borderId="0">
      <alignment vertical="center"/>
    </xf>
    <xf numFmtId="177" fontId="129" fillId="0" borderId="0" applyFont="0" applyFill="0" applyBorder="0" applyAlignment="0" applyProtection="0">
      <alignment vertical="center"/>
    </xf>
    <xf numFmtId="181" fontId="65" fillId="0" borderId="0">
      <alignment vertical="center"/>
    </xf>
    <xf numFmtId="181" fontId="30" fillId="0" borderId="0">
      <alignment vertical="center"/>
    </xf>
    <xf numFmtId="181" fontId="30" fillId="0" borderId="0">
      <alignment vertical="center"/>
    </xf>
    <xf numFmtId="177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5" fillId="0" borderId="0">
      <alignment vertical="center"/>
    </xf>
    <xf numFmtId="0" fontId="4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181" fontId="2" fillId="0" borderId="0">
      <alignment vertical="center"/>
    </xf>
    <xf numFmtId="181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1899">
    <xf numFmtId="0" fontId="0" fillId="0" borderId="0" xfId="0" applyFont="1">
      <alignment vertical="center"/>
    </xf>
    <xf numFmtId="181" fontId="151" fillId="90" borderId="0" xfId="5423" applyFont="1" applyFill="1" applyAlignment="1">
      <alignment horizontal="left" vertical="center"/>
    </xf>
    <xf numFmtId="180" fontId="67" fillId="0" borderId="0" xfId="0" applyNumberFormat="1" applyFont="1" applyProtection="1">
      <alignment vertical="center"/>
      <protection locked="0"/>
    </xf>
    <xf numFmtId="0" fontId="67" fillId="0" borderId="0" xfId="0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0" fontId="69" fillId="0" borderId="0" xfId="0" applyFont="1" applyProtection="1">
      <alignment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Protection="1">
      <alignment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Fill="1" applyProtection="1">
      <alignment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0" fontId="72" fillId="37" borderId="24" xfId="0" applyFont="1" applyFill="1" applyBorder="1" applyProtection="1">
      <alignment vertical="center"/>
    </xf>
    <xf numFmtId="180" fontId="72" fillId="37" borderId="24" xfId="0" applyNumberFormat="1" applyFont="1" applyFill="1" applyBorder="1" applyAlignment="1" applyProtection="1">
      <alignment horizontal="center" vertical="center"/>
    </xf>
    <xf numFmtId="0" fontId="70" fillId="0" borderId="0" xfId="0" applyFont="1" applyProtection="1">
      <alignment vertical="center"/>
    </xf>
    <xf numFmtId="0" fontId="72" fillId="37" borderId="25" xfId="0" applyFont="1" applyFill="1" applyBorder="1" applyProtection="1">
      <alignment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0" fontId="69" fillId="0" borderId="0" xfId="0" applyFont="1" applyFill="1" applyBorder="1" applyProtection="1">
      <alignment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0" fontId="70" fillId="0" borderId="0" xfId="0" applyFont="1" applyFill="1" applyProtection="1">
      <alignment vertical="center"/>
    </xf>
    <xf numFmtId="0" fontId="72" fillId="37" borderId="0" xfId="0" applyFont="1" applyFill="1" applyProtection="1">
      <alignment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0" fontId="68" fillId="34" borderId="0" xfId="0" applyFont="1" applyFill="1" applyProtection="1">
      <alignment vertical="center"/>
    </xf>
    <xf numFmtId="0" fontId="67" fillId="0" borderId="0" xfId="0" applyFont="1" applyProtection="1">
      <alignment vertical="center"/>
    </xf>
    <xf numFmtId="0" fontId="69" fillId="36" borderId="0" xfId="0" applyFont="1" applyFill="1" applyProtection="1">
      <alignment vertical="center"/>
    </xf>
    <xf numFmtId="0" fontId="71" fillId="0" borderId="0" xfId="0" applyFont="1" applyAlignment="1" applyProtection="1">
      <alignment horizontal="center" vertical="center"/>
    </xf>
    <xf numFmtId="0" fontId="81" fillId="40" borderId="10" xfId="0" applyFont="1" applyFill="1" applyBorder="1" applyAlignment="1" applyProtection="1">
      <alignment horizontal="center" vertical="center"/>
    </xf>
    <xf numFmtId="0" fontId="81" fillId="40" borderId="13" xfId="0" applyFont="1" applyFill="1" applyBorder="1" applyAlignment="1" applyProtection="1">
      <alignment horizontal="center" vertical="center"/>
    </xf>
    <xf numFmtId="0" fontId="78" fillId="39" borderId="23" xfId="0" applyFont="1" applyFill="1" applyBorder="1" applyAlignment="1" applyProtection="1">
      <alignment horizontal="left" vertical="center" shrinkToFit="1"/>
    </xf>
    <xf numFmtId="0" fontId="78" fillId="38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indent="2" shrinkToFit="1"/>
    </xf>
    <xf numFmtId="0" fontId="78" fillId="0" borderId="23" xfId="0" applyFont="1" applyFill="1" applyBorder="1" applyAlignment="1" applyProtection="1">
      <alignment horizontal="left" vertical="center" indent="3" shrinkToFit="1"/>
    </xf>
    <xf numFmtId="0" fontId="78" fillId="38" borderId="23" xfId="0" applyFont="1" applyFill="1" applyBorder="1" applyAlignment="1" applyProtection="1">
      <alignment horizontal="left" vertical="center" shrinkToFit="1"/>
    </xf>
    <xf numFmtId="0" fontId="78" fillId="0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shrinkToFit="1"/>
    </xf>
    <xf numFmtId="0" fontId="67" fillId="0" borderId="0" xfId="0" applyFont="1" applyFill="1" applyProtection="1">
      <alignment vertical="center"/>
    </xf>
    <xf numFmtId="0" fontId="78" fillId="42" borderId="23" xfId="0" applyFont="1" applyFill="1" applyBorder="1" applyAlignment="1" applyProtection="1">
      <alignment horizontal="left" vertical="center" shrinkToFit="1"/>
    </xf>
    <xf numFmtId="0" fontId="69" fillId="0" borderId="0" xfId="0" applyFont="1" applyProtection="1">
      <alignment vertical="center"/>
    </xf>
    <xf numFmtId="0" fontId="78" fillId="35" borderId="23" xfId="0" applyFont="1" applyFill="1" applyBorder="1" applyAlignment="1" applyProtection="1">
      <alignment horizontal="left" vertical="center" indent="1" shrinkToFit="1"/>
    </xf>
    <xf numFmtId="0" fontId="78" fillId="35" borderId="23" xfId="0" applyFont="1" applyFill="1" applyBorder="1" applyAlignment="1" applyProtection="1">
      <alignment horizontal="left" vertical="center" indent="2" shrinkToFit="1"/>
    </xf>
    <xf numFmtId="0" fontId="78" fillId="35" borderId="23" xfId="0" applyFont="1" applyFill="1" applyBorder="1" applyAlignment="1" applyProtection="1">
      <alignment horizontal="left" vertical="center" indent="3" shrinkToFit="1"/>
    </xf>
    <xf numFmtId="0" fontId="72" fillId="0" borderId="0" xfId="0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  <protection locked="0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Fill="1" applyProtection="1">
      <alignment vertical="center"/>
      <protection locked="0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Fill="1" applyProtection="1">
      <alignment vertical="center"/>
    </xf>
    <xf numFmtId="180" fontId="78" fillId="42" borderId="23" xfId="0" applyNumberFormat="1" applyFont="1" applyFill="1" applyBorder="1" applyAlignment="1" applyProtection="1">
      <alignment vertical="center" shrinkToFit="1"/>
    </xf>
    <xf numFmtId="180" fontId="80" fillId="39" borderId="23" xfId="43" applyNumberFormat="1" applyFont="1" applyFill="1" applyBorder="1" applyAlignment="1" applyProtection="1">
      <alignment vertical="center"/>
    </xf>
    <xf numFmtId="180" fontId="80" fillId="38" borderId="23" xfId="43" applyNumberFormat="1" applyFont="1" applyFill="1" applyBorder="1" applyAlignment="1" applyProtection="1">
      <alignment vertical="center"/>
    </xf>
    <xf numFmtId="180" fontId="80" fillId="0" borderId="23" xfId="43" applyNumberFormat="1" applyFont="1" applyFill="1" applyBorder="1" applyAlignment="1" applyProtection="1">
      <alignment vertical="center"/>
    </xf>
    <xf numFmtId="180" fontId="78" fillId="0" borderId="23" xfId="0" applyNumberFormat="1" applyFont="1" applyFill="1" applyBorder="1" applyAlignment="1" applyProtection="1"/>
    <xf numFmtId="180" fontId="78" fillId="38" borderId="23" xfId="0" applyNumberFormat="1" applyFont="1" applyFill="1" applyBorder="1" applyAlignment="1" applyProtection="1"/>
    <xf numFmtId="180" fontId="78" fillId="39" borderId="23" xfId="0" applyNumberFormat="1" applyFont="1" applyFill="1" applyBorder="1" applyAlignment="1" applyProtection="1"/>
    <xf numFmtId="180" fontId="78" fillId="44" borderId="23" xfId="0" applyNumberFormat="1" applyFont="1" applyFill="1" applyBorder="1" applyAlignment="1" applyProtection="1"/>
    <xf numFmtId="0" fontId="35" fillId="0" borderId="0" xfId="3711" applyProtection="1">
      <alignment vertical="center"/>
      <protection locked="0"/>
    </xf>
    <xf numFmtId="0" fontId="135" fillId="0" borderId="0" xfId="3712" applyFont="1" applyBorder="1" applyAlignment="1" applyProtection="1">
      <alignment vertical="center" wrapText="1"/>
      <protection locked="0"/>
    </xf>
    <xf numFmtId="0" fontId="141" fillId="46" borderId="23" xfId="3712" applyFont="1" applyFill="1" applyBorder="1" applyAlignment="1" applyProtection="1">
      <alignment horizontal="center" vertical="center"/>
      <protection locked="0"/>
    </xf>
    <xf numFmtId="0" fontId="132" fillId="73" borderId="23" xfId="3712" applyFont="1" applyFill="1" applyBorder="1" applyAlignment="1" applyProtection="1">
      <alignment horizontal="center" vertical="center" wrapText="1"/>
      <protection locked="0"/>
    </xf>
    <xf numFmtId="0" fontId="147" fillId="76" borderId="21" xfId="3714" applyFont="1" applyFill="1" applyBorder="1" applyAlignment="1" applyProtection="1">
      <alignment horizontal="center" vertical="center"/>
    </xf>
    <xf numFmtId="0" fontId="64" fillId="0" borderId="21" xfId="3714" applyFont="1" applyFill="1" applyBorder="1" applyAlignment="1" applyProtection="1">
      <alignment horizontal="center" vertical="center"/>
      <protection locked="0"/>
    </xf>
    <xf numFmtId="0" fontId="147" fillId="76" borderId="0" xfId="3714" applyFont="1" applyFill="1" applyBorder="1" applyAlignment="1" applyProtection="1">
      <alignment horizontal="center" vertical="center"/>
    </xf>
    <xf numFmtId="0" fontId="64" fillId="0" borderId="0" xfId="3714" applyFont="1" applyFill="1" applyBorder="1" applyAlignment="1" applyProtection="1">
      <alignment horizontal="center" vertical="center"/>
      <protection locked="0"/>
    </xf>
    <xf numFmtId="0" fontId="64" fillId="0" borderId="51" xfId="3714" applyFont="1" applyFill="1" applyBorder="1" applyAlignment="1" applyProtection="1">
      <alignment horizontal="center" vertical="center"/>
      <protection locked="0"/>
    </xf>
    <xf numFmtId="0" fontId="64" fillId="0" borderId="52" xfId="3714" applyFont="1" applyFill="1" applyBorder="1" applyAlignment="1" applyProtection="1">
      <alignment horizontal="center" vertical="center"/>
      <protection locked="0"/>
    </xf>
    <xf numFmtId="0" fontId="64" fillId="0" borderId="53" xfId="3714" applyFont="1" applyFill="1" applyBorder="1" applyAlignment="1" applyProtection="1">
      <alignment horizontal="center" vertical="center"/>
      <protection locked="0"/>
    </xf>
    <xf numFmtId="0" fontId="64" fillId="0" borderId="54" xfId="3714" applyFont="1" applyFill="1" applyBorder="1" applyAlignment="1" applyProtection="1">
      <alignment horizontal="center" vertical="center"/>
      <protection locked="0"/>
    </xf>
    <xf numFmtId="0" fontId="132" fillId="0" borderId="0" xfId="3714" applyFont="1" applyFill="1" applyBorder="1" applyAlignment="1" applyProtection="1">
      <alignment horizontal="center" vertical="center"/>
      <protection locked="0"/>
    </xf>
    <xf numFmtId="0" fontId="132" fillId="0" borderId="51" xfId="3714" applyFont="1" applyFill="1" applyBorder="1" applyAlignment="1" applyProtection="1">
      <alignment horizontal="center" vertical="center"/>
      <protection locked="0"/>
    </xf>
    <xf numFmtId="0" fontId="146" fillId="0" borderId="19" xfId="3714" applyFill="1" applyBorder="1" applyAlignment="1" applyProtection="1">
      <alignment vertical="center"/>
      <protection locked="0"/>
    </xf>
    <xf numFmtId="0" fontId="146" fillId="0" borderId="21" xfId="3714" applyFill="1" applyBorder="1" applyAlignment="1" applyProtection="1">
      <alignment horizontal="center" vertical="center"/>
      <protection locked="0"/>
    </xf>
    <xf numFmtId="0" fontId="148" fillId="0" borderId="40" xfId="3714" applyFont="1" applyFill="1" applyBorder="1" applyAlignment="1" applyProtection="1">
      <alignment vertical="center"/>
      <protection locked="0"/>
    </xf>
    <xf numFmtId="0" fontId="146" fillId="0" borderId="0" xfId="3714" applyFill="1" applyBorder="1" applyAlignment="1" applyProtection="1">
      <alignment vertical="center"/>
      <protection locked="0"/>
    </xf>
    <xf numFmtId="181" fontId="284" fillId="90" borderId="0" xfId="5423" applyFont="1" applyFill="1" applyAlignment="1">
      <alignment horizontal="center" vertical="center"/>
    </xf>
    <xf numFmtId="181" fontId="284" fillId="90" borderId="0" xfId="5402" applyFont="1" applyFill="1" applyAlignment="1" applyProtection="1">
      <alignment horizontal="center" vertical="center"/>
    </xf>
    <xf numFmtId="0" fontId="146" fillId="0" borderId="0" xfId="3714">
      <alignment vertical="center"/>
    </xf>
    <xf numFmtId="181" fontId="151" fillId="90" borderId="0" xfId="5423" applyFont="1" applyFill="1" applyAlignment="1">
      <alignment horizontal="center" vertical="center"/>
    </xf>
    <xf numFmtId="181" fontId="285" fillId="90" borderId="0" xfId="5423" applyFont="1" applyFill="1" applyAlignment="1">
      <alignment horizontal="center" vertical="center"/>
    </xf>
    <xf numFmtId="181" fontId="287" fillId="90" borderId="0" xfId="5423" applyFont="1" applyFill="1" applyAlignment="1">
      <alignment horizontal="right" vertical="center"/>
    </xf>
    <xf numFmtId="181" fontId="151" fillId="43" borderId="0" xfId="5423" applyFont="1" applyFill="1" applyAlignment="1">
      <alignment horizontal="center" vertical="center"/>
    </xf>
    <xf numFmtId="181" fontId="284" fillId="90" borderId="0" xfId="5423" applyFont="1" applyFill="1" applyAlignment="1">
      <alignment vertical="center"/>
    </xf>
    <xf numFmtId="0" fontId="151" fillId="90" borderId="0" xfId="5423" quotePrefix="1" applyNumberFormat="1" applyFont="1" applyFill="1" applyAlignment="1">
      <alignment horizontal="right" vertical="center"/>
    </xf>
    <xf numFmtId="0" fontId="147" fillId="91" borderId="0" xfId="3714" applyFont="1" applyFill="1">
      <alignment vertical="center"/>
    </xf>
    <xf numFmtId="0" fontId="146" fillId="91" borderId="0" xfId="3714" applyFill="1">
      <alignment vertical="center"/>
    </xf>
    <xf numFmtId="0" fontId="147" fillId="0" borderId="0" xfId="3714" applyFont="1" applyFill="1">
      <alignment vertical="center"/>
    </xf>
    <xf numFmtId="0" fontId="146" fillId="0" borderId="0" xfId="3714" applyFill="1">
      <alignment vertical="center"/>
    </xf>
    <xf numFmtId="0" fontId="147" fillId="43" borderId="0" xfId="3714" applyFont="1" applyFill="1">
      <alignment vertical="center"/>
    </xf>
    <xf numFmtId="0" fontId="146" fillId="43" borderId="0" xfId="3714" applyFill="1">
      <alignment vertical="center"/>
    </xf>
    <xf numFmtId="180" fontId="146" fillId="0" borderId="0" xfId="3714" applyNumberFormat="1" applyFill="1">
      <alignment vertical="center"/>
    </xf>
    <xf numFmtId="180" fontId="146" fillId="0" borderId="0" xfId="3714" applyNumberFormat="1">
      <alignment vertical="center"/>
    </xf>
    <xf numFmtId="180" fontId="288" fillId="0" borderId="0" xfId="3714" applyNumberFormat="1" applyFont="1" applyFill="1">
      <alignment vertical="center"/>
    </xf>
    <xf numFmtId="182" fontId="146" fillId="0" borderId="0" xfId="3714" applyNumberFormat="1">
      <alignment vertical="center"/>
    </xf>
    <xf numFmtId="180" fontId="288" fillId="0" borderId="67" xfId="3714" applyNumberFormat="1" applyFont="1" applyFill="1" applyBorder="1">
      <alignment vertical="center"/>
    </xf>
    <xf numFmtId="180" fontId="288" fillId="0" borderId="0" xfId="3714" applyNumberFormat="1" applyFont="1">
      <alignment vertical="center"/>
    </xf>
    <xf numFmtId="180" fontId="290" fillId="0" borderId="0" xfId="3714" applyNumberFormat="1" applyFont="1">
      <alignment vertical="center"/>
    </xf>
    <xf numFmtId="182" fontId="288" fillId="0" borderId="0" xfId="3714" applyNumberFormat="1" applyFont="1" applyFill="1">
      <alignment vertical="center"/>
    </xf>
    <xf numFmtId="182" fontId="289" fillId="0" borderId="0" xfId="3714" applyNumberFormat="1" applyFont="1" applyFill="1">
      <alignment vertical="center"/>
    </xf>
    <xf numFmtId="0" fontId="291" fillId="0" borderId="0" xfId="3241" applyFont="1">
      <alignment vertical="center"/>
    </xf>
    <xf numFmtId="0" fontId="130" fillId="0" borderId="0" xfId="3241" applyFont="1" applyBorder="1" applyAlignment="1">
      <alignment vertical="center"/>
    </xf>
    <xf numFmtId="180" fontId="291" fillId="0" borderId="0" xfId="3241" applyNumberFormat="1" applyFont="1">
      <alignment vertical="center"/>
    </xf>
    <xf numFmtId="183" fontId="291" fillId="0" borderId="0" xfId="3241" applyNumberFormat="1" applyFont="1">
      <alignment vertical="center"/>
    </xf>
    <xf numFmtId="0" fontId="113" fillId="0" borderId="0" xfId="3241" applyFont="1" applyBorder="1">
      <alignment vertical="center"/>
    </xf>
    <xf numFmtId="0" fontId="293" fillId="0" borderId="0" xfId="5425" applyFont="1">
      <alignment vertical="center"/>
    </xf>
    <xf numFmtId="0" fontId="72" fillId="0" borderId="0" xfId="3263" applyFont="1"/>
    <xf numFmtId="0" fontId="77" fillId="43" borderId="0" xfId="3263" quotePrefix="1" applyFont="1" applyFill="1" applyAlignment="1">
      <alignment horizontal="center"/>
    </xf>
    <xf numFmtId="0" fontId="129" fillId="0" borderId="0" xfId="3263" applyAlignment="1">
      <alignment vertical="center"/>
    </xf>
    <xf numFmtId="197" fontId="287" fillId="90" borderId="0" xfId="5423" applyNumberFormat="1" applyFont="1" applyFill="1" applyBorder="1" applyAlignment="1">
      <alignment horizontal="center" vertical="center"/>
    </xf>
    <xf numFmtId="197" fontId="287" fillId="91" borderId="0" xfId="5423" applyNumberFormat="1" applyFont="1" applyFill="1" applyAlignment="1">
      <alignment vertical="center"/>
    </xf>
    <xf numFmtId="181" fontId="287" fillId="91" borderId="0" xfId="5423" applyFont="1" applyFill="1" applyAlignment="1">
      <alignment vertical="center"/>
    </xf>
    <xf numFmtId="181" fontId="294" fillId="91" borderId="0" xfId="5423" applyFont="1" applyFill="1" applyAlignment="1">
      <alignment vertical="center"/>
    </xf>
    <xf numFmtId="0" fontId="72" fillId="91" borderId="0" xfId="3263" applyFont="1" applyFill="1" applyAlignment="1"/>
    <xf numFmtId="193" fontId="72" fillId="0" borderId="0" xfId="3263" applyNumberFormat="1" applyFont="1"/>
    <xf numFmtId="197" fontId="287" fillId="90" borderId="0" xfId="5423" applyNumberFormat="1" applyFont="1" applyFill="1" applyAlignment="1">
      <alignment vertical="center"/>
    </xf>
    <xf numFmtId="181" fontId="68" fillId="90" borderId="0" xfId="5423" applyFont="1" applyFill="1" applyAlignment="1">
      <alignment vertical="center"/>
    </xf>
    <xf numFmtId="181" fontId="294" fillId="90" borderId="0" xfId="5423" applyFont="1" applyFill="1" applyAlignment="1">
      <alignment vertical="center"/>
    </xf>
    <xf numFmtId="188" fontId="295" fillId="0" borderId="0" xfId="3263" applyNumberFormat="1" applyFont="1"/>
    <xf numFmtId="187" fontId="295" fillId="0" borderId="0" xfId="3263" applyNumberFormat="1" applyFont="1"/>
    <xf numFmtId="181" fontId="287" fillId="90" borderId="0" xfId="5423" applyFont="1" applyFill="1" applyAlignment="1">
      <alignment vertical="center"/>
    </xf>
    <xf numFmtId="0" fontId="68" fillId="0" borderId="0" xfId="3263" applyFont="1"/>
    <xf numFmtId="0" fontId="77" fillId="0" borderId="0" xfId="3263" applyFont="1"/>
    <xf numFmtId="0" fontId="295" fillId="0" borderId="0" xfId="3263" applyFont="1"/>
    <xf numFmtId="3" fontId="295" fillId="0" borderId="0" xfId="3263" applyNumberFormat="1" applyFont="1"/>
    <xf numFmtId="3" fontId="83" fillId="0" borderId="0" xfId="3263" applyNumberFormat="1" applyFont="1"/>
    <xf numFmtId="3" fontId="296" fillId="0" borderId="0" xfId="3263" applyNumberFormat="1" applyFont="1"/>
    <xf numFmtId="0" fontId="147" fillId="92" borderId="0" xfId="3714" applyFont="1" applyFill="1">
      <alignment vertical="center"/>
    </xf>
    <xf numFmtId="184" fontId="295" fillId="0" borderId="0" xfId="3263" applyNumberFormat="1" applyFont="1"/>
    <xf numFmtId="187" fontId="296" fillId="0" borderId="0" xfId="3263" applyNumberFormat="1" applyFont="1"/>
    <xf numFmtId="188" fontId="296" fillId="0" borderId="0" xfId="3263" applyNumberFormat="1" applyFont="1"/>
    <xf numFmtId="182" fontId="288" fillId="0" borderId="0" xfId="3714" applyNumberFormat="1" applyFont="1">
      <alignment vertical="center"/>
    </xf>
    <xf numFmtId="186" fontId="296" fillId="0" borderId="0" xfId="5427" applyNumberFormat="1" applyFont="1" applyAlignment="1"/>
    <xf numFmtId="0" fontId="33" fillId="0" borderId="0" xfId="3711" applyFont="1" applyProtection="1">
      <alignment vertical="center"/>
      <protection locked="0"/>
    </xf>
    <xf numFmtId="0" fontId="113" fillId="0" borderId="0" xfId="3241" applyFont="1" applyFill="1" applyBorder="1">
      <alignment vertical="center"/>
    </xf>
    <xf numFmtId="0" fontId="303" fillId="0" borderId="0" xfId="3241" applyFont="1" applyFill="1" applyBorder="1" applyAlignment="1">
      <alignment horizontal="left" vertical="center"/>
    </xf>
    <xf numFmtId="0" fontId="113" fillId="0" borderId="0" xfId="3241" applyFont="1">
      <alignment vertical="center"/>
    </xf>
    <xf numFmtId="0" fontId="113" fillId="0" borderId="0" xfId="3241" applyFont="1" applyFill="1">
      <alignment vertical="center"/>
    </xf>
    <xf numFmtId="0" fontId="304" fillId="0" borderId="0" xfId="3241" applyFont="1" applyFill="1" applyBorder="1" applyAlignment="1">
      <alignment vertical="center"/>
    </xf>
    <xf numFmtId="0" fontId="304" fillId="0" borderId="0" xfId="3241" applyFont="1" applyFill="1" applyBorder="1" applyAlignment="1">
      <alignment horizontal="right" vertical="center" shrinkToFit="1"/>
    </xf>
    <xf numFmtId="0" fontId="304" fillId="0" borderId="81" xfId="3241" applyFont="1" applyFill="1" applyBorder="1" applyAlignment="1">
      <alignment vertical="center"/>
    </xf>
    <xf numFmtId="0" fontId="305" fillId="95" borderId="83" xfId="3241" applyNumberFormat="1" applyFont="1" applyFill="1" applyBorder="1" applyAlignment="1">
      <alignment horizontal="center" vertical="center"/>
    </xf>
    <xf numFmtId="180" fontId="306" fillId="95" borderId="83" xfId="3241" applyNumberFormat="1" applyFont="1" applyFill="1" applyBorder="1" applyAlignment="1" applyProtection="1">
      <alignment horizontal="right" vertical="center"/>
      <protection locked="0"/>
    </xf>
    <xf numFmtId="180" fontId="306" fillId="95" borderId="83" xfId="3241" applyNumberFormat="1" applyFont="1" applyFill="1" applyBorder="1" applyAlignment="1" applyProtection="1">
      <alignment horizontal="center" vertical="center"/>
      <protection locked="0"/>
    </xf>
    <xf numFmtId="0" fontId="305" fillId="95" borderId="0" xfId="3241" applyNumberFormat="1" applyFont="1" applyFill="1" applyBorder="1" applyAlignment="1">
      <alignment horizontal="center" vertical="center"/>
    </xf>
    <xf numFmtId="180" fontId="306" fillId="95" borderId="0" xfId="3241" applyNumberFormat="1" applyFont="1" applyFill="1" applyBorder="1" applyAlignment="1" applyProtection="1">
      <alignment horizontal="right" vertical="center"/>
      <protection locked="0"/>
    </xf>
    <xf numFmtId="180" fontId="306" fillId="95" borderId="0" xfId="3241" applyNumberFormat="1" applyFont="1" applyFill="1" applyBorder="1" applyAlignment="1" applyProtection="1">
      <alignment horizontal="center" vertical="center"/>
      <protection locked="0"/>
    </xf>
    <xf numFmtId="0" fontId="307" fillId="95" borderId="84" xfId="3241" applyNumberFormat="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 applyProtection="1">
      <alignment horizontal="right" vertical="center"/>
      <protection locked="0"/>
    </xf>
    <xf numFmtId="180" fontId="309" fillId="95" borderId="84" xfId="3241" applyNumberFormat="1" applyFont="1" applyFill="1" applyBorder="1" applyAlignment="1" applyProtection="1">
      <alignment horizontal="right" vertical="center"/>
      <protection locked="0"/>
    </xf>
    <xf numFmtId="0" fontId="88" fillId="0" borderId="0" xfId="3241" applyFont="1" applyFill="1" applyBorder="1">
      <alignment vertical="center"/>
    </xf>
    <xf numFmtId="3" fontId="307" fillId="0" borderId="0" xfId="3241" applyNumberFormat="1" applyFont="1" applyBorder="1">
      <alignment vertical="center"/>
    </xf>
    <xf numFmtId="3" fontId="307" fillId="0" borderId="0" xfId="3241" applyNumberFormat="1" applyFont="1" applyBorder="1" applyAlignment="1">
      <alignment horizontal="right" vertical="center"/>
    </xf>
    <xf numFmtId="3" fontId="307" fillId="0" borderId="0" xfId="3241" applyNumberFormat="1" applyFont="1" applyFill="1" applyBorder="1" applyAlignment="1">
      <alignment horizontal="right" vertical="center"/>
    </xf>
    <xf numFmtId="180" fontId="293" fillId="0" borderId="0" xfId="3241" applyNumberFormat="1" applyFont="1" applyFill="1" applyBorder="1" applyAlignment="1" applyProtection="1">
      <alignment horizontal="right" vertical="center"/>
      <protection locked="0"/>
    </xf>
    <xf numFmtId="180" fontId="310" fillId="0" borderId="0" xfId="3241" applyNumberFormat="1" applyFont="1" applyFill="1" applyBorder="1" applyAlignment="1" applyProtection="1">
      <alignment horizontal="right" vertical="center"/>
      <protection locked="0"/>
    </xf>
    <xf numFmtId="3" fontId="307" fillId="0" borderId="69" xfId="3241" applyNumberFormat="1" applyFont="1" applyBorder="1">
      <alignment vertical="center"/>
    </xf>
    <xf numFmtId="180" fontId="293" fillId="0" borderId="69" xfId="3241" applyNumberFormat="1" applyFont="1" applyFill="1" applyBorder="1" applyAlignment="1" applyProtection="1">
      <alignment horizontal="right" vertical="center"/>
      <protection locked="0"/>
    </xf>
    <xf numFmtId="3" fontId="308" fillId="0" borderId="0" xfId="3241" applyNumberFormat="1" applyFont="1" applyBorder="1" applyAlignment="1">
      <alignment horizontal="right" vertical="center"/>
    </xf>
    <xf numFmtId="3" fontId="308" fillId="0" borderId="0" xfId="3241" applyNumberFormat="1" applyFont="1" applyFill="1" applyBorder="1" applyAlignment="1">
      <alignment horizontal="right" vertical="center"/>
    </xf>
    <xf numFmtId="3" fontId="308" fillId="0" borderId="0" xfId="3241" applyNumberFormat="1" applyFont="1" applyBorder="1">
      <alignment vertical="center"/>
    </xf>
    <xf numFmtId="3" fontId="309" fillId="0" borderId="0" xfId="3241" applyNumberFormat="1" applyFont="1" applyBorder="1">
      <alignment vertical="center"/>
    </xf>
    <xf numFmtId="3" fontId="309" fillId="0" borderId="69" xfId="3241" applyNumberFormat="1" applyFont="1" applyBorder="1">
      <alignment vertical="center"/>
    </xf>
    <xf numFmtId="0" fontId="309" fillId="0" borderId="0" xfId="3241" applyFont="1" applyFill="1" applyBorder="1">
      <alignment vertical="center"/>
    </xf>
    <xf numFmtId="0" fontId="309" fillId="0" borderId="0" xfId="3241" applyFont="1" applyBorder="1" applyProtection="1">
      <alignment vertical="center"/>
      <protection locked="0"/>
    </xf>
    <xf numFmtId="0" fontId="309" fillId="0" borderId="69" xfId="3241" applyFont="1" applyBorder="1">
      <alignment vertical="center"/>
    </xf>
    <xf numFmtId="0" fontId="309" fillId="0" borderId="0" xfId="3241" applyFont="1" applyBorder="1">
      <alignment vertical="center"/>
    </xf>
    <xf numFmtId="3" fontId="308" fillId="0" borderId="0" xfId="3241" applyNumberFormat="1" applyFont="1" applyFill="1" applyBorder="1" applyAlignment="1" applyProtection="1">
      <alignment horizontal="right" vertical="center"/>
      <protection locked="0"/>
    </xf>
    <xf numFmtId="3" fontId="309" fillId="0" borderId="0" xfId="3241" applyNumberFormat="1" applyFont="1" applyFill="1" applyBorder="1" applyAlignment="1" applyProtection="1">
      <alignment horizontal="right" vertical="center"/>
      <protection locked="0"/>
    </xf>
    <xf numFmtId="0" fontId="307" fillId="95" borderId="85" xfId="3241" applyFont="1" applyFill="1" applyBorder="1" applyAlignment="1">
      <alignment horizontal="center" vertical="center"/>
    </xf>
    <xf numFmtId="0" fontId="308" fillId="95" borderId="85" xfId="3241" applyFont="1" applyFill="1" applyBorder="1" applyAlignment="1">
      <alignment horizontal="right" vertical="center"/>
    </xf>
    <xf numFmtId="0" fontId="307" fillId="95" borderId="85" xfId="3241" applyFont="1" applyFill="1" applyBorder="1">
      <alignment vertical="center"/>
    </xf>
    <xf numFmtId="0" fontId="308" fillId="0" borderId="0" xfId="3241" applyFont="1" applyBorder="1">
      <alignment vertical="center"/>
    </xf>
    <xf numFmtId="185" fontId="308" fillId="0" borderId="0" xfId="3241" applyNumberFormat="1" applyFont="1" applyBorder="1" applyAlignment="1">
      <alignment horizontal="right" vertical="center"/>
    </xf>
    <xf numFmtId="0" fontId="293" fillId="0" borderId="0" xfId="3241" applyFont="1" applyBorder="1">
      <alignment vertical="center"/>
    </xf>
    <xf numFmtId="185" fontId="309" fillId="0" borderId="0" xfId="3241" applyNumberFormat="1" applyFont="1" applyBorder="1" applyAlignment="1">
      <alignment horizontal="right" vertical="center"/>
    </xf>
    <xf numFmtId="185" fontId="309" fillId="0" borderId="0" xfId="3241" applyNumberFormat="1" applyFont="1" applyFill="1" applyBorder="1" applyAlignment="1">
      <alignment horizontal="right" vertical="center"/>
    </xf>
    <xf numFmtId="0" fontId="293" fillId="0" borderId="69" xfId="3241" applyFont="1" applyBorder="1">
      <alignment vertical="center"/>
    </xf>
    <xf numFmtId="0" fontId="309" fillId="0" borderId="86" xfId="3241" applyFont="1" applyBorder="1">
      <alignment vertical="center"/>
    </xf>
    <xf numFmtId="0" fontId="293" fillId="0" borderId="86" xfId="3241" applyFont="1" applyBorder="1">
      <alignment vertical="center"/>
    </xf>
    <xf numFmtId="0" fontId="309" fillId="0" borderId="87" xfId="3241" applyFont="1" applyBorder="1">
      <alignment vertical="center"/>
    </xf>
    <xf numFmtId="182" fontId="309" fillId="0" borderId="87" xfId="3241" applyNumberFormat="1" applyFont="1" applyBorder="1" applyAlignment="1">
      <alignment horizontal="right" vertical="center"/>
    </xf>
    <xf numFmtId="182" fontId="309" fillId="0" borderId="87" xfId="3241" applyNumberFormat="1" applyFont="1" applyFill="1" applyBorder="1" applyAlignment="1">
      <alignment horizontal="right" vertical="center"/>
    </xf>
    <xf numFmtId="0" fontId="113" fillId="0" borderId="87" xfId="3241" applyFont="1" applyBorder="1">
      <alignment vertical="center"/>
    </xf>
    <xf numFmtId="0" fontId="85" fillId="0" borderId="0" xfId="3241" applyFont="1" applyFill="1" applyBorder="1" applyAlignment="1">
      <alignment vertical="center"/>
    </xf>
    <xf numFmtId="0" fontId="86" fillId="0" borderId="0" xfId="3241" applyFont="1" applyFill="1" applyBorder="1" applyAlignment="1">
      <alignment horizontal="right" vertical="center"/>
    </xf>
    <xf numFmtId="0" fontId="113" fillId="0" borderId="0" xfId="3241" applyFont="1" applyBorder="1" applyAlignment="1">
      <alignment horizontal="right" vertical="center"/>
    </xf>
    <xf numFmtId="0" fontId="291" fillId="0" borderId="0" xfId="3241" applyFont="1" applyBorder="1">
      <alignment vertical="center"/>
    </xf>
    <xf numFmtId="0" fontId="307" fillId="95" borderId="83" xfId="3241" applyFont="1" applyFill="1" applyBorder="1" applyAlignment="1">
      <alignment horizontal="center" vertical="center"/>
    </xf>
    <xf numFmtId="0" fontId="308" fillId="95" borderId="83" xfId="3241" applyFont="1" applyFill="1" applyBorder="1" applyAlignment="1">
      <alignment horizontal="right" vertical="center"/>
    </xf>
    <xf numFmtId="0" fontId="113" fillId="95" borderId="83" xfId="3241" applyFont="1" applyFill="1" applyBorder="1">
      <alignment vertical="center"/>
    </xf>
    <xf numFmtId="0" fontId="307" fillId="95" borderId="0" xfId="3241" applyFont="1" applyFill="1" applyBorder="1" applyAlignment="1">
      <alignment horizontal="center" vertical="center"/>
    </xf>
    <xf numFmtId="0" fontId="308" fillId="95" borderId="0" xfId="3241" applyFont="1" applyFill="1" applyBorder="1" applyAlignment="1">
      <alignment horizontal="right" vertical="center"/>
    </xf>
    <xf numFmtId="0" fontId="113" fillId="95" borderId="0" xfId="3241" applyFont="1" applyFill="1" applyBorder="1">
      <alignment vertical="center"/>
    </xf>
    <xf numFmtId="0" fontId="307" fillId="95" borderId="84" xfId="324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>
      <alignment horizontal="right" vertical="center"/>
    </xf>
    <xf numFmtId="0" fontId="309" fillId="95" borderId="84" xfId="3241" applyFont="1" applyFill="1" applyBorder="1">
      <alignment vertical="center"/>
    </xf>
    <xf numFmtId="3" fontId="309" fillId="0" borderId="0" xfId="3241" applyNumberFormat="1" applyFont="1" applyBorder="1" applyAlignment="1">
      <alignment vertical="center"/>
    </xf>
    <xf numFmtId="3" fontId="309" fillId="0" borderId="0" xfId="3241" applyNumberFormat="1" applyFont="1" applyFill="1" applyBorder="1" applyAlignment="1">
      <alignment vertical="center"/>
    </xf>
    <xf numFmtId="3" fontId="307" fillId="0" borderId="22" xfId="3241" applyNumberFormat="1" applyFont="1" applyBorder="1">
      <alignment vertical="center"/>
    </xf>
    <xf numFmtId="0" fontId="307" fillId="0" borderId="22" xfId="3241" applyFont="1" applyBorder="1">
      <alignment vertical="center"/>
    </xf>
    <xf numFmtId="0" fontId="307" fillId="0" borderId="69" xfId="3241" applyFont="1" applyBorder="1">
      <alignment vertical="center"/>
    </xf>
    <xf numFmtId="3" fontId="311" fillId="0" borderId="0" xfId="3241" applyNumberFormat="1" applyFont="1" applyBorder="1">
      <alignment vertical="center"/>
    </xf>
    <xf numFmtId="3" fontId="311" fillId="0" borderId="0" xfId="3241" applyNumberFormat="1" applyFont="1" applyFill="1" applyBorder="1">
      <alignment vertical="center"/>
    </xf>
    <xf numFmtId="0" fontId="312" fillId="0" borderId="0" xfId="3241" applyFont="1">
      <alignment vertical="center"/>
    </xf>
    <xf numFmtId="0" fontId="307" fillId="95" borderId="85" xfId="3241" applyFont="1" applyFill="1" applyBorder="1" applyAlignment="1">
      <alignment horizontal="right" vertical="center"/>
    </xf>
    <xf numFmtId="0" fontId="308" fillId="0" borderId="0" xfId="3241" applyFont="1">
      <alignment vertical="center"/>
    </xf>
    <xf numFmtId="3" fontId="309" fillId="0" borderId="0" xfId="3241" applyNumberFormat="1" applyFont="1" applyFill="1" applyAlignment="1">
      <alignment horizontal="right" vertical="center"/>
    </xf>
    <xf numFmtId="3" fontId="309" fillId="0" borderId="0" xfId="3241" applyNumberFormat="1" applyFont="1" applyFill="1" applyBorder="1" applyAlignment="1">
      <alignment horizontal="right" vertical="center"/>
    </xf>
    <xf numFmtId="0" fontId="293" fillId="0" borderId="0" xfId="3241" applyFont="1" applyFill="1" applyBorder="1">
      <alignment vertical="center"/>
    </xf>
    <xf numFmtId="0" fontId="309" fillId="0" borderId="0" xfId="3241" applyFont="1">
      <alignment vertical="center"/>
    </xf>
    <xf numFmtId="0" fontId="312" fillId="0" borderId="0" xfId="5425" applyFont="1">
      <alignment vertical="center"/>
    </xf>
    <xf numFmtId="0" fontId="113" fillId="0" borderId="87" xfId="3241" applyFont="1" applyFill="1" applyBorder="1">
      <alignment vertical="center"/>
    </xf>
    <xf numFmtId="0" fontId="85" fillId="0" borderId="0" xfId="3241" applyFont="1" applyBorder="1" applyAlignment="1">
      <alignment horizontal="right" vertical="center"/>
    </xf>
    <xf numFmtId="0" fontId="113" fillId="0" borderId="0" xfId="3241" applyFont="1" applyBorder="1" applyAlignment="1">
      <alignment vertical="center"/>
    </xf>
    <xf numFmtId="0" fontId="88" fillId="0" borderId="0" xfId="3241" applyFont="1" applyBorder="1" applyAlignment="1">
      <alignment vertical="center"/>
    </xf>
    <xf numFmtId="0" fontId="88" fillId="0" borderId="0" xfId="3241" applyFont="1" applyFill="1" applyBorder="1" applyAlignment="1">
      <alignment vertical="center"/>
    </xf>
    <xf numFmtId="3" fontId="313" fillId="0" borderId="0" xfId="3241" applyNumberFormat="1" applyFont="1" applyFill="1" applyBorder="1" applyAlignment="1">
      <alignment horizontal="right" vertical="center"/>
    </xf>
    <xf numFmtId="3" fontId="313" fillId="0" borderId="69" xfId="3241" applyNumberFormat="1" applyFont="1" applyFill="1" applyBorder="1" applyAlignment="1">
      <alignment horizontal="right" vertical="center"/>
    </xf>
    <xf numFmtId="3" fontId="314" fillId="0" borderId="0" xfId="3241" applyNumberFormat="1" applyFont="1" applyFill="1" applyBorder="1" applyAlignment="1">
      <alignment horizontal="right" vertical="center"/>
    </xf>
    <xf numFmtId="3" fontId="313" fillId="0" borderId="0" xfId="3241" applyNumberFormat="1" applyFont="1" applyBorder="1" applyAlignment="1">
      <alignment horizontal="right" vertical="center"/>
    </xf>
    <xf numFmtId="3" fontId="315" fillId="0" borderId="0" xfId="3241" applyNumberFormat="1" applyFont="1" applyBorder="1" applyAlignment="1">
      <alignment horizontal="right" vertical="center"/>
    </xf>
    <xf numFmtId="3" fontId="313" fillId="0" borderId="69" xfId="3241" applyNumberFormat="1" applyFont="1" applyBorder="1" applyAlignment="1">
      <alignment horizontal="right" vertical="center"/>
    </xf>
    <xf numFmtId="3" fontId="314" fillId="0" borderId="0" xfId="3241" applyNumberFormat="1" applyFont="1" applyBorder="1" applyAlignment="1">
      <alignment horizontal="right" vertical="center"/>
    </xf>
    <xf numFmtId="3" fontId="314" fillId="0" borderId="69" xfId="3241" applyNumberFormat="1" applyFont="1" applyBorder="1" applyAlignment="1">
      <alignment horizontal="right" vertical="center"/>
    </xf>
    <xf numFmtId="3" fontId="316" fillId="0" borderId="0" xfId="3241" applyNumberFormat="1" applyFont="1" applyBorder="1" applyAlignment="1">
      <alignment horizontal="right" vertical="center"/>
    </xf>
    <xf numFmtId="3" fontId="317" fillId="0" borderId="0" xfId="3241" applyNumberFormat="1" applyFont="1" applyBorder="1" applyAlignment="1">
      <alignment horizontal="right" vertical="center"/>
    </xf>
    <xf numFmtId="185" fontId="317" fillId="0" borderId="0" xfId="3241" applyNumberFormat="1" applyFont="1" applyBorder="1" applyAlignment="1">
      <alignment horizontal="right" vertical="center"/>
    </xf>
    <xf numFmtId="185" fontId="317" fillId="0" borderId="69" xfId="3241" applyNumberFormat="1" applyFont="1" applyBorder="1" applyAlignment="1">
      <alignment horizontal="right" vertical="center"/>
    </xf>
    <xf numFmtId="258" fontId="317" fillId="0" borderId="0" xfId="3241" applyNumberFormat="1" applyFont="1" applyBorder="1" applyAlignment="1">
      <alignment horizontal="right" vertical="center"/>
    </xf>
    <xf numFmtId="258" fontId="317" fillId="0" borderId="0" xfId="3241" applyNumberFormat="1" applyFont="1" applyBorder="1">
      <alignment vertical="center"/>
    </xf>
    <xf numFmtId="258" fontId="317" fillId="0" borderId="69" xfId="3241" applyNumberFormat="1" applyFont="1" applyBorder="1">
      <alignment vertical="center"/>
    </xf>
    <xf numFmtId="185" fontId="315" fillId="0" borderId="0" xfId="3241" applyNumberFormat="1" applyFont="1" applyBorder="1" applyAlignment="1">
      <alignment horizontal="right" vertical="center"/>
    </xf>
    <xf numFmtId="185" fontId="315" fillId="0" borderId="69" xfId="3241" applyNumberFormat="1" applyFont="1" applyBorder="1" applyAlignment="1">
      <alignment horizontal="right" vertical="center"/>
    </xf>
    <xf numFmtId="258" fontId="315" fillId="0" borderId="0" xfId="3241" applyNumberFormat="1" applyFont="1" applyBorder="1" applyAlignment="1">
      <alignment horizontal="right" vertical="center"/>
    </xf>
    <xf numFmtId="258" fontId="315" fillId="0" borderId="0" xfId="3241" applyNumberFormat="1" applyFont="1" applyBorder="1">
      <alignment vertical="center"/>
    </xf>
    <xf numFmtId="258" fontId="315" fillId="0" borderId="69" xfId="3241" applyNumberFormat="1" applyFont="1" applyBorder="1">
      <alignment vertical="center"/>
    </xf>
    <xf numFmtId="185" fontId="317" fillId="0" borderId="86" xfId="3241" applyNumberFormat="1" applyFont="1" applyBorder="1" applyAlignment="1">
      <alignment horizontal="right" vertical="center"/>
    </xf>
    <xf numFmtId="180" fontId="308" fillId="95" borderId="83" xfId="3241" applyNumberFormat="1" applyFont="1" applyFill="1" applyBorder="1" applyAlignment="1">
      <alignment horizontal="right" vertical="center"/>
    </xf>
    <xf numFmtId="3" fontId="313" fillId="0" borderId="0" xfId="3241" applyNumberFormat="1" applyFont="1" applyFill="1" applyBorder="1" applyAlignment="1">
      <alignment vertical="center"/>
    </xf>
    <xf numFmtId="3" fontId="315" fillId="0" borderId="0" xfId="3241" applyNumberFormat="1" applyFont="1" applyFill="1" applyBorder="1" applyAlignment="1">
      <alignment vertical="center"/>
    </xf>
    <xf numFmtId="3" fontId="313" fillId="0" borderId="69" xfId="3241" applyNumberFormat="1" applyFont="1" applyFill="1" applyBorder="1" applyAlignment="1">
      <alignment vertical="center"/>
    </xf>
    <xf numFmtId="3" fontId="314" fillId="0" borderId="0" xfId="3241" applyNumberFormat="1" applyFont="1" applyFill="1" applyBorder="1" applyAlignment="1">
      <alignment vertical="center"/>
    </xf>
    <xf numFmtId="3" fontId="313" fillId="0" borderId="22" xfId="3241" applyNumberFormat="1" applyFont="1" applyFill="1" applyBorder="1" applyAlignment="1">
      <alignment vertical="center"/>
    </xf>
    <xf numFmtId="3" fontId="317" fillId="0" borderId="0" xfId="3241" applyNumberFormat="1" applyFont="1" applyFill="1" applyBorder="1" applyAlignment="1">
      <alignment vertical="center"/>
    </xf>
    <xf numFmtId="3" fontId="314" fillId="0" borderId="69" xfId="3241" applyNumberFormat="1" applyFont="1" applyBorder="1" applyAlignment="1">
      <alignment vertical="center"/>
    </xf>
    <xf numFmtId="3" fontId="317" fillId="0" borderId="0" xfId="3241" applyNumberFormat="1" applyFont="1" applyBorder="1" applyAlignment="1">
      <alignment vertical="center"/>
    </xf>
    <xf numFmtId="3" fontId="313" fillId="0" borderId="69" xfId="3241" applyNumberFormat="1" applyFont="1" applyBorder="1" applyAlignment="1">
      <alignment vertical="center"/>
    </xf>
    <xf numFmtId="3" fontId="315" fillId="0" borderId="0" xfId="3241" applyNumberFormat="1" applyFont="1" applyBorder="1" applyAlignment="1">
      <alignment vertical="center"/>
    </xf>
    <xf numFmtId="3" fontId="314" fillId="0" borderId="0" xfId="3241" applyNumberFormat="1" applyFont="1" applyBorder="1" applyAlignment="1">
      <alignment vertical="center"/>
    </xf>
    <xf numFmtId="3" fontId="314" fillId="0" borderId="22" xfId="3241" applyNumberFormat="1" applyFont="1" applyBorder="1" applyAlignment="1">
      <alignment vertical="center"/>
    </xf>
    <xf numFmtId="185" fontId="315" fillId="0" borderId="0" xfId="3241" applyNumberFormat="1" applyFont="1" applyAlignment="1">
      <alignment horizontal="right" vertical="center"/>
    </xf>
    <xf numFmtId="185" fontId="315" fillId="0" borderId="86" xfId="3241" applyNumberFormat="1" applyFont="1" applyBorder="1" applyAlignment="1">
      <alignment horizontal="right" vertical="center"/>
    </xf>
    <xf numFmtId="185" fontId="315" fillId="0" borderId="0" xfId="3241" applyNumberFormat="1" applyFont="1" applyFill="1" applyBorder="1" applyAlignment="1">
      <alignment horizontal="right" vertical="center"/>
    </xf>
    <xf numFmtId="185" fontId="317" fillId="0" borderId="0" xfId="3241" applyNumberFormat="1" applyFont="1" applyFill="1" applyBorder="1" applyAlignment="1">
      <alignment horizontal="right" vertical="center"/>
    </xf>
    <xf numFmtId="0" fontId="146" fillId="0" borderId="0" xfId="5432">
      <alignment vertical="center"/>
    </xf>
    <xf numFmtId="197" fontId="287" fillId="43" borderId="0" xfId="5423" applyNumberFormat="1" applyFont="1" applyFill="1" applyAlignment="1">
      <alignment vertical="center"/>
    </xf>
    <xf numFmtId="181" fontId="287" fillId="43" borderId="0" xfId="5423" applyFont="1" applyFill="1" applyAlignment="1">
      <alignment vertical="center"/>
    </xf>
    <xf numFmtId="181" fontId="294" fillId="43" borderId="0" xfId="5423" applyFont="1" applyFill="1" applyAlignment="1">
      <alignment vertical="center"/>
    </xf>
    <xf numFmtId="0" fontId="72" fillId="43" borderId="0" xfId="5432" applyFont="1" applyFill="1" applyAlignment="1"/>
    <xf numFmtId="3" fontId="146" fillId="0" borderId="0" xfId="5432" applyNumberFormat="1">
      <alignment vertical="center"/>
    </xf>
    <xf numFmtId="0" fontId="147" fillId="0" borderId="0" xfId="5432" applyFont="1">
      <alignment vertical="center"/>
    </xf>
    <xf numFmtId="0" fontId="146" fillId="0" borderId="88" xfId="5432" applyBorder="1">
      <alignment vertical="center"/>
    </xf>
    <xf numFmtId="185" fontId="146" fillId="0" borderId="31" xfId="5432" applyNumberFormat="1" applyBorder="1">
      <alignment vertical="center"/>
    </xf>
    <xf numFmtId="185" fontId="146" fillId="0" borderId="90" xfId="5432" applyNumberFormat="1" applyBorder="1">
      <alignment vertical="center"/>
    </xf>
    <xf numFmtId="0" fontId="146" fillId="0" borderId="91" xfId="5432" applyBorder="1">
      <alignment vertical="center"/>
    </xf>
    <xf numFmtId="185" fontId="146" fillId="0" borderId="93" xfId="5432" applyNumberFormat="1" applyBorder="1">
      <alignment vertical="center"/>
    </xf>
    <xf numFmtId="185" fontId="146" fillId="0" borderId="94" xfId="5432" applyNumberFormat="1" applyBorder="1">
      <alignment vertical="center"/>
    </xf>
    <xf numFmtId="3" fontId="146" fillId="0" borderId="97" xfId="5432" applyNumberFormat="1" applyBorder="1" applyAlignment="1">
      <alignment horizontal="center" vertical="center"/>
    </xf>
    <xf numFmtId="3" fontId="146" fillId="0" borderId="98" xfId="5432" applyNumberFormat="1" applyBorder="1" applyAlignment="1">
      <alignment horizontal="center" vertical="center"/>
    </xf>
    <xf numFmtId="0" fontId="146" fillId="0" borderId="33" xfId="5432" applyBorder="1" applyAlignment="1">
      <alignment horizontal="center" vertical="center"/>
    </xf>
    <xf numFmtId="3" fontId="146" fillId="0" borderId="23" xfId="5432" applyNumberFormat="1" applyBorder="1" applyAlignment="1">
      <alignment horizontal="center" vertical="center"/>
    </xf>
    <xf numFmtId="0" fontId="146" fillId="0" borderId="0" xfId="5432" applyBorder="1" applyAlignment="1">
      <alignment horizontal="left" vertical="center"/>
    </xf>
    <xf numFmtId="0" fontId="146" fillId="0" borderId="91" xfId="5432" applyBorder="1" applyAlignment="1">
      <alignment horizontal="center" vertical="center"/>
    </xf>
    <xf numFmtId="3" fontId="146" fillId="0" borderId="100" xfId="5432" applyNumberFormat="1" applyBorder="1" applyAlignment="1">
      <alignment horizontal="center" vertical="center"/>
    </xf>
    <xf numFmtId="3" fontId="146" fillId="0" borderId="101" xfId="5432" applyNumberFormat="1" applyBorder="1" applyAlignment="1">
      <alignment horizontal="center" vertical="center"/>
    </xf>
    <xf numFmtId="0" fontId="146" fillId="0" borderId="0" xfId="5432" applyBorder="1" applyAlignment="1">
      <alignment horizontal="center" vertical="center"/>
    </xf>
    <xf numFmtId="3" fontId="146" fillId="0" borderId="0" xfId="5432" applyNumberFormat="1" applyBorder="1" applyAlignment="1">
      <alignment horizontal="center" vertical="center"/>
    </xf>
    <xf numFmtId="3" fontId="146" fillId="0" borderId="39" xfId="5432" applyNumberFormat="1" applyBorder="1">
      <alignment vertical="center"/>
    </xf>
    <xf numFmtId="3" fontId="146" fillId="0" borderId="102" xfId="5432" applyNumberFormat="1" applyBorder="1">
      <alignment vertical="center"/>
    </xf>
    <xf numFmtId="3" fontId="146" fillId="0" borderId="23" xfId="5432" applyNumberFormat="1" applyBorder="1">
      <alignment vertical="center"/>
    </xf>
    <xf numFmtId="3" fontId="146" fillId="0" borderId="27" xfId="5432" applyNumberFormat="1" applyBorder="1">
      <alignment vertical="center"/>
    </xf>
    <xf numFmtId="185" fontId="146" fillId="0" borderId="37" xfId="5432" applyNumberFormat="1" applyBorder="1">
      <alignment vertical="center"/>
    </xf>
    <xf numFmtId="185" fontId="146" fillId="0" borderId="103" xfId="5432" applyNumberFormat="1" applyBorder="1">
      <alignment vertical="center"/>
    </xf>
    <xf numFmtId="3" fontId="146" fillId="0" borderId="37" xfId="5432" applyNumberFormat="1" applyBorder="1">
      <alignment vertical="center"/>
    </xf>
    <xf numFmtId="3" fontId="146" fillId="0" borderId="103" xfId="5432" applyNumberFormat="1" applyBorder="1">
      <alignment vertical="center"/>
    </xf>
    <xf numFmtId="185" fontId="146" fillId="0" borderId="100" xfId="5432" applyNumberFormat="1" applyBorder="1">
      <alignment vertical="center"/>
    </xf>
    <xf numFmtId="185" fontId="146" fillId="0" borderId="101" xfId="5432" applyNumberFormat="1" applyBorder="1">
      <alignment vertical="center"/>
    </xf>
    <xf numFmtId="185" fontId="146" fillId="0" borderId="0" xfId="5432" applyNumberFormat="1">
      <alignment vertical="center"/>
    </xf>
    <xf numFmtId="3" fontId="146" fillId="0" borderId="100" xfId="5432" applyNumberFormat="1" applyBorder="1">
      <alignment vertical="center"/>
    </xf>
    <xf numFmtId="3" fontId="146" fillId="0" borderId="101" xfId="5432" applyNumberFormat="1" applyBorder="1">
      <alignment vertical="center"/>
    </xf>
    <xf numFmtId="3" fontId="146" fillId="0" borderId="106" xfId="5432" applyNumberFormat="1" applyBorder="1" applyAlignment="1">
      <alignment horizontal="center" vertical="center"/>
    </xf>
    <xf numFmtId="3" fontId="146" fillId="0" borderId="107" xfId="5432" applyNumberFormat="1" applyBorder="1" applyAlignment="1">
      <alignment horizontal="center" vertical="center"/>
    </xf>
    <xf numFmtId="185" fontId="147" fillId="49" borderId="107" xfId="5432" applyNumberFormat="1" applyFont="1" applyFill="1" applyBorder="1" applyAlignment="1">
      <alignment horizontal="center" vertical="center"/>
    </xf>
    <xf numFmtId="3" fontId="146" fillId="0" borderId="93" xfId="5432" applyNumberFormat="1" applyBorder="1" applyAlignment="1">
      <alignment horizontal="center" vertical="center"/>
    </xf>
    <xf numFmtId="185" fontId="147" fillId="0" borderId="107" xfId="5432" applyNumberFormat="1" applyFont="1" applyFill="1" applyBorder="1" applyAlignment="1">
      <alignment horizontal="center" vertical="center"/>
    </xf>
    <xf numFmtId="3" fontId="147" fillId="0" borderId="94" xfId="5432" applyNumberFormat="1" applyFont="1" applyFill="1" applyBorder="1" applyAlignment="1">
      <alignment horizontal="center" vertical="center"/>
    </xf>
    <xf numFmtId="0" fontId="318" fillId="0" borderId="88" xfId="5432" applyFont="1" applyBorder="1">
      <alignment vertical="center"/>
    </xf>
    <xf numFmtId="0" fontId="147" fillId="0" borderId="91" xfId="5432" applyFont="1" applyBorder="1">
      <alignment vertical="center"/>
    </xf>
    <xf numFmtId="3" fontId="146" fillId="0" borderId="99" xfId="5432" applyNumberFormat="1" applyBorder="1">
      <alignment vertical="center"/>
    </xf>
    <xf numFmtId="0" fontId="147" fillId="0" borderId="13" xfId="5432" applyFont="1" applyBorder="1">
      <alignment vertical="center"/>
    </xf>
    <xf numFmtId="0" fontId="147" fillId="0" borderId="0" xfId="5432" applyFont="1" applyBorder="1">
      <alignment vertical="center"/>
    </xf>
    <xf numFmtId="3" fontId="147" fillId="0" borderId="0" xfId="5432" applyNumberFormat="1" applyFont="1" applyBorder="1">
      <alignment vertical="center"/>
    </xf>
    <xf numFmtId="0" fontId="146" fillId="0" borderId="0" xfId="5432" applyBorder="1">
      <alignment vertical="center"/>
    </xf>
    <xf numFmtId="193" fontId="146" fillId="0" borderId="0" xfId="5432" applyNumberFormat="1" applyBorder="1">
      <alignment vertical="center"/>
    </xf>
    <xf numFmtId="193" fontId="146" fillId="0" borderId="102" xfId="5432" applyNumberFormat="1" applyBorder="1">
      <alignment vertical="center"/>
    </xf>
    <xf numFmtId="193" fontId="146" fillId="0" borderId="104" xfId="5432" applyNumberFormat="1" applyBorder="1">
      <alignment vertical="center"/>
    </xf>
    <xf numFmtId="185" fontId="147" fillId="0" borderId="100" xfId="5432" applyNumberFormat="1" applyFont="1" applyBorder="1">
      <alignment vertical="center"/>
    </xf>
    <xf numFmtId="185" fontId="147" fillId="0" borderId="101" xfId="5432" applyNumberFormat="1" applyFont="1" applyBorder="1">
      <alignment vertical="center"/>
    </xf>
    <xf numFmtId="193" fontId="147" fillId="0" borderId="101" xfId="5432" applyNumberFormat="1" applyFont="1" applyBorder="1">
      <alignment vertical="center"/>
    </xf>
    <xf numFmtId="0" fontId="147" fillId="0" borderId="88" xfId="5432" applyFont="1" applyBorder="1">
      <alignment vertical="center"/>
    </xf>
    <xf numFmtId="3" fontId="146" fillId="0" borderId="31" xfId="5432" applyNumberFormat="1" applyBorder="1" applyAlignment="1">
      <alignment horizontal="center" vertical="center"/>
    </xf>
    <xf numFmtId="3" fontId="146" fillId="0" borderId="90" xfId="5432" applyNumberFormat="1" applyBorder="1" applyAlignment="1">
      <alignment horizontal="center" vertical="center"/>
    </xf>
    <xf numFmtId="0" fontId="147" fillId="0" borderId="33" xfId="5432" applyFont="1" applyBorder="1">
      <alignment vertical="center"/>
    </xf>
    <xf numFmtId="3" fontId="146" fillId="0" borderId="35" xfId="5432" applyNumberFormat="1" applyBorder="1" applyAlignment="1">
      <alignment horizontal="center" vertical="center"/>
    </xf>
    <xf numFmtId="3" fontId="146" fillId="0" borderId="108" xfId="5432" applyNumberFormat="1" applyBorder="1" applyAlignment="1">
      <alignment horizontal="center" vertical="center"/>
    </xf>
    <xf numFmtId="182" fontId="146" fillId="0" borderId="27" xfId="5432" applyNumberFormat="1" applyBorder="1">
      <alignment vertical="center"/>
    </xf>
    <xf numFmtId="182" fontId="146" fillId="0" borderId="103" xfId="5432" applyNumberFormat="1" applyBorder="1">
      <alignment vertical="center"/>
    </xf>
    <xf numFmtId="0" fontId="318" fillId="0" borderId="33" xfId="5432" applyFont="1" applyBorder="1">
      <alignment vertical="center"/>
    </xf>
    <xf numFmtId="185" fontId="318" fillId="0" borderId="39" xfId="5432" applyNumberFormat="1" applyFont="1" applyBorder="1">
      <alignment vertical="center"/>
    </xf>
    <xf numFmtId="185" fontId="318" fillId="0" borderId="102" xfId="5432" applyNumberFormat="1" applyFont="1" applyBorder="1">
      <alignment vertical="center"/>
    </xf>
    <xf numFmtId="185" fontId="318" fillId="0" borderId="99" xfId="5432" applyNumberFormat="1" applyFont="1" applyBorder="1">
      <alignment vertical="center"/>
    </xf>
    <xf numFmtId="0" fontId="146" fillId="0" borderId="0" xfId="5432" quotePrefix="1">
      <alignment vertical="center"/>
    </xf>
    <xf numFmtId="0" fontId="77" fillId="43" borderId="110" xfId="5432" quotePrefix="1" applyFont="1" applyFill="1" applyBorder="1" applyAlignment="1">
      <alignment horizontal="center"/>
    </xf>
    <xf numFmtId="0" fontId="77" fillId="43" borderId="111" xfId="5432" quotePrefix="1" applyFont="1" applyFill="1" applyBorder="1" applyAlignment="1">
      <alignment horizontal="center"/>
    </xf>
    <xf numFmtId="0" fontId="77" fillId="93" borderId="111" xfId="5432" quotePrefix="1" applyFont="1" applyFill="1" applyBorder="1" applyAlignment="1">
      <alignment horizontal="center"/>
    </xf>
    <xf numFmtId="3" fontId="318" fillId="0" borderId="27" xfId="5432" applyNumberFormat="1" applyFont="1" applyBorder="1">
      <alignment vertical="center"/>
    </xf>
    <xf numFmtId="185" fontId="146" fillId="93" borderId="102" xfId="5432" applyNumberFormat="1" applyFill="1" applyBorder="1">
      <alignment vertical="center"/>
    </xf>
    <xf numFmtId="0" fontId="318" fillId="0" borderId="13" xfId="5432" applyFont="1" applyBorder="1">
      <alignment vertical="center"/>
    </xf>
    <xf numFmtId="0" fontId="318" fillId="0" borderId="113" xfId="5432" applyFont="1" applyBorder="1">
      <alignment vertical="center"/>
    </xf>
    <xf numFmtId="185" fontId="147" fillId="0" borderId="108" xfId="5432" applyNumberFormat="1" applyFont="1" applyFill="1" applyBorder="1" applyAlignment="1">
      <alignment horizontal="center" vertical="center"/>
    </xf>
    <xf numFmtId="0" fontId="77" fillId="43" borderId="115" xfId="5432" quotePrefix="1" applyFont="1" applyFill="1" applyBorder="1" applyAlignment="1">
      <alignment horizontal="center"/>
    </xf>
    <xf numFmtId="185" fontId="318" fillId="0" borderId="38" xfId="5432" applyNumberFormat="1" applyFont="1" applyBorder="1">
      <alignment vertical="center"/>
    </xf>
    <xf numFmtId="185" fontId="318" fillId="0" borderId="104" xfId="5432" applyNumberFormat="1" applyFont="1" applyBorder="1">
      <alignment vertical="center"/>
    </xf>
    <xf numFmtId="3" fontId="146" fillId="0" borderId="116" xfId="5432" applyNumberFormat="1" applyBorder="1">
      <alignment vertical="center"/>
    </xf>
    <xf numFmtId="3" fontId="146" fillId="0" borderId="118" xfId="5432" applyNumberFormat="1" applyBorder="1">
      <alignment vertical="center"/>
    </xf>
    <xf numFmtId="3" fontId="146" fillId="0" borderId="119" xfId="5432" applyNumberFormat="1" applyBorder="1">
      <alignment vertical="center"/>
    </xf>
    <xf numFmtId="185" fontId="146" fillId="93" borderId="100" xfId="5432" applyNumberFormat="1" applyFill="1" applyBorder="1">
      <alignment vertical="center"/>
    </xf>
    <xf numFmtId="185" fontId="146" fillId="93" borderId="101" xfId="5432" applyNumberFormat="1" applyFill="1" applyBorder="1">
      <alignment vertical="center"/>
    </xf>
    <xf numFmtId="185" fontId="146" fillId="93" borderId="99" xfId="5432" applyNumberFormat="1" applyFill="1" applyBorder="1">
      <alignment vertical="center"/>
    </xf>
    <xf numFmtId="185" fontId="146" fillId="93" borderId="116" xfId="5432" applyNumberFormat="1" applyFill="1" applyBorder="1">
      <alignment vertical="center"/>
    </xf>
    <xf numFmtId="185" fontId="146" fillId="93" borderId="23" xfId="5432" applyNumberFormat="1" applyFill="1" applyBorder="1">
      <alignment vertical="center"/>
    </xf>
    <xf numFmtId="185" fontId="146" fillId="93" borderId="27" xfId="5432" applyNumberFormat="1" applyFill="1" applyBorder="1">
      <alignment vertical="center"/>
    </xf>
    <xf numFmtId="0" fontId="146" fillId="0" borderId="33" xfId="5432" applyBorder="1">
      <alignment vertical="center"/>
    </xf>
    <xf numFmtId="185" fontId="146" fillId="93" borderId="39" xfId="5432" applyNumberFormat="1" applyFill="1" applyBorder="1">
      <alignment vertical="center"/>
    </xf>
    <xf numFmtId="3" fontId="146" fillId="0" borderId="110" xfId="5432" applyNumberFormat="1" applyBorder="1">
      <alignment vertical="center"/>
    </xf>
    <xf numFmtId="3" fontId="146" fillId="0" borderId="111" xfId="5432" applyNumberFormat="1" applyBorder="1">
      <alignment vertical="center"/>
    </xf>
    <xf numFmtId="185" fontId="146" fillId="93" borderId="110" xfId="5432" applyNumberFormat="1" applyFill="1" applyBorder="1">
      <alignment vertical="center"/>
    </xf>
    <xf numFmtId="185" fontId="146" fillId="93" borderId="111" xfId="5432" applyNumberFormat="1" applyFill="1" applyBorder="1">
      <alignment vertical="center"/>
    </xf>
    <xf numFmtId="3" fontId="318" fillId="0" borderId="38" xfId="5432" applyNumberFormat="1" applyFont="1" applyBorder="1">
      <alignment vertical="center"/>
    </xf>
    <xf numFmtId="3" fontId="318" fillId="0" borderId="104" xfId="5432" applyNumberFormat="1" applyFont="1" applyBorder="1">
      <alignment vertical="center"/>
    </xf>
    <xf numFmtId="3" fontId="318" fillId="0" borderId="100" xfId="5432" applyNumberFormat="1" applyFont="1" applyBorder="1">
      <alignment vertical="center"/>
    </xf>
    <xf numFmtId="3" fontId="318" fillId="0" borderId="101" xfId="5432" applyNumberFormat="1" applyFont="1" applyBorder="1">
      <alignment vertical="center"/>
    </xf>
    <xf numFmtId="180" fontId="146" fillId="0" borderId="0" xfId="3714" applyNumberFormat="1" applyFont="1">
      <alignment vertical="center"/>
    </xf>
    <xf numFmtId="185" fontId="296" fillId="0" borderId="0" xfId="3263" applyNumberFormat="1" applyFont="1"/>
    <xf numFmtId="182" fontId="288" fillId="0" borderId="120" xfId="3714" applyNumberFormat="1" applyFont="1" applyFill="1" applyBorder="1">
      <alignment vertical="center"/>
    </xf>
    <xf numFmtId="0" fontId="32" fillId="0" borderId="0" xfId="5434" applyProtection="1">
      <alignment vertical="center"/>
      <protection locked="0"/>
    </xf>
    <xf numFmtId="0" fontId="132" fillId="0" borderId="0" xfId="5434" applyFont="1" applyProtection="1">
      <alignment vertical="center"/>
      <protection locked="0"/>
    </xf>
    <xf numFmtId="0" fontId="105" fillId="0" borderId="0" xfId="5434" applyFont="1" applyProtection="1">
      <alignment vertical="center"/>
      <protection locked="0"/>
    </xf>
    <xf numFmtId="0" fontId="133" fillId="46" borderId="34" xfId="5435" applyFont="1" applyFill="1" applyBorder="1" applyAlignment="1" applyProtection="1">
      <alignment horizontal="left" vertical="center"/>
      <protection locked="0"/>
    </xf>
    <xf numFmtId="0" fontId="134" fillId="0" borderId="0" xfId="5434" applyFont="1" applyFill="1" applyBorder="1" applyAlignment="1" applyProtection="1">
      <alignment vertical="center"/>
      <protection locked="0"/>
    </xf>
    <xf numFmtId="0" fontId="80" fillId="0" borderId="0" xfId="5434" applyFont="1" applyAlignment="1" applyProtection="1">
      <alignment horizontal="left" vertical="center" indent="1"/>
      <protection locked="0"/>
    </xf>
    <xf numFmtId="14" fontId="32" fillId="0" borderId="0" xfId="5434" applyNumberFormat="1" applyProtection="1">
      <alignment vertical="center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9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9" fontId="132" fillId="73" borderId="23" xfId="5434" applyNumberFormat="1" applyFont="1" applyFill="1" applyBorder="1" applyAlignment="1" applyProtection="1">
      <alignment horizontal="center" vertical="center" wrapText="1"/>
      <protection locked="0"/>
    </xf>
    <xf numFmtId="192" fontId="137" fillId="74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left" vertical="center" wrapText="1"/>
      <protection locked="0"/>
    </xf>
    <xf numFmtId="2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37" applyFont="1" applyFill="1" applyBorder="1" applyAlignment="1" applyProtection="1">
      <alignment horizontal="center" vertical="center" wrapText="1"/>
      <protection locked="0"/>
    </xf>
    <xf numFmtId="193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34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</xf>
    <xf numFmtId="9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34" applyFont="1" applyFill="1" applyBorder="1" applyAlignment="1" applyProtection="1">
      <alignment vertical="center"/>
      <protection locked="0"/>
    </xf>
    <xf numFmtId="0" fontId="83" fillId="0" borderId="0" xfId="5434" applyFont="1" applyBorder="1" applyAlignment="1" applyProtection="1">
      <alignment vertical="center" wrapText="1"/>
      <protection locked="0"/>
    </xf>
    <xf numFmtId="0" fontId="83" fillId="0" borderId="0" xfId="5434" applyFont="1" applyFill="1" applyBorder="1" applyAlignment="1" applyProtection="1">
      <alignment vertical="center" wrapText="1"/>
      <protection locked="0"/>
    </xf>
    <xf numFmtId="0" fontId="144" fillId="0" borderId="0" xfId="5434" applyFont="1" applyFill="1" applyBorder="1" applyAlignment="1" applyProtection="1">
      <alignment horizontal="center" vertical="center" wrapText="1"/>
      <protection locked="0"/>
    </xf>
    <xf numFmtId="0" fontId="145" fillId="0" borderId="0" xfId="5434" applyFont="1" applyProtection="1">
      <alignment vertical="center"/>
      <protection locked="0"/>
    </xf>
    <xf numFmtId="0" fontId="131" fillId="0" borderId="0" xfId="5434" applyFont="1" applyProtection="1">
      <alignment vertical="center"/>
      <protection locked="0"/>
    </xf>
    <xf numFmtId="0" fontId="147" fillId="76" borderId="76" xfId="3714" applyFont="1" applyFill="1" applyBorder="1" applyAlignment="1" applyProtection="1">
      <alignment horizontal="center" vertical="center"/>
    </xf>
    <xf numFmtId="0" fontId="64" fillId="0" borderId="76" xfId="3714" applyFont="1" applyFill="1" applyBorder="1" applyAlignment="1" applyProtection="1">
      <alignment horizontal="center" vertical="center"/>
      <protection locked="0"/>
    </xf>
    <xf numFmtId="0" fontId="64" fillId="0" borderId="121" xfId="3714" applyFont="1" applyFill="1" applyBorder="1" applyAlignment="1" applyProtection="1">
      <alignment horizontal="center" vertical="center"/>
      <protection locked="0"/>
    </xf>
    <xf numFmtId="0" fontId="147" fillId="76" borderId="109" xfId="3714" applyFont="1" applyFill="1" applyBorder="1" applyAlignment="1" applyProtection="1">
      <alignment horizontal="center" vertical="center"/>
    </xf>
    <xf numFmtId="0" fontId="64" fillId="0" borderId="109" xfId="3714" applyFont="1" applyFill="1" applyBorder="1" applyAlignment="1" applyProtection="1">
      <alignment horizontal="center" vertical="center"/>
      <protection locked="0"/>
    </xf>
    <xf numFmtId="0" fontId="132" fillId="0" borderId="109" xfId="3714" applyFont="1" applyFill="1" applyBorder="1" applyAlignment="1" applyProtection="1">
      <alignment horizontal="center" vertical="center"/>
      <protection locked="0"/>
    </xf>
    <xf numFmtId="0" fontId="146" fillId="0" borderId="76" xfId="3714" applyFill="1" applyBorder="1" applyAlignment="1" applyProtection="1">
      <alignment vertical="center"/>
      <protection locked="0"/>
    </xf>
    <xf numFmtId="0" fontId="146" fillId="0" borderId="109" xfId="3714" applyFill="1" applyBorder="1" applyAlignment="1" applyProtection="1">
      <alignment vertical="center"/>
      <protection locked="0"/>
    </xf>
    <xf numFmtId="0" fontId="146" fillId="0" borderId="122" xfId="3714" applyFill="1" applyBorder="1" applyAlignment="1" applyProtection="1">
      <alignment vertical="center"/>
      <protection locked="0"/>
    </xf>
    <xf numFmtId="0" fontId="146" fillId="0" borderId="123" xfId="3714" applyFill="1" applyBorder="1" applyAlignment="1" applyProtection="1">
      <alignment vertical="center"/>
      <protection locked="0"/>
    </xf>
    <xf numFmtId="0" fontId="146" fillId="0" borderId="124" xfId="3714" applyFill="1" applyBorder="1" applyAlignment="1" applyProtection="1">
      <alignment vertical="center"/>
      <protection locked="0"/>
    </xf>
    <xf numFmtId="0" fontId="149" fillId="77" borderId="122" xfId="5434" applyFont="1" applyFill="1" applyBorder="1" applyProtection="1">
      <alignment vertical="center"/>
      <protection locked="0"/>
    </xf>
    <xf numFmtId="0" fontId="76" fillId="77" borderId="123" xfId="5434" applyFont="1" applyFill="1" applyBorder="1" applyProtection="1">
      <alignment vertical="center"/>
      <protection locked="0"/>
    </xf>
    <xf numFmtId="0" fontId="76" fillId="77" borderId="124" xfId="5434" applyFont="1" applyFill="1" applyBorder="1" applyProtection="1">
      <alignment vertical="center"/>
      <protection locked="0"/>
    </xf>
    <xf numFmtId="0" fontId="150" fillId="76" borderId="123" xfId="5434" applyFont="1" applyFill="1" applyBorder="1" applyProtection="1">
      <alignment vertical="center"/>
    </xf>
    <xf numFmtId="0" fontId="150" fillId="76" borderId="124" xfId="5434" applyFont="1" applyFill="1" applyBorder="1" applyProtection="1">
      <alignment vertical="center"/>
    </xf>
    <xf numFmtId="0" fontId="151" fillId="75" borderId="26" xfId="5434" applyFont="1" applyFill="1" applyBorder="1" applyAlignment="1" applyProtection="1">
      <alignment vertical="center"/>
      <protection locked="0"/>
    </xf>
    <xf numFmtId="0" fontId="152" fillId="75" borderId="18" xfId="5434" applyFont="1" applyFill="1" applyBorder="1" applyProtection="1">
      <alignment vertical="center"/>
      <protection locked="0"/>
    </xf>
    <xf numFmtId="0" fontId="153" fillId="0" borderId="19" xfId="5434" applyFont="1" applyFill="1" applyBorder="1" applyAlignment="1" applyProtection="1">
      <alignment vertical="center"/>
      <protection locked="0"/>
    </xf>
    <xf numFmtId="0" fontId="32" fillId="0" borderId="76" xfId="5434" applyBorder="1" applyAlignment="1" applyProtection="1">
      <alignment vertical="center"/>
      <protection locked="0"/>
    </xf>
    <xf numFmtId="0" fontId="32" fillId="0" borderId="21" xfId="5434" applyBorder="1" applyAlignment="1" applyProtection="1">
      <alignment vertical="center"/>
      <protection locked="0"/>
    </xf>
    <xf numFmtId="0" fontId="153" fillId="0" borderId="40" xfId="5434" applyFont="1" applyFill="1" applyBorder="1" applyAlignment="1" applyProtection="1">
      <alignment horizontal="center" vertical="center"/>
      <protection locked="0"/>
    </xf>
    <xf numFmtId="0" fontId="153" fillId="0" borderId="109" xfId="5434" applyFont="1" applyFill="1" applyBorder="1" applyAlignment="1" applyProtection="1">
      <alignment horizontal="center" vertical="center"/>
      <protection locked="0"/>
    </xf>
    <xf numFmtId="0" fontId="153" fillId="0" borderId="0" xfId="5434" applyFont="1" applyFill="1" applyBorder="1" applyAlignment="1" applyProtection="1">
      <alignment horizontal="center" vertical="center"/>
      <protection locked="0"/>
    </xf>
    <xf numFmtId="0" fontId="93" fillId="0" borderId="40" xfId="5434" applyFont="1" applyBorder="1" applyProtection="1">
      <alignment vertical="center"/>
      <protection locked="0"/>
    </xf>
    <xf numFmtId="0" fontId="93" fillId="0" borderId="0" xfId="5434" applyFont="1" applyBorder="1" applyProtection="1">
      <alignment vertical="center"/>
      <protection locked="0"/>
    </xf>
    <xf numFmtId="183" fontId="93" fillId="0" borderId="0" xfId="5434" applyNumberFormat="1" applyFont="1" applyBorder="1" applyProtection="1">
      <alignment vertical="center"/>
      <protection locked="0"/>
    </xf>
    <xf numFmtId="0" fontId="93" fillId="0" borderId="40" xfId="5434" applyFont="1" applyBorder="1" applyAlignment="1" applyProtection="1">
      <alignment horizontal="center" vertical="center"/>
      <protection locked="0"/>
    </xf>
    <xf numFmtId="0" fontId="93" fillId="0" borderId="109" xfId="5434" applyFont="1" applyBorder="1" applyAlignment="1" applyProtection="1">
      <alignment horizontal="center" vertical="center"/>
      <protection locked="0"/>
    </xf>
    <xf numFmtId="0" fontId="93" fillId="0" borderId="0" xfId="5434" applyFont="1" applyBorder="1" applyAlignment="1" applyProtection="1">
      <alignment horizontal="center" vertical="center"/>
      <protection locked="0"/>
    </xf>
    <xf numFmtId="0" fontId="93" fillId="0" borderId="122" xfId="5434" applyFont="1" applyBorder="1" applyProtection="1">
      <alignment vertical="center"/>
      <protection locked="0"/>
    </xf>
    <xf numFmtId="0" fontId="93" fillId="0" borderId="123" xfId="5434" applyFont="1" applyBorder="1" applyProtection="1">
      <alignment vertical="center"/>
      <protection locked="0"/>
    </xf>
    <xf numFmtId="3" fontId="154" fillId="76" borderId="122" xfId="5434" applyNumberFormat="1" applyFont="1" applyFill="1" applyBorder="1" applyProtection="1">
      <alignment vertical="center"/>
    </xf>
    <xf numFmtId="0" fontId="154" fillId="76" borderId="124" xfId="5434" applyFont="1" applyFill="1" applyBorder="1" applyProtection="1">
      <alignment vertical="center"/>
    </xf>
    <xf numFmtId="3" fontId="154" fillId="76" borderId="123" xfId="5434" applyNumberFormat="1" applyFont="1" applyFill="1" applyBorder="1" applyProtection="1">
      <alignment vertical="center"/>
    </xf>
    <xf numFmtId="0" fontId="154" fillId="76" borderId="123" xfId="5434" applyFont="1" applyFill="1" applyBorder="1" applyProtection="1">
      <alignment vertical="center"/>
    </xf>
    <xf numFmtId="193" fontId="95" fillId="49" borderId="26" xfId="5434" applyNumberFormat="1" applyFont="1" applyFill="1" applyBorder="1" applyAlignment="1" applyProtection="1">
      <alignment horizontal="center" vertical="center" wrapText="1"/>
      <protection locked="0"/>
    </xf>
    <xf numFmtId="193" fontId="95" fillId="49" borderId="115" xfId="5434" applyNumberFormat="1" applyFont="1" applyFill="1" applyBorder="1" applyAlignment="1" applyProtection="1">
      <alignment horizontal="center" vertical="center" wrapText="1"/>
      <protection locked="0"/>
    </xf>
    <xf numFmtId="0" fontId="142" fillId="76" borderId="26" xfId="5434" applyFont="1" applyFill="1" applyBorder="1" applyAlignment="1" applyProtection="1">
      <alignment horizontal="center" vertical="center"/>
    </xf>
    <xf numFmtId="0" fontId="142" fillId="76" borderId="115" xfId="5434" applyFont="1" applyFill="1" applyBorder="1" applyAlignment="1" applyProtection="1">
      <alignment horizontal="center" vertical="center"/>
    </xf>
    <xf numFmtId="0" fontId="105" fillId="77" borderId="0" xfId="5434" applyFont="1" applyFill="1" applyProtection="1">
      <alignment vertical="center"/>
      <protection locked="0"/>
    </xf>
    <xf numFmtId="0" fontId="32" fillId="77" borderId="0" xfId="5434" applyFill="1" applyProtection="1">
      <alignment vertical="center"/>
      <protection locked="0"/>
    </xf>
    <xf numFmtId="0" fontId="155" fillId="0" borderId="0" xfId="5434" applyFont="1" applyFill="1" applyBorder="1" applyAlignment="1" applyProtection="1">
      <alignment horizontal="center" vertical="center" wrapText="1"/>
      <protection locked="0"/>
    </xf>
    <xf numFmtId="0" fontId="155" fillId="0" borderId="0" xfId="5434" applyFont="1" applyFill="1" applyBorder="1" applyAlignment="1" applyProtection="1">
      <alignment vertical="center"/>
      <protection locked="0"/>
    </xf>
    <xf numFmtId="0" fontId="86" fillId="0" borderId="0" xfId="5434" applyFont="1" applyFill="1" applyBorder="1" applyAlignment="1" applyProtection="1">
      <alignment vertical="center"/>
      <protection locked="0"/>
    </xf>
    <xf numFmtId="0" fontId="142" fillId="0" borderId="0" xfId="5434" applyFont="1" applyProtection="1">
      <alignment vertical="center"/>
      <protection locked="0"/>
    </xf>
    <xf numFmtId="0" fontId="32" fillId="0" borderId="0" xfId="5434" applyFill="1" applyProtection="1">
      <alignment vertical="center"/>
      <protection locked="0"/>
    </xf>
    <xf numFmtId="0" fontId="32" fillId="0" borderId="115" xfId="5434" applyBorder="1" applyAlignment="1" applyProtection="1">
      <alignment horizontal="center" vertical="center"/>
      <protection locked="0"/>
    </xf>
    <xf numFmtId="0" fontId="156" fillId="0" borderId="0" xfId="5434" applyFont="1">
      <alignment vertical="center"/>
    </xf>
    <xf numFmtId="0" fontId="32" fillId="0" borderId="0" xfId="5434">
      <alignment vertical="center"/>
    </xf>
    <xf numFmtId="0" fontId="157" fillId="78" borderId="123" xfId="5434" applyFont="1" applyFill="1" applyBorder="1" applyAlignment="1">
      <alignment horizontal="center" vertical="center"/>
    </xf>
    <xf numFmtId="0" fontId="157" fillId="78" borderId="115" xfId="5434" applyFont="1" applyFill="1" applyBorder="1" applyAlignment="1">
      <alignment horizontal="center" vertical="center"/>
    </xf>
    <xf numFmtId="0" fontId="157" fillId="78" borderId="124" xfId="5434" applyFont="1" applyFill="1" applyBorder="1" applyAlignment="1">
      <alignment horizontal="center" vertical="center"/>
    </xf>
    <xf numFmtId="0" fontId="158" fillId="0" borderId="18" xfId="5434" applyFont="1" applyBorder="1" applyAlignment="1">
      <alignment horizontal="center" vertical="center"/>
    </xf>
    <xf numFmtId="0" fontId="158" fillId="0" borderId="115" xfId="5434" applyFont="1" applyBorder="1" applyAlignment="1">
      <alignment horizontal="center" vertical="center"/>
    </xf>
    <xf numFmtId="0" fontId="159" fillId="0" borderId="115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32" fillId="0" borderId="115" xfId="5434" applyBorder="1" applyProtection="1">
      <alignment vertical="center"/>
      <protection locked="0"/>
    </xf>
    <xf numFmtId="0" fontId="158" fillId="0" borderId="0" xfId="5434" applyFont="1" applyBorder="1" applyAlignment="1">
      <alignment vertical="center" shrinkToFit="1"/>
    </xf>
    <xf numFmtId="0" fontId="158" fillId="0" borderId="123" xfId="5434" applyFont="1" applyBorder="1" applyAlignment="1">
      <alignment vertical="center" shrinkToFit="1"/>
    </xf>
    <xf numFmtId="0" fontId="158" fillId="0" borderId="12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58" fillId="0" borderId="124" xfId="5434" applyFont="1" applyBorder="1" applyAlignment="1">
      <alignment horizontal="center" vertical="center"/>
    </xf>
    <xf numFmtId="0" fontId="32" fillId="0" borderId="112" xfId="5434" applyBorder="1" applyProtection="1">
      <alignment vertical="center"/>
      <protection locked="0"/>
    </xf>
    <xf numFmtId="0" fontId="158" fillId="0" borderId="76" xfId="5434" applyFont="1" applyBorder="1" applyAlignment="1">
      <alignment vertical="center" shrinkToFit="1"/>
    </xf>
    <xf numFmtId="0" fontId="158" fillId="0" borderId="123" xfId="5434" applyFont="1" applyBorder="1">
      <alignment vertical="center"/>
    </xf>
    <xf numFmtId="0" fontId="158" fillId="0" borderId="112" xfId="5434" applyFont="1" applyBorder="1">
      <alignment vertical="center"/>
    </xf>
    <xf numFmtId="0" fontId="158" fillId="0" borderId="124" xfId="5434" applyFont="1" applyBorder="1">
      <alignment vertical="center"/>
    </xf>
    <xf numFmtId="0" fontId="32" fillId="0" borderId="0" xfId="3711" applyFont="1" applyProtection="1">
      <alignment vertical="center"/>
      <protection locked="0"/>
    </xf>
    <xf numFmtId="191" fontId="32" fillId="0" borderId="113" xfId="43" applyNumberFormat="1" applyFont="1" applyBorder="1" applyProtection="1">
      <alignment vertical="center"/>
      <protection locked="0"/>
    </xf>
    <xf numFmtId="191" fontId="32" fillId="0" borderId="13" xfId="43" applyNumberFormat="1" applyFont="1" applyBorder="1" applyProtection="1">
      <alignment vertical="center"/>
      <protection locked="0"/>
    </xf>
    <xf numFmtId="191" fontId="32" fillId="0" borderId="112" xfId="5434" applyNumberFormat="1" applyBorder="1" applyProtection="1">
      <alignment vertical="center"/>
      <protection locked="0"/>
    </xf>
    <xf numFmtId="191" fontId="32" fillId="0" borderId="115" xfId="5434" applyNumberFormat="1" applyBorder="1" applyProtection="1">
      <alignment vertical="center"/>
      <protection locked="0"/>
    </xf>
    <xf numFmtId="177" fontId="32" fillId="0" borderId="13" xfId="43" applyNumberFormat="1" applyFont="1" applyBorder="1" applyProtection="1">
      <alignment vertical="center"/>
      <protection locked="0"/>
    </xf>
    <xf numFmtId="0" fontId="82" fillId="96" borderId="0" xfId="0" applyFont="1" applyFill="1" applyProtection="1">
      <alignment vertical="center"/>
    </xf>
    <xf numFmtId="0" fontId="67" fillId="96" borderId="0" xfId="0" applyFont="1" applyFill="1" applyProtection="1">
      <alignment vertical="center"/>
    </xf>
    <xf numFmtId="180" fontId="67" fillId="96" borderId="0" xfId="0" applyNumberFormat="1" applyFont="1" applyFill="1" applyProtection="1">
      <alignment vertical="center"/>
      <protection locked="0"/>
    </xf>
    <xf numFmtId="180" fontId="67" fillId="96" borderId="0" xfId="0" applyNumberFormat="1" applyFont="1" applyFill="1" applyProtection="1">
      <alignment vertical="center"/>
    </xf>
    <xf numFmtId="0" fontId="67" fillId="96" borderId="0" xfId="0" applyFont="1" applyFill="1" applyProtection="1">
      <alignment vertical="center"/>
      <protection locked="0"/>
    </xf>
    <xf numFmtId="180" fontId="296" fillId="0" borderId="0" xfId="0" applyNumberFormat="1" applyFont="1" applyProtection="1">
      <alignment vertical="center"/>
    </xf>
    <xf numFmtId="0" fontId="82" fillId="0" borderId="0" xfId="0" applyFont="1" applyProtection="1">
      <alignment vertical="center"/>
    </xf>
    <xf numFmtId="180" fontId="296" fillId="0" borderId="0" xfId="0" applyNumberFormat="1" applyFont="1" applyProtection="1">
      <alignment vertical="center"/>
      <protection locked="0"/>
    </xf>
    <xf numFmtId="188" fontId="288" fillId="0" borderId="0" xfId="3714" applyNumberFormat="1" applyFont="1" applyFill="1">
      <alignment vertical="center"/>
    </xf>
    <xf numFmtId="188" fontId="146" fillId="0" borderId="0" xfId="3714" applyNumberFormat="1">
      <alignment vertical="center"/>
    </xf>
    <xf numFmtId="0" fontId="147" fillId="0" borderId="0" xfId="3714" applyFont="1">
      <alignment vertical="center"/>
    </xf>
    <xf numFmtId="189" fontId="288" fillId="0" borderId="0" xfId="3714" applyNumberFormat="1" applyFont="1" applyFill="1">
      <alignment vertical="center"/>
    </xf>
    <xf numFmtId="187" fontId="83" fillId="0" borderId="0" xfId="3263" applyNumberFormat="1" applyFont="1"/>
    <xf numFmtId="180" fontId="146" fillId="0" borderId="0" xfId="3714" applyNumberFormat="1" applyFont="1" applyBorder="1">
      <alignment vertical="center"/>
    </xf>
    <xf numFmtId="182" fontId="146" fillId="0" borderId="0" xfId="3714" applyNumberFormat="1" applyFont="1">
      <alignment vertical="center"/>
    </xf>
    <xf numFmtId="180" fontId="146" fillId="0" borderId="68" xfId="3714" applyNumberFormat="1" applyFont="1" applyBorder="1">
      <alignment vertical="center"/>
    </xf>
    <xf numFmtId="0" fontId="31" fillId="0" borderId="0" xfId="3711" applyFont="1" applyProtection="1">
      <alignment vertical="center"/>
      <protection locked="0"/>
    </xf>
    <xf numFmtId="180" fontId="290" fillId="0" borderId="68" xfId="3714" applyNumberFormat="1" applyFont="1" applyBorder="1">
      <alignment vertical="center"/>
    </xf>
    <xf numFmtId="187" fontId="72" fillId="0" borderId="0" xfId="3263" applyNumberFormat="1" applyFont="1"/>
    <xf numFmtId="187" fontId="295" fillId="77" borderId="0" xfId="3263" applyNumberFormat="1" applyFont="1" applyFill="1"/>
    <xf numFmtId="182" fontId="290" fillId="0" borderId="0" xfId="3714" applyNumberFormat="1" applyFont="1">
      <alignment vertical="center"/>
    </xf>
    <xf numFmtId="185" fontId="318" fillId="93" borderId="102" xfId="5432" applyNumberFormat="1" applyFont="1" applyFill="1" applyBorder="1">
      <alignment vertical="center"/>
    </xf>
    <xf numFmtId="185" fontId="146" fillId="93" borderId="104" xfId="5432" applyNumberFormat="1" applyFill="1" applyBorder="1">
      <alignment vertical="center"/>
    </xf>
    <xf numFmtId="185" fontId="318" fillId="93" borderId="114" xfId="5432" applyNumberFormat="1" applyFont="1" applyFill="1" applyBorder="1">
      <alignment vertical="center"/>
    </xf>
    <xf numFmtId="185" fontId="318" fillId="93" borderId="104" xfId="5432" applyNumberFormat="1" applyFont="1" applyFill="1" applyBorder="1">
      <alignment vertical="center"/>
    </xf>
    <xf numFmtId="177" fontId="146" fillId="0" borderId="0" xfId="5432" applyNumberFormat="1">
      <alignment vertical="center"/>
    </xf>
    <xf numFmtId="0" fontId="318" fillId="0" borderId="125" xfId="5432" applyFont="1" applyBorder="1">
      <alignment vertical="center"/>
    </xf>
    <xf numFmtId="182" fontId="146" fillId="0" borderId="111" xfId="5432" applyNumberFormat="1" applyBorder="1">
      <alignment vertical="center"/>
    </xf>
    <xf numFmtId="185" fontId="318" fillId="93" borderId="23" xfId="5432" applyNumberFormat="1" applyFont="1" applyFill="1" applyBorder="1">
      <alignment vertical="center"/>
    </xf>
    <xf numFmtId="185" fontId="318" fillId="93" borderId="27" xfId="5432" applyNumberFormat="1" applyFont="1" applyFill="1" applyBorder="1">
      <alignment vertical="center"/>
    </xf>
    <xf numFmtId="3" fontId="318" fillId="0" borderId="99" xfId="5432" applyNumberFormat="1" applyFont="1" applyBorder="1">
      <alignment vertical="center"/>
    </xf>
    <xf numFmtId="3" fontId="318" fillId="0" borderId="116" xfId="5432" applyNumberFormat="1" applyFont="1" applyBorder="1">
      <alignment vertical="center"/>
    </xf>
    <xf numFmtId="3" fontId="318" fillId="0" borderId="23" xfId="5432" applyNumberFormat="1" applyFont="1" applyBorder="1">
      <alignment vertical="center"/>
    </xf>
    <xf numFmtId="0" fontId="147" fillId="0" borderId="0" xfId="0" applyFont="1">
      <alignment vertical="center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3" fontId="307" fillId="95" borderId="85" xfId="3241" applyNumberFormat="1" applyFont="1" applyFill="1" applyBorder="1" applyAlignment="1">
      <alignment horizontal="right" vertical="center"/>
    </xf>
    <xf numFmtId="3" fontId="308" fillId="95" borderId="85" xfId="3241" applyNumberFormat="1" applyFont="1" applyFill="1" applyBorder="1" applyAlignment="1">
      <alignment horizontal="right" vertical="center"/>
    </xf>
    <xf numFmtId="177" fontId="72" fillId="0" borderId="0" xfId="43" applyFont="1" applyAlignment="1"/>
    <xf numFmtId="179" fontId="72" fillId="0" borderId="0" xfId="3263" applyNumberFormat="1" applyFont="1"/>
    <xf numFmtId="9" fontId="146" fillId="0" borderId="0" xfId="5427" applyFont="1">
      <alignment vertical="center"/>
    </xf>
    <xf numFmtId="180" fontId="80" fillId="44" borderId="23" xfId="43" applyNumberFormat="1" applyFont="1" applyFill="1" applyBorder="1" applyAlignment="1" applyProtection="1">
      <alignment vertical="center"/>
    </xf>
    <xf numFmtId="180" fontId="321" fillId="38" borderId="23" xfId="0" applyNumberFormat="1" applyFont="1" applyFill="1" applyBorder="1" applyAlignment="1" applyProtection="1">
      <alignment horizontal="right" vertical="center" shrinkToFit="1"/>
    </xf>
    <xf numFmtId="0" fontId="78" fillId="0" borderId="115" xfId="0" applyFont="1" applyFill="1" applyBorder="1" applyAlignment="1">
      <alignment horizontal="left" vertical="center"/>
    </xf>
    <xf numFmtId="0" fontId="322" fillId="0" borderId="23" xfId="0" applyFont="1" applyFill="1" applyBorder="1" applyAlignment="1" applyProtection="1">
      <alignment horizontal="left" vertical="center" indent="3" shrinkToFit="1"/>
    </xf>
    <xf numFmtId="180" fontId="322" fillId="0" borderId="23" xfId="0" applyNumberFormat="1" applyFont="1" applyFill="1" applyBorder="1" applyAlignment="1" applyProtection="1"/>
    <xf numFmtId="180" fontId="78" fillId="41" borderId="23" xfId="0" applyNumberFormat="1" applyFont="1" applyFill="1" applyBorder="1" applyAlignment="1" applyProtection="1"/>
    <xf numFmtId="181" fontId="284" fillId="99" borderId="0" xfId="5402" applyFont="1" applyFill="1" applyAlignment="1" applyProtection="1">
      <alignment horizontal="center" vertical="center"/>
    </xf>
    <xf numFmtId="181" fontId="287" fillId="99" borderId="0" xfId="5423" applyFont="1" applyFill="1" applyAlignment="1">
      <alignment horizontal="right" vertical="center"/>
    </xf>
    <xf numFmtId="0" fontId="151" fillId="99" borderId="0" xfId="5423" quotePrefix="1" applyNumberFormat="1" applyFont="1" applyFill="1" applyAlignment="1">
      <alignment horizontal="right" vertical="center"/>
    </xf>
    <xf numFmtId="9" fontId="158" fillId="0" borderId="13" xfId="5441" applyNumberFormat="1" applyFont="1" applyBorder="1">
      <alignment vertical="center"/>
    </xf>
    <xf numFmtId="0" fontId="158" fillId="0" borderId="0" xfId="5442" applyFont="1" applyBorder="1" applyAlignment="1">
      <alignment vertical="center" shrinkToFit="1"/>
    </xf>
    <xf numFmtId="0" fontId="158" fillId="0" borderId="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/>
    </xf>
    <xf numFmtId="0" fontId="158" fillId="0" borderId="109" xfId="5442" applyFont="1" applyBorder="1" applyAlignment="1">
      <alignment horizontal="center" vertical="center"/>
    </xf>
    <xf numFmtId="190" fontId="30" fillId="0" borderId="13" xfId="43" applyNumberFormat="1" applyFont="1" applyBorder="1" applyProtection="1">
      <alignment vertical="center"/>
      <protection locked="0"/>
    </xf>
    <xf numFmtId="189" fontId="146" fillId="0" borderId="0" xfId="3714" applyNumberFormat="1">
      <alignment vertical="center"/>
    </xf>
    <xf numFmtId="189" fontId="289" fillId="0" borderId="0" xfId="3714" applyNumberFormat="1" applyFont="1" applyFill="1">
      <alignment vertical="center"/>
    </xf>
    <xf numFmtId="0" fontId="133" fillId="46" borderId="34" xfId="5442" applyFont="1" applyFill="1" applyBorder="1" applyAlignment="1" applyProtection="1">
      <alignment horizontal="left" vertical="center"/>
      <protection locked="0"/>
    </xf>
    <xf numFmtId="0" fontId="158" fillId="0" borderId="129" xfId="5442" applyFont="1" applyBorder="1" applyAlignment="1">
      <alignment horizontal="center" vertical="center"/>
    </xf>
    <xf numFmtId="0" fontId="158" fillId="0" borderId="113" xfId="5442" applyFont="1" applyBorder="1" applyAlignment="1">
      <alignment horizontal="center" vertical="center"/>
    </xf>
    <xf numFmtId="0" fontId="158" fillId="0" borderId="13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 shrinkToFit="1"/>
    </xf>
    <xf numFmtId="0" fontId="158" fillId="0" borderId="0" xfId="5442" applyFont="1" applyBorder="1" applyAlignment="1">
      <alignment horizontal="center" vertical="center" shrinkToFit="1"/>
    </xf>
    <xf numFmtId="0" fontId="302" fillId="0" borderId="0" xfId="5442" applyFont="1" applyBorder="1" applyAlignment="1">
      <alignment horizontal="center" vertical="center"/>
    </xf>
    <xf numFmtId="0" fontId="302" fillId="0" borderId="13" xfId="5442" applyFont="1" applyBorder="1" applyAlignment="1">
      <alignment horizontal="center" vertical="center"/>
    </xf>
    <xf numFmtId="0" fontId="302" fillId="0" borderId="109" xfId="5442" applyFont="1" applyBorder="1" applyAlignment="1">
      <alignment horizontal="center" vertical="center"/>
    </xf>
    <xf numFmtId="191" fontId="323" fillId="0" borderId="0" xfId="43" applyNumberFormat="1" applyFont="1" applyProtection="1">
      <alignment vertical="center"/>
      <protection locked="0"/>
    </xf>
    <xf numFmtId="191" fontId="324" fillId="0" borderId="0" xfId="43" applyNumberFormat="1" applyFont="1" applyProtection="1">
      <alignment vertical="center"/>
      <protection locked="0"/>
    </xf>
    <xf numFmtId="0" fontId="324" fillId="0" borderId="0" xfId="3711" applyFont="1" applyProtection="1">
      <alignment vertical="center"/>
      <protection locked="0"/>
    </xf>
    <xf numFmtId="177" fontId="324" fillId="0" borderId="0" xfId="43" applyFont="1" applyProtection="1">
      <alignment vertical="center"/>
      <protection locked="0"/>
    </xf>
    <xf numFmtId="177" fontId="324" fillId="0" borderId="0" xfId="43" applyNumberFormat="1" applyFont="1" applyProtection="1">
      <alignment vertical="center"/>
      <protection locked="0"/>
    </xf>
    <xf numFmtId="0" fontId="30" fillId="0" borderId="0" xfId="3711" applyFont="1" applyProtection="1">
      <alignment vertical="center"/>
      <protection locked="0"/>
    </xf>
    <xf numFmtId="177" fontId="323" fillId="0" borderId="0" xfId="43" applyNumberFormat="1" applyFont="1" applyProtection="1">
      <alignment vertical="center"/>
      <protection locked="0"/>
    </xf>
    <xf numFmtId="0" fontId="30" fillId="0" borderId="0" xfId="5442" applyProtection="1">
      <alignment vertical="center"/>
      <protection locked="0"/>
    </xf>
    <xf numFmtId="0" fontId="138" fillId="73" borderId="35" xfId="5442" applyFont="1" applyFill="1" applyBorder="1" applyAlignment="1" applyProtection="1">
      <alignment horizontal="center" vertical="center"/>
      <protection locked="0"/>
    </xf>
    <xf numFmtId="0" fontId="138" fillId="73" borderId="36" xfId="5442" applyFont="1" applyFill="1" applyBorder="1" applyAlignment="1" applyProtection="1">
      <alignment horizontal="center" vertical="center"/>
      <protection locked="0"/>
    </xf>
    <xf numFmtId="9" fontId="158" fillId="0" borderId="115" xfId="5442" applyNumberFormat="1" applyFont="1" applyBorder="1">
      <alignment vertical="center"/>
    </xf>
    <xf numFmtId="9" fontId="158" fillId="0" borderId="112" xfId="5441" applyNumberFormat="1" applyFont="1" applyBorder="1">
      <alignment vertical="center"/>
    </xf>
    <xf numFmtId="9" fontId="158" fillId="0" borderId="113" xfId="5441" applyNumberFormat="1" applyFont="1" applyBorder="1">
      <alignment vertical="center"/>
    </xf>
    <xf numFmtId="0" fontId="28" fillId="0" borderId="0" xfId="3714" applyFont="1">
      <alignment vertical="center"/>
    </xf>
    <xf numFmtId="188" fontId="295" fillId="0" borderId="0" xfId="3263" applyNumberFormat="1" applyFont="1" applyFill="1"/>
    <xf numFmtId="188" fontId="72" fillId="0" borderId="0" xfId="3263" applyNumberFormat="1" applyFont="1" applyFill="1"/>
    <xf numFmtId="0" fontId="27" fillId="0" borderId="0" xfId="3714" applyFont="1">
      <alignment vertical="center"/>
    </xf>
    <xf numFmtId="0" fontId="302" fillId="0" borderId="0" xfId="5434" applyFont="1" applyBorder="1" applyAlignment="1">
      <alignment horizontal="center" vertical="center"/>
    </xf>
    <xf numFmtId="0" fontId="302" fillId="0" borderId="13" xfId="5434" applyFont="1" applyBorder="1" applyAlignment="1">
      <alignment horizontal="center" vertical="center"/>
    </xf>
    <xf numFmtId="0" fontId="302" fillId="0" borderId="109" xfId="5434" applyFont="1" applyBorder="1" applyAlignment="1">
      <alignment horizontal="center" vertical="center"/>
    </xf>
    <xf numFmtId="181" fontId="325" fillId="41" borderId="0" xfId="5443" applyFont="1" applyFill="1"/>
    <xf numFmtId="181" fontId="326" fillId="41" borderId="0" xfId="5443" applyFont="1" applyFill="1"/>
    <xf numFmtId="181" fontId="326" fillId="0" borderId="0" xfId="5443" applyFont="1"/>
    <xf numFmtId="181" fontId="325" fillId="91" borderId="0" xfId="5443" applyFont="1" applyFill="1"/>
    <xf numFmtId="180" fontId="326" fillId="0" borderId="135" xfId="43" applyNumberFormat="1" applyFont="1" applyFill="1" applyBorder="1" applyAlignment="1">
      <alignment horizontal="center" vertical="center"/>
    </xf>
    <xf numFmtId="180" fontId="326" fillId="0" borderId="115" xfId="43" applyNumberFormat="1" applyFont="1" applyFill="1" applyBorder="1" applyAlignment="1">
      <alignment horizontal="center" vertical="center"/>
    </xf>
    <xf numFmtId="180" fontId="326" fillId="0" borderId="136" xfId="43" applyNumberFormat="1" applyFont="1" applyFill="1" applyBorder="1" applyAlignment="1">
      <alignment horizontal="center" vertical="center"/>
    </xf>
    <xf numFmtId="181" fontId="326" fillId="0" borderId="135" xfId="5444" applyFont="1" applyFill="1" applyBorder="1" applyAlignment="1">
      <alignment horizontal="center" vertical="center"/>
    </xf>
    <xf numFmtId="181" fontId="326" fillId="0" borderId="115" xfId="5444" applyFont="1" applyFill="1" applyBorder="1" applyAlignment="1">
      <alignment horizontal="center" vertical="center"/>
    </xf>
    <xf numFmtId="181" fontId="326" fillId="0" borderId="136" xfId="5444" applyFont="1" applyBorder="1" applyAlignment="1">
      <alignment horizontal="center" vertical="center"/>
    </xf>
    <xf numFmtId="181" fontId="327" fillId="0" borderId="131" xfId="5444" applyFont="1" applyBorder="1">
      <alignment vertical="center"/>
    </xf>
    <xf numFmtId="185" fontId="327" fillId="98" borderId="135" xfId="5445" applyNumberFormat="1" applyFont="1" applyFill="1" applyBorder="1">
      <alignment vertical="center"/>
    </xf>
    <xf numFmtId="185" fontId="327" fillId="98" borderId="115" xfId="5445" applyNumberFormat="1" applyFont="1" applyFill="1" applyBorder="1">
      <alignment vertical="center"/>
    </xf>
    <xf numFmtId="185" fontId="327" fillId="98" borderId="136" xfId="5445" applyNumberFormat="1" applyFont="1" applyFill="1" applyBorder="1">
      <alignment vertical="center"/>
    </xf>
    <xf numFmtId="185" fontId="328" fillId="98" borderId="135" xfId="5445" applyNumberFormat="1" applyFont="1" applyFill="1" applyBorder="1">
      <alignment vertical="center"/>
    </xf>
    <xf numFmtId="185" fontId="328" fillId="98" borderId="115" xfId="5445" applyNumberFormat="1" applyFont="1" applyFill="1" applyBorder="1">
      <alignment vertical="center"/>
    </xf>
    <xf numFmtId="185" fontId="328" fillId="98" borderId="136" xfId="5445" applyNumberFormat="1" applyFont="1" applyFill="1" applyBorder="1">
      <alignment vertical="center"/>
    </xf>
    <xf numFmtId="231" fontId="327" fillId="98" borderId="135" xfId="5445" applyNumberFormat="1" applyFont="1" applyFill="1" applyBorder="1">
      <alignment vertical="center"/>
    </xf>
    <xf numFmtId="231" fontId="327" fillId="98" borderId="115" xfId="5445" applyNumberFormat="1" applyFont="1" applyFill="1" applyBorder="1">
      <alignment vertical="center"/>
    </xf>
    <xf numFmtId="231" fontId="327" fillId="98" borderId="136" xfId="5445" applyNumberFormat="1" applyFont="1" applyFill="1" applyBorder="1">
      <alignment vertical="center"/>
    </xf>
    <xf numFmtId="231" fontId="327" fillId="98" borderId="135" xfId="43" applyNumberFormat="1" applyFont="1" applyFill="1" applyBorder="1">
      <alignment vertical="center"/>
    </xf>
    <xf numFmtId="231" fontId="327" fillId="98" borderId="115" xfId="43" applyNumberFormat="1" applyFont="1" applyFill="1" applyBorder="1">
      <alignment vertical="center"/>
    </xf>
    <xf numFmtId="231" fontId="327" fillId="98" borderId="136" xfId="43" applyNumberFormat="1" applyFont="1" applyFill="1" applyBorder="1">
      <alignment vertical="center"/>
    </xf>
    <xf numFmtId="231" fontId="328" fillId="98" borderId="135" xfId="5445" applyNumberFormat="1" applyFont="1" applyFill="1" applyBorder="1">
      <alignment vertical="center"/>
    </xf>
    <xf numFmtId="231" fontId="328" fillId="98" borderId="115" xfId="5445" applyNumberFormat="1" applyFont="1" applyFill="1" applyBorder="1">
      <alignment vertical="center"/>
    </xf>
    <xf numFmtId="231" fontId="328" fillId="98" borderId="136" xfId="5445" applyNumberFormat="1" applyFont="1" applyFill="1" applyBorder="1">
      <alignment vertical="center"/>
    </xf>
    <xf numFmtId="185" fontId="327" fillId="98" borderId="135" xfId="43" applyNumberFormat="1" applyFont="1" applyFill="1" applyBorder="1">
      <alignment vertical="center"/>
    </xf>
    <xf numFmtId="181" fontId="326" fillId="0" borderId="131" xfId="5444" applyFont="1" applyBorder="1">
      <alignment vertical="center"/>
    </xf>
    <xf numFmtId="231" fontId="329" fillId="98" borderId="135" xfId="5445" applyNumberFormat="1" applyFont="1" applyFill="1" applyBorder="1">
      <alignment vertical="center"/>
    </xf>
    <xf numFmtId="231" fontId="329" fillId="98" borderId="115" xfId="5445" applyNumberFormat="1" applyFont="1" applyFill="1" applyBorder="1">
      <alignment vertical="center"/>
    </xf>
    <xf numFmtId="231" fontId="329" fillId="98" borderId="136" xfId="5445" applyNumberFormat="1" applyFont="1" applyFill="1" applyBorder="1">
      <alignment vertical="center"/>
    </xf>
    <xf numFmtId="185" fontId="329" fillId="98" borderId="135" xfId="5445" applyNumberFormat="1" applyFont="1" applyFill="1" applyBorder="1">
      <alignment vertical="center"/>
    </xf>
    <xf numFmtId="185" fontId="329" fillId="98" borderId="115" xfId="5445" applyNumberFormat="1" applyFont="1" applyFill="1" applyBorder="1">
      <alignment vertical="center"/>
    </xf>
    <xf numFmtId="185" fontId="329" fillId="98" borderId="136" xfId="5445" applyNumberFormat="1" applyFont="1" applyFill="1" applyBorder="1">
      <alignment vertical="center"/>
    </xf>
    <xf numFmtId="181" fontId="326" fillId="0" borderId="131" xfId="5444" applyFont="1" applyBorder="1" applyAlignment="1">
      <alignment vertical="center" wrapText="1"/>
    </xf>
    <xf numFmtId="181" fontId="326" fillId="98" borderId="131" xfId="5444" applyFont="1" applyFill="1" applyBorder="1">
      <alignment vertical="center"/>
    </xf>
    <xf numFmtId="185" fontId="329" fillId="98" borderId="137" xfId="5443" applyNumberFormat="1" applyFont="1" applyFill="1" applyBorder="1"/>
    <xf numFmtId="185" fontId="329" fillId="98" borderId="138" xfId="5443" applyNumberFormat="1" applyFont="1" applyFill="1" applyBorder="1"/>
    <xf numFmtId="185" fontId="329" fillId="98" borderId="139" xfId="5443" applyNumberFormat="1" applyFont="1" applyFill="1" applyBorder="1"/>
    <xf numFmtId="181" fontId="326" fillId="98" borderId="0" xfId="5444" applyFont="1" applyFill="1" applyBorder="1">
      <alignment vertical="center"/>
    </xf>
    <xf numFmtId="9" fontId="326" fillId="98" borderId="0" xfId="5444" applyNumberFormat="1" applyFont="1" applyFill="1" applyBorder="1">
      <alignment vertical="center"/>
    </xf>
    <xf numFmtId="181" fontId="326" fillId="98" borderId="0" xfId="5443" applyFont="1" applyFill="1"/>
    <xf numFmtId="181" fontId="325" fillId="0" borderId="0" xfId="5443" applyFont="1"/>
    <xf numFmtId="181" fontId="326" fillId="0" borderId="131" xfId="5444" applyFont="1" applyBorder="1" applyAlignment="1">
      <alignment horizontal="center" vertical="center"/>
    </xf>
    <xf numFmtId="181" fontId="326" fillId="0" borderId="146" xfId="5444" applyFont="1" applyFill="1" applyBorder="1" applyAlignment="1">
      <alignment horizontal="center" vertical="center"/>
    </xf>
    <xf numFmtId="181" fontId="326" fillId="0" borderId="147" xfId="5444" applyFont="1" applyBorder="1">
      <alignment vertical="center"/>
    </xf>
    <xf numFmtId="181" fontId="326" fillId="0" borderId="147" xfId="5443" applyFont="1" applyBorder="1"/>
    <xf numFmtId="181" fontId="326" fillId="0" borderId="147" xfId="5443" applyFont="1" applyFill="1" applyBorder="1"/>
    <xf numFmtId="181" fontId="326" fillId="0" borderId="0" xfId="5443" applyFont="1" applyAlignment="1">
      <alignment horizontal="right"/>
    </xf>
    <xf numFmtId="181" fontId="67" fillId="0" borderId="0" xfId="5446" applyFont="1">
      <alignment vertical="center"/>
    </xf>
    <xf numFmtId="181" fontId="137" fillId="0" borderId="149" xfId="5446" applyFont="1" applyBorder="1" applyAlignment="1">
      <alignment vertical="center" wrapText="1"/>
    </xf>
    <xf numFmtId="181" fontId="137" fillId="0" borderId="149" xfId="5446" applyFont="1" applyBorder="1" applyAlignment="1">
      <alignment horizontal="center" vertical="center" wrapText="1"/>
    </xf>
    <xf numFmtId="181" fontId="137" fillId="0" borderId="149" xfId="5446" quotePrefix="1" applyFont="1" applyBorder="1" applyAlignment="1">
      <alignment horizontal="center" vertical="center" wrapText="1"/>
    </xf>
    <xf numFmtId="181" fontId="330" fillId="0" borderId="0" xfId="5446" applyFont="1" applyAlignment="1">
      <alignment horizontal="justify" vertical="center" wrapText="1"/>
    </xf>
    <xf numFmtId="179" fontId="330" fillId="0" borderId="0" xfId="5446" applyNumberFormat="1" applyFont="1" applyAlignment="1">
      <alignment horizontal="right" vertical="center" wrapText="1"/>
    </xf>
    <xf numFmtId="185" fontId="330" fillId="0" borderId="0" xfId="5446" applyNumberFormat="1" applyFont="1" applyAlignment="1">
      <alignment horizontal="right" vertical="center" wrapText="1"/>
    </xf>
    <xf numFmtId="177" fontId="330" fillId="0" borderId="0" xfId="43" applyFont="1" applyAlignment="1">
      <alignment horizontal="right" vertical="center" wrapText="1"/>
    </xf>
    <xf numFmtId="3" fontId="330" fillId="0" borderId="0" xfId="5446" applyNumberFormat="1" applyFont="1" applyAlignment="1">
      <alignment horizontal="right" vertical="center" wrapText="1"/>
    </xf>
    <xf numFmtId="190" fontId="330" fillId="0" borderId="0" xfId="43" applyNumberFormat="1" applyFont="1" applyAlignment="1">
      <alignment horizontal="right" vertical="center" wrapText="1"/>
    </xf>
    <xf numFmtId="181" fontId="330" fillId="100" borderId="150" xfId="5446" applyFont="1" applyFill="1" applyBorder="1" applyAlignment="1">
      <alignment horizontal="justify" vertical="center" wrapText="1"/>
    </xf>
    <xf numFmtId="190" fontId="330" fillId="100" borderId="150" xfId="43" applyNumberFormat="1" applyFont="1" applyFill="1" applyBorder="1" applyAlignment="1">
      <alignment horizontal="right" vertical="center" wrapText="1"/>
    </xf>
    <xf numFmtId="185" fontId="330" fillId="100" borderId="150" xfId="5446" applyNumberFormat="1" applyFont="1" applyFill="1" applyBorder="1" applyAlignment="1">
      <alignment horizontal="right" vertical="center" wrapText="1"/>
    </xf>
    <xf numFmtId="181" fontId="330" fillId="100" borderId="60" xfId="5446" applyFont="1" applyFill="1" applyBorder="1" applyAlignment="1">
      <alignment horizontal="justify" vertical="center" wrapText="1"/>
    </xf>
    <xf numFmtId="190" fontId="330" fillId="100" borderId="60" xfId="43" applyNumberFormat="1" applyFont="1" applyFill="1" applyBorder="1" applyAlignment="1">
      <alignment horizontal="right" vertical="center" wrapText="1"/>
    </xf>
    <xf numFmtId="185" fontId="330" fillId="100" borderId="60" xfId="5446" applyNumberFormat="1" applyFont="1" applyFill="1" applyBorder="1" applyAlignment="1">
      <alignment horizontal="right" vertical="center" wrapText="1"/>
    </xf>
    <xf numFmtId="185" fontId="326" fillId="0" borderId="0" xfId="5443" applyNumberFormat="1" applyFont="1"/>
    <xf numFmtId="181" fontId="325" fillId="0" borderId="149" xfId="5443" applyFont="1" applyBorder="1" applyAlignment="1">
      <alignment vertical="center" wrapText="1"/>
    </xf>
    <xf numFmtId="181" fontId="325" fillId="0" borderId="149" xfId="5443" applyFont="1" applyBorder="1" applyAlignment="1">
      <alignment horizontal="center" vertical="center" wrapText="1"/>
    </xf>
    <xf numFmtId="181" fontId="325" fillId="0" borderId="149" xfId="5443" quotePrefix="1" applyFont="1" applyBorder="1" applyAlignment="1">
      <alignment horizontal="center" vertical="center" wrapText="1"/>
    </xf>
    <xf numFmtId="181" fontId="325" fillId="0" borderId="153" xfId="5443" applyFont="1" applyBorder="1" applyAlignment="1">
      <alignment horizontal="center" vertical="center" wrapText="1"/>
    </xf>
    <xf numFmtId="181" fontId="325" fillId="0" borderId="154" xfId="5443" applyFont="1" applyBorder="1" applyAlignment="1">
      <alignment horizontal="center" vertical="center" wrapText="1"/>
    </xf>
    <xf numFmtId="181" fontId="331" fillId="0" borderId="0" xfId="5443" applyFont="1" applyAlignment="1">
      <alignment horizontal="justify" vertical="center" wrapText="1"/>
    </xf>
    <xf numFmtId="177" fontId="331" fillId="0" borderId="0" xfId="5445" applyFont="1" applyAlignment="1">
      <alignment horizontal="right" vertical="center" wrapText="1"/>
    </xf>
    <xf numFmtId="3" fontId="326" fillId="0" borderId="155" xfId="5443" applyNumberFormat="1" applyFont="1" applyBorder="1" applyAlignment="1">
      <alignment horizontal="right" vertical="center" wrapText="1"/>
    </xf>
    <xf numFmtId="3" fontId="326" fillId="0" borderId="156" xfId="5443" applyNumberFormat="1" applyFont="1" applyBorder="1" applyAlignment="1">
      <alignment horizontal="right" vertical="center" wrapText="1"/>
    </xf>
    <xf numFmtId="180" fontId="331" fillId="0" borderId="0" xfId="5445" applyNumberFormat="1" applyFont="1" applyAlignment="1">
      <alignment horizontal="right" vertical="center" wrapText="1"/>
    </xf>
    <xf numFmtId="180" fontId="326" fillId="0" borderId="155" xfId="5443" applyNumberFormat="1" applyFont="1" applyBorder="1" applyAlignment="1">
      <alignment horizontal="right" vertical="center" wrapText="1"/>
    </xf>
    <xf numFmtId="180" fontId="326" fillId="0" borderId="156" xfId="5443" applyNumberFormat="1" applyFont="1" applyBorder="1" applyAlignment="1">
      <alignment horizontal="right" vertical="center" wrapText="1"/>
    </xf>
    <xf numFmtId="185" fontId="331" fillId="0" borderId="0" xfId="5445" applyNumberFormat="1" applyFont="1" applyAlignment="1">
      <alignment horizontal="right" vertical="center" wrapText="1"/>
    </xf>
    <xf numFmtId="185" fontId="326" fillId="0" borderId="155" xfId="5443" applyNumberFormat="1" applyFont="1" applyBorder="1" applyAlignment="1">
      <alignment horizontal="right" vertical="center" wrapText="1"/>
    </xf>
    <xf numFmtId="185" fontId="326" fillId="0" borderId="156" xfId="5443" applyNumberFormat="1" applyFont="1" applyBorder="1" applyAlignment="1">
      <alignment horizontal="right" vertical="center" wrapText="1"/>
    </xf>
    <xf numFmtId="190" fontId="331" fillId="0" borderId="0" xfId="5445" applyNumberFormat="1" applyFont="1" applyAlignment="1">
      <alignment horizontal="right" vertical="center" wrapText="1"/>
    </xf>
    <xf numFmtId="193" fontId="326" fillId="0" borderId="155" xfId="5443" applyNumberFormat="1" applyFont="1" applyBorder="1" applyAlignment="1">
      <alignment horizontal="right" vertical="center" wrapText="1"/>
    </xf>
    <xf numFmtId="193" fontId="326" fillId="0" borderId="156" xfId="5443" applyNumberFormat="1" applyFont="1" applyBorder="1" applyAlignment="1">
      <alignment horizontal="right" vertical="center" wrapText="1"/>
    </xf>
    <xf numFmtId="181" fontId="331" fillId="100" borderId="150" xfId="5443" applyFont="1" applyFill="1" applyBorder="1" applyAlignment="1">
      <alignment horizontal="justify" vertical="center" wrapText="1"/>
    </xf>
    <xf numFmtId="183" fontId="331" fillId="100" borderId="150" xfId="5445" applyNumberFormat="1" applyFont="1" applyFill="1" applyBorder="1" applyAlignment="1">
      <alignment horizontal="right" vertical="center" wrapText="1"/>
    </xf>
    <xf numFmtId="183" fontId="326" fillId="100" borderId="157" xfId="5443" applyNumberFormat="1" applyFont="1" applyFill="1" applyBorder="1" applyAlignment="1">
      <alignment horizontal="right" vertical="center" wrapText="1"/>
    </xf>
    <xf numFmtId="183" fontId="326" fillId="100" borderId="158" xfId="5443" applyNumberFormat="1" applyFont="1" applyFill="1" applyBorder="1" applyAlignment="1">
      <alignment horizontal="right" vertical="center" wrapText="1"/>
    </xf>
    <xf numFmtId="181" fontId="331" fillId="100" borderId="60" xfId="5443" applyFont="1" applyFill="1" applyBorder="1" applyAlignment="1">
      <alignment horizontal="justify" vertical="center" wrapText="1"/>
    </xf>
    <xf numFmtId="190" fontId="331" fillId="100" borderId="60" xfId="5445" applyNumberFormat="1" applyFont="1" applyFill="1" applyBorder="1" applyAlignment="1">
      <alignment horizontal="right" vertical="center" wrapText="1"/>
    </xf>
    <xf numFmtId="193" fontId="326" fillId="100" borderId="159" xfId="5443" applyNumberFormat="1" applyFont="1" applyFill="1" applyBorder="1" applyAlignment="1">
      <alignment horizontal="right" vertical="center" wrapText="1"/>
    </xf>
    <xf numFmtId="193" fontId="326" fillId="100" borderId="160" xfId="5443" applyNumberFormat="1" applyFont="1" applyFill="1" applyBorder="1" applyAlignment="1">
      <alignment horizontal="right" vertical="center" wrapText="1"/>
    </xf>
    <xf numFmtId="181" fontId="325" fillId="0" borderId="157" xfId="5443" applyFont="1" applyBorder="1"/>
    <xf numFmtId="181" fontId="326" fillId="0" borderId="150" xfId="5443" applyFont="1" applyBorder="1"/>
    <xf numFmtId="181" fontId="326" fillId="0" borderId="158" xfId="5443" applyFont="1" applyBorder="1"/>
    <xf numFmtId="181" fontId="325" fillId="0" borderId="157" xfId="5443" applyFont="1" applyBorder="1" applyAlignment="1">
      <alignment vertical="center"/>
    </xf>
    <xf numFmtId="181" fontId="326" fillId="0" borderId="155" xfId="5443" applyFont="1" applyBorder="1"/>
    <xf numFmtId="181" fontId="326" fillId="0" borderId="0" xfId="5443" applyFont="1" applyBorder="1"/>
    <xf numFmtId="181" fontId="326" fillId="0" borderId="156" xfId="5443" applyFont="1" applyBorder="1"/>
    <xf numFmtId="181" fontId="326" fillId="0" borderId="155" xfId="5443" applyFont="1" applyBorder="1" applyAlignment="1">
      <alignment vertical="center"/>
    </xf>
    <xf numFmtId="181" fontId="326" fillId="0" borderId="0" xfId="5443" applyFont="1" applyBorder="1" applyAlignment="1">
      <alignment vertical="center"/>
    </xf>
    <xf numFmtId="181" fontId="326" fillId="0" borderId="156" xfId="5443" applyFont="1" applyBorder="1" applyAlignment="1">
      <alignment vertical="center"/>
    </xf>
    <xf numFmtId="181" fontId="326" fillId="101" borderId="161" xfId="5443" applyFont="1" applyFill="1" applyBorder="1" applyAlignment="1">
      <alignment vertical="center"/>
    </xf>
    <xf numFmtId="181" fontId="326" fillId="76" borderId="162" xfId="5443" applyFont="1" applyFill="1" applyBorder="1" applyAlignment="1">
      <alignment vertical="center"/>
    </xf>
    <xf numFmtId="181" fontId="331" fillId="0" borderId="0" xfId="5445" applyNumberFormat="1" applyFont="1" applyBorder="1">
      <alignment vertical="center"/>
    </xf>
    <xf numFmtId="181" fontId="331" fillId="0" borderId="156" xfId="5445" applyNumberFormat="1" applyFont="1" applyBorder="1">
      <alignment vertical="center"/>
    </xf>
    <xf numFmtId="181" fontId="326" fillId="0" borderId="155" xfId="5443" quotePrefix="1" applyFont="1" applyBorder="1" applyAlignment="1">
      <alignment vertical="center"/>
    </xf>
    <xf numFmtId="193" fontId="326" fillId="77" borderId="163" xfId="5443" applyNumberFormat="1" applyFont="1" applyFill="1" applyBorder="1" applyAlignment="1">
      <alignment vertical="center"/>
    </xf>
    <xf numFmtId="181" fontId="332" fillId="0" borderId="0" xfId="5443" applyFont="1" applyBorder="1" applyAlignment="1">
      <alignment vertical="center"/>
    </xf>
    <xf numFmtId="181" fontId="332" fillId="0" borderId="0" xfId="5445" applyNumberFormat="1" applyFont="1" applyBorder="1">
      <alignment vertical="center"/>
    </xf>
    <xf numFmtId="2" fontId="326" fillId="77" borderId="163" xfId="5443" applyNumberFormat="1" applyFont="1" applyFill="1" applyBorder="1" applyAlignment="1">
      <alignment vertical="center"/>
    </xf>
    <xf numFmtId="181" fontId="332" fillId="0" borderId="156" xfId="5445" applyNumberFormat="1" applyFont="1" applyBorder="1">
      <alignment vertical="center"/>
    </xf>
    <xf numFmtId="193" fontId="326" fillId="77" borderId="164" xfId="5443" applyNumberFormat="1" applyFont="1" applyFill="1" applyBorder="1" applyAlignment="1">
      <alignment vertical="center"/>
    </xf>
    <xf numFmtId="2" fontId="326" fillId="77" borderId="164" xfId="5443" applyNumberFormat="1" applyFont="1" applyFill="1" applyBorder="1" applyAlignment="1">
      <alignment vertical="center"/>
    </xf>
    <xf numFmtId="193" fontId="326" fillId="77" borderId="165" xfId="5443" applyNumberFormat="1" applyFont="1" applyFill="1" applyBorder="1" applyAlignment="1">
      <alignment vertical="center"/>
    </xf>
    <xf numFmtId="2" fontId="326" fillId="77" borderId="165" xfId="5443" applyNumberFormat="1" applyFont="1" applyFill="1" applyBorder="1" applyAlignment="1">
      <alignment vertical="center"/>
    </xf>
    <xf numFmtId="193" fontId="326" fillId="0" borderId="0" xfId="5443" applyNumberFormat="1" applyFont="1" applyBorder="1" applyAlignment="1">
      <alignment vertical="center"/>
    </xf>
    <xf numFmtId="181" fontId="332" fillId="0" borderId="0" xfId="5443" applyNumberFormat="1" applyFont="1" applyBorder="1" applyAlignment="1">
      <alignment vertical="center"/>
    </xf>
    <xf numFmtId="181" fontId="331" fillId="97" borderId="64" xfId="5445" applyNumberFormat="1" applyFont="1" applyFill="1" applyBorder="1">
      <alignment vertical="center"/>
    </xf>
    <xf numFmtId="181" fontId="331" fillId="93" borderId="166" xfId="5445" applyNumberFormat="1" applyFont="1" applyFill="1" applyBorder="1">
      <alignment vertical="center"/>
    </xf>
    <xf numFmtId="181" fontId="326" fillId="0" borderId="156" xfId="5443" applyNumberFormat="1" applyFont="1" applyBorder="1" applyAlignment="1">
      <alignment vertical="center"/>
    </xf>
    <xf numFmtId="181" fontId="331" fillId="93" borderId="167" xfId="5445" applyNumberFormat="1" applyFont="1" applyFill="1" applyBorder="1">
      <alignment vertical="center"/>
    </xf>
    <xf numFmtId="181" fontId="331" fillId="97" borderId="168" xfId="5445" applyNumberFormat="1" applyFont="1" applyFill="1" applyBorder="1">
      <alignment vertical="center"/>
    </xf>
    <xf numFmtId="181" fontId="331" fillId="93" borderId="169" xfId="5445" applyNumberFormat="1" applyFont="1" applyFill="1" applyBorder="1">
      <alignment vertical="center"/>
    </xf>
    <xf numFmtId="181" fontId="331" fillId="93" borderId="170" xfId="5445" applyNumberFormat="1" applyFont="1" applyFill="1" applyBorder="1">
      <alignment vertical="center"/>
    </xf>
    <xf numFmtId="181" fontId="326" fillId="0" borderId="159" xfId="5443" applyFont="1" applyBorder="1" applyAlignment="1">
      <alignment vertical="center"/>
    </xf>
    <xf numFmtId="181" fontId="326" fillId="0" borderId="60" xfId="5443" applyFont="1" applyBorder="1" applyAlignment="1">
      <alignment vertical="center"/>
    </xf>
    <xf numFmtId="181" fontId="332" fillId="0" borderId="60" xfId="5443" applyFont="1" applyBorder="1" applyAlignment="1">
      <alignment vertical="center"/>
    </xf>
    <xf numFmtId="181" fontId="331" fillId="0" borderId="60" xfId="5445" applyNumberFormat="1" applyFont="1" applyBorder="1">
      <alignment vertical="center"/>
    </xf>
    <xf numFmtId="181" fontId="326" fillId="0" borderId="160" xfId="5443" applyFont="1" applyBorder="1" applyAlignment="1">
      <alignment vertical="center"/>
    </xf>
    <xf numFmtId="181" fontId="331" fillId="0" borderId="160" xfId="5445" applyNumberFormat="1" applyFont="1" applyBorder="1">
      <alignment vertical="center"/>
    </xf>
    <xf numFmtId="181" fontId="326" fillId="0" borderId="0" xfId="5443" applyFont="1" applyAlignment="1">
      <alignment vertical="center"/>
    </xf>
    <xf numFmtId="181" fontId="326" fillId="0" borderId="157" xfId="5443" applyFont="1" applyBorder="1"/>
    <xf numFmtId="185" fontId="331" fillId="97" borderId="64" xfId="5445" applyNumberFormat="1" applyFont="1" applyFill="1" applyBorder="1">
      <alignment vertical="center"/>
    </xf>
    <xf numFmtId="185" fontId="331" fillId="93" borderId="166" xfId="5445" applyNumberFormat="1" applyFont="1" applyFill="1" applyBorder="1">
      <alignment vertical="center"/>
    </xf>
    <xf numFmtId="185" fontId="331" fillId="97" borderId="168" xfId="5445" applyNumberFormat="1" applyFont="1" applyFill="1" applyBorder="1">
      <alignment vertical="center"/>
    </xf>
    <xf numFmtId="185" fontId="331" fillId="93" borderId="169" xfId="5445" applyNumberFormat="1" applyFont="1" applyFill="1" applyBorder="1">
      <alignment vertical="center"/>
    </xf>
    <xf numFmtId="181" fontId="334" fillId="0" borderId="171" xfId="5443" applyFont="1" applyFill="1" applyBorder="1" applyAlignment="1">
      <alignment vertical="center"/>
    </xf>
    <xf numFmtId="181" fontId="334" fillId="0" borderId="172" xfId="5443" applyFont="1" applyBorder="1" applyAlignment="1">
      <alignment vertical="center"/>
    </xf>
    <xf numFmtId="181" fontId="334" fillId="0" borderId="173" xfId="5443" applyFont="1" applyBorder="1" applyAlignment="1">
      <alignment vertical="center"/>
    </xf>
    <xf numFmtId="181" fontId="334" fillId="0" borderId="174" xfId="5443" applyFont="1" applyFill="1" applyBorder="1" applyAlignment="1">
      <alignment vertical="center"/>
    </xf>
    <xf numFmtId="181" fontId="334" fillId="0" borderId="0" xfId="5443" applyFont="1" applyBorder="1" applyAlignment="1">
      <alignment vertical="center"/>
    </xf>
    <xf numFmtId="181" fontId="334" fillId="0" borderId="175" xfId="5443" applyFont="1" applyBorder="1" applyAlignment="1">
      <alignment vertical="center"/>
    </xf>
    <xf numFmtId="181" fontId="334" fillId="0" borderId="176" xfId="5443" applyFont="1" applyFill="1" applyBorder="1" applyAlignment="1">
      <alignment vertical="center"/>
    </xf>
    <xf numFmtId="181" fontId="334" fillId="0" borderId="177" xfId="5443" applyFont="1" applyBorder="1" applyAlignment="1">
      <alignment vertical="center"/>
    </xf>
    <xf numFmtId="181" fontId="334" fillId="0" borderId="178" xfId="5443" applyFont="1" applyBorder="1" applyAlignment="1">
      <alignment vertical="center"/>
    </xf>
    <xf numFmtId="181" fontId="156" fillId="0" borderId="0" xfId="5447" applyFont="1">
      <alignment vertical="center"/>
    </xf>
    <xf numFmtId="181" fontId="158" fillId="0" borderId="0" xfId="5447" applyFont="1">
      <alignment vertical="center"/>
    </xf>
    <xf numFmtId="181" fontId="297" fillId="48" borderId="0" xfId="5447" applyFont="1" applyFill="1">
      <alignment vertical="center"/>
    </xf>
    <xf numFmtId="181" fontId="298" fillId="48" borderId="0" xfId="5447" applyFont="1" applyFill="1">
      <alignment vertical="center"/>
    </xf>
    <xf numFmtId="181" fontId="158" fillId="0" borderId="0" xfId="5448" applyFont="1">
      <alignment vertical="center"/>
    </xf>
    <xf numFmtId="181" fontId="158" fillId="0" borderId="0" xfId="5448" quotePrefix="1" applyFont="1">
      <alignment vertical="center"/>
    </xf>
    <xf numFmtId="181" fontId="158" fillId="0" borderId="0" xfId="5448" quotePrefix="1" applyFont="1" applyAlignment="1">
      <alignment horizontal="center" vertical="center"/>
    </xf>
    <xf numFmtId="181" fontId="158" fillId="0" borderId="0" xfId="5447" applyFont="1" applyAlignment="1">
      <alignment horizontal="right" vertical="center"/>
    </xf>
    <xf numFmtId="181" fontId="158" fillId="43" borderId="23" xfId="5447" applyFont="1" applyFill="1" applyBorder="1" applyAlignment="1">
      <alignment horizontal="center" vertical="center"/>
    </xf>
    <xf numFmtId="181" fontId="158" fillId="43" borderId="34" xfId="5447" applyFont="1" applyFill="1" applyBorder="1" applyAlignment="1">
      <alignment horizontal="center" vertical="center"/>
    </xf>
    <xf numFmtId="181" fontId="158" fillId="43" borderId="34" xfId="5448" applyFont="1" applyFill="1" applyBorder="1" applyAlignment="1">
      <alignment horizontal="center" vertical="center"/>
    </xf>
    <xf numFmtId="181" fontId="298" fillId="94" borderId="70" xfId="5447" applyFont="1" applyFill="1" applyBorder="1" applyAlignment="1">
      <alignment horizontal="center" vertical="center"/>
    </xf>
    <xf numFmtId="181" fontId="298" fillId="94" borderId="71" xfId="5447" applyFont="1" applyFill="1" applyBorder="1" applyAlignment="1">
      <alignment horizontal="center" vertical="center"/>
    </xf>
    <xf numFmtId="181" fontId="298" fillId="94" borderId="179" xfId="5447" applyFont="1" applyFill="1" applyBorder="1" applyAlignment="1">
      <alignment horizontal="center" vertical="center"/>
    </xf>
    <xf numFmtId="181" fontId="298" fillId="94" borderId="73" xfId="5447" applyFont="1" applyFill="1" applyBorder="1" applyAlignment="1">
      <alignment horizontal="center" vertical="center"/>
    </xf>
    <xf numFmtId="181" fontId="158" fillId="45" borderId="73" xfId="5447" applyFont="1" applyFill="1" applyBorder="1" applyAlignment="1">
      <alignment horizontal="center" vertical="center" wrapText="1"/>
    </xf>
    <xf numFmtId="181" fontId="158" fillId="0" borderId="0" xfId="5448" applyFont="1" applyAlignment="1">
      <alignment horizontal="center" vertical="center"/>
    </xf>
    <xf numFmtId="181" fontId="158" fillId="98" borderId="23" xfId="5447" applyFont="1" applyFill="1" applyBorder="1" applyAlignment="1">
      <alignment horizontal="left" vertical="center"/>
    </xf>
    <xf numFmtId="181" fontId="158" fillId="98" borderId="34" xfId="5448" applyFont="1" applyFill="1" applyBorder="1" applyAlignment="1">
      <alignment horizontal="center" vertical="center"/>
    </xf>
    <xf numFmtId="181" fontId="298" fillId="98" borderId="180" xfId="5447" applyFont="1" applyFill="1" applyBorder="1" applyAlignment="1">
      <alignment horizontal="center" vertical="center"/>
    </xf>
    <xf numFmtId="181" fontId="298" fillId="98" borderId="39" xfId="5447" applyFont="1" applyFill="1" applyBorder="1" applyAlignment="1">
      <alignment horizontal="center" vertical="center"/>
    </xf>
    <xf numFmtId="181" fontId="298" fillId="98" borderId="181" xfId="5447" applyFont="1" applyFill="1" applyBorder="1" applyAlignment="1">
      <alignment horizontal="center" vertical="center"/>
    </xf>
    <xf numFmtId="181" fontId="298" fillId="98" borderId="182" xfId="5447" applyFont="1" applyFill="1" applyBorder="1" applyAlignment="1">
      <alignment horizontal="center" vertical="center"/>
    </xf>
    <xf numFmtId="181" fontId="158" fillId="98" borderId="182" xfId="5447" applyFont="1" applyFill="1" applyBorder="1" applyAlignment="1">
      <alignment horizontal="center" vertical="center" wrapText="1"/>
    </xf>
    <xf numFmtId="181" fontId="158" fillId="77" borderId="23" xfId="5447" applyFont="1" applyFill="1" applyBorder="1" applyAlignment="1">
      <alignment horizontal="left" vertical="center" indent="1"/>
    </xf>
    <xf numFmtId="182" fontId="158" fillId="77" borderId="23" xfId="5447" applyNumberFormat="1" applyFont="1" applyFill="1" applyBorder="1" applyAlignment="1">
      <alignment horizontal="right" vertical="center"/>
    </xf>
    <xf numFmtId="190" fontId="158" fillId="77" borderId="74" xfId="43" applyNumberFormat="1" applyFont="1" applyFill="1" applyBorder="1">
      <alignment vertical="center"/>
    </xf>
    <xf numFmtId="190" fontId="158" fillId="77" borderId="23" xfId="43" applyNumberFormat="1" applyFont="1" applyFill="1" applyBorder="1">
      <alignment vertical="center"/>
    </xf>
    <xf numFmtId="40" fontId="158" fillId="77" borderId="75" xfId="5447" applyNumberFormat="1" applyFont="1" applyFill="1" applyBorder="1">
      <alignment vertical="center"/>
    </xf>
    <xf numFmtId="181" fontId="158" fillId="77" borderId="182" xfId="5447" applyFont="1" applyFill="1" applyBorder="1" applyAlignment="1">
      <alignment horizontal="center" vertical="center" wrapText="1"/>
    </xf>
    <xf numFmtId="184" fontId="158" fillId="0" borderId="0" xfId="5447" applyNumberFormat="1" applyFont="1">
      <alignment vertical="center"/>
    </xf>
    <xf numFmtId="181" fontId="158" fillId="0" borderId="23" xfId="5447" applyFont="1" applyBorder="1">
      <alignment vertical="center"/>
    </xf>
    <xf numFmtId="184" fontId="158" fillId="0" borderId="34" xfId="5447" applyNumberFormat="1" applyFont="1" applyBorder="1">
      <alignment vertical="center"/>
    </xf>
    <xf numFmtId="184" fontId="158" fillId="0" borderId="74" xfId="5447" applyNumberFormat="1" applyFont="1" applyBorder="1">
      <alignment vertical="center"/>
    </xf>
    <xf numFmtId="184" fontId="158" fillId="0" borderId="23" xfId="5447" applyNumberFormat="1" applyFont="1" applyBorder="1">
      <alignment vertical="center"/>
    </xf>
    <xf numFmtId="184" fontId="158" fillId="0" borderId="183" xfId="5447" applyNumberFormat="1" applyFont="1" applyBorder="1">
      <alignment vertical="center"/>
    </xf>
    <xf numFmtId="184" fontId="158" fillId="0" borderId="75" xfId="5447" applyNumberFormat="1" applyFont="1" applyBorder="1">
      <alignment vertical="center"/>
    </xf>
    <xf numFmtId="184" fontId="158" fillId="77" borderId="75" xfId="5447" applyNumberFormat="1" applyFont="1" applyFill="1" applyBorder="1" applyAlignment="1">
      <alignment horizontal="center" vertical="center"/>
    </xf>
    <xf numFmtId="184" fontId="158" fillId="77" borderId="74" xfId="5447" applyNumberFormat="1" applyFont="1" applyFill="1" applyBorder="1">
      <alignment vertical="center"/>
    </xf>
    <xf numFmtId="184" fontId="158" fillId="77" borderId="23" xfId="5447" applyNumberFormat="1" applyFont="1" applyFill="1" applyBorder="1">
      <alignment vertical="center"/>
    </xf>
    <xf numFmtId="184" fontId="158" fillId="77" borderId="183" xfId="5447" applyNumberFormat="1" applyFont="1" applyFill="1" applyBorder="1">
      <alignment vertical="center"/>
    </xf>
    <xf numFmtId="184" fontId="158" fillId="77" borderId="75" xfId="5447" applyNumberFormat="1" applyFont="1" applyFill="1" applyBorder="1">
      <alignment vertical="center"/>
    </xf>
    <xf numFmtId="9" fontId="158" fillId="0" borderId="0" xfId="5447" applyNumberFormat="1" applyFont="1">
      <alignment vertical="center"/>
    </xf>
    <xf numFmtId="181" fontId="158" fillId="0" borderId="23" xfId="5447" applyFont="1" applyFill="1" applyBorder="1" applyAlignment="1">
      <alignment horizontal="left" vertical="center"/>
    </xf>
    <xf numFmtId="184" fontId="158" fillId="0" borderId="75" xfId="5447" applyNumberFormat="1" applyFont="1" applyBorder="1" applyAlignment="1">
      <alignment horizontal="center" vertical="center"/>
    </xf>
    <xf numFmtId="182" fontId="158" fillId="77" borderId="34" xfId="5447" applyNumberFormat="1" applyFont="1" applyFill="1" applyBorder="1">
      <alignment vertical="center"/>
    </xf>
    <xf numFmtId="182" fontId="158" fillId="77" borderId="74" xfId="5447" applyNumberFormat="1" applyFont="1" applyFill="1" applyBorder="1">
      <alignment vertical="center"/>
    </xf>
    <xf numFmtId="182" fontId="158" fillId="77" borderId="23" xfId="5447" applyNumberFormat="1" applyFont="1" applyFill="1" applyBorder="1">
      <alignment vertical="center"/>
    </xf>
    <xf numFmtId="182" fontId="158" fillId="77" borderId="183" xfId="5447" applyNumberFormat="1" applyFont="1" applyFill="1" applyBorder="1">
      <alignment vertical="center"/>
    </xf>
    <xf numFmtId="182" fontId="158" fillId="77" borderId="74" xfId="5447" applyNumberFormat="1" applyFont="1" applyFill="1" applyBorder="1" applyAlignment="1">
      <alignment horizontal="right" vertical="center"/>
    </xf>
    <xf numFmtId="182" fontId="158" fillId="77" borderId="183" xfId="5447" applyNumberFormat="1" applyFont="1" applyFill="1" applyBorder="1" applyAlignment="1">
      <alignment horizontal="right" vertical="center"/>
    </xf>
    <xf numFmtId="182" fontId="158" fillId="77" borderId="75" xfId="5447" applyNumberFormat="1" applyFont="1" applyFill="1" applyBorder="1" applyAlignment="1">
      <alignment horizontal="center" vertical="center"/>
    </xf>
    <xf numFmtId="38" fontId="158" fillId="77" borderId="75" xfId="5447" applyNumberFormat="1" applyFont="1" applyFill="1" applyBorder="1" applyAlignment="1">
      <alignment horizontal="center" vertical="center"/>
    </xf>
    <xf numFmtId="182" fontId="158" fillId="77" borderId="77" xfId="5447" applyNumberFormat="1" applyFont="1" applyFill="1" applyBorder="1">
      <alignment vertical="center"/>
    </xf>
    <xf numFmtId="182" fontId="158" fillId="77" borderId="78" xfId="5447" applyNumberFormat="1" applyFont="1" applyFill="1" applyBorder="1">
      <alignment vertical="center"/>
    </xf>
    <xf numFmtId="182" fontId="158" fillId="77" borderId="184" xfId="5447" applyNumberFormat="1" applyFont="1" applyFill="1" applyBorder="1">
      <alignment vertical="center"/>
    </xf>
    <xf numFmtId="184" fontId="158" fillId="77" borderId="80" xfId="5447" applyNumberFormat="1" applyFont="1" applyFill="1" applyBorder="1">
      <alignment vertical="center"/>
    </xf>
    <xf numFmtId="184" fontId="158" fillId="77" borderId="80" xfId="5447" applyNumberFormat="1" applyFont="1" applyFill="1" applyBorder="1" applyAlignment="1">
      <alignment horizontal="center" vertical="center"/>
    </xf>
    <xf numFmtId="3" fontId="158" fillId="0" borderId="0" xfId="5447" applyNumberFormat="1" applyFont="1">
      <alignment vertical="center"/>
    </xf>
    <xf numFmtId="180" fontId="158" fillId="0" borderId="0" xfId="5447" applyNumberFormat="1" applyFont="1">
      <alignment vertical="center"/>
    </xf>
    <xf numFmtId="181" fontId="298" fillId="94" borderId="185" xfId="5447" applyFont="1" applyFill="1" applyBorder="1" applyAlignment="1">
      <alignment horizontal="center" vertical="center"/>
    </xf>
    <xf numFmtId="181" fontId="158" fillId="0" borderId="0" xfId="5447" quotePrefix="1" applyFont="1" applyAlignment="1">
      <alignment horizontal="center" vertical="center"/>
    </xf>
    <xf numFmtId="181" fontId="158" fillId="77" borderId="23" xfId="5447" applyFont="1" applyFill="1" applyBorder="1">
      <alignment vertical="center"/>
    </xf>
    <xf numFmtId="180" fontId="158" fillId="77" borderId="23" xfId="5449" applyNumberFormat="1" applyFont="1" applyFill="1" applyBorder="1">
      <alignment vertical="center"/>
    </xf>
    <xf numFmtId="180" fontId="158" fillId="77" borderId="128" xfId="5447" applyNumberFormat="1" applyFont="1" applyFill="1" applyBorder="1">
      <alignment vertical="center"/>
    </xf>
    <xf numFmtId="180" fontId="158" fillId="77" borderId="127" xfId="5447" applyNumberFormat="1" applyFont="1" applyFill="1" applyBorder="1">
      <alignment vertical="center"/>
    </xf>
    <xf numFmtId="181" fontId="158" fillId="0" borderId="23" xfId="5447" applyFont="1" applyBorder="1" applyAlignment="1">
      <alignment horizontal="left" vertical="center" indent="1"/>
    </xf>
    <xf numFmtId="180" fontId="158" fillId="0" borderId="23" xfId="5447" applyNumberFormat="1" applyFont="1" applyBorder="1">
      <alignment vertical="center"/>
    </xf>
    <xf numFmtId="180" fontId="158" fillId="0" borderId="34" xfId="5447" applyNumberFormat="1" applyFont="1" applyBorder="1">
      <alignment vertical="center"/>
    </xf>
    <xf numFmtId="180" fontId="158" fillId="0" borderId="128" xfId="5447" applyNumberFormat="1" applyFont="1" applyBorder="1">
      <alignment vertical="center"/>
    </xf>
    <xf numFmtId="180" fontId="158" fillId="0" borderId="127" xfId="5447" applyNumberFormat="1" applyFont="1" applyBorder="1">
      <alignment vertical="center"/>
    </xf>
    <xf numFmtId="180" fontId="158" fillId="77" borderId="23" xfId="5447" applyNumberFormat="1" applyFont="1" applyFill="1" applyBorder="1">
      <alignment vertical="center"/>
    </xf>
    <xf numFmtId="180" fontId="158" fillId="77" borderId="186" xfId="5447" applyNumberFormat="1" applyFont="1" applyFill="1" applyBorder="1">
      <alignment vertical="center"/>
    </xf>
    <xf numFmtId="180" fontId="158" fillId="77" borderId="78" xfId="5447" applyNumberFormat="1" applyFont="1" applyFill="1" applyBorder="1">
      <alignment vertical="center"/>
    </xf>
    <xf numFmtId="180" fontId="158" fillId="77" borderId="187" xfId="5447" applyNumberFormat="1" applyFont="1" applyFill="1" applyBorder="1">
      <alignment vertical="center"/>
    </xf>
    <xf numFmtId="180" fontId="158" fillId="0" borderId="155" xfId="5447" applyNumberFormat="1" applyFont="1" applyBorder="1">
      <alignment vertical="center"/>
    </xf>
    <xf numFmtId="180" fontId="158" fillId="0" borderId="0" xfId="5447" applyNumberFormat="1" applyFont="1" applyBorder="1">
      <alignment vertical="center"/>
    </xf>
    <xf numFmtId="180" fontId="158" fillId="0" borderId="156" xfId="5447" applyNumberFormat="1" applyFont="1" applyBorder="1">
      <alignment vertical="center"/>
    </xf>
    <xf numFmtId="181" fontId="301" fillId="0" borderId="23" xfId="5447" applyFont="1" applyBorder="1" applyAlignment="1">
      <alignment vertical="center"/>
    </xf>
    <xf numFmtId="182" fontId="301" fillId="0" borderId="34" xfId="5447" applyNumberFormat="1" applyFont="1" applyBorder="1">
      <alignment vertical="center"/>
    </xf>
    <xf numFmtId="182" fontId="301" fillId="0" borderId="128" xfId="5447" applyNumberFormat="1" applyFont="1" applyBorder="1">
      <alignment vertical="center"/>
    </xf>
    <xf numFmtId="182" fontId="301" fillId="0" borderId="183" xfId="5447" applyNumberFormat="1" applyFont="1" applyBorder="1">
      <alignment vertical="center"/>
    </xf>
    <xf numFmtId="182" fontId="301" fillId="0" borderId="186" xfId="5447" applyNumberFormat="1" applyFont="1" applyBorder="1">
      <alignment vertical="center"/>
    </xf>
    <xf numFmtId="182" fontId="301" fillId="0" borderId="79" xfId="5447" applyNumberFormat="1" applyFont="1" applyBorder="1">
      <alignment vertical="center"/>
    </xf>
    <xf numFmtId="182" fontId="301" fillId="0" borderId="184" xfId="5447" applyNumberFormat="1" applyFont="1" applyBorder="1">
      <alignment vertical="center"/>
    </xf>
    <xf numFmtId="181" fontId="301" fillId="0" borderId="0" xfId="5447" applyFont="1" applyBorder="1" applyAlignment="1">
      <alignment vertical="center"/>
    </xf>
    <xf numFmtId="182" fontId="301" fillId="0" borderId="0" xfId="5447" applyNumberFormat="1" applyFont="1" applyBorder="1">
      <alignment vertical="center"/>
    </xf>
    <xf numFmtId="177" fontId="301" fillId="0" borderId="0" xfId="43" applyFont="1" applyBorder="1">
      <alignment vertical="center"/>
    </xf>
    <xf numFmtId="182" fontId="301" fillId="0" borderId="0" xfId="5447" applyNumberFormat="1" applyFont="1" applyBorder="1" applyAlignment="1">
      <alignment vertical="center"/>
    </xf>
    <xf numFmtId="180" fontId="158" fillId="77" borderId="74" xfId="5447" applyNumberFormat="1" applyFont="1" applyFill="1" applyBorder="1">
      <alignment vertical="center"/>
    </xf>
    <xf numFmtId="180" fontId="158" fillId="77" borderId="183" xfId="5447" applyNumberFormat="1" applyFont="1" applyFill="1" applyBorder="1">
      <alignment vertical="center"/>
    </xf>
    <xf numFmtId="180" fontId="158" fillId="77" borderId="75" xfId="5447" applyNumberFormat="1" applyFont="1" applyFill="1" applyBorder="1">
      <alignment vertical="center"/>
    </xf>
    <xf numFmtId="180" fontId="158" fillId="0" borderId="183" xfId="5447" applyNumberFormat="1" applyFont="1" applyBorder="1">
      <alignment vertical="center"/>
    </xf>
    <xf numFmtId="180" fontId="158" fillId="0" borderId="75" xfId="5447" applyNumberFormat="1" applyFont="1" applyBorder="1">
      <alignment vertical="center"/>
    </xf>
    <xf numFmtId="181" fontId="158" fillId="98" borderId="23" xfId="5447" applyFont="1" applyFill="1" applyBorder="1" applyAlignment="1">
      <alignment horizontal="left" vertical="center" indent="1"/>
    </xf>
    <xf numFmtId="181" fontId="158" fillId="0" borderId="23" xfId="5447" applyFont="1" applyBorder="1" applyAlignment="1">
      <alignment horizontal="left" vertical="center"/>
    </xf>
    <xf numFmtId="180" fontId="158" fillId="0" borderId="74" xfId="5447" applyNumberFormat="1" applyFont="1" applyFill="1" applyBorder="1">
      <alignment vertical="center"/>
    </xf>
    <xf numFmtId="180" fontId="158" fillId="0" borderId="23" xfId="5447" applyNumberFormat="1" applyFont="1" applyFill="1" applyBorder="1">
      <alignment vertical="center"/>
    </xf>
    <xf numFmtId="180" fontId="158" fillId="0" borderId="183" xfId="5447" applyNumberFormat="1" applyFont="1" applyFill="1" applyBorder="1">
      <alignment vertical="center"/>
    </xf>
    <xf numFmtId="180" fontId="158" fillId="0" borderId="74" xfId="5447" applyNumberFormat="1" applyFont="1" applyBorder="1">
      <alignment vertical="center"/>
    </xf>
    <xf numFmtId="182" fontId="301" fillId="0" borderId="34" xfId="5448" applyNumberFormat="1" applyFont="1" applyBorder="1">
      <alignment vertical="center"/>
    </xf>
    <xf numFmtId="182" fontId="301" fillId="0" borderId="128" xfId="5448" applyNumberFormat="1" applyFont="1" applyBorder="1">
      <alignment vertical="center"/>
    </xf>
    <xf numFmtId="182" fontId="301" fillId="0" borderId="183" xfId="5448" applyNumberFormat="1" applyFont="1" applyBorder="1">
      <alignment vertical="center"/>
    </xf>
    <xf numFmtId="182" fontId="301" fillId="0" borderId="75" xfId="5448" applyNumberFormat="1" applyFont="1" applyBorder="1">
      <alignment vertical="center"/>
    </xf>
    <xf numFmtId="177" fontId="301" fillId="0" borderId="34" xfId="43" applyFont="1" applyBorder="1">
      <alignment vertical="center"/>
    </xf>
    <xf numFmtId="177" fontId="301" fillId="0" borderId="128" xfId="43" applyFont="1" applyBorder="1">
      <alignment vertical="center"/>
    </xf>
    <xf numFmtId="177" fontId="301" fillId="0" borderId="183" xfId="43" applyFont="1" applyBorder="1">
      <alignment vertical="center"/>
    </xf>
    <xf numFmtId="177" fontId="301" fillId="0" borderId="75" xfId="43" applyFont="1" applyBorder="1">
      <alignment vertical="center"/>
    </xf>
    <xf numFmtId="190" fontId="301" fillId="0" borderId="75" xfId="43" applyNumberFormat="1" applyFont="1" applyBorder="1">
      <alignment vertical="center"/>
    </xf>
    <xf numFmtId="182" fontId="301" fillId="0" borderId="186" xfId="5448" applyNumberFormat="1" applyFont="1" applyBorder="1">
      <alignment vertical="center"/>
    </xf>
    <xf numFmtId="182" fontId="301" fillId="0" borderId="79" xfId="5448" applyNumberFormat="1" applyFont="1" applyBorder="1">
      <alignment vertical="center"/>
    </xf>
    <xf numFmtId="182" fontId="301" fillId="0" borderId="184" xfId="5448" applyNumberFormat="1" applyFont="1" applyBorder="1">
      <alignment vertical="center"/>
    </xf>
    <xf numFmtId="190" fontId="301" fillId="0" borderId="80" xfId="43" applyNumberFormat="1" applyFont="1" applyBorder="1">
      <alignment vertical="center"/>
    </xf>
    <xf numFmtId="186" fontId="158" fillId="0" borderId="0" xfId="5427" applyNumberFormat="1" applyFont="1">
      <alignment vertical="center"/>
    </xf>
    <xf numFmtId="181" fontId="158" fillId="77" borderId="23" xfId="5447" applyFont="1" applyFill="1" applyBorder="1" applyAlignment="1">
      <alignment horizontal="left" vertical="center"/>
    </xf>
    <xf numFmtId="182" fontId="158" fillId="0" borderId="75" xfId="5447" applyNumberFormat="1" applyFont="1" applyFill="1" applyBorder="1">
      <alignment vertical="center"/>
    </xf>
    <xf numFmtId="181" fontId="301" fillId="0" borderId="23" xfId="5447" applyFont="1" applyFill="1" applyBorder="1" applyAlignment="1">
      <alignment horizontal="left" vertical="center" indent="1"/>
    </xf>
    <xf numFmtId="182" fontId="158" fillId="0" borderId="23" xfId="5447" applyNumberFormat="1" applyFont="1" applyFill="1" applyBorder="1">
      <alignment vertical="center"/>
    </xf>
    <xf numFmtId="182" fontId="158" fillId="0" borderId="183" xfId="5447" applyNumberFormat="1" applyFont="1" applyFill="1" applyBorder="1">
      <alignment vertical="center"/>
    </xf>
    <xf numFmtId="177" fontId="158" fillId="77" borderId="74" xfId="43" applyFont="1" applyFill="1" applyBorder="1">
      <alignment vertical="center"/>
    </xf>
    <xf numFmtId="177" fontId="158" fillId="77" borderId="23" xfId="43" applyFont="1" applyFill="1" applyBorder="1">
      <alignment vertical="center"/>
    </xf>
    <xf numFmtId="177" fontId="158" fillId="77" borderId="183" xfId="43" applyFont="1" applyFill="1" applyBorder="1">
      <alignment vertical="center"/>
    </xf>
    <xf numFmtId="181" fontId="301" fillId="0" borderId="23" xfId="5447" applyFont="1" applyBorder="1" applyAlignment="1">
      <alignment horizontal="left" vertical="center" indent="1"/>
    </xf>
    <xf numFmtId="182" fontId="301" fillId="0" borderId="74" xfId="5447" applyNumberFormat="1" applyFont="1" applyBorder="1">
      <alignment vertical="center"/>
    </xf>
    <xf numFmtId="182" fontId="301" fillId="0" borderId="75" xfId="5447" applyNumberFormat="1" applyFont="1" applyBorder="1">
      <alignment vertical="center"/>
    </xf>
    <xf numFmtId="180" fontId="158" fillId="0" borderId="75" xfId="5447" applyNumberFormat="1" applyFont="1" applyFill="1" applyBorder="1">
      <alignment vertical="center"/>
    </xf>
    <xf numFmtId="182" fontId="158" fillId="0" borderId="74" xfId="5447" applyNumberFormat="1" applyFont="1" applyFill="1" applyBorder="1">
      <alignment vertical="center"/>
    </xf>
    <xf numFmtId="177" fontId="158" fillId="0" borderId="74" xfId="43" applyFont="1" applyFill="1" applyBorder="1">
      <alignment vertical="center"/>
    </xf>
    <xf numFmtId="177" fontId="158" fillId="0" borderId="23" xfId="43" applyFont="1" applyFill="1" applyBorder="1">
      <alignment vertical="center"/>
    </xf>
    <xf numFmtId="177" fontId="158" fillId="0" borderId="183" xfId="43" applyFont="1" applyFill="1" applyBorder="1">
      <alignment vertical="center"/>
    </xf>
    <xf numFmtId="182" fontId="158" fillId="77" borderId="75" xfId="5447" applyNumberFormat="1" applyFont="1" applyFill="1" applyBorder="1">
      <alignment vertical="center"/>
    </xf>
    <xf numFmtId="181" fontId="158" fillId="98" borderId="23" xfId="5447" applyFont="1" applyFill="1" applyBorder="1">
      <alignment vertical="center"/>
    </xf>
    <xf numFmtId="190" fontId="158" fillId="98" borderId="23" xfId="43" applyNumberFormat="1" applyFont="1" applyFill="1" applyBorder="1">
      <alignment vertical="center"/>
    </xf>
    <xf numFmtId="190" fontId="158" fillId="98" borderId="34" xfId="43" applyNumberFormat="1" applyFont="1" applyFill="1" applyBorder="1">
      <alignment vertical="center"/>
    </xf>
    <xf numFmtId="182" fontId="158" fillId="98" borderId="74" xfId="5447" applyNumberFormat="1" applyFont="1" applyFill="1" applyBorder="1">
      <alignment vertical="center"/>
    </xf>
    <xf numFmtId="190" fontId="158" fillId="98" borderId="183" xfId="43" applyNumberFormat="1" applyFont="1" applyFill="1" applyBorder="1">
      <alignment vertical="center"/>
    </xf>
    <xf numFmtId="180" fontId="158" fillId="98" borderId="75" xfId="5447" applyNumberFormat="1" applyFont="1" applyFill="1" applyBorder="1">
      <alignment vertical="center"/>
    </xf>
    <xf numFmtId="182" fontId="158" fillId="0" borderId="74" xfId="5447" applyNumberFormat="1" applyFont="1" applyBorder="1">
      <alignment vertical="center"/>
    </xf>
    <xf numFmtId="182" fontId="158" fillId="0" borderId="75" xfId="5447" applyNumberFormat="1" applyFont="1" applyBorder="1">
      <alignment vertical="center"/>
    </xf>
    <xf numFmtId="182" fontId="301" fillId="0" borderId="34" xfId="5447" applyNumberFormat="1" applyFont="1" applyBorder="1" applyAlignment="1">
      <alignment horizontal="right" vertical="center"/>
    </xf>
    <xf numFmtId="182" fontId="301" fillId="0" borderId="183" xfId="5447" applyNumberFormat="1" applyFont="1" applyBorder="1" applyAlignment="1">
      <alignment horizontal="right" vertical="center"/>
    </xf>
    <xf numFmtId="180" fontId="301" fillId="0" borderId="34" xfId="5447" applyNumberFormat="1" applyFont="1" applyBorder="1">
      <alignment vertical="center"/>
    </xf>
    <xf numFmtId="180" fontId="301" fillId="0" borderId="74" xfId="5447" applyNumberFormat="1" applyFont="1" applyBorder="1">
      <alignment vertical="center"/>
    </xf>
    <xf numFmtId="180" fontId="301" fillId="0" borderId="183" xfId="5447" applyNumberFormat="1" applyFont="1" applyBorder="1">
      <alignment vertical="center"/>
    </xf>
    <xf numFmtId="180" fontId="301" fillId="0" borderId="75" xfId="5447" applyNumberFormat="1" applyFont="1" applyBorder="1">
      <alignment vertical="center"/>
    </xf>
    <xf numFmtId="180" fontId="301" fillId="98" borderId="34" xfId="5447" applyNumberFormat="1" applyFont="1" applyFill="1" applyBorder="1" applyAlignment="1">
      <alignment horizontal="right" vertical="center"/>
    </xf>
    <xf numFmtId="182" fontId="158" fillId="98" borderId="23" xfId="5447" applyNumberFormat="1" applyFont="1" applyFill="1" applyBorder="1">
      <alignment vertical="center"/>
    </xf>
    <xf numFmtId="182" fontId="158" fillId="98" borderId="34" xfId="5447" applyNumberFormat="1" applyFont="1" applyFill="1" applyBorder="1">
      <alignment vertical="center"/>
    </xf>
    <xf numFmtId="182" fontId="158" fillId="98" borderId="183" xfId="5447" applyNumberFormat="1" applyFont="1" applyFill="1" applyBorder="1">
      <alignment vertical="center"/>
    </xf>
    <xf numFmtId="182" fontId="158" fillId="98" borderId="128" xfId="5447" applyNumberFormat="1" applyFont="1" applyFill="1" applyBorder="1">
      <alignment vertical="center"/>
    </xf>
    <xf numFmtId="181" fontId="301" fillId="77" borderId="23" xfId="5447" applyFont="1" applyFill="1" applyBorder="1" applyAlignment="1">
      <alignment horizontal="left" vertical="center" indent="1"/>
    </xf>
    <xf numFmtId="182" fontId="301" fillId="77" borderId="34" xfId="5447" applyNumberFormat="1" applyFont="1" applyFill="1" applyBorder="1">
      <alignment vertical="center"/>
    </xf>
    <xf numFmtId="182" fontId="301" fillId="77" borderId="74" xfId="5447" applyNumberFormat="1" applyFont="1" applyFill="1" applyBorder="1">
      <alignment vertical="center"/>
    </xf>
    <xf numFmtId="182" fontId="301" fillId="77" borderId="183" xfId="5447" applyNumberFormat="1" applyFont="1" applyFill="1" applyBorder="1">
      <alignment vertical="center"/>
    </xf>
    <xf numFmtId="182" fontId="301" fillId="77" borderId="75" xfId="5447" applyNumberFormat="1" applyFont="1" applyFill="1" applyBorder="1">
      <alignment vertical="center"/>
    </xf>
    <xf numFmtId="182" fontId="301" fillId="77" borderId="77" xfId="5447" applyNumberFormat="1" applyFont="1" applyFill="1" applyBorder="1">
      <alignment vertical="center"/>
    </xf>
    <xf numFmtId="182" fontId="301" fillId="77" borderId="79" xfId="5447" applyNumberFormat="1" applyFont="1" applyFill="1" applyBorder="1">
      <alignment vertical="center"/>
    </xf>
    <xf numFmtId="182" fontId="301" fillId="77" borderId="184" xfId="5447" applyNumberFormat="1" applyFont="1" applyFill="1" applyBorder="1">
      <alignment vertical="center"/>
    </xf>
    <xf numFmtId="182" fontId="301" fillId="77" borderId="80" xfId="5447" applyNumberFormat="1" applyFont="1" applyFill="1" applyBorder="1">
      <alignment vertical="center"/>
    </xf>
    <xf numFmtId="181" fontId="301" fillId="0" borderId="0" xfId="5447" applyFont="1" applyBorder="1" applyAlignment="1">
      <alignment horizontal="left" vertical="center" indent="1"/>
    </xf>
    <xf numFmtId="182" fontId="158" fillId="0" borderId="0" xfId="5447" applyNumberFormat="1" applyFont="1" applyBorder="1">
      <alignment vertical="center"/>
    </xf>
    <xf numFmtId="177" fontId="300" fillId="0" borderId="188" xfId="43" applyFont="1" applyBorder="1">
      <alignment vertical="center"/>
    </xf>
    <xf numFmtId="181" fontId="158" fillId="0" borderId="0" xfId="5447" applyFont="1" applyBorder="1">
      <alignment vertical="center"/>
    </xf>
    <xf numFmtId="177" fontId="158" fillId="0" borderId="0" xfId="43" applyFont="1" applyBorder="1">
      <alignment vertical="center"/>
    </xf>
    <xf numFmtId="185" fontId="158" fillId="98" borderId="0" xfId="5447" applyNumberFormat="1" applyFont="1" applyFill="1" applyBorder="1">
      <alignment vertical="center"/>
    </xf>
    <xf numFmtId="259" fontId="158" fillId="98" borderId="123" xfId="43" applyNumberFormat="1" applyFont="1" applyFill="1" applyBorder="1">
      <alignment vertical="center"/>
    </xf>
    <xf numFmtId="177" fontId="158" fillId="0" borderId="129" xfId="43" applyFont="1" applyBorder="1">
      <alignment vertical="center"/>
    </xf>
    <xf numFmtId="179" fontId="158" fillId="98" borderId="0" xfId="5447" applyNumberFormat="1" applyFont="1" applyFill="1" applyBorder="1">
      <alignment vertical="center"/>
    </xf>
    <xf numFmtId="259" fontId="158" fillId="98" borderId="0" xfId="5447" applyNumberFormat="1" applyFont="1" applyFill="1" applyBorder="1">
      <alignment vertical="center"/>
    </xf>
    <xf numFmtId="181" fontId="158" fillId="43" borderId="28" xfId="5447" applyFont="1" applyFill="1" applyBorder="1" applyAlignment="1">
      <alignment horizontal="center" vertical="center"/>
    </xf>
    <xf numFmtId="181" fontId="298" fillId="94" borderId="189" xfId="5447" applyFont="1" applyFill="1" applyBorder="1" applyAlignment="1">
      <alignment horizontal="center" vertical="center"/>
    </xf>
    <xf numFmtId="180" fontId="158" fillId="0" borderId="129" xfId="5447" applyNumberFormat="1" applyFont="1" applyBorder="1">
      <alignment vertical="center"/>
    </xf>
    <xf numFmtId="190" fontId="301" fillId="98" borderId="123" xfId="43" applyNumberFormat="1" applyFont="1" applyFill="1" applyBorder="1">
      <alignment vertical="center"/>
    </xf>
    <xf numFmtId="182" fontId="299" fillId="0" borderId="33" xfId="5447" applyNumberFormat="1" applyFont="1" applyBorder="1">
      <alignment vertical="center"/>
    </xf>
    <xf numFmtId="182" fontId="299" fillId="102" borderId="36" xfId="5447" applyNumberFormat="1" applyFont="1" applyFill="1" applyBorder="1">
      <alignment vertical="center"/>
    </xf>
    <xf numFmtId="182" fontId="299" fillId="102" borderId="23" xfId="5447" applyNumberFormat="1" applyFont="1" applyFill="1" applyBorder="1">
      <alignment vertical="center"/>
    </xf>
    <xf numFmtId="189" fontId="299" fillId="0" borderId="33" xfId="5447" applyNumberFormat="1" applyFont="1" applyBorder="1">
      <alignment vertical="center"/>
    </xf>
    <xf numFmtId="260" fontId="299" fillId="102" borderId="23" xfId="5447" applyNumberFormat="1" applyFont="1" applyFill="1" applyBorder="1">
      <alignment vertical="center"/>
    </xf>
    <xf numFmtId="189" fontId="299" fillId="102" borderId="23" xfId="5447" applyNumberFormat="1" applyFont="1" applyFill="1" applyBorder="1">
      <alignment vertical="center"/>
    </xf>
    <xf numFmtId="181" fontId="158" fillId="102" borderId="36" xfId="5447" applyFont="1" applyFill="1" applyBorder="1">
      <alignment vertical="center"/>
    </xf>
    <xf numFmtId="181" fontId="158" fillId="102" borderId="23" xfId="5447" applyFont="1" applyFill="1" applyBorder="1">
      <alignment vertical="center"/>
    </xf>
    <xf numFmtId="182" fontId="299" fillId="0" borderId="23" xfId="5447" applyNumberFormat="1" applyFont="1" applyFill="1" applyBorder="1">
      <alignment vertical="center"/>
    </xf>
    <xf numFmtId="180" fontId="299" fillId="0" borderId="33" xfId="5447" applyNumberFormat="1" applyFont="1" applyBorder="1">
      <alignment vertical="center"/>
    </xf>
    <xf numFmtId="180" fontId="299" fillId="102" borderId="36" xfId="5447" applyNumberFormat="1" applyFont="1" applyFill="1" applyBorder="1">
      <alignment vertical="center"/>
    </xf>
    <xf numFmtId="180" fontId="299" fillId="102" borderId="23" xfId="5447" applyNumberFormat="1" applyFont="1" applyFill="1" applyBorder="1">
      <alignment vertical="center"/>
    </xf>
    <xf numFmtId="180" fontId="299" fillId="0" borderId="23" xfId="5447" applyNumberFormat="1" applyFont="1" applyFill="1" applyBorder="1">
      <alignment vertical="center"/>
    </xf>
    <xf numFmtId="190" fontId="299" fillId="0" borderId="33" xfId="43" applyNumberFormat="1" applyFont="1" applyBorder="1">
      <alignment vertical="center"/>
    </xf>
    <xf numFmtId="181" fontId="298" fillId="94" borderId="191" xfId="5447" applyFont="1" applyFill="1" applyBorder="1" applyAlignment="1">
      <alignment horizontal="center" vertical="center"/>
    </xf>
    <xf numFmtId="182" fontId="299" fillId="98" borderId="34" xfId="5447" applyNumberFormat="1" applyFont="1" applyFill="1" applyBorder="1">
      <alignment vertical="center"/>
    </xf>
    <xf numFmtId="180" fontId="336" fillId="77" borderId="34" xfId="5449" applyNumberFormat="1" applyFont="1" applyFill="1" applyBorder="1">
      <alignment vertical="center"/>
    </xf>
    <xf numFmtId="180" fontId="336" fillId="0" borderId="34" xfId="5447" applyNumberFormat="1" applyFont="1" applyBorder="1">
      <alignment vertical="center"/>
    </xf>
    <xf numFmtId="180" fontId="299" fillId="0" borderId="34" xfId="5447" applyNumberFormat="1" applyFont="1" applyBorder="1">
      <alignment vertical="center"/>
    </xf>
    <xf numFmtId="0" fontId="26" fillId="0" borderId="0" xfId="3714" applyFont="1">
      <alignment vertical="center"/>
    </xf>
    <xf numFmtId="180" fontId="336" fillId="77" borderId="34" xfId="5447" applyNumberFormat="1" applyFont="1" applyFill="1" applyBorder="1">
      <alignment vertical="center"/>
    </xf>
    <xf numFmtId="180" fontId="299" fillId="0" borderId="0" xfId="5447" applyNumberFormat="1" applyFont="1">
      <alignment vertical="center"/>
    </xf>
    <xf numFmtId="182" fontId="337" fillId="0" borderId="34" xfId="5447" applyNumberFormat="1" applyFont="1" applyBorder="1">
      <alignment vertical="center"/>
    </xf>
    <xf numFmtId="182" fontId="299" fillId="77" borderId="23" xfId="5447" applyNumberFormat="1" applyFont="1" applyFill="1" applyBorder="1" applyAlignment="1">
      <alignment horizontal="right" vertical="center"/>
    </xf>
    <xf numFmtId="184" fontId="299" fillId="0" borderId="34" xfId="5447" applyNumberFormat="1" applyFont="1" applyBorder="1">
      <alignment vertical="center"/>
    </xf>
    <xf numFmtId="184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 applyAlignment="1">
      <alignment horizontal="right" vertical="center"/>
    </xf>
    <xf numFmtId="184" fontId="302" fillId="0" borderId="34" xfId="5447" applyNumberFormat="1" applyFont="1" applyBorder="1">
      <alignment vertical="center"/>
    </xf>
    <xf numFmtId="180" fontId="299" fillId="77" borderId="34" xfId="5447" applyNumberFormat="1" applyFont="1" applyFill="1" applyBorder="1">
      <alignment vertical="center"/>
    </xf>
    <xf numFmtId="182" fontId="338" fillId="0" borderId="34" xfId="5448" applyNumberFormat="1" applyFont="1" applyBorder="1">
      <alignment vertical="center"/>
    </xf>
    <xf numFmtId="182" fontId="337" fillId="0" borderId="34" xfId="5448" applyNumberFormat="1" applyFont="1" applyBorder="1">
      <alignment vertical="center"/>
    </xf>
    <xf numFmtId="190" fontId="337" fillId="0" borderId="34" xfId="43" applyNumberFormat="1" applyFont="1" applyBorder="1">
      <alignment vertical="center"/>
    </xf>
    <xf numFmtId="177" fontId="337" fillId="0" borderId="34" xfId="43" applyFont="1" applyBorder="1">
      <alignment vertical="center"/>
    </xf>
    <xf numFmtId="182" fontId="337" fillId="0" borderId="34" xfId="5448" applyNumberFormat="1" applyFont="1" applyFill="1" applyBorder="1">
      <alignment vertical="center"/>
    </xf>
    <xf numFmtId="190" fontId="299" fillId="77" borderId="23" xfId="43" applyNumberFormat="1" applyFont="1" applyFill="1" applyBorder="1">
      <alignment vertical="center"/>
    </xf>
    <xf numFmtId="190" fontId="299" fillId="77" borderId="34" xfId="43" applyNumberFormat="1" applyFont="1" applyFill="1" applyBorder="1">
      <alignment vertical="center"/>
    </xf>
    <xf numFmtId="180" fontId="299" fillId="0" borderId="34" xfId="5447" applyNumberFormat="1" applyFont="1" applyFill="1" applyBorder="1">
      <alignment vertical="center"/>
    </xf>
    <xf numFmtId="182" fontId="299" fillId="0" borderId="34" xfId="5447" applyNumberFormat="1" applyFont="1" applyFill="1" applyBorder="1">
      <alignment vertical="center"/>
    </xf>
    <xf numFmtId="190" fontId="299" fillId="98" borderId="23" xfId="43" applyNumberFormat="1" applyFont="1" applyFill="1" applyBorder="1">
      <alignment vertical="center"/>
    </xf>
    <xf numFmtId="190" fontId="299" fillId="98" borderId="34" xfId="43" applyNumberFormat="1" applyFont="1" applyFill="1" applyBorder="1">
      <alignment vertical="center"/>
    </xf>
    <xf numFmtId="182" fontId="338" fillId="0" borderId="34" xfId="5447" applyNumberFormat="1" applyFont="1" applyBorder="1" applyAlignment="1">
      <alignment horizontal="right" vertical="center"/>
    </xf>
    <xf numFmtId="180" fontId="337" fillId="0" borderId="34" xfId="5447" applyNumberFormat="1" applyFont="1" applyBorder="1">
      <alignment vertical="center"/>
    </xf>
    <xf numFmtId="180" fontId="338" fillId="98" borderId="34" xfId="5447" applyNumberFormat="1" applyFont="1" applyFill="1" applyBorder="1" applyAlignment="1">
      <alignment horizontal="right" vertical="center"/>
    </xf>
    <xf numFmtId="182" fontId="299" fillId="98" borderId="23" xfId="5447" applyNumberFormat="1" applyFont="1" applyFill="1" applyBorder="1">
      <alignment vertical="center"/>
    </xf>
    <xf numFmtId="182" fontId="337" fillId="77" borderId="34" xfId="5447" applyNumberFormat="1" applyFont="1" applyFill="1" applyBorder="1">
      <alignment vertical="center"/>
    </xf>
    <xf numFmtId="177" fontId="300" fillId="103" borderId="188" xfId="43" applyFont="1" applyFill="1" applyBorder="1">
      <alignment vertical="center"/>
    </xf>
    <xf numFmtId="177" fontId="158" fillId="103" borderId="0" xfId="43" applyFont="1" applyFill="1" applyBorder="1">
      <alignment vertical="center"/>
    </xf>
    <xf numFmtId="177" fontId="299" fillId="0" borderId="0" xfId="43" applyFont="1" applyBorder="1">
      <alignment vertical="center"/>
    </xf>
    <xf numFmtId="185" fontId="299" fillId="0" borderId="0" xfId="43" applyNumberFormat="1" applyFont="1" applyBorder="1">
      <alignment vertical="center"/>
    </xf>
    <xf numFmtId="259" fontId="299" fillId="0" borderId="123" xfId="43" applyNumberFormat="1" applyFont="1" applyBorder="1">
      <alignment vertical="center"/>
    </xf>
    <xf numFmtId="181" fontId="298" fillId="48" borderId="0" xfId="5447" quotePrefix="1" applyFont="1" applyFill="1" applyAlignment="1">
      <alignment horizontal="center" vertical="center"/>
    </xf>
    <xf numFmtId="179" fontId="299" fillId="0" borderId="0" xfId="5447" applyNumberFormat="1" applyFont="1" applyBorder="1">
      <alignment vertical="center"/>
    </xf>
    <xf numFmtId="191" fontId="299" fillId="0" borderId="0" xfId="43" applyNumberFormat="1" applyFont="1" applyBorder="1">
      <alignment vertical="center"/>
    </xf>
    <xf numFmtId="177" fontId="336" fillId="0" borderId="0" xfId="43" applyFont="1" applyBorder="1">
      <alignment vertical="center"/>
    </xf>
    <xf numFmtId="177" fontId="299" fillId="0" borderId="0" xfId="5447" applyNumberFormat="1" applyFont="1" applyBorder="1">
      <alignment vertical="center"/>
    </xf>
    <xf numFmtId="193" fontId="299" fillId="0" borderId="0" xfId="5447" applyNumberFormat="1" applyFont="1" applyBorder="1">
      <alignment vertical="center"/>
    </xf>
    <xf numFmtId="177" fontId="299" fillId="0" borderId="0" xfId="5447" applyNumberFormat="1" applyFont="1" applyFill="1" applyBorder="1">
      <alignment vertical="center"/>
    </xf>
    <xf numFmtId="177" fontId="158" fillId="0" borderId="0" xfId="43" applyFont="1" applyFill="1" applyBorder="1">
      <alignment vertical="center"/>
    </xf>
    <xf numFmtId="182" fontId="299" fillId="0" borderId="123" xfId="43" applyNumberFormat="1" applyFont="1" applyBorder="1">
      <alignment vertical="center"/>
    </xf>
    <xf numFmtId="180" fontId="299" fillId="0" borderId="129" xfId="5447" applyNumberFormat="1" applyFont="1" applyBorder="1">
      <alignment vertical="center"/>
    </xf>
    <xf numFmtId="180" fontId="299" fillId="0" borderId="0" xfId="5447" applyNumberFormat="1" applyFont="1" applyBorder="1">
      <alignment vertical="center"/>
    </xf>
    <xf numFmtId="180" fontId="158" fillId="103" borderId="74" xfId="5447" applyNumberFormat="1" applyFont="1" applyFill="1" applyBorder="1">
      <alignment vertical="center"/>
    </xf>
    <xf numFmtId="180" fontId="158" fillId="103" borderId="23" xfId="5447" applyNumberFormat="1" applyFont="1" applyFill="1" applyBorder="1">
      <alignment vertical="center"/>
    </xf>
    <xf numFmtId="180" fontId="158" fillId="103" borderId="183" xfId="5447" applyNumberFormat="1" applyFont="1" applyFill="1" applyBorder="1">
      <alignment vertical="center"/>
    </xf>
    <xf numFmtId="182" fontId="158" fillId="103" borderId="74" xfId="5447" applyNumberFormat="1" applyFont="1" applyFill="1" applyBorder="1">
      <alignment vertical="center"/>
    </xf>
    <xf numFmtId="182" fontId="158" fillId="103" borderId="23" xfId="5447" applyNumberFormat="1" applyFont="1" applyFill="1" applyBorder="1">
      <alignment vertical="center"/>
    </xf>
    <xf numFmtId="182" fontId="158" fillId="103" borderId="183" xfId="5447" applyNumberFormat="1" applyFont="1" applyFill="1" applyBorder="1">
      <alignment vertical="center"/>
    </xf>
    <xf numFmtId="193" fontId="158" fillId="0" borderId="0" xfId="5447" applyNumberFormat="1" applyFont="1" applyFill="1" applyBorder="1">
      <alignment vertical="center"/>
    </xf>
    <xf numFmtId="0" fontId="157" fillId="78" borderId="122" xfId="5442" applyFont="1" applyFill="1" applyBorder="1" applyAlignment="1">
      <alignment horizontal="center" vertical="center"/>
    </xf>
    <xf numFmtId="0" fontId="157" fillId="78" borderId="123" xfId="5442" applyFont="1" applyFill="1" applyBorder="1" applyAlignment="1">
      <alignment horizontal="center" vertical="center"/>
    </xf>
    <xf numFmtId="0" fontId="157" fillId="78" borderId="115" xfId="5442" applyFont="1" applyFill="1" applyBorder="1" applyAlignment="1">
      <alignment horizontal="center" vertical="center"/>
    </xf>
    <xf numFmtId="0" fontId="157" fillId="78" borderId="124" xfId="5442" applyFont="1" applyFill="1" applyBorder="1" applyAlignment="1">
      <alignment horizontal="center" vertical="center"/>
    </xf>
    <xf numFmtId="0" fontId="158" fillId="0" borderId="146" xfId="5442" applyFont="1" applyBorder="1" applyAlignment="1">
      <alignment horizontal="center" vertical="center"/>
    </xf>
    <xf numFmtId="0" fontId="158" fillId="0" borderId="126" xfId="5442" applyFont="1" applyBorder="1" applyAlignment="1">
      <alignment horizontal="center" vertical="center"/>
    </xf>
    <xf numFmtId="0" fontId="158" fillId="0" borderId="115" xfId="5442" applyFont="1" applyBorder="1" applyAlignment="1">
      <alignment horizontal="center" vertical="center"/>
    </xf>
    <xf numFmtId="0" fontId="159" fillId="0" borderId="115" xfId="5442" applyFont="1" applyBorder="1" applyAlignment="1">
      <alignment horizontal="center" vertical="center"/>
    </xf>
    <xf numFmtId="0" fontId="158" fillId="0" borderId="123" xfId="5442" applyFont="1" applyBorder="1" applyAlignment="1">
      <alignment vertical="center" shrinkToFit="1"/>
    </xf>
    <xf numFmtId="0" fontId="158" fillId="0" borderId="123" xfId="5442" applyFont="1" applyBorder="1" applyAlignment="1">
      <alignment horizontal="center" vertical="center"/>
    </xf>
    <xf numFmtId="0" fontId="158" fillId="0" borderId="112" xfId="5442" applyFont="1" applyBorder="1" applyAlignment="1">
      <alignment horizontal="center" vertical="center"/>
    </xf>
    <xf numFmtId="0" fontId="158" fillId="0" borderId="124" xfId="5442" applyFont="1" applyBorder="1" applyAlignment="1">
      <alignment horizontal="center" vertical="center"/>
    </xf>
    <xf numFmtId="0" fontId="158" fillId="0" borderId="146" xfId="5442" applyFont="1" applyBorder="1" applyAlignment="1">
      <alignment vertical="center"/>
    </xf>
    <xf numFmtId="0" fontId="158" fillId="0" borderId="129" xfId="5442" applyFont="1" applyBorder="1" applyAlignment="1">
      <alignment vertical="center" shrinkToFit="1"/>
    </xf>
    <xf numFmtId="182" fontId="302" fillId="0" borderId="33" xfId="5447" applyNumberFormat="1" applyFont="1" applyBorder="1">
      <alignment vertical="center"/>
    </xf>
    <xf numFmtId="182" fontId="302" fillId="102" borderId="36" xfId="5447" applyNumberFormat="1" applyFont="1" applyFill="1" applyBorder="1">
      <alignment vertical="center"/>
    </xf>
    <xf numFmtId="182" fontId="302" fillId="102" borderId="23" xfId="5447" applyNumberFormat="1" applyFont="1" applyFill="1" applyBorder="1">
      <alignment vertical="center"/>
    </xf>
    <xf numFmtId="189" fontId="302" fillId="0" borderId="33" xfId="5447" applyNumberFormat="1" applyFont="1" applyBorder="1">
      <alignment vertical="center"/>
    </xf>
    <xf numFmtId="260" fontId="302" fillId="102" borderId="23" xfId="5447" applyNumberFormat="1" applyFont="1" applyFill="1" applyBorder="1">
      <alignment vertical="center"/>
    </xf>
    <xf numFmtId="182" fontId="302" fillId="0" borderId="91" xfId="5447" applyNumberFormat="1" applyFont="1" applyBorder="1">
      <alignment vertical="center"/>
    </xf>
    <xf numFmtId="182" fontId="326" fillId="0" borderId="0" xfId="5443" applyNumberFormat="1" applyFont="1"/>
    <xf numFmtId="182" fontId="326" fillId="0" borderId="0" xfId="5444" applyNumberFormat="1" applyFont="1">
      <alignment vertical="center"/>
    </xf>
    <xf numFmtId="182" fontId="326" fillId="0" borderId="150" xfId="5443" applyNumberFormat="1" applyFont="1" applyBorder="1"/>
    <xf numFmtId="182" fontId="326" fillId="0" borderId="0" xfId="5443" applyNumberFormat="1" applyFont="1" applyBorder="1"/>
    <xf numFmtId="182" fontId="326" fillId="0" borderId="0" xfId="5443" applyNumberFormat="1" applyFont="1" applyBorder="1" applyAlignment="1">
      <alignment vertical="center"/>
    </xf>
    <xf numFmtId="182" fontId="326" fillId="101" borderId="161" xfId="5443" applyNumberFormat="1" applyFont="1" applyFill="1" applyBorder="1" applyAlignment="1">
      <alignment vertical="center"/>
    </xf>
    <xf numFmtId="182" fontId="326" fillId="76" borderId="162" xfId="5443" applyNumberFormat="1" applyFont="1" applyFill="1" applyBorder="1" applyAlignment="1">
      <alignment vertical="center"/>
    </xf>
    <xf numFmtId="182" fontId="331" fillId="0" borderId="0" xfId="5445" applyNumberFormat="1" applyFont="1" applyBorder="1">
      <alignment vertical="center"/>
    </xf>
    <xf numFmtId="182" fontId="332" fillId="0" borderId="0" xfId="5443" applyNumberFormat="1" applyFont="1" applyBorder="1" applyAlignment="1">
      <alignment vertical="center"/>
    </xf>
    <xf numFmtId="182" fontId="332" fillId="0" borderId="0" xfId="5445" applyNumberFormat="1" applyFont="1" applyBorder="1">
      <alignment vertical="center"/>
    </xf>
    <xf numFmtId="182" fontId="331" fillId="97" borderId="64" xfId="5445" applyNumberFormat="1" applyFont="1" applyFill="1" applyBorder="1">
      <alignment vertical="center"/>
    </xf>
    <xf numFmtId="182" fontId="331" fillId="97" borderId="168" xfId="5445" applyNumberFormat="1" applyFont="1" applyFill="1" applyBorder="1">
      <alignment vertical="center"/>
    </xf>
    <xf numFmtId="182" fontId="332" fillId="0" borderId="60" xfId="5443" applyNumberFormat="1" applyFont="1" applyBorder="1" applyAlignment="1">
      <alignment vertical="center"/>
    </xf>
    <xf numFmtId="182" fontId="331" fillId="0" borderId="60" xfId="5445" applyNumberFormat="1" applyFont="1" applyBorder="1">
      <alignment vertical="center"/>
    </xf>
    <xf numFmtId="182" fontId="326" fillId="0" borderId="0" xfId="5443" applyNumberFormat="1" applyFont="1" applyAlignment="1">
      <alignment vertical="center"/>
    </xf>
    <xf numFmtId="189" fontId="326" fillId="0" borderId="0" xfId="5443" applyNumberFormat="1" applyFont="1"/>
    <xf numFmtId="4" fontId="329" fillId="98" borderId="136" xfId="5445" applyNumberFormat="1" applyFont="1" applyFill="1" applyBorder="1">
      <alignment vertical="center"/>
    </xf>
    <xf numFmtId="4" fontId="329" fillId="98" borderId="135" xfId="5445" applyNumberFormat="1" applyFont="1" applyFill="1" applyBorder="1">
      <alignment vertical="center"/>
    </xf>
    <xf numFmtId="4" fontId="329" fillId="98" borderId="115" xfId="5445" applyNumberFormat="1" applyFont="1" applyFill="1" applyBorder="1">
      <alignment vertical="center"/>
    </xf>
    <xf numFmtId="177" fontId="301" fillId="103" borderId="34" xfId="43" applyFont="1" applyFill="1" applyBorder="1">
      <alignment vertical="center"/>
    </xf>
    <xf numFmtId="185" fontId="339" fillId="98" borderId="146" xfId="43" applyNumberFormat="1" applyFont="1" applyFill="1" applyBorder="1" applyAlignment="1">
      <alignment horizontal="right" vertical="center"/>
    </xf>
    <xf numFmtId="181" fontId="326" fillId="0" borderId="192" xfId="5443" applyFont="1" applyBorder="1"/>
    <xf numFmtId="181" fontId="158" fillId="43" borderId="70" xfId="5447" applyFont="1" applyFill="1" applyBorder="1" applyAlignment="1">
      <alignment horizontal="center" vertical="center"/>
    </xf>
    <xf numFmtId="181" fontId="158" fillId="43" borderId="72" xfId="5447" applyFont="1" applyFill="1" applyBorder="1" applyAlignment="1">
      <alignment horizontal="center" vertical="center"/>
    </xf>
    <xf numFmtId="181" fontId="158" fillId="43" borderId="195" xfId="5447" applyFont="1" applyFill="1" applyBorder="1" applyAlignment="1">
      <alignment horizontal="center" vertical="center"/>
    </xf>
    <xf numFmtId="181" fontId="158" fillId="43" borderId="150" xfId="5447" applyFont="1" applyFill="1" applyBorder="1" applyAlignment="1">
      <alignment horizontal="center" vertical="center"/>
    </xf>
    <xf numFmtId="181" fontId="158" fillId="43" borderId="190" xfId="5447" applyFont="1" applyFill="1" applyBorder="1" applyAlignment="1">
      <alignment horizontal="center" vertical="center"/>
    </xf>
    <xf numFmtId="181" fontId="158" fillId="43" borderId="196" xfId="5447" applyFont="1" applyFill="1" applyBorder="1" applyAlignment="1">
      <alignment horizontal="center" vertical="center"/>
    </xf>
    <xf numFmtId="181" fontId="302" fillId="0" borderId="74" xfId="5447" applyFont="1" applyBorder="1">
      <alignment vertical="center"/>
    </xf>
    <xf numFmtId="181" fontId="302" fillId="0" borderId="74" xfId="5447" applyFont="1" applyFill="1" applyBorder="1">
      <alignment vertical="center"/>
    </xf>
    <xf numFmtId="181" fontId="158" fillId="0" borderId="74" xfId="5447" applyFont="1" applyBorder="1">
      <alignment vertical="center"/>
    </xf>
    <xf numFmtId="181" fontId="158" fillId="0" borderId="74" xfId="5447" applyFont="1" applyFill="1" applyBorder="1">
      <alignment vertical="center"/>
    </xf>
    <xf numFmtId="181" fontId="158" fillId="0" borderId="77" xfId="5447" applyFont="1" applyFill="1" applyBorder="1">
      <alignment vertical="center"/>
    </xf>
    <xf numFmtId="182" fontId="299" fillId="0" borderId="197" xfId="5447" applyNumberFormat="1" applyFont="1" applyBorder="1">
      <alignment vertical="center"/>
    </xf>
    <xf numFmtId="182" fontId="299" fillId="102" borderId="78" xfId="5447" applyNumberFormat="1" applyFont="1" applyFill="1" applyBorder="1">
      <alignment vertical="center"/>
    </xf>
    <xf numFmtId="181" fontId="158" fillId="0" borderId="198" xfId="5447" applyFont="1" applyBorder="1">
      <alignment vertical="center"/>
    </xf>
    <xf numFmtId="181" fontId="300" fillId="0" borderId="199" xfId="5447" applyFont="1" applyBorder="1">
      <alignment vertical="center"/>
    </xf>
    <xf numFmtId="181" fontId="158" fillId="0" borderId="155" xfId="5447" applyFont="1" applyBorder="1">
      <alignment vertical="center"/>
    </xf>
    <xf numFmtId="177" fontId="158" fillId="0" borderId="156" xfId="43" applyFont="1" applyBorder="1">
      <alignment vertical="center"/>
    </xf>
    <xf numFmtId="181" fontId="158" fillId="0" borderId="200" xfId="5447" applyFont="1" applyBorder="1">
      <alignment vertical="center"/>
    </xf>
    <xf numFmtId="177" fontId="158" fillId="0" borderId="201" xfId="43" applyFont="1" applyBorder="1">
      <alignment vertical="center"/>
    </xf>
    <xf numFmtId="181" fontId="158" fillId="0" borderId="202" xfId="5447" applyFont="1" applyBorder="1">
      <alignment vertical="center"/>
    </xf>
    <xf numFmtId="177" fontId="158" fillId="0" borderId="203" xfId="43" applyFont="1" applyBorder="1">
      <alignment vertical="center"/>
    </xf>
    <xf numFmtId="181" fontId="158" fillId="0" borderId="155" xfId="5447" applyFont="1" applyFill="1" applyBorder="1">
      <alignment vertical="center"/>
    </xf>
    <xf numFmtId="177" fontId="158" fillId="0" borderId="156" xfId="5447" applyNumberFormat="1" applyFont="1" applyFill="1" applyBorder="1">
      <alignment vertical="center"/>
    </xf>
    <xf numFmtId="181" fontId="158" fillId="0" borderId="159" xfId="5447" applyFont="1" applyBorder="1">
      <alignment vertical="center"/>
    </xf>
    <xf numFmtId="181" fontId="158" fillId="0" borderId="60" xfId="5447" applyFont="1" applyBorder="1">
      <alignment vertical="center"/>
    </xf>
    <xf numFmtId="182" fontId="299" fillId="0" borderId="60" xfId="43" applyNumberFormat="1" applyFont="1" applyBorder="1">
      <alignment vertical="center"/>
    </xf>
    <xf numFmtId="182" fontId="158" fillId="0" borderId="60" xfId="43" applyNumberFormat="1" applyFont="1" applyBorder="1">
      <alignment vertical="center"/>
    </xf>
    <xf numFmtId="181" fontId="158" fillId="0" borderId="160" xfId="5447" applyFont="1" applyBorder="1">
      <alignment vertical="center"/>
    </xf>
    <xf numFmtId="181" fontId="158" fillId="43" borderId="189" xfId="5447" applyFont="1" applyFill="1" applyBorder="1" applyAlignment="1">
      <alignment horizontal="center" vertical="center"/>
    </xf>
    <xf numFmtId="180" fontId="158" fillId="0" borderId="203" xfId="5447" applyNumberFormat="1" applyFont="1" applyBorder="1">
      <alignment vertical="center"/>
    </xf>
    <xf numFmtId="181" fontId="301" fillId="98" borderId="200" xfId="5447" applyFont="1" applyFill="1" applyBorder="1" applyAlignment="1">
      <alignment horizontal="left" vertical="center"/>
    </xf>
    <xf numFmtId="190" fontId="301" fillId="98" borderId="201" xfId="43" applyNumberFormat="1" applyFont="1" applyFill="1" applyBorder="1">
      <alignment vertical="center"/>
    </xf>
    <xf numFmtId="181" fontId="158" fillId="0" borderId="156" xfId="5447" applyFont="1" applyBorder="1">
      <alignment vertical="center"/>
    </xf>
    <xf numFmtId="181" fontId="301" fillId="98" borderId="159" xfId="5447" applyFont="1" applyFill="1" applyBorder="1" applyAlignment="1">
      <alignment horizontal="left" vertical="center" indent="1"/>
    </xf>
    <xf numFmtId="182" fontId="337" fillId="0" borderId="60" xfId="5447" applyNumberFormat="1" applyFont="1" applyBorder="1">
      <alignment vertical="center"/>
    </xf>
    <xf numFmtId="182" fontId="335" fillId="0" borderId="60" xfId="5447" applyNumberFormat="1" applyFont="1" applyBorder="1">
      <alignment vertical="center"/>
    </xf>
    <xf numFmtId="182" fontId="301" fillId="98" borderId="60" xfId="5447" applyNumberFormat="1" applyFont="1" applyFill="1" applyBorder="1">
      <alignment vertical="center"/>
    </xf>
    <xf numFmtId="190" fontId="301" fillId="98" borderId="160" xfId="43" applyNumberFormat="1" applyFont="1" applyFill="1" applyBorder="1">
      <alignment vertical="center"/>
    </xf>
    <xf numFmtId="177" fontId="300" fillId="0" borderId="198" xfId="43" applyFont="1" applyBorder="1">
      <alignment vertical="center"/>
    </xf>
    <xf numFmtId="177" fontId="300" fillId="0" borderId="199" xfId="43" applyFont="1" applyBorder="1">
      <alignment vertical="center"/>
    </xf>
    <xf numFmtId="177" fontId="158" fillId="103" borderId="155" xfId="43" applyFont="1" applyFill="1" applyBorder="1">
      <alignment vertical="center"/>
    </xf>
    <xf numFmtId="177" fontId="158" fillId="103" borderId="156" xfId="43" applyFont="1" applyFill="1" applyBorder="1">
      <alignment vertical="center"/>
    </xf>
    <xf numFmtId="177" fontId="158" fillId="0" borderId="155" xfId="43" applyFont="1" applyBorder="1">
      <alignment vertical="center"/>
    </xf>
    <xf numFmtId="185" fontId="158" fillId="98" borderId="155" xfId="5447" applyNumberFormat="1" applyFont="1" applyFill="1" applyBorder="1">
      <alignment vertical="center"/>
    </xf>
    <xf numFmtId="185" fontId="158" fillId="98" borderId="156" xfId="5447" applyNumberFormat="1" applyFont="1" applyFill="1" applyBorder="1">
      <alignment vertical="center"/>
    </xf>
    <xf numFmtId="259" fontId="158" fillId="98" borderId="200" xfId="43" applyNumberFormat="1" applyFont="1" applyFill="1" applyBorder="1">
      <alignment vertical="center"/>
    </xf>
    <xf numFmtId="259" fontId="158" fillId="98" borderId="201" xfId="43" applyNumberFormat="1" applyFont="1" applyFill="1" applyBorder="1">
      <alignment vertical="center"/>
    </xf>
    <xf numFmtId="177" fontId="158" fillId="0" borderId="202" xfId="43" applyFont="1" applyBorder="1">
      <alignment vertical="center"/>
    </xf>
    <xf numFmtId="179" fontId="158" fillId="98" borderId="155" xfId="5447" applyNumberFormat="1" applyFont="1" applyFill="1" applyBorder="1">
      <alignment vertical="center"/>
    </xf>
    <xf numFmtId="179" fontId="158" fillId="98" borderId="156" xfId="5447" applyNumberFormat="1" applyFont="1" applyFill="1" applyBorder="1">
      <alignment vertical="center"/>
    </xf>
    <xf numFmtId="259" fontId="158" fillId="98" borderId="155" xfId="5447" applyNumberFormat="1" applyFont="1" applyFill="1" applyBorder="1">
      <alignment vertical="center"/>
    </xf>
    <xf numFmtId="259" fontId="158" fillId="98" borderId="156" xfId="5447" applyNumberFormat="1" applyFont="1" applyFill="1" applyBorder="1">
      <alignment vertical="center"/>
    </xf>
    <xf numFmtId="193" fontId="158" fillId="0" borderId="155" xfId="5447" applyNumberFormat="1" applyFont="1" applyFill="1" applyBorder="1">
      <alignment vertical="center"/>
    </xf>
    <xf numFmtId="193" fontId="158" fillId="0" borderId="156" xfId="5447" applyNumberFormat="1" applyFont="1" applyFill="1" applyBorder="1">
      <alignment vertical="center"/>
    </xf>
    <xf numFmtId="177" fontId="158" fillId="0" borderId="155" xfId="43" applyFont="1" applyFill="1" applyBorder="1">
      <alignment vertical="center"/>
    </xf>
    <xf numFmtId="177" fontId="158" fillId="0" borderId="156" xfId="43" applyFont="1" applyFill="1" applyBorder="1">
      <alignment vertical="center"/>
    </xf>
    <xf numFmtId="182" fontId="158" fillId="0" borderId="159" xfId="43" applyNumberFormat="1" applyFont="1" applyBorder="1">
      <alignment vertical="center"/>
    </xf>
    <xf numFmtId="182" fontId="158" fillId="0" borderId="160" xfId="43" applyNumberFormat="1" applyFont="1" applyBorder="1">
      <alignment vertical="center"/>
    </xf>
    <xf numFmtId="181" fontId="298" fillId="94" borderId="158" xfId="5447" applyFont="1" applyFill="1" applyBorder="1" applyAlignment="1">
      <alignment horizontal="center" vertical="center"/>
    </xf>
    <xf numFmtId="181" fontId="298" fillId="94" borderId="196" xfId="5447" applyFont="1" applyFill="1" applyBorder="1" applyAlignment="1">
      <alignment horizontal="center" vertical="center"/>
    </xf>
    <xf numFmtId="180" fontId="158" fillId="0" borderId="202" xfId="5447" applyNumberFormat="1" applyFont="1" applyBorder="1">
      <alignment vertical="center"/>
    </xf>
    <xf numFmtId="190" fontId="301" fillId="98" borderId="200" xfId="43" applyNumberFormat="1" applyFont="1" applyFill="1" applyBorder="1">
      <alignment vertical="center"/>
    </xf>
    <xf numFmtId="182" fontId="301" fillId="98" borderId="159" xfId="5447" applyNumberFormat="1" applyFont="1" applyFill="1" applyBorder="1">
      <alignment vertical="center"/>
    </xf>
    <xf numFmtId="182" fontId="301" fillId="98" borderId="160" xfId="5447" applyNumberFormat="1" applyFont="1" applyFill="1" applyBorder="1">
      <alignment vertical="center"/>
    </xf>
    <xf numFmtId="182" fontId="302" fillId="102" borderId="34" xfId="5447" applyNumberFormat="1" applyFont="1" applyFill="1" applyBorder="1">
      <alignment vertical="center"/>
    </xf>
    <xf numFmtId="260" fontId="302" fillId="102" borderId="34" xfId="5447" applyNumberFormat="1" applyFont="1" applyFill="1" applyBorder="1">
      <alignment vertical="center"/>
    </xf>
    <xf numFmtId="189" fontId="299" fillId="102" borderId="34" xfId="5447" applyNumberFormat="1" applyFont="1" applyFill="1" applyBorder="1">
      <alignment vertical="center"/>
    </xf>
    <xf numFmtId="260" fontId="299" fillId="102" borderId="34" xfId="5447" applyNumberFormat="1" applyFont="1" applyFill="1" applyBorder="1">
      <alignment vertical="center"/>
    </xf>
    <xf numFmtId="182" fontId="299" fillId="102" borderId="34" xfId="5447" applyNumberFormat="1" applyFont="1" applyFill="1" applyBorder="1">
      <alignment vertical="center"/>
    </xf>
    <xf numFmtId="182" fontId="158" fillId="102" borderId="34" xfId="5447" applyNumberFormat="1" applyFont="1" applyFill="1" applyBorder="1">
      <alignment vertical="center"/>
    </xf>
    <xf numFmtId="180" fontId="299" fillId="102" borderId="34" xfId="5447" applyNumberFormat="1" applyFont="1" applyFill="1" applyBorder="1">
      <alignment vertical="center"/>
    </xf>
    <xf numFmtId="182" fontId="299" fillId="102" borderId="79" xfId="5447" applyNumberFormat="1" applyFont="1" applyFill="1" applyBorder="1">
      <alignment vertical="center"/>
    </xf>
    <xf numFmtId="181" fontId="158" fillId="43" borderId="157" xfId="5447" applyFont="1" applyFill="1" applyBorder="1" applyAlignment="1">
      <alignment horizontal="center" vertical="center"/>
    </xf>
    <xf numFmtId="182" fontId="299" fillId="0" borderId="74" xfId="5447" applyNumberFormat="1" applyFont="1" applyFill="1" applyBorder="1">
      <alignment vertical="center"/>
    </xf>
    <xf numFmtId="182" fontId="302" fillId="0" borderId="60" xfId="43" applyNumberFormat="1" applyFont="1" applyBorder="1">
      <alignment vertical="center"/>
    </xf>
    <xf numFmtId="182" fontId="302" fillId="0" borderId="123" xfId="43" applyNumberFormat="1" applyFont="1" applyBorder="1">
      <alignment vertical="center"/>
    </xf>
    <xf numFmtId="180" fontId="158" fillId="103" borderId="34" xfId="5447" applyNumberFormat="1" applyFont="1" applyFill="1" applyBorder="1" applyAlignment="1">
      <alignment horizontal="right" vertical="center"/>
    </xf>
    <xf numFmtId="180" fontId="158" fillId="103" borderId="183" xfId="5447" applyNumberFormat="1" applyFont="1" applyFill="1" applyBorder="1" applyAlignment="1">
      <alignment horizontal="right" vertical="center"/>
    </xf>
    <xf numFmtId="193" fontId="336" fillId="0" borderId="74" xfId="5447" applyNumberFormat="1" applyFont="1" applyFill="1" applyBorder="1">
      <alignment vertical="center"/>
    </xf>
    <xf numFmtId="193" fontId="336" fillId="0" borderId="23" xfId="5447" applyNumberFormat="1" applyFont="1" applyFill="1" applyBorder="1">
      <alignment vertical="center"/>
    </xf>
    <xf numFmtId="247" fontId="336" fillId="0" borderId="74" xfId="5447" applyNumberFormat="1" applyFont="1" applyFill="1" applyBorder="1">
      <alignment vertical="center"/>
    </xf>
    <xf numFmtId="247" fontId="336" fillId="0" borderId="23" xfId="5447" applyNumberFormat="1" applyFont="1" applyFill="1" applyBorder="1">
      <alignment vertical="center"/>
    </xf>
    <xf numFmtId="182" fontId="336" fillId="0" borderId="74" xfId="5447" applyNumberFormat="1" applyFont="1" applyFill="1" applyBorder="1">
      <alignment vertical="center"/>
    </xf>
    <xf numFmtId="182" fontId="336" fillId="0" borderId="23" xfId="5447" applyNumberFormat="1" applyFont="1" applyFill="1" applyBorder="1">
      <alignment vertical="center"/>
    </xf>
    <xf numFmtId="182" fontId="158" fillId="0" borderId="127" xfId="5447" applyNumberFormat="1" applyFont="1" applyFill="1" applyBorder="1">
      <alignment vertical="center"/>
    </xf>
    <xf numFmtId="182" fontId="299" fillId="0" borderId="127" xfId="5447" applyNumberFormat="1" applyFont="1" applyFill="1" applyBorder="1">
      <alignment vertical="center"/>
    </xf>
    <xf numFmtId="181" fontId="158" fillId="43" borderId="158" xfId="5447" applyFont="1" applyFill="1" applyBorder="1" applyAlignment="1">
      <alignment horizontal="center" vertical="center"/>
    </xf>
    <xf numFmtId="181" fontId="158" fillId="43" borderId="185" xfId="5447" applyFont="1" applyFill="1" applyBorder="1" applyAlignment="1">
      <alignment horizontal="center" vertical="center"/>
    </xf>
    <xf numFmtId="259" fontId="339" fillId="0" borderId="135" xfId="43" applyNumberFormat="1" applyFont="1" applyFill="1" applyBorder="1" applyAlignment="1">
      <alignment horizontal="center" vertical="center"/>
    </xf>
    <xf numFmtId="259" fontId="339" fillId="0" borderId="115" xfId="43" applyNumberFormat="1" applyFont="1" applyFill="1" applyBorder="1" applyAlignment="1">
      <alignment horizontal="center" vertical="center"/>
    </xf>
    <xf numFmtId="259" fontId="339" fillId="0" borderId="136" xfId="43" applyNumberFormat="1" applyFont="1" applyFill="1" applyBorder="1" applyAlignment="1">
      <alignment horizontal="center" vertical="center"/>
    </xf>
    <xf numFmtId="185" fontId="339" fillId="98" borderId="135" xfId="5445" applyNumberFormat="1" applyFont="1" applyFill="1" applyBorder="1">
      <alignment vertical="center"/>
    </xf>
    <xf numFmtId="185" fontId="339" fillId="98" borderId="115" xfId="5445" applyNumberFormat="1" applyFont="1" applyFill="1" applyBorder="1">
      <alignment vertical="center"/>
    </xf>
    <xf numFmtId="185" fontId="339" fillId="98" borderId="136" xfId="5445" applyNumberFormat="1" applyFont="1" applyFill="1" applyBorder="1">
      <alignment vertical="center"/>
    </xf>
    <xf numFmtId="4" fontId="339" fillId="98" borderId="135" xfId="5445" applyNumberFormat="1" applyFont="1" applyFill="1" applyBorder="1">
      <alignment vertical="center"/>
    </xf>
    <xf numFmtId="4" fontId="339" fillId="98" borderId="115" xfId="5444" applyNumberFormat="1" applyFont="1" applyFill="1" applyBorder="1">
      <alignment vertical="center"/>
    </xf>
    <xf numFmtId="4" fontId="339" fillId="98" borderId="136" xfId="5444" applyNumberFormat="1" applyFont="1" applyFill="1" applyBorder="1">
      <alignment vertical="center"/>
    </xf>
    <xf numFmtId="185" fontId="339" fillId="98" borderId="135" xfId="5443" applyNumberFormat="1" applyFont="1" applyFill="1" applyBorder="1"/>
    <xf numFmtId="185" fontId="339" fillId="98" borderId="115" xfId="5443" applyNumberFormat="1" applyFont="1" applyFill="1" applyBorder="1"/>
    <xf numFmtId="185" fontId="339" fillId="98" borderId="136" xfId="5443" applyNumberFormat="1" applyFont="1" applyFill="1" applyBorder="1"/>
    <xf numFmtId="185" fontId="339" fillId="98" borderId="137" xfId="5443" applyNumberFormat="1" applyFont="1" applyFill="1" applyBorder="1"/>
    <xf numFmtId="185" fontId="339" fillId="98" borderId="138" xfId="5443" applyNumberFormat="1" applyFont="1" applyFill="1" applyBorder="1"/>
    <xf numFmtId="185" fontId="339" fillId="98" borderId="139" xfId="5443" applyNumberFormat="1" applyFont="1" applyFill="1" applyBorder="1"/>
    <xf numFmtId="185" fontId="329" fillId="98" borderId="115" xfId="5444" applyNumberFormat="1" applyFont="1" applyFill="1" applyBorder="1">
      <alignment vertical="center"/>
    </xf>
    <xf numFmtId="185" fontId="329" fillId="98" borderId="136" xfId="5444" applyNumberFormat="1" applyFont="1" applyFill="1" applyBorder="1">
      <alignment vertical="center"/>
    </xf>
    <xf numFmtId="185" fontId="329" fillId="98" borderId="135" xfId="5443" applyNumberFormat="1" applyFont="1" applyFill="1" applyBorder="1"/>
    <xf numFmtId="185" fontId="329" fillId="98" borderId="115" xfId="5443" applyNumberFormat="1" applyFont="1" applyFill="1" applyBorder="1"/>
    <xf numFmtId="185" fontId="329" fillId="98" borderId="136" xfId="5443" applyNumberFormat="1" applyFont="1" applyFill="1" applyBorder="1"/>
    <xf numFmtId="3" fontId="329" fillId="98" borderId="146" xfId="43" applyNumberFormat="1" applyFont="1" applyFill="1" applyBorder="1" applyAlignment="1">
      <alignment horizontal="right" vertical="center"/>
    </xf>
    <xf numFmtId="3" fontId="329" fillId="0" borderId="146" xfId="43" applyNumberFormat="1" applyFont="1" applyFill="1" applyBorder="1" applyAlignment="1">
      <alignment horizontal="right" vertical="center"/>
    </xf>
    <xf numFmtId="185" fontId="329" fillId="98" borderId="146" xfId="43" applyNumberFormat="1" applyFont="1" applyFill="1" applyBorder="1" applyAlignment="1">
      <alignment horizontal="right" vertical="center"/>
    </xf>
    <xf numFmtId="185" fontId="329" fillId="0" borderId="146" xfId="43" applyNumberFormat="1" applyFont="1" applyFill="1" applyBorder="1" applyAlignment="1">
      <alignment horizontal="right" vertical="center"/>
    </xf>
    <xf numFmtId="185" fontId="329" fillId="98" borderId="115" xfId="43" applyNumberFormat="1" applyFont="1" applyFill="1" applyBorder="1" applyAlignment="1">
      <alignment horizontal="right"/>
    </xf>
    <xf numFmtId="185" fontId="329" fillId="98" borderId="138" xfId="43" applyNumberFormat="1" applyFont="1" applyFill="1" applyBorder="1" applyAlignment="1">
      <alignment horizontal="right"/>
    </xf>
    <xf numFmtId="185" fontId="329" fillId="98" borderId="193" xfId="43" applyNumberFormat="1" applyFont="1" applyFill="1" applyBorder="1" applyAlignment="1">
      <alignment horizontal="right" vertical="center"/>
    </xf>
    <xf numFmtId="3" fontId="329" fillId="98" borderId="135" xfId="43" applyNumberFormat="1" applyFont="1" applyFill="1" applyBorder="1" applyAlignment="1">
      <alignment horizontal="right" vertical="center"/>
    </xf>
    <xf numFmtId="3" fontId="329" fillId="98" borderId="148" xfId="43" applyNumberFormat="1" applyFont="1" applyFill="1" applyBorder="1" applyAlignment="1">
      <alignment horizontal="right" vertical="center"/>
    </xf>
    <xf numFmtId="3" fontId="329" fillId="0" borderId="135" xfId="43" applyNumberFormat="1" applyFont="1" applyFill="1" applyBorder="1" applyAlignment="1">
      <alignment horizontal="right" vertical="center"/>
    </xf>
    <xf numFmtId="3" fontId="329" fillId="0" borderId="148" xfId="43" applyNumberFormat="1" applyFont="1" applyFill="1" applyBorder="1" applyAlignment="1">
      <alignment horizontal="right" vertical="center"/>
    </xf>
    <xf numFmtId="185" fontId="329" fillId="98" borderId="135" xfId="43" applyNumberFormat="1" applyFont="1" applyFill="1" applyBorder="1" applyAlignment="1">
      <alignment horizontal="right" vertical="center"/>
    </xf>
    <xf numFmtId="185" fontId="329" fillId="98" borderId="148" xfId="43" applyNumberFormat="1" applyFont="1" applyFill="1" applyBorder="1" applyAlignment="1">
      <alignment horizontal="right" vertical="center"/>
    </xf>
    <xf numFmtId="185" fontId="329" fillId="98" borderId="137" xfId="43" applyNumberFormat="1" applyFont="1" applyFill="1" applyBorder="1" applyAlignment="1">
      <alignment horizontal="right" vertical="center"/>
    </xf>
    <xf numFmtId="185" fontId="329" fillId="98" borderId="194" xfId="43" applyNumberFormat="1" applyFont="1" applyFill="1" applyBorder="1" applyAlignment="1">
      <alignment horizontal="right" vertical="center"/>
    </xf>
    <xf numFmtId="185" fontId="339" fillId="98" borderId="135" xfId="43" applyNumberFormat="1" applyFont="1" applyFill="1" applyBorder="1" applyAlignment="1">
      <alignment horizontal="right" vertical="center"/>
    </xf>
    <xf numFmtId="185" fontId="339" fillId="98" borderId="148" xfId="43" applyNumberFormat="1" applyFont="1" applyFill="1" applyBorder="1" applyAlignment="1">
      <alignment horizontal="right" vertical="center"/>
    </xf>
    <xf numFmtId="260" fontId="336" fillId="0" borderId="74" xfId="5447" applyNumberFormat="1" applyFont="1" applyFill="1" applyBorder="1">
      <alignment vertical="center"/>
    </xf>
    <xf numFmtId="260" fontId="336" fillId="0" borderId="23" xfId="5447" applyNumberFormat="1" applyFont="1" applyFill="1" applyBorder="1">
      <alignment vertical="center"/>
    </xf>
    <xf numFmtId="260" fontId="336" fillId="0" borderId="127" xfId="5447" applyNumberFormat="1" applyFont="1" applyFill="1" applyBorder="1">
      <alignment vertical="center"/>
    </xf>
    <xf numFmtId="193" fontId="336" fillId="0" borderId="127" xfId="5447" applyNumberFormat="1" applyFont="1" applyFill="1" applyBorder="1">
      <alignment vertical="center"/>
    </xf>
    <xf numFmtId="247" fontId="336" fillId="0" borderId="127" xfId="5447" applyNumberFormat="1" applyFont="1" applyFill="1" applyBorder="1">
      <alignment vertical="center"/>
    </xf>
    <xf numFmtId="182" fontId="336" fillId="0" borderId="127" xfId="5447" applyNumberFormat="1" applyFont="1" applyFill="1" applyBorder="1">
      <alignment vertical="center"/>
    </xf>
    <xf numFmtId="189" fontId="336" fillId="0" borderId="74" xfId="5447" applyNumberFormat="1" applyFont="1" applyFill="1" applyBorder="1">
      <alignment vertical="center"/>
    </xf>
    <xf numFmtId="189" fontId="336" fillId="0" borderId="23" xfId="5447" applyNumberFormat="1" applyFont="1" applyFill="1" applyBorder="1">
      <alignment vertical="center"/>
    </xf>
    <xf numFmtId="189" fontId="336" fillId="0" borderId="127" xfId="5447" applyNumberFormat="1" applyFont="1" applyFill="1" applyBorder="1">
      <alignment vertical="center"/>
    </xf>
    <xf numFmtId="182" fontId="157" fillId="0" borderId="74" xfId="5447" applyNumberFormat="1" applyFont="1" applyFill="1" applyBorder="1">
      <alignment vertical="center"/>
    </xf>
    <xf numFmtId="182" fontId="157" fillId="0" borderId="23" xfId="5447" applyNumberFormat="1" applyFont="1" applyFill="1" applyBorder="1">
      <alignment vertical="center"/>
    </xf>
    <xf numFmtId="182" fontId="157" fillId="0" borderId="127" xfId="5447" applyNumberFormat="1" applyFont="1" applyFill="1" applyBorder="1">
      <alignment vertical="center"/>
    </xf>
    <xf numFmtId="180" fontId="157" fillId="0" borderId="74" xfId="5447" applyNumberFormat="1" applyFont="1" applyFill="1" applyBorder="1">
      <alignment vertical="center"/>
    </xf>
    <xf numFmtId="180" fontId="157" fillId="0" borderId="23" xfId="5447" applyNumberFormat="1" applyFont="1" applyFill="1" applyBorder="1">
      <alignment vertical="center"/>
    </xf>
    <xf numFmtId="180" fontId="157" fillId="0" borderId="127" xfId="5447" applyNumberFormat="1" applyFont="1" applyFill="1" applyBorder="1">
      <alignment vertical="center"/>
    </xf>
    <xf numFmtId="0" fontId="72" fillId="0" borderId="0" xfId="3263" applyFont="1" applyFill="1"/>
    <xf numFmtId="187" fontId="295" fillId="0" borderId="0" xfId="3263" applyNumberFormat="1" applyFont="1" applyFill="1"/>
    <xf numFmtId="193" fontId="72" fillId="0" borderId="0" xfId="3263" applyNumberFormat="1" applyFont="1" applyFill="1"/>
    <xf numFmtId="0" fontId="25" fillId="0" borderId="0" xfId="3714" applyFont="1">
      <alignment vertical="center"/>
    </xf>
    <xf numFmtId="182" fontId="299" fillId="103" borderId="74" xfId="5447" applyNumberFormat="1" applyFont="1" applyFill="1" applyBorder="1">
      <alignment vertical="center"/>
    </xf>
    <xf numFmtId="182" fontId="337" fillId="0" borderId="128" xfId="5448" applyNumberFormat="1" applyFont="1" applyFill="1" applyBorder="1">
      <alignment vertical="center"/>
    </xf>
    <xf numFmtId="182" fontId="157" fillId="0" borderId="183" xfId="5447" applyNumberFormat="1" applyFont="1" applyFill="1" applyBorder="1">
      <alignment vertical="center"/>
    </xf>
    <xf numFmtId="189" fontId="339" fillId="98" borderId="135" xfId="43" applyNumberFormat="1" applyFont="1" applyFill="1" applyBorder="1">
      <alignment vertical="center"/>
    </xf>
    <xf numFmtId="189" fontId="339" fillId="98" borderId="115" xfId="43" applyNumberFormat="1" applyFont="1" applyFill="1" applyBorder="1">
      <alignment vertical="center"/>
    </xf>
    <xf numFmtId="189" fontId="339" fillId="98" borderId="136" xfId="43" applyNumberFormat="1" applyFont="1" applyFill="1" applyBorder="1">
      <alignment vertical="center"/>
    </xf>
    <xf numFmtId="260" fontId="158" fillId="0" borderId="74" xfId="5447" applyNumberFormat="1" applyFont="1" applyFill="1" applyBorder="1">
      <alignment vertical="center"/>
    </xf>
    <xf numFmtId="260" fontId="158" fillId="0" borderId="23" xfId="5447" applyNumberFormat="1" applyFont="1" applyFill="1" applyBorder="1">
      <alignment vertical="center"/>
    </xf>
    <xf numFmtId="260" fontId="158" fillId="0" borderId="127" xfId="5447" applyNumberFormat="1" applyFont="1" applyFill="1" applyBorder="1">
      <alignment vertical="center"/>
    </xf>
    <xf numFmtId="180" fontId="158" fillId="0" borderId="127" xfId="5447" applyNumberFormat="1" applyFont="1" applyFill="1" applyBorder="1">
      <alignment vertical="center"/>
    </xf>
    <xf numFmtId="182" fontId="158" fillId="0" borderId="77" xfId="5447" applyNumberFormat="1" applyFont="1" applyFill="1" applyBorder="1">
      <alignment vertical="center"/>
    </xf>
    <xf numFmtId="182" fontId="158" fillId="0" borderId="78" xfId="5447" applyNumberFormat="1" applyFont="1" applyFill="1" applyBorder="1">
      <alignment vertical="center"/>
    </xf>
    <xf numFmtId="182" fontId="158" fillId="0" borderId="187" xfId="5447" applyNumberFormat="1" applyFont="1" applyFill="1" applyBorder="1">
      <alignment vertical="center"/>
    </xf>
    <xf numFmtId="261" fontId="331" fillId="0" borderId="40" xfId="5445" applyNumberFormat="1" applyFont="1" applyBorder="1" applyAlignment="1">
      <alignment horizontal="right" vertical="center" wrapText="1"/>
    </xf>
    <xf numFmtId="177" fontId="331" fillId="0" borderId="40" xfId="5445" applyFont="1" applyBorder="1" applyAlignment="1">
      <alignment horizontal="right" vertical="center" wrapText="1"/>
    </xf>
    <xf numFmtId="180" fontId="331" fillId="0" borderId="40" xfId="5445" applyNumberFormat="1" applyFont="1" applyBorder="1" applyAlignment="1">
      <alignment horizontal="right" vertical="center" wrapText="1"/>
    </xf>
    <xf numFmtId="261" fontId="331" fillId="0" borderId="13" xfId="5445" applyNumberFormat="1" applyFont="1" applyBorder="1" applyAlignment="1">
      <alignment horizontal="right" vertical="center" wrapText="1"/>
    </xf>
    <xf numFmtId="177" fontId="331" fillId="0" borderId="13" xfId="5445" applyFont="1" applyBorder="1" applyAlignment="1">
      <alignment horizontal="right" vertical="center" wrapText="1"/>
    </xf>
    <xf numFmtId="180" fontId="331" fillId="0" borderId="13" xfId="5445" applyNumberFormat="1" applyFont="1" applyBorder="1" applyAlignment="1">
      <alignment horizontal="right" vertical="center" wrapText="1"/>
    </xf>
    <xf numFmtId="182" fontId="326" fillId="0" borderId="40" xfId="5443" applyNumberFormat="1" applyFont="1" applyBorder="1"/>
    <xf numFmtId="182" fontId="326" fillId="0" borderId="109" xfId="5443" applyNumberFormat="1" applyFont="1" applyBorder="1"/>
    <xf numFmtId="182" fontId="326" fillId="0" borderId="122" xfId="5443" applyNumberFormat="1" applyFont="1" applyBorder="1"/>
    <xf numFmtId="182" fontId="326" fillId="0" borderId="124" xfId="5443" applyNumberFormat="1" applyFont="1" applyBorder="1"/>
    <xf numFmtId="180" fontId="326" fillId="0" borderId="40" xfId="5443" applyNumberFormat="1" applyFont="1" applyBorder="1"/>
    <xf numFmtId="180" fontId="326" fillId="0" borderId="109" xfId="5443" applyNumberFormat="1" applyFont="1" applyBorder="1"/>
    <xf numFmtId="185" fontId="331" fillId="0" borderId="13" xfId="5445" applyNumberFormat="1" applyFont="1" applyFill="1" applyBorder="1" applyAlignment="1">
      <alignment horizontal="right" vertical="center" wrapText="1"/>
    </xf>
    <xf numFmtId="185" fontId="331" fillId="0" borderId="40" xfId="5445" applyNumberFormat="1" applyFont="1" applyFill="1" applyBorder="1" applyAlignment="1">
      <alignment horizontal="right" vertical="center" wrapText="1"/>
    </xf>
    <xf numFmtId="190" fontId="331" fillId="0" borderId="13" xfId="5445" applyNumberFormat="1" applyFont="1" applyFill="1" applyBorder="1" applyAlignment="1">
      <alignment horizontal="right" vertical="center" wrapText="1"/>
    </xf>
    <xf numFmtId="190" fontId="331" fillId="0" borderId="40" xfId="5445" applyNumberFormat="1" applyFont="1" applyFill="1" applyBorder="1" applyAlignment="1">
      <alignment horizontal="right" vertical="center" wrapText="1"/>
    </xf>
    <xf numFmtId="183" fontId="331" fillId="0" borderId="13" xfId="5445" applyNumberFormat="1" applyFont="1" applyFill="1" applyBorder="1" applyAlignment="1">
      <alignment horizontal="right" vertical="center" wrapText="1"/>
    </xf>
    <xf numFmtId="183" fontId="331" fillId="0" borderId="40" xfId="5445" applyNumberFormat="1" applyFont="1" applyFill="1" applyBorder="1" applyAlignment="1">
      <alignment horizontal="right" vertical="center" wrapText="1"/>
    </xf>
    <xf numFmtId="190" fontId="331" fillId="0" borderId="112" xfId="5445" applyNumberFormat="1" applyFont="1" applyFill="1" applyBorder="1" applyAlignment="1">
      <alignment horizontal="right" vertical="center" wrapText="1"/>
    </xf>
    <xf numFmtId="190" fontId="331" fillId="0" borderId="122" xfId="5445" applyNumberFormat="1" applyFont="1" applyFill="1" applyBorder="1" applyAlignment="1">
      <alignment horizontal="right" vertical="center" wrapText="1"/>
    </xf>
    <xf numFmtId="181" fontId="325" fillId="0" borderId="13" xfId="5443" applyFont="1" applyBorder="1" applyAlignment="1">
      <alignment horizontal="center" vertical="center" wrapText="1"/>
    </xf>
    <xf numFmtId="181" fontId="325" fillId="0" borderId="40" xfId="5443" quotePrefix="1" applyFont="1" applyBorder="1" applyAlignment="1">
      <alignment horizontal="center" vertical="center" wrapText="1"/>
    </xf>
    <xf numFmtId="182" fontId="325" fillId="0" borderId="40" xfId="5443" applyNumberFormat="1" applyFont="1" applyBorder="1" applyAlignment="1">
      <alignment horizontal="center" vertical="center" wrapText="1"/>
    </xf>
    <xf numFmtId="182" fontId="325" fillId="0" borderId="109" xfId="5443" applyNumberFormat="1" applyFont="1" applyBorder="1" applyAlignment="1">
      <alignment horizontal="center" vertical="center" wrapText="1"/>
    </xf>
    <xf numFmtId="181" fontId="325" fillId="0" borderId="40" xfId="5443" applyFont="1" applyBorder="1" applyAlignment="1">
      <alignment horizontal="center" vertical="center" wrapText="1"/>
    </xf>
    <xf numFmtId="181" fontId="325" fillId="0" borderId="109" xfId="5443" applyFont="1" applyBorder="1" applyAlignment="1">
      <alignment horizontal="center" vertical="center" wrapText="1"/>
    </xf>
    <xf numFmtId="190" fontId="331" fillId="0" borderId="0" xfId="5445" applyNumberFormat="1" applyFont="1" applyFill="1" applyBorder="1" applyAlignment="1">
      <alignment horizontal="right" vertical="center" wrapText="1"/>
    </xf>
    <xf numFmtId="189" fontId="326" fillId="0" borderId="0" xfId="5443" applyNumberFormat="1" applyFont="1" applyBorder="1" applyAlignment="1">
      <alignment vertical="center"/>
    </xf>
    <xf numFmtId="189" fontId="326" fillId="0" borderId="156" xfId="5443" applyNumberFormat="1" applyFont="1" applyBorder="1" applyAlignment="1">
      <alignment vertical="center"/>
    </xf>
    <xf numFmtId="189" fontId="326" fillId="101" borderId="161" xfId="5443" applyNumberFormat="1" applyFont="1" applyFill="1" applyBorder="1" applyAlignment="1">
      <alignment vertical="center"/>
    </xf>
    <xf numFmtId="189" fontId="326" fillId="76" borderId="162" xfId="5443" applyNumberFormat="1" applyFont="1" applyFill="1" applyBorder="1" applyAlignment="1">
      <alignment vertical="center"/>
    </xf>
    <xf numFmtId="189" fontId="331" fillId="0" borderId="0" xfId="5445" applyNumberFormat="1" applyFont="1" applyBorder="1">
      <alignment vertical="center"/>
    </xf>
    <xf numFmtId="189" fontId="332" fillId="0" borderId="0" xfId="5443" applyNumberFormat="1" applyFont="1" applyBorder="1" applyAlignment="1">
      <alignment vertical="center"/>
    </xf>
    <xf numFmtId="189" fontId="332" fillId="0" borderId="0" xfId="5445" applyNumberFormat="1" applyFont="1" applyBorder="1">
      <alignment vertical="center"/>
    </xf>
    <xf numFmtId="189" fontId="331" fillId="97" borderId="64" xfId="5445" applyNumberFormat="1" applyFont="1" applyFill="1" applyBorder="1">
      <alignment vertical="center"/>
    </xf>
    <xf numFmtId="189" fontId="331" fillId="93" borderId="166" xfId="5445" applyNumberFormat="1" applyFont="1" applyFill="1" applyBorder="1">
      <alignment vertical="center"/>
    </xf>
    <xf numFmtId="189" fontId="331" fillId="97" borderId="168" xfId="5445" applyNumberFormat="1" applyFont="1" applyFill="1" applyBorder="1">
      <alignment vertical="center"/>
    </xf>
    <xf numFmtId="189" fontId="331" fillId="93" borderId="169" xfId="5445" applyNumberFormat="1" applyFont="1" applyFill="1" applyBorder="1">
      <alignment vertical="center"/>
    </xf>
    <xf numFmtId="182" fontId="326" fillId="0" borderId="156" xfId="5443" applyNumberFormat="1" applyFont="1" applyBorder="1" applyAlignment="1">
      <alignment vertical="center"/>
    </xf>
    <xf numFmtId="182" fontId="326" fillId="77" borderId="163" xfId="5443" applyNumberFormat="1" applyFont="1" applyFill="1" applyBorder="1" applyAlignment="1">
      <alignment vertical="center"/>
    </xf>
    <xf numFmtId="182" fontId="326" fillId="77" borderId="164" xfId="5443" applyNumberFormat="1" applyFont="1" applyFill="1" applyBorder="1" applyAlignment="1">
      <alignment vertical="center"/>
    </xf>
    <xf numFmtId="182" fontId="326" fillId="77" borderId="165" xfId="5443" applyNumberFormat="1" applyFont="1" applyFill="1" applyBorder="1" applyAlignment="1">
      <alignment vertical="center"/>
    </xf>
    <xf numFmtId="182" fontId="331" fillId="93" borderId="166" xfId="5445" applyNumberFormat="1" applyFont="1" applyFill="1" applyBorder="1">
      <alignment vertical="center"/>
    </xf>
    <xf numFmtId="182" fontId="331" fillId="93" borderId="169" xfId="5445" applyNumberFormat="1" applyFont="1" applyFill="1" applyBorder="1">
      <alignment vertical="center"/>
    </xf>
    <xf numFmtId="0" fontId="24" fillId="0" borderId="0" xfId="3714" applyFont="1">
      <alignment vertical="center"/>
    </xf>
    <xf numFmtId="180" fontId="340" fillId="0" borderId="23" xfId="0" applyNumberFormat="1" applyFont="1" applyFill="1" applyBorder="1" applyAlignment="1" applyProtection="1"/>
    <xf numFmtId="180" fontId="152" fillId="0" borderId="23" xfId="43" applyNumberFormat="1" applyFont="1" applyFill="1" applyBorder="1" applyAlignment="1" applyProtection="1">
      <alignment vertical="center"/>
    </xf>
    <xf numFmtId="0" fontId="24" fillId="0" borderId="0" xfId="3714" applyFont="1" applyFill="1">
      <alignment vertical="center"/>
    </xf>
    <xf numFmtId="180" fontId="24" fillId="0" borderId="0" xfId="3714" applyNumberFormat="1" applyFont="1">
      <alignment vertical="center"/>
    </xf>
    <xf numFmtId="3" fontId="309" fillId="0" borderId="0" xfId="3241" applyNumberFormat="1" applyFont="1" applyFill="1" applyBorder="1">
      <alignment vertical="center"/>
    </xf>
    <xf numFmtId="0" fontId="23" fillId="0" borderId="0" xfId="3714" applyFont="1">
      <alignment vertical="center"/>
    </xf>
    <xf numFmtId="0" fontId="22" fillId="0" borderId="0" xfId="3714" applyFont="1">
      <alignment vertical="center"/>
    </xf>
    <xf numFmtId="188" fontId="83" fillId="96" borderId="0" xfId="3263" applyNumberFormat="1" applyFont="1" applyFill="1"/>
    <xf numFmtId="188" fontId="296" fillId="0" borderId="0" xfId="3263" applyNumberFormat="1" applyFont="1" applyFill="1"/>
    <xf numFmtId="197" fontId="287" fillId="90" borderId="109" xfId="5423" applyNumberFormat="1" applyFont="1" applyFill="1" applyBorder="1" applyAlignment="1">
      <alignment horizontal="center" vertical="center"/>
    </xf>
    <xf numFmtId="0" fontId="72" fillId="91" borderId="0" xfId="3263" applyFont="1" applyFill="1" applyBorder="1" applyAlignment="1"/>
    <xf numFmtId="0" fontId="72" fillId="0" borderId="0" xfId="3263" applyFont="1" applyBorder="1"/>
    <xf numFmtId="3" fontId="72" fillId="0" borderId="0" xfId="3263" applyNumberFormat="1" applyFont="1" applyBorder="1"/>
    <xf numFmtId="3" fontId="296" fillId="0" borderId="0" xfId="3263" applyNumberFormat="1" applyFont="1" applyBorder="1"/>
    <xf numFmtId="193" fontId="296" fillId="0" borderId="0" xfId="3263" applyNumberFormat="1" applyFont="1" applyBorder="1"/>
    <xf numFmtId="0" fontId="72" fillId="0" borderId="0" xfId="3263" applyFont="1" applyFill="1" applyBorder="1"/>
    <xf numFmtId="0" fontId="146" fillId="91" borderId="0" xfId="3714" applyFill="1" applyBorder="1">
      <alignment vertical="center"/>
    </xf>
    <xf numFmtId="188" fontId="295" fillId="104" borderId="0" xfId="3263" applyNumberFormat="1" applyFont="1" applyFill="1"/>
    <xf numFmtId="185" fontId="341" fillId="0" borderId="0" xfId="3241" applyNumberFormat="1" applyFont="1" applyBorder="1" applyAlignment="1">
      <alignment horizontal="right" vertical="center"/>
    </xf>
    <xf numFmtId="0" fontId="342" fillId="73" borderId="35" xfId="5442" applyFont="1" applyFill="1" applyBorder="1" applyAlignment="1" applyProtection="1">
      <alignment horizontal="center" vertical="center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21" fillId="0" borderId="0" xfId="3714" applyFont="1">
      <alignment vertical="center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20" fillId="0" borderId="0" xfId="3714" applyFont="1">
      <alignment vertical="center"/>
    </xf>
    <xf numFmtId="177" fontId="336" fillId="0" borderId="129" xfId="43" applyFont="1" applyBorder="1">
      <alignment vertical="center"/>
    </xf>
    <xf numFmtId="182" fontId="325" fillId="0" borderId="0" xfId="5443" applyNumberFormat="1" applyFont="1" applyAlignment="1">
      <alignment horizontal="right"/>
    </xf>
    <xf numFmtId="0" fontId="158" fillId="0" borderId="109" xfId="5442" quotePrefix="1" applyFont="1" applyBorder="1" applyAlignment="1">
      <alignment horizontal="center" vertical="center"/>
    </xf>
    <xf numFmtId="180" fontId="296" fillId="105" borderId="0" xfId="0" applyNumberFormat="1" applyFont="1" applyFill="1" applyProtection="1">
      <alignment vertical="center"/>
    </xf>
    <xf numFmtId="180" fontId="290" fillId="97" borderId="68" xfId="3714" applyNumberFormat="1" applyFont="1" applyFill="1" applyBorder="1">
      <alignment vertical="center"/>
    </xf>
    <xf numFmtId="180" fontId="290" fillId="97" borderId="0" xfId="3714" applyNumberFormat="1" applyFont="1" applyFill="1">
      <alignment vertical="center"/>
    </xf>
    <xf numFmtId="0" fontId="18" fillId="0" borderId="0" xfId="3714" applyFont="1">
      <alignment vertical="center"/>
    </xf>
    <xf numFmtId="0" fontId="19" fillId="0" borderId="0" xfId="3714" applyFont="1" applyFill="1">
      <alignment vertical="center"/>
    </xf>
    <xf numFmtId="180" fontId="146" fillId="0" borderId="0" xfId="3714" applyNumberFormat="1" applyFont="1" applyFill="1">
      <alignment vertical="center"/>
    </xf>
    <xf numFmtId="180" fontId="290" fillId="0" borderId="0" xfId="3714" applyNumberFormat="1" applyFont="1" applyFill="1">
      <alignment vertical="center"/>
    </xf>
    <xf numFmtId="177" fontId="345" fillId="103" borderId="188" xfId="43" applyFont="1" applyFill="1" applyBorder="1">
      <alignment vertical="center"/>
    </xf>
    <xf numFmtId="182" fontId="157" fillId="0" borderId="77" xfId="5447" applyNumberFormat="1" applyFont="1" applyFill="1" applyBorder="1">
      <alignment vertical="center"/>
    </xf>
    <xf numFmtId="182" fontId="157" fillId="0" borderId="78" xfId="5447" applyNumberFormat="1" applyFont="1" applyFill="1" applyBorder="1">
      <alignment vertical="center"/>
    </xf>
    <xf numFmtId="182" fontId="157" fillId="0" borderId="187" xfId="5447" applyNumberFormat="1" applyFont="1" applyFill="1" applyBorder="1">
      <alignment vertical="center"/>
    </xf>
    <xf numFmtId="190" fontId="72" fillId="0" borderId="0" xfId="43" applyNumberFormat="1" applyFont="1" applyAlignment="1"/>
    <xf numFmtId="0" fontId="17" fillId="0" borderId="0" xfId="3714" applyFont="1">
      <alignment vertical="center"/>
    </xf>
    <xf numFmtId="180" fontId="16" fillId="0" borderId="0" xfId="3714" applyNumberFormat="1" applyFont="1">
      <alignment vertical="center"/>
    </xf>
    <xf numFmtId="0" fontId="15" fillId="0" borderId="0" xfId="3714" applyFont="1">
      <alignment vertical="center"/>
    </xf>
    <xf numFmtId="262" fontId="146" fillId="0" borderId="0" xfId="3714" applyNumberFormat="1">
      <alignment vertical="center"/>
    </xf>
    <xf numFmtId="262" fontId="288" fillId="0" borderId="0" xfId="3714" applyNumberFormat="1" applyFont="1">
      <alignment vertical="center"/>
    </xf>
    <xf numFmtId="262" fontId="288" fillId="0" borderId="0" xfId="3714" applyNumberFormat="1" applyFont="1" applyFill="1">
      <alignment vertical="center"/>
    </xf>
    <xf numFmtId="180" fontId="15" fillId="0" borderId="0" xfId="3714" applyNumberFormat="1" applyFont="1">
      <alignment vertical="center"/>
    </xf>
    <xf numFmtId="181" fontId="302" fillId="0" borderId="0" xfId="5447" applyFont="1">
      <alignment vertical="center"/>
    </xf>
    <xf numFmtId="189" fontId="158" fillId="105" borderId="74" xfId="5447" applyNumberFormat="1" applyFont="1" applyFill="1" applyBorder="1">
      <alignment vertical="center"/>
    </xf>
    <xf numFmtId="189" fontId="158" fillId="105" borderId="23" xfId="5447" applyNumberFormat="1" applyFont="1" applyFill="1" applyBorder="1">
      <alignment vertical="center"/>
    </xf>
    <xf numFmtId="189" fontId="158" fillId="105" borderId="127" xfId="5447" applyNumberFormat="1" applyFont="1" applyFill="1" applyBorder="1">
      <alignment vertical="center"/>
    </xf>
    <xf numFmtId="180" fontId="336" fillId="103" borderId="74" xfId="5448" applyNumberFormat="1" applyFont="1" applyFill="1" applyBorder="1">
      <alignment vertical="center"/>
    </xf>
    <xf numFmtId="260" fontId="326" fillId="0" borderId="0" xfId="5443" applyNumberFormat="1" applyFont="1"/>
    <xf numFmtId="182" fontId="299" fillId="0" borderId="183" xfId="5447" applyNumberFormat="1" applyFont="1" applyFill="1" applyBorder="1">
      <alignment vertical="center"/>
    </xf>
    <xf numFmtId="182" fontId="326" fillId="0" borderId="205" xfId="5443" applyNumberFormat="1" applyFont="1" applyBorder="1"/>
    <xf numFmtId="0" fontId="14" fillId="0" borderId="0" xfId="3714" applyFont="1">
      <alignment vertical="center"/>
    </xf>
    <xf numFmtId="188" fontId="346" fillId="0" borderId="0" xfId="0" applyNumberFormat="1" applyFont="1" applyProtection="1">
      <alignment vertical="center"/>
    </xf>
    <xf numFmtId="188" fontId="296" fillId="0" borderId="0" xfId="0" applyNumberFormat="1" applyFont="1" applyProtection="1">
      <alignment vertical="center"/>
    </xf>
    <xf numFmtId="0" fontId="67" fillId="0" borderId="0" xfId="0" quotePrefix="1" applyFont="1" applyProtection="1">
      <alignment vertical="center"/>
    </xf>
    <xf numFmtId="188" fontId="296" fillId="44" borderId="0" xfId="0" applyNumberFormat="1" applyFont="1" applyFill="1" applyProtection="1">
      <alignment vertical="center"/>
    </xf>
    <xf numFmtId="180" fontId="347" fillId="0" borderId="0" xfId="3714" applyNumberFormat="1" applyFont="1">
      <alignment vertical="center"/>
    </xf>
    <xf numFmtId="0" fontId="302" fillId="0" borderId="206" xfId="5442" applyFont="1" applyBorder="1" applyAlignment="1">
      <alignment horizontal="center" vertical="center"/>
    </xf>
    <xf numFmtId="0" fontId="158" fillId="0" borderId="206" xfId="5442" applyFont="1" applyBorder="1" applyAlignment="1">
      <alignment horizontal="center" vertical="center"/>
    </xf>
    <xf numFmtId="0" fontId="13" fillId="0" borderId="0" xfId="3714" applyFont="1">
      <alignment vertical="center"/>
    </xf>
    <xf numFmtId="0" fontId="81" fillId="40" borderId="10" xfId="0" quotePrefix="1" applyFont="1" applyFill="1" applyBorder="1" applyAlignment="1" applyProtection="1">
      <alignment horizontal="center" vertical="center"/>
    </xf>
    <xf numFmtId="0" fontId="78" fillId="35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2" shrinkToFit="1"/>
    </xf>
    <xf numFmtId="0" fontId="78" fillId="77" borderId="23" xfId="0" applyFont="1" applyFill="1" applyBorder="1" applyAlignment="1" applyProtection="1">
      <alignment horizontal="left" vertical="center" indent="3" shrinkToFit="1"/>
    </xf>
    <xf numFmtId="0" fontId="78" fillId="102" borderId="115" xfId="0" applyFont="1" applyFill="1" applyBorder="1" applyAlignment="1">
      <alignment horizontal="left" vertical="center"/>
    </xf>
    <xf numFmtId="0" fontId="78" fillId="77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1" shrinkToFit="1"/>
    </xf>
    <xf numFmtId="0" fontId="78" fillId="102" borderId="23" xfId="0" applyFont="1" applyFill="1" applyBorder="1" applyAlignment="1" applyProtection="1">
      <alignment horizontal="left" vertical="center" indent="2" shrinkToFit="1"/>
    </xf>
    <xf numFmtId="0" fontId="78" fillId="102" borderId="23" xfId="0" applyFont="1" applyFill="1" applyBorder="1" applyAlignment="1" applyProtection="1">
      <alignment horizontal="left" vertical="center" indent="3" shrinkToFit="1"/>
    </xf>
    <xf numFmtId="0" fontId="78" fillId="102" borderId="23" xfId="0" applyFont="1" applyFill="1" applyBorder="1" applyAlignment="1" applyProtection="1">
      <alignment horizontal="left" vertical="center" indent="1" shrinkToFit="1"/>
    </xf>
    <xf numFmtId="0" fontId="322" fillId="77" borderId="23" xfId="0" applyFont="1" applyFill="1" applyBorder="1" applyAlignment="1" applyProtection="1">
      <alignment horizontal="left" vertical="center" indent="3" shrinkToFit="1"/>
    </xf>
    <xf numFmtId="0" fontId="12" fillId="0" borderId="0" xfId="3714" applyFont="1">
      <alignment vertical="center"/>
    </xf>
    <xf numFmtId="180" fontId="11" fillId="0" borderId="0" xfId="3714" applyNumberFormat="1" applyFont="1">
      <alignment vertical="center"/>
    </xf>
    <xf numFmtId="0" fontId="305" fillId="95" borderId="207" xfId="5431" applyFont="1" applyBorder="1" applyAlignment="1">
      <alignment horizontal="left" vertical="center"/>
    </xf>
    <xf numFmtId="0" fontId="305" fillId="95" borderId="207" xfId="5431" applyFont="1" applyBorder="1" applyAlignment="1">
      <alignment horizontal="center" vertical="center"/>
    </xf>
    <xf numFmtId="0" fontId="312" fillId="0" borderId="0" xfId="0" applyFont="1" applyBorder="1" applyAlignment="1">
      <alignment horizontal="left" vertical="center"/>
    </xf>
    <xf numFmtId="0" fontId="312" fillId="0" borderId="0" xfId="4042" applyNumberFormat="1" applyFont="1" applyFill="1" applyBorder="1" applyAlignment="1">
      <alignment horizontal="left" vertical="center"/>
    </xf>
    <xf numFmtId="0" fontId="312" fillId="0" borderId="69" xfId="0" applyFont="1" applyBorder="1" applyAlignment="1">
      <alignment horizontal="left" vertical="center"/>
    </xf>
    <xf numFmtId="0" fontId="312" fillId="0" borderId="69" xfId="4042" applyNumberFormat="1" applyFont="1" applyFill="1" applyBorder="1" applyAlignment="1">
      <alignment horizontal="left" vertical="center"/>
    </xf>
    <xf numFmtId="0" fontId="348" fillId="0" borderId="0" xfId="0" applyFont="1" applyFill="1" applyBorder="1" applyAlignment="1">
      <alignment horizontal="left" vertical="center"/>
    </xf>
    <xf numFmtId="0" fontId="312" fillId="0" borderId="0" xfId="3245" applyFont="1" applyFill="1" applyBorder="1" applyAlignment="1">
      <alignment horizontal="left" vertical="center"/>
    </xf>
    <xf numFmtId="0" fontId="309" fillId="0" borderId="0" xfId="0" applyFont="1" applyFill="1" applyBorder="1">
      <alignment vertical="center"/>
    </xf>
    <xf numFmtId="0" fontId="312" fillId="0" borderId="69" xfId="3245" applyFont="1" applyFill="1" applyBorder="1" applyAlignment="1">
      <alignment horizontal="left" vertical="center"/>
    </xf>
    <xf numFmtId="0" fontId="312" fillId="0" borderId="69" xfId="0" applyFont="1" applyFill="1" applyBorder="1" applyAlignment="1">
      <alignment horizontal="left" vertical="center"/>
    </xf>
    <xf numFmtId="0" fontId="113" fillId="0" borderId="0" xfId="0" applyFont="1">
      <alignment vertical="center"/>
    </xf>
    <xf numFmtId="0" fontId="312" fillId="0" borderId="0" xfId="0" applyFont="1" applyFill="1" applyBorder="1" applyAlignment="1">
      <alignment horizontal="left" vertical="center"/>
    </xf>
    <xf numFmtId="0" fontId="312" fillId="0" borderId="208" xfId="0" applyFont="1" applyFill="1" applyBorder="1" applyAlignment="1">
      <alignment horizontal="left" vertical="center"/>
    </xf>
    <xf numFmtId="0" fontId="293" fillId="0" borderId="0" xfId="0" applyFont="1">
      <alignment vertical="center"/>
    </xf>
    <xf numFmtId="0" fontId="11" fillId="0" borderId="0" xfId="3714" applyFont="1">
      <alignment vertical="center"/>
    </xf>
    <xf numFmtId="0" fontId="10" fillId="0" borderId="0" xfId="3714" applyFont="1">
      <alignment vertical="center"/>
    </xf>
    <xf numFmtId="0" fontId="9" fillId="0" borderId="0" xfId="3714" applyFont="1">
      <alignment vertical="center"/>
    </xf>
    <xf numFmtId="185" fontId="295" fillId="0" borderId="0" xfId="3263" applyNumberFormat="1" applyFont="1"/>
    <xf numFmtId="0" fontId="8" fillId="0" borderId="0" xfId="3714" applyFont="1">
      <alignment vertical="center"/>
    </xf>
    <xf numFmtId="180" fontId="8" fillId="0" borderId="0" xfId="3714" applyNumberFormat="1" applyFont="1">
      <alignment vertical="center"/>
    </xf>
    <xf numFmtId="182" fontId="290" fillId="0" borderId="0" xfId="3714" applyNumberFormat="1" applyFont="1" applyFill="1">
      <alignment vertical="center"/>
    </xf>
    <xf numFmtId="0" fontId="323" fillId="0" borderId="0" xfId="5442" applyFont="1" applyProtection="1">
      <alignment vertical="center"/>
      <protection locked="0"/>
    </xf>
    <xf numFmtId="0" fontId="349" fillId="0" borderId="0" xfId="5442" applyFont="1" applyProtection="1">
      <alignment vertical="center"/>
      <protection locked="0"/>
    </xf>
    <xf numFmtId="180" fontId="8" fillId="0" borderId="0" xfId="3714" applyNumberFormat="1" applyFont="1" applyFill="1">
      <alignment vertical="center"/>
    </xf>
    <xf numFmtId="180" fontId="350" fillId="42" borderId="23" xfId="0" applyNumberFormat="1" applyFont="1" applyFill="1" applyBorder="1" applyAlignment="1" applyProtection="1">
      <alignment vertical="center" shrinkToFit="1"/>
    </xf>
    <xf numFmtId="188" fontId="351" fillId="0" borderId="0" xfId="3263" applyNumberFormat="1" applyFont="1"/>
    <xf numFmtId="0" fontId="340" fillId="35" borderId="115" xfId="0" applyFont="1" applyFill="1" applyBorder="1" applyAlignment="1">
      <alignment horizontal="left" vertical="center"/>
    </xf>
    <xf numFmtId="0" fontId="138" fillId="73" borderId="36" xfId="5442" quotePrefix="1" applyFont="1" applyFill="1" applyBorder="1" applyAlignment="1" applyProtection="1">
      <alignment horizontal="center" vertical="center"/>
      <protection locked="0"/>
    </xf>
    <xf numFmtId="180" fontId="70" fillId="0" borderId="0" xfId="0" applyNumberFormat="1" applyFont="1" applyProtection="1">
      <alignment vertical="center"/>
      <protection locked="0"/>
    </xf>
    <xf numFmtId="0" fontId="7" fillId="0" borderId="0" xfId="3714" applyFont="1">
      <alignment vertical="center"/>
    </xf>
    <xf numFmtId="181" fontId="353" fillId="0" borderId="0" xfId="5447" applyFont="1">
      <alignment vertical="center"/>
    </xf>
    <xf numFmtId="182" fontId="8" fillId="0" borderId="0" xfId="3714" applyNumberFormat="1" applyFont="1">
      <alignment vertical="center"/>
    </xf>
    <xf numFmtId="180" fontId="336" fillId="44" borderId="74" xfId="5448" applyNumberFormat="1" applyFont="1" applyFill="1" applyBorder="1">
      <alignment vertical="center"/>
    </xf>
    <xf numFmtId="193" fontId="158" fillId="44" borderId="74" xfId="5447" applyNumberFormat="1" applyFont="1" applyFill="1" applyBorder="1">
      <alignment vertical="center"/>
    </xf>
    <xf numFmtId="193" fontId="158" fillId="44" borderId="23" xfId="5447" applyNumberFormat="1" applyFont="1" applyFill="1" applyBorder="1">
      <alignment vertical="center"/>
    </xf>
    <xf numFmtId="193" fontId="158" fillId="44" borderId="127" xfId="5447" applyNumberFormat="1" applyFont="1" applyFill="1" applyBorder="1">
      <alignment vertical="center"/>
    </xf>
    <xf numFmtId="247" fontId="158" fillId="44" borderId="74" xfId="5447" applyNumberFormat="1" applyFont="1" applyFill="1" applyBorder="1">
      <alignment vertical="center"/>
    </xf>
    <xf numFmtId="247" fontId="158" fillId="44" borderId="23" xfId="5447" applyNumberFormat="1" applyFont="1" applyFill="1" applyBorder="1">
      <alignment vertical="center"/>
    </xf>
    <xf numFmtId="247" fontId="158" fillId="44" borderId="127" xfId="5447" applyNumberFormat="1" applyFont="1" applyFill="1" applyBorder="1">
      <alignment vertical="center"/>
    </xf>
    <xf numFmtId="182" fontId="158" fillId="44" borderId="74" xfId="5447" applyNumberFormat="1" applyFont="1" applyFill="1" applyBorder="1">
      <alignment vertical="center"/>
    </xf>
    <xf numFmtId="182" fontId="158" fillId="44" borderId="23" xfId="5447" applyNumberFormat="1" applyFont="1" applyFill="1" applyBorder="1">
      <alignment vertical="center"/>
    </xf>
    <xf numFmtId="182" fontId="158" fillId="44" borderId="127" xfId="5447" applyNumberFormat="1" applyFont="1" applyFill="1" applyBorder="1">
      <alignment vertical="center"/>
    </xf>
    <xf numFmtId="261" fontId="329" fillId="0" borderId="13" xfId="5445" applyNumberFormat="1" applyFont="1" applyBorder="1" applyAlignment="1">
      <alignment horizontal="right" vertical="center" wrapText="1"/>
    </xf>
    <xf numFmtId="261" fontId="329" fillId="0" borderId="40" xfId="5445" applyNumberFormat="1" applyFont="1" applyBorder="1" applyAlignment="1">
      <alignment horizontal="right" vertical="center" wrapText="1"/>
    </xf>
    <xf numFmtId="177" fontId="329" fillId="0" borderId="13" xfId="5445" applyFont="1" applyBorder="1" applyAlignment="1">
      <alignment horizontal="right" vertical="center" wrapText="1"/>
    </xf>
    <xf numFmtId="177" fontId="329" fillId="0" borderId="40" xfId="5445" applyFont="1" applyBorder="1" applyAlignment="1">
      <alignment horizontal="right" vertical="center" wrapText="1"/>
    </xf>
    <xf numFmtId="180" fontId="329" fillId="0" borderId="40" xfId="5445" applyNumberFormat="1" applyFont="1" applyBorder="1" applyAlignment="1">
      <alignment horizontal="right" vertical="center" wrapText="1"/>
    </xf>
    <xf numFmtId="180" fontId="329" fillId="0" borderId="13" xfId="5445" applyNumberFormat="1" applyFont="1" applyBorder="1" applyAlignment="1">
      <alignment horizontal="right" vertical="center" wrapText="1"/>
    </xf>
    <xf numFmtId="185" fontId="329" fillId="0" borderId="13" xfId="5445" applyNumberFormat="1" applyFont="1" applyFill="1" applyBorder="1" applyAlignment="1">
      <alignment horizontal="right" vertical="center" wrapText="1"/>
    </xf>
    <xf numFmtId="185" fontId="329" fillId="0" borderId="40" xfId="5445" applyNumberFormat="1" applyFont="1" applyFill="1" applyBorder="1" applyAlignment="1">
      <alignment horizontal="right" vertical="center" wrapText="1"/>
    </xf>
    <xf numFmtId="190" fontId="339" fillId="0" borderId="40" xfId="5445" applyNumberFormat="1" applyFont="1" applyFill="1" applyBorder="1" applyAlignment="1">
      <alignment horizontal="right" vertical="center" wrapText="1"/>
    </xf>
    <xf numFmtId="190" fontId="339" fillId="0" borderId="13" xfId="5445" applyNumberFormat="1" applyFont="1" applyFill="1" applyBorder="1" applyAlignment="1">
      <alignment horizontal="right" vertical="center" wrapText="1"/>
    </xf>
    <xf numFmtId="183" fontId="329" fillId="0" borderId="40" xfId="5445" applyNumberFormat="1" applyFont="1" applyFill="1" applyBorder="1" applyAlignment="1">
      <alignment horizontal="right" vertical="center" wrapText="1"/>
    </xf>
    <xf numFmtId="183" fontId="329" fillId="0" borderId="13" xfId="5445" applyNumberFormat="1" applyFont="1" applyFill="1" applyBorder="1" applyAlignment="1">
      <alignment horizontal="right" vertical="center" wrapText="1"/>
    </xf>
    <xf numFmtId="190" fontId="329" fillId="0" borderId="112" xfId="5445" applyNumberFormat="1" applyFont="1" applyFill="1" applyBorder="1" applyAlignment="1">
      <alignment horizontal="right" vertical="center" wrapText="1"/>
    </xf>
    <xf numFmtId="190" fontId="329" fillId="0" borderId="122" xfId="5445" applyNumberFormat="1" applyFont="1" applyFill="1" applyBorder="1" applyAlignment="1">
      <alignment horizontal="right" vertical="center" wrapText="1"/>
    </xf>
    <xf numFmtId="182" fontId="339" fillId="0" borderId="40" xfId="5443" applyNumberFormat="1" applyFont="1" applyBorder="1"/>
    <xf numFmtId="9" fontId="326" fillId="0" borderId="0" xfId="5427" applyFont="1" applyAlignment="1"/>
    <xf numFmtId="182" fontId="339" fillId="0" borderId="109" xfId="5443" applyNumberFormat="1" applyFont="1" applyBorder="1"/>
    <xf numFmtId="180" fontId="339" fillId="0" borderId="40" xfId="5443" applyNumberFormat="1" applyFont="1" applyBorder="1"/>
    <xf numFmtId="180" fontId="339" fillId="0" borderId="109" xfId="5443" applyNumberFormat="1" applyFont="1" applyBorder="1"/>
    <xf numFmtId="182" fontId="339" fillId="0" borderId="122" xfId="5443" applyNumberFormat="1" applyFont="1" applyBorder="1"/>
    <xf numFmtId="182" fontId="339" fillId="0" borderId="124" xfId="5443" applyNumberFormat="1" applyFont="1" applyBorder="1"/>
    <xf numFmtId="9" fontId="325" fillId="0" borderId="0" xfId="5427" applyFont="1" applyAlignment="1"/>
    <xf numFmtId="0" fontId="6" fillId="0" borderId="0" xfId="3714" applyFont="1" applyFill="1">
      <alignment vertical="center"/>
    </xf>
    <xf numFmtId="190" fontId="146" fillId="0" borderId="0" xfId="43" applyNumberFormat="1" applyFont="1" applyFill="1">
      <alignment vertical="center"/>
    </xf>
    <xf numFmtId="185" fontId="5" fillId="0" borderId="89" xfId="5432" applyNumberFormat="1" applyFont="1" applyBorder="1">
      <alignment vertical="center"/>
    </xf>
    <xf numFmtId="185" fontId="5" fillId="0" borderId="92" xfId="5432" applyNumberFormat="1" applyFont="1" applyBorder="1">
      <alignment vertical="center"/>
    </xf>
    <xf numFmtId="3" fontId="5" fillId="0" borderId="23" xfId="5432" applyNumberFormat="1" applyFont="1" applyBorder="1" applyAlignment="1">
      <alignment horizontal="center" vertical="center"/>
    </xf>
    <xf numFmtId="3" fontId="5" fillId="0" borderId="100" xfId="5432" applyNumberFormat="1" applyFont="1" applyBorder="1" applyAlignment="1">
      <alignment horizontal="center" vertical="center"/>
    </xf>
    <xf numFmtId="0" fontId="5" fillId="0" borderId="0" xfId="5432" applyFont="1" applyBorder="1" applyAlignment="1">
      <alignment horizontal="left" vertical="center"/>
    </xf>
    <xf numFmtId="0" fontId="77" fillId="43" borderId="215" xfId="5432" quotePrefix="1" applyFont="1" applyFill="1" applyBorder="1" applyAlignment="1">
      <alignment horizontal="center"/>
    </xf>
    <xf numFmtId="0" fontId="77" fillId="43" borderId="216" xfId="5432" quotePrefix="1" applyFont="1" applyFill="1" applyBorder="1" applyAlignment="1">
      <alignment horizontal="center"/>
    </xf>
    <xf numFmtId="0" fontId="5" fillId="0" borderId="88" xfId="5432" applyFont="1" applyBorder="1">
      <alignment vertical="center"/>
    </xf>
    <xf numFmtId="185" fontId="146" fillId="0" borderId="217" xfId="5432" applyNumberFormat="1" applyBorder="1">
      <alignment vertical="center"/>
    </xf>
    <xf numFmtId="185" fontId="146" fillId="0" borderId="218" xfId="5432" applyNumberFormat="1" applyBorder="1">
      <alignment vertical="center"/>
    </xf>
    <xf numFmtId="0" fontId="5" fillId="0" borderId="0" xfId="5432" applyFont="1">
      <alignment vertical="center"/>
    </xf>
    <xf numFmtId="0" fontId="5" fillId="0" borderId="33" xfId="5432" applyFont="1" applyBorder="1">
      <alignment vertical="center"/>
    </xf>
    <xf numFmtId="0" fontId="5" fillId="0" borderId="105" xfId="5432" applyFont="1" applyBorder="1">
      <alignment vertical="center"/>
    </xf>
    <xf numFmtId="0" fontId="5" fillId="0" borderId="91" xfId="5432" applyFont="1" applyBorder="1">
      <alignment vertical="center"/>
    </xf>
    <xf numFmtId="185" fontId="146" fillId="0" borderId="223" xfId="5432" applyNumberFormat="1" applyBorder="1">
      <alignment vertical="center"/>
    </xf>
    <xf numFmtId="185" fontId="146" fillId="0" borderId="224" xfId="5432" applyNumberFormat="1" applyBorder="1">
      <alignment vertical="center"/>
    </xf>
    <xf numFmtId="0" fontId="77" fillId="43" borderId="225" xfId="5432" quotePrefix="1" applyFont="1" applyFill="1" applyBorder="1" applyAlignment="1">
      <alignment horizontal="center"/>
    </xf>
    <xf numFmtId="3" fontId="146" fillId="0" borderId="217" xfId="5432" applyNumberFormat="1" applyBorder="1">
      <alignment vertical="center"/>
    </xf>
    <xf numFmtId="3" fontId="146" fillId="0" borderId="226" xfId="5432" applyNumberFormat="1" applyBorder="1">
      <alignment vertical="center"/>
    </xf>
    <xf numFmtId="3" fontId="318" fillId="0" borderId="226" xfId="5432" applyNumberFormat="1" applyFont="1" applyBorder="1">
      <alignment vertical="center"/>
    </xf>
    <xf numFmtId="3" fontId="318" fillId="0" borderId="218" xfId="5432" applyNumberFormat="1" applyFont="1" applyBorder="1">
      <alignment vertical="center"/>
    </xf>
    <xf numFmtId="186" fontId="5" fillId="0" borderId="0" xfId="5427" applyNumberFormat="1" applyFont="1">
      <alignment vertical="center"/>
    </xf>
    <xf numFmtId="3" fontId="146" fillId="0" borderId="223" xfId="5432" applyNumberFormat="1" applyBorder="1">
      <alignment vertical="center"/>
    </xf>
    <xf numFmtId="3" fontId="146" fillId="0" borderId="227" xfId="5432" applyNumberFormat="1" applyBorder="1">
      <alignment vertical="center"/>
    </xf>
    <xf numFmtId="3" fontId="318" fillId="0" borderId="227" xfId="5432" applyNumberFormat="1" applyFont="1" applyBorder="1">
      <alignment vertical="center"/>
    </xf>
    <xf numFmtId="3" fontId="318" fillId="0" borderId="224" xfId="5432" applyNumberFormat="1" applyFont="1" applyBorder="1">
      <alignment vertical="center"/>
    </xf>
    <xf numFmtId="3" fontId="5" fillId="0" borderId="0" xfId="5432" applyNumberFormat="1" applyFont="1" applyAlignment="1">
      <alignment horizontal="right" vertical="center"/>
    </xf>
    <xf numFmtId="3" fontId="146" fillId="0" borderId="218" xfId="5432" applyNumberFormat="1" applyBorder="1">
      <alignment vertical="center"/>
    </xf>
    <xf numFmtId="3" fontId="146" fillId="0" borderId="219" xfId="5432" applyNumberFormat="1" applyBorder="1">
      <alignment vertical="center"/>
    </xf>
    <xf numFmtId="3" fontId="146" fillId="0" borderId="228" xfId="5432" applyNumberFormat="1" applyBorder="1">
      <alignment vertical="center"/>
    </xf>
    <xf numFmtId="3" fontId="318" fillId="0" borderId="223" xfId="5432" applyNumberFormat="1" applyFont="1" applyBorder="1">
      <alignment vertical="center"/>
    </xf>
    <xf numFmtId="3" fontId="318" fillId="0" borderId="224" xfId="5432" applyNumberFormat="1" applyFont="1" applyBorder="1" applyAlignment="1">
      <alignment horizontal="right" vertical="center"/>
    </xf>
    <xf numFmtId="3" fontId="289" fillId="0" borderId="0" xfId="5432" applyNumberFormat="1" applyFont="1">
      <alignment vertical="center"/>
    </xf>
    <xf numFmtId="3" fontId="318" fillId="0" borderId="228" xfId="5432" applyNumberFormat="1" applyFont="1" applyBorder="1">
      <alignment vertical="center"/>
    </xf>
    <xf numFmtId="0" fontId="5" fillId="0" borderId="112" xfId="5432" applyFont="1" applyBorder="1">
      <alignment vertical="center"/>
    </xf>
    <xf numFmtId="3" fontId="146" fillId="0" borderId="229" xfId="5432" applyNumberFormat="1" applyBorder="1">
      <alignment vertical="center"/>
    </xf>
    <xf numFmtId="3" fontId="146" fillId="0" borderId="230" xfId="5432" applyNumberFormat="1" applyBorder="1">
      <alignment vertical="center"/>
    </xf>
    <xf numFmtId="3" fontId="146" fillId="0" borderId="231" xfId="5432" applyNumberFormat="1" applyBorder="1">
      <alignment vertical="center"/>
    </xf>
    <xf numFmtId="185" fontId="146" fillId="93" borderId="232" xfId="5432" applyNumberFormat="1" applyFill="1" applyBorder="1">
      <alignment vertical="center"/>
    </xf>
    <xf numFmtId="0" fontId="5" fillId="0" borderId="13" xfId="5432" applyFont="1" applyBorder="1">
      <alignment vertical="center"/>
    </xf>
    <xf numFmtId="3" fontId="146" fillId="0" borderId="233" xfId="5432" applyNumberFormat="1" applyBorder="1">
      <alignment vertical="center"/>
    </xf>
    <xf numFmtId="3" fontId="146" fillId="0" borderId="234" xfId="5432" applyNumberFormat="1" applyBorder="1">
      <alignment vertical="center"/>
    </xf>
    <xf numFmtId="3" fontId="146" fillId="0" borderId="235" xfId="5432" applyNumberFormat="1" applyBorder="1">
      <alignment vertical="center"/>
    </xf>
    <xf numFmtId="0" fontId="5" fillId="0" borderId="11" xfId="5432" applyFont="1" applyBorder="1">
      <alignment vertical="center"/>
    </xf>
    <xf numFmtId="3" fontId="146" fillId="0" borderId="236" xfId="5432" applyNumberFormat="1" applyBorder="1">
      <alignment vertical="center"/>
    </xf>
    <xf numFmtId="3" fontId="147" fillId="0" borderId="233" xfId="5432" applyNumberFormat="1" applyFont="1" applyBorder="1">
      <alignment vertical="center"/>
    </xf>
    <xf numFmtId="3" fontId="147" fillId="0" borderId="234" xfId="5432" applyNumberFormat="1" applyFont="1" applyBorder="1">
      <alignment vertical="center"/>
    </xf>
    <xf numFmtId="3" fontId="147" fillId="0" borderId="235" xfId="5432" applyNumberFormat="1" applyFont="1" applyBorder="1">
      <alignment vertical="center"/>
    </xf>
    <xf numFmtId="3" fontId="318" fillId="0" borderId="237" xfId="5432" applyNumberFormat="1" applyFont="1" applyBorder="1">
      <alignment vertical="center"/>
    </xf>
    <xf numFmtId="3" fontId="318" fillId="0" borderId="238" xfId="5432" applyNumberFormat="1" applyFont="1" applyBorder="1">
      <alignment vertical="center"/>
    </xf>
    <xf numFmtId="3" fontId="318" fillId="0" borderId="239" xfId="5432" applyNumberFormat="1" applyFont="1" applyBorder="1">
      <alignment vertical="center"/>
    </xf>
    <xf numFmtId="0" fontId="147" fillId="0" borderId="115" xfId="5432" applyFont="1" applyBorder="1">
      <alignment vertical="center"/>
    </xf>
    <xf numFmtId="3" fontId="147" fillId="0" borderId="215" xfId="5432" applyNumberFormat="1" applyFont="1" applyBorder="1">
      <alignment vertical="center"/>
    </xf>
    <xf numFmtId="3" fontId="147" fillId="0" borderId="225" xfId="5432" applyNumberFormat="1" applyFont="1" applyBorder="1">
      <alignment vertical="center"/>
    </xf>
    <xf numFmtId="3" fontId="147" fillId="0" borderId="216" xfId="5432" applyNumberFormat="1" applyFont="1" applyBorder="1">
      <alignment vertical="center"/>
    </xf>
    <xf numFmtId="185" fontId="318" fillId="93" borderId="111" xfId="5432" applyNumberFormat="1" applyFont="1" applyFill="1" applyBorder="1">
      <alignment vertical="center"/>
    </xf>
    <xf numFmtId="0" fontId="318" fillId="0" borderId="115" xfId="5432" applyFont="1" applyBorder="1">
      <alignment vertical="center"/>
    </xf>
    <xf numFmtId="3" fontId="318" fillId="0" borderId="215" xfId="5432" applyNumberFormat="1" applyFont="1" applyBorder="1">
      <alignment vertical="center"/>
    </xf>
    <xf numFmtId="3" fontId="318" fillId="0" borderId="225" xfId="5432" applyNumberFormat="1" applyFont="1" applyBorder="1">
      <alignment vertical="center"/>
    </xf>
    <xf numFmtId="3" fontId="318" fillId="0" borderId="216" xfId="5432" applyNumberFormat="1" applyFont="1" applyBorder="1">
      <alignment vertical="center"/>
    </xf>
    <xf numFmtId="185" fontId="147" fillId="0" borderId="215" xfId="5432" applyNumberFormat="1" applyFont="1" applyBorder="1">
      <alignment vertical="center"/>
    </xf>
    <xf numFmtId="185" fontId="147" fillId="0" borderId="225" xfId="5432" applyNumberFormat="1" applyFont="1" applyBorder="1">
      <alignment vertical="center"/>
    </xf>
    <xf numFmtId="185" fontId="147" fillId="0" borderId="216" xfId="5432" applyNumberFormat="1" applyFont="1" applyBorder="1">
      <alignment vertical="center"/>
    </xf>
    <xf numFmtId="0" fontId="5" fillId="0" borderId="115" xfId="5432" applyFont="1" applyBorder="1">
      <alignment vertical="center"/>
    </xf>
    <xf numFmtId="193" fontId="146" fillId="0" borderId="232" xfId="5432" applyNumberFormat="1" applyBorder="1">
      <alignment vertical="center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147" fillId="0" borderId="125" xfId="5432" applyFont="1" applyBorder="1">
      <alignment vertical="center"/>
    </xf>
    <xf numFmtId="3" fontId="146" fillId="0" borderId="206" xfId="5432" applyNumberFormat="1" applyBorder="1" applyAlignment="1">
      <alignment horizontal="center" vertical="center"/>
    </xf>
    <xf numFmtId="185" fontId="147" fillId="0" borderId="206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 applyAlignment="1">
      <alignment horizontal="center" vertical="center"/>
    </xf>
    <xf numFmtId="3" fontId="5" fillId="0" borderId="94" xfId="5432" applyNumberFormat="1" applyFont="1" applyBorder="1" applyAlignment="1">
      <alignment horizontal="center" vertical="center"/>
    </xf>
    <xf numFmtId="185" fontId="147" fillId="0" borderId="94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>
      <alignment vertical="center"/>
    </xf>
    <xf numFmtId="0" fontId="146" fillId="0" borderId="125" xfId="5432" applyBorder="1">
      <alignment vertical="center"/>
    </xf>
    <xf numFmtId="180" fontId="5" fillId="0" borderId="240" xfId="5432" applyNumberFormat="1" applyFont="1" applyBorder="1">
      <alignment vertical="center"/>
    </xf>
    <xf numFmtId="180" fontId="5" fillId="0" borderId="241" xfId="5432" applyNumberFormat="1" applyFont="1" applyBorder="1">
      <alignment vertical="center"/>
    </xf>
    <xf numFmtId="180" fontId="5" fillId="0" borderId="242" xfId="5432" applyNumberFormat="1" applyFont="1" applyBorder="1">
      <alignment vertical="center"/>
    </xf>
    <xf numFmtId="182" fontId="146" fillId="0" borderId="116" xfId="5432" applyNumberFormat="1" applyBorder="1">
      <alignment vertical="center"/>
    </xf>
    <xf numFmtId="180" fontId="146" fillId="0" borderId="219" xfId="5432" applyNumberFormat="1" applyBorder="1">
      <alignment vertical="center"/>
    </xf>
    <xf numFmtId="180" fontId="146" fillId="0" borderId="228" xfId="5432" applyNumberFormat="1" applyBorder="1">
      <alignment vertical="center"/>
    </xf>
    <xf numFmtId="180" fontId="146" fillId="0" borderId="220" xfId="5432" applyNumberFormat="1" applyBorder="1">
      <alignment vertical="center"/>
    </xf>
    <xf numFmtId="180" fontId="146" fillId="0" borderId="221" xfId="5432" applyNumberFormat="1" applyBorder="1">
      <alignment vertical="center"/>
    </xf>
    <xf numFmtId="180" fontId="146" fillId="0" borderId="243" xfId="5432" applyNumberFormat="1" applyBorder="1">
      <alignment vertical="center"/>
    </xf>
    <xf numFmtId="180" fontId="146" fillId="0" borderId="222" xfId="5432" applyNumberFormat="1" applyBorder="1">
      <alignment vertical="center"/>
    </xf>
    <xf numFmtId="0" fontId="146" fillId="0" borderId="115" xfId="5432" applyBorder="1" applyAlignment="1">
      <alignment horizontal="center" vertical="center"/>
    </xf>
    <xf numFmtId="180" fontId="146" fillId="0" borderId="215" xfId="5432" applyNumberFormat="1" applyBorder="1">
      <alignment vertical="center"/>
    </xf>
    <xf numFmtId="180" fontId="146" fillId="0" borderId="225" xfId="5432" applyNumberFormat="1" applyBorder="1">
      <alignment vertical="center"/>
    </xf>
    <xf numFmtId="180" fontId="146" fillId="0" borderId="216" xfId="5432" applyNumberFormat="1" applyBorder="1">
      <alignment vertical="center"/>
    </xf>
    <xf numFmtId="180" fontId="146" fillId="0" borderId="244" xfId="5432" applyNumberFormat="1" applyBorder="1">
      <alignment vertical="center"/>
    </xf>
    <xf numFmtId="180" fontId="146" fillId="0" borderId="241" xfId="5432" applyNumberFormat="1" applyBorder="1">
      <alignment vertical="center"/>
    </xf>
    <xf numFmtId="180" fontId="146" fillId="0" borderId="242" xfId="5432" applyNumberFormat="1" applyBorder="1">
      <alignment vertical="center"/>
    </xf>
    <xf numFmtId="180" fontId="146" fillId="0" borderId="245" xfId="5432" applyNumberFormat="1" applyBorder="1">
      <alignment vertical="center"/>
    </xf>
    <xf numFmtId="180" fontId="146" fillId="0" borderId="246" xfId="5432" applyNumberFormat="1" applyBorder="1">
      <alignment vertical="center"/>
    </xf>
    <xf numFmtId="0" fontId="5" fillId="0" borderId="115" xfId="5432" applyFont="1" applyBorder="1" applyAlignment="1">
      <alignment horizontal="center" vertical="center"/>
    </xf>
    <xf numFmtId="180" fontId="146" fillId="0" borderId="247" xfId="5432" applyNumberFormat="1" applyBorder="1">
      <alignment vertical="center"/>
    </xf>
    <xf numFmtId="0" fontId="146" fillId="0" borderId="248" xfId="5432" applyBorder="1">
      <alignment vertical="center"/>
    </xf>
    <xf numFmtId="0" fontId="146" fillId="0" borderId="234" xfId="5432" applyBorder="1">
      <alignment vertical="center"/>
    </xf>
    <xf numFmtId="0" fontId="146" fillId="0" borderId="249" xfId="5432" applyBorder="1">
      <alignment vertical="center"/>
    </xf>
    <xf numFmtId="0" fontId="77" fillId="43" borderId="247" xfId="5432" quotePrefix="1" applyFont="1" applyFill="1" applyBorder="1" applyAlignment="1">
      <alignment horizontal="center"/>
    </xf>
    <xf numFmtId="177" fontId="318" fillId="0" borderId="244" xfId="43" applyFont="1" applyBorder="1">
      <alignment vertical="center"/>
    </xf>
    <xf numFmtId="177" fontId="318" fillId="0" borderId="241" xfId="43" applyFont="1" applyBorder="1">
      <alignment vertical="center"/>
    </xf>
    <xf numFmtId="177" fontId="318" fillId="0" borderId="242" xfId="43" applyFont="1" applyBorder="1">
      <alignment vertical="center"/>
    </xf>
    <xf numFmtId="177" fontId="318" fillId="0" borderId="245" xfId="43" applyFont="1" applyBorder="1">
      <alignment vertical="center"/>
    </xf>
    <xf numFmtId="177" fontId="318" fillId="0" borderId="228" xfId="43" applyFont="1" applyBorder="1">
      <alignment vertical="center"/>
    </xf>
    <xf numFmtId="177" fontId="318" fillId="0" borderId="220" xfId="43" applyFont="1" applyBorder="1">
      <alignment vertical="center"/>
    </xf>
    <xf numFmtId="182" fontId="146" fillId="0" borderId="250" xfId="5432" applyNumberFormat="1" applyBorder="1">
      <alignment vertical="center"/>
    </xf>
    <xf numFmtId="182" fontId="146" fillId="0" borderId="234" xfId="5432" applyNumberFormat="1" applyBorder="1">
      <alignment vertical="center"/>
    </xf>
    <xf numFmtId="182" fontId="146" fillId="0" borderId="235" xfId="5432" applyNumberFormat="1" applyBorder="1">
      <alignment vertical="center"/>
    </xf>
    <xf numFmtId="182" fontId="146" fillId="0" borderId="247" xfId="5432" applyNumberFormat="1" applyBorder="1">
      <alignment vertical="center"/>
    </xf>
    <xf numFmtId="182" fontId="146" fillId="0" borderId="225" xfId="5432" applyNumberFormat="1" applyBorder="1">
      <alignment vertical="center"/>
    </xf>
    <xf numFmtId="182" fontId="146" fillId="0" borderId="216" xfId="5432" applyNumberFormat="1" applyBorder="1">
      <alignment vertical="center"/>
    </xf>
    <xf numFmtId="3" fontId="147" fillId="49" borderId="94" xfId="5432" applyNumberFormat="1" applyFont="1" applyFill="1" applyBorder="1" applyAlignment="1">
      <alignment horizontal="center" vertical="center"/>
    </xf>
    <xf numFmtId="185" fontId="147" fillId="0" borderId="90" xfId="5432" applyNumberFormat="1" applyFont="1" applyFill="1" applyBorder="1" applyAlignment="1">
      <alignment horizontal="center" vertical="center"/>
    </xf>
    <xf numFmtId="0" fontId="5" fillId="0" borderId="125" xfId="5432" applyFont="1" applyBorder="1">
      <alignment vertical="center"/>
    </xf>
    <xf numFmtId="0" fontId="5" fillId="0" borderId="117" xfId="5432" applyFont="1" applyBorder="1">
      <alignment vertical="center"/>
    </xf>
    <xf numFmtId="190" fontId="5" fillId="0" borderId="0" xfId="2399" applyNumberFormat="1" applyFont="1" applyBorder="1">
      <alignment vertical="center"/>
    </xf>
    <xf numFmtId="3" fontId="5" fillId="0" borderId="0" xfId="5432" applyNumberFormat="1" applyFont="1" applyBorder="1" applyAlignment="1">
      <alignment horizontal="center" vertical="center"/>
    </xf>
    <xf numFmtId="3" fontId="147" fillId="0" borderId="0" xfId="5432" applyNumberFormat="1" applyFont="1" applyFill="1" applyBorder="1" applyAlignment="1">
      <alignment horizontal="center" vertical="center"/>
    </xf>
    <xf numFmtId="0" fontId="77" fillId="93" borderId="110" xfId="5432" quotePrefix="1" applyFont="1" applyFill="1" applyBorder="1" applyAlignment="1">
      <alignment horizontal="center"/>
    </xf>
    <xf numFmtId="3" fontId="146" fillId="0" borderId="251" xfId="5432" applyNumberFormat="1" applyBorder="1">
      <alignment vertical="center"/>
    </xf>
    <xf numFmtId="3" fontId="146" fillId="0" borderId="232" xfId="5432" applyNumberFormat="1" applyBorder="1">
      <alignment vertical="center"/>
    </xf>
    <xf numFmtId="185" fontId="146" fillId="93" borderId="251" xfId="5432" applyNumberFormat="1" applyFill="1" applyBorder="1">
      <alignment vertical="center"/>
    </xf>
    <xf numFmtId="185" fontId="318" fillId="0" borderId="116" xfId="5432" applyNumberFormat="1" applyFont="1" applyBorder="1">
      <alignment vertical="center"/>
    </xf>
    <xf numFmtId="0" fontId="5" fillId="0" borderId="0" xfId="5432" applyFont="1" applyBorder="1">
      <alignment vertical="center"/>
    </xf>
    <xf numFmtId="3" fontId="146" fillId="0" borderId="0" xfId="5432" applyNumberFormat="1" applyBorder="1">
      <alignment vertical="center"/>
    </xf>
    <xf numFmtId="3" fontId="318" fillId="0" borderId="0" xfId="5432" applyNumberFormat="1" applyFont="1" applyBorder="1">
      <alignment vertical="center"/>
    </xf>
    <xf numFmtId="0" fontId="67" fillId="0" borderId="0" xfId="0" applyFont="1">
      <alignment vertical="center"/>
    </xf>
    <xf numFmtId="0" fontId="318" fillId="0" borderId="0" xfId="5432" applyFont="1">
      <alignment vertical="center"/>
    </xf>
    <xf numFmtId="3" fontId="67" fillId="0" borderId="0" xfId="0" applyNumberFormat="1" applyFont="1">
      <alignment vertical="center"/>
    </xf>
    <xf numFmtId="0" fontId="67" fillId="0" borderId="0" xfId="0" quotePrefix="1" applyFont="1">
      <alignment vertical="center"/>
    </xf>
    <xf numFmtId="0" fontId="5" fillId="0" borderId="0" xfId="3714" applyFont="1">
      <alignment vertical="center"/>
    </xf>
    <xf numFmtId="185" fontId="146" fillId="0" borderId="251" xfId="5432" applyNumberFormat="1" applyBorder="1">
      <alignment vertical="center"/>
    </xf>
    <xf numFmtId="185" fontId="146" fillId="0" borderId="232" xfId="5432" applyNumberFormat="1" applyBorder="1">
      <alignment vertical="center"/>
    </xf>
    <xf numFmtId="188" fontId="67" fillId="0" borderId="0" xfId="0" applyNumberFormat="1" applyFont="1" applyProtection="1">
      <alignment vertical="center"/>
      <protection locked="0"/>
    </xf>
    <xf numFmtId="180" fontId="4" fillId="0" borderId="0" xfId="3714" applyNumberFormat="1" applyFont="1">
      <alignment vertical="center"/>
    </xf>
    <xf numFmtId="0" fontId="4" fillId="0" borderId="0" xfId="3714" applyFont="1">
      <alignment vertical="center"/>
    </xf>
    <xf numFmtId="0" fontId="3" fillId="0" borderId="0" xfId="5453" applyProtection="1">
      <alignment vertical="center"/>
      <protection locked="0"/>
    </xf>
    <xf numFmtId="0" fontId="132" fillId="0" borderId="0" xfId="5453" applyFont="1" applyProtection="1">
      <alignment vertical="center"/>
      <protection locked="0"/>
    </xf>
    <xf numFmtId="0" fontId="105" fillId="0" borderId="0" xfId="5453" applyFont="1" applyProtection="1">
      <alignment vertical="center"/>
      <protection locked="0"/>
    </xf>
    <xf numFmtId="0" fontId="134" fillId="0" borderId="0" xfId="5453" applyFont="1" applyFill="1" applyBorder="1" applyAlignment="1" applyProtection="1">
      <alignment vertical="center"/>
      <protection locked="0"/>
    </xf>
    <xf numFmtId="0" fontId="80" fillId="0" borderId="0" xfId="5453" applyFont="1" applyAlignment="1" applyProtection="1">
      <alignment horizontal="left" vertical="center" indent="1"/>
      <protection locked="0"/>
    </xf>
    <xf numFmtId="14" fontId="3" fillId="0" borderId="0" xfId="5453" applyNumberFormat="1" applyProtection="1">
      <alignment vertical="center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9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9" fontId="132" fillId="73" borderId="23" xfId="5453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53" applyFont="1" applyFill="1" applyBorder="1" applyAlignment="1" applyProtection="1">
      <alignment horizontal="center" vertical="center" wrapText="1"/>
      <protection locked="0"/>
    </xf>
    <xf numFmtId="192" fontId="137" fillId="74" borderId="23" xfId="5453" applyNumberFormat="1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left" vertical="center" wrapText="1"/>
      <protection locked="0"/>
    </xf>
    <xf numFmtId="2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56" applyFont="1" applyFill="1" applyBorder="1" applyAlignment="1" applyProtection="1">
      <alignment horizontal="center" vertical="center" wrapText="1"/>
      <protection locked="0"/>
    </xf>
    <xf numFmtId="193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53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</xf>
    <xf numFmtId="9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53" applyFont="1" applyFill="1" applyBorder="1" applyAlignment="1" applyProtection="1">
      <alignment vertical="center"/>
      <protection locked="0"/>
    </xf>
    <xf numFmtId="0" fontId="3" fillId="0" borderId="0" xfId="5454" applyProtection="1">
      <alignment vertical="center"/>
      <protection locked="0"/>
    </xf>
    <xf numFmtId="0" fontId="83" fillId="0" borderId="0" xfId="5453" applyFont="1" applyBorder="1" applyAlignment="1" applyProtection="1">
      <alignment vertical="center" wrapText="1"/>
      <protection locked="0"/>
    </xf>
    <xf numFmtId="0" fontId="83" fillId="0" borderId="0" xfId="5453" applyFont="1" applyFill="1" applyBorder="1" applyAlignment="1" applyProtection="1">
      <alignment vertical="center" wrapText="1"/>
      <protection locked="0"/>
    </xf>
    <xf numFmtId="0" fontId="144" fillId="0" borderId="0" xfId="5453" applyFont="1" applyFill="1" applyBorder="1" applyAlignment="1" applyProtection="1">
      <alignment horizontal="center" vertical="center" wrapText="1"/>
      <protection locked="0"/>
    </xf>
    <xf numFmtId="0" fontId="145" fillId="0" borderId="0" xfId="5453" applyFont="1" applyProtection="1">
      <alignment vertical="center"/>
      <protection locked="0"/>
    </xf>
    <xf numFmtId="0" fontId="131" fillId="0" borderId="0" xfId="5453" applyFont="1" applyProtection="1">
      <alignment vertical="center"/>
      <protection locked="0"/>
    </xf>
    <xf numFmtId="0" fontId="147" fillId="76" borderId="129" xfId="5459" applyFont="1" applyFill="1" applyBorder="1" applyAlignment="1" applyProtection="1">
      <alignment horizontal="center" vertical="center"/>
    </xf>
    <xf numFmtId="0" fontId="147" fillId="76" borderId="130" xfId="5459" applyFont="1" applyFill="1" applyBorder="1" applyAlignment="1" applyProtection="1">
      <alignment horizontal="center" vertical="center"/>
    </xf>
    <xf numFmtId="0" fontId="64" fillId="0" borderId="129" xfId="5459" applyFont="1" applyFill="1" applyBorder="1" applyAlignment="1" applyProtection="1">
      <alignment horizontal="center" vertical="center"/>
      <protection locked="0"/>
    </xf>
    <xf numFmtId="0" fontId="64" fillId="0" borderId="121" xfId="5459" applyFont="1" applyFill="1" applyBorder="1" applyAlignment="1" applyProtection="1">
      <alignment horizontal="center" vertical="center"/>
      <protection locked="0"/>
    </xf>
    <xf numFmtId="0" fontId="64" fillId="0" borderId="130" xfId="5459" applyFont="1" applyFill="1" applyBorder="1" applyAlignment="1" applyProtection="1">
      <alignment horizontal="center" vertical="center"/>
      <protection locked="0"/>
    </xf>
    <xf numFmtId="0" fontId="147" fillId="76" borderId="0" xfId="5459" applyFont="1" applyFill="1" applyBorder="1" applyAlignment="1" applyProtection="1">
      <alignment horizontal="center" vertical="center"/>
    </xf>
    <xf numFmtId="0" fontId="147" fillId="76" borderId="252" xfId="5459" applyFont="1" applyFill="1" applyBorder="1" applyAlignment="1" applyProtection="1">
      <alignment horizontal="center" vertical="center"/>
    </xf>
    <xf numFmtId="0" fontId="64" fillId="0" borderId="0" xfId="5459" applyFont="1" applyFill="1" applyBorder="1" applyAlignment="1" applyProtection="1">
      <alignment horizontal="center" vertical="center"/>
      <protection locked="0"/>
    </xf>
    <xf numFmtId="0" fontId="64" fillId="0" borderId="51" xfId="5459" applyFont="1" applyFill="1" applyBorder="1" applyAlignment="1" applyProtection="1">
      <alignment horizontal="center" vertical="center"/>
      <protection locked="0"/>
    </xf>
    <xf numFmtId="0" fontId="64" fillId="0" borderId="252" xfId="5459" applyFont="1" applyFill="1" applyBorder="1" applyAlignment="1" applyProtection="1">
      <alignment horizontal="center" vertical="center"/>
      <protection locked="0"/>
    </xf>
    <xf numFmtId="0" fontId="64" fillId="0" borderId="52" xfId="5459" applyFont="1" applyFill="1" applyBorder="1" applyAlignment="1" applyProtection="1">
      <alignment horizontal="center" vertical="center"/>
      <protection locked="0"/>
    </xf>
    <xf numFmtId="0" fontId="64" fillId="0" borderId="53" xfId="5459" applyFont="1" applyFill="1" applyBorder="1" applyAlignment="1" applyProtection="1">
      <alignment horizontal="center" vertical="center"/>
      <protection locked="0"/>
    </xf>
    <xf numFmtId="0" fontId="64" fillId="0" borderId="54" xfId="5459" applyFont="1" applyFill="1" applyBorder="1" applyAlignment="1" applyProtection="1">
      <alignment horizontal="center" vertical="center"/>
      <protection locked="0"/>
    </xf>
    <xf numFmtId="0" fontId="132" fillId="0" borderId="0" xfId="5459" applyFont="1" applyFill="1" applyBorder="1" applyAlignment="1" applyProtection="1">
      <alignment horizontal="center" vertical="center"/>
      <protection locked="0"/>
    </xf>
    <xf numFmtId="0" fontId="132" fillId="0" borderId="51" xfId="5459" applyFont="1" applyFill="1" applyBorder="1" applyAlignment="1" applyProtection="1">
      <alignment horizontal="center" vertical="center"/>
      <protection locked="0"/>
    </xf>
    <xf numFmtId="0" fontId="132" fillId="0" borderId="252" xfId="5459" applyFont="1" applyFill="1" applyBorder="1" applyAlignment="1" applyProtection="1">
      <alignment horizontal="center" vertical="center"/>
      <protection locked="0"/>
    </xf>
    <xf numFmtId="0" fontId="4" fillId="0" borderId="204" xfId="5459" applyFill="1" applyBorder="1" applyAlignment="1" applyProtection="1">
      <alignment vertical="center"/>
      <protection locked="0"/>
    </xf>
    <xf numFmtId="0" fontId="4" fillId="0" borderId="129" xfId="5459" applyFill="1" applyBorder="1" applyAlignment="1" applyProtection="1">
      <alignment vertical="center"/>
      <protection locked="0"/>
    </xf>
    <xf numFmtId="0" fontId="4" fillId="0" borderId="130" xfId="5459" applyFill="1" applyBorder="1" applyAlignment="1" applyProtection="1">
      <alignment horizontal="center" vertical="center"/>
      <protection locked="0"/>
    </xf>
    <xf numFmtId="0" fontId="148" fillId="0" borderId="40" xfId="5459" applyFont="1" applyFill="1" applyBorder="1" applyAlignment="1" applyProtection="1">
      <alignment vertical="center"/>
      <protection locked="0"/>
    </xf>
    <xf numFmtId="0" fontId="4" fillId="0" borderId="0" xfId="5459" applyFill="1" applyBorder="1" applyAlignment="1" applyProtection="1">
      <alignment vertical="center"/>
      <protection locked="0"/>
    </xf>
    <xf numFmtId="0" fontId="4" fillId="0" borderId="252" xfId="5459" applyFill="1" applyBorder="1" applyAlignment="1" applyProtection="1">
      <alignment vertical="center"/>
      <protection locked="0"/>
    </xf>
    <xf numFmtId="0" fontId="4" fillId="0" borderId="122" xfId="5459" applyFill="1" applyBorder="1" applyAlignment="1" applyProtection="1">
      <alignment vertical="center"/>
      <protection locked="0"/>
    </xf>
    <xf numFmtId="0" fontId="4" fillId="0" borderId="123" xfId="5459" applyFill="1" applyBorder="1" applyAlignment="1" applyProtection="1">
      <alignment vertical="center"/>
      <protection locked="0"/>
    </xf>
    <xf numFmtId="0" fontId="4" fillId="0" borderId="124" xfId="5459" applyFill="1" applyBorder="1" applyAlignment="1" applyProtection="1">
      <alignment vertical="center"/>
      <protection locked="0"/>
    </xf>
    <xf numFmtId="0" fontId="149" fillId="77" borderId="122" xfId="5453" applyFont="1" applyFill="1" applyBorder="1" applyProtection="1">
      <alignment vertical="center"/>
      <protection locked="0"/>
    </xf>
    <xf numFmtId="0" fontId="76" fillId="77" borderId="123" xfId="5453" applyFont="1" applyFill="1" applyBorder="1" applyProtection="1">
      <alignment vertical="center"/>
      <protection locked="0"/>
    </xf>
    <xf numFmtId="0" fontId="76" fillId="77" borderId="124" xfId="5453" applyFont="1" applyFill="1" applyBorder="1" applyProtection="1">
      <alignment vertical="center"/>
      <protection locked="0"/>
    </xf>
    <xf numFmtId="0" fontId="150" fillId="76" borderId="123" xfId="5453" applyFont="1" applyFill="1" applyBorder="1" applyProtection="1">
      <alignment vertical="center"/>
    </xf>
    <xf numFmtId="0" fontId="150" fillId="76" borderId="124" xfId="5453" applyFont="1" applyFill="1" applyBorder="1" applyProtection="1">
      <alignment vertical="center"/>
    </xf>
    <xf numFmtId="0" fontId="151" fillId="75" borderId="131" xfId="5453" applyFont="1" applyFill="1" applyBorder="1" applyAlignment="1" applyProtection="1">
      <alignment vertical="center"/>
      <protection locked="0"/>
    </xf>
    <xf numFmtId="0" fontId="152" fillId="75" borderId="126" xfId="5453" applyFont="1" applyFill="1" applyBorder="1" applyProtection="1">
      <alignment vertical="center"/>
      <protection locked="0"/>
    </xf>
    <xf numFmtId="0" fontId="153" fillId="0" borderId="204" xfId="5453" applyFont="1" applyFill="1" applyBorder="1" applyAlignment="1" applyProtection="1">
      <alignment vertical="center"/>
      <protection locked="0"/>
    </xf>
    <xf numFmtId="0" fontId="3" fillId="0" borderId="129" xfId="5453" applyBorder="1" applyAlignment="1" applyProtection="1">
      <alignment vertical="center"/>
      <protection locked="0"/>
    </xf>
    <xf numFmtId="0" fontId="3" fillId="0" borderId="130" xfId="5453" applyBorder="1" applyAlignment="1" applyProtection="1">
      <alignment vertical="center"/>
      <protection locked="0"/>
    </xf>
    <xf numFmtId="0" fontId="153" fillId="0" borderId="40" xfId="5453" applyFont="1" applyFill="1" applyBorder="1" applyAlignment="1" applyProtection="1">
      <alignment horizontal="center" vertical="center"/>
      <protection locked="0"/>
    </xf>
    <xf numFmtId="0" fontId="153" fillId="0" borderId="252" xfId="5453" applyFont="1" applyFill="1" applyBorder="1" applyAlignment="1" applyProtection="1">
      <alignment horizontal="center" vertical="center"/>
      <protection locked="0"/>
    </xf>
    <xf numFmtId="0" fontId="153" fillId="0" borderId="0" xfId="5453" applyFont="1" applyFill="1" applyBorder="1" applyAlignment="1" applyProtection="1">
      <alignment horizontal="center" vertical="center"/>
      <protection locked="0"/>
    </xf>
    <xf numFmtId="0" fontId="93" fillId="0" borderId="40" xfId="5453" applyFont="1" applyBorder="1" applyProtection="1">
      <alignment vertical="center"/>
      <protection locked="0"/>
    </xf>
    <xf numFmtId="0" fontId="93" fillId="0" borderId="0" xfId="5453" applyFont="1" applyBorder="1" applyProtection="1">
      <alignment vertical="center"/>
      <protection locked="0"/>
    </xf>
    <xf numFmtId="183" fontId="93" fillId="0" borderId="0" xfId="5453" applyNumberFormat="1" applyFont="1" applyBorder="1" applyProtection="1">
      <alignment vertical="center"/>
      <protection locked="0"/>
    </xf>
    <xf numFmtId="0" fontId="93" fillId="0" borderId="40" xfId="5453" applyFont="1" applyBorder="1" applyAlignment="1" applyProtection="1">
      <alignment horizontal="center" vertical="center"/>
      <protection locked="0"/>
    </xf>
    <xf numFmtId="0" fontId="93" fillId="0" borderId="252" xfId="5453" applyFont="1" applyBorder="1" applyAlignment="1" applyProtection="1">
      <alignment horizontal="center" vertical="center"/>
      <protection locked="0"/>
    </xf>
    <xf numFmtId="0" fontId="93" fillId="0" borderId="0" xfId="5453" applyFont="1" applyBorder="1" applyAlignment="1" applyProtection="1">
      <alignment horizontal="center" vertical="center"/>
      <protection locked="0"/>
    </xf>
    <xf numFmtId="0" fontId="93" fillId="0" borderId="122" xfId="5453" applyFont="1" applyBorder="1" applyProtection="1">
      <alignment vertical="center"/>
      <protection locked="0"/>
    </xf>
    <xf numFmtId="0" fontId="93" fillId="0" borderId="123" xfId="5453" applyFont="1" applyBorder="1" applyProtection="1">
      <alignment vertical="center"/>
      <protection locked="0"/>
    </xf>
    <xf numFmtId="3" fontId="154" fillId="76" borderId="122" xfId="5453" applyNumberFormat="1" applyFont="1" applyFill="1" applyBorder="1" applyProtection="1">
      <alignment vertical="center"/>
    </xf>
    <xf numFmtId="0" fontId="154" fillId="76" borderId="124" xfId="5453" applyFont="1" applyFill="1" applyBorder="1" applyProtection="1">
      <alignment vertical="center"/>
    </xf>
    <xf numFmtId="3" fontId="154" fillId="76" borderId="123" xfId="5453" applyNumberFormat="1" applyFont="1" applyFill="1" applyBorder="1" applyProtection="1">
      <alignment vertical="center"/>
    </xf>
    <xf numFmtId="0" fontId="154" fillId="76" borderId="123" xfId="5453" applyFont="1" applyFill="1" applyBorder="1" applyProtection="1">
      <alignment vertical="center"/>
    </xf>
    <xf numFmtId="193" fontId="95" fillId="49" borderId="131" xfId="5453" applyNumberFormat="1" applyFont="1" applyFill="1" applyBorder="1" applyAlignment="1" applyProtection="1">
      <alignment horizontal="center" vertical="center" wrapText="1"/>
      <protection locked="0"/>
    </xf>
    <xf numFmtId="193" fontId="95" fillId="49" borderId="15" xfId="5453" applyNumberFormat="1" applyFont="1" applyFill="1" applyBorder="1" applyAlignment="1" applyProtection="1">
      <alignment horizontal="center" vertical="center" wrapText="1"/>
      <protection locked="0"/>
    </xf>
    <xf numFmtId="0" fontId="142" fillId="76" borderId="131" xfId="5453" applyFont="1" applyFill="1" applyBorder="1" applyAlignment="1" applyProtection="1">
      <alignment horizontal="center" vertical="center"/>
    </xf>
    <xf numFmtId="0" fontId="142" fillId="76" borderId="15" xfId="5453" applyFont="1" applyFill="1" applyBorder="1" applyAlignment="1" applyProtection="1">
      <alignment horizontal="center" vertical="center"/>
    </xf>
    <xf numFmtId="0" fontId="105" fillId="77" borderId="0" xfId="5453" applyFont="1" applyFill="1" applyProtection="1">
      <alignment vertical="center"/>
      <protection locked="0"/>
    </xf>
    <xf numFmtId="0" fontId="3" fillId="77" borderId="0" xfId="5453" applyFill="1" applyProtection="1">
      <alignment vertical="center"/>
      <protection locked="0"/>
    </xf>
    <xf numFmtId="0" fontId="155" fillId="0" borderId="0" xfId="5453" applyFont="1" applyFill="1" applyBorder="1" applyAlignment="1" applyProtection="1">
      <alignment horizontal="center" vertical="center" wrapText="1"/>
      <protection locked="0"/>
    </xf>
    <xf numFmtId="0" fontId="155" fillId="0" borderId="0" xfId="5453" applyFont="1" applyFill="1" applyBorder="1" applyAlignment="1" applyProtection="1">
      <alignment vertical="center"/>
      <protection locked="0"/>
    </xf>
    <xf numFmtId="0" fontId="86" fillId="0" borderId="0" xfId="5453" applyFont="1" applyFill="1" applyBorder="1" applyAlignment="1" applyProtection="1">
      <alignment vertical="center"/>
      <protection locked="0"/>
    </xf>
    <xf numFmtId="0" fontId="142" fillId="0" borderId="0" xfId="5453" applyFont="1" applyProtection="1">
      <alignment vertical="center"/>
      <protection locked="0"/>
    </xf>
    <xf numFmtId="0" fontId="3" fillId="0" borderId="0" xfId="5453" applyFill="1" applyProtection="1">
      <alignment vertical="center"/>
      <protection locked="0"/>
    </xf>
    <xf numFmtId="0" fontId="3" fillId="0" borderId="15" xfId="5453" applyBorder="1" applyAlignment="1" applyProtection="1">
      <alignment horizontal="center" vertical="center"/>
      <protection locked="0"/>
    </xf>
    <xf numFmtId="2" fontId="355" fillId="0" borderId="253" xfId="5458" applyNumberFormat="1" applyFont="1" applyFill="1" applyBorder="1" applyAlignment="1">
      <alignment horizontal="right" vertical="center"/>
    </xf>
    <xf numFmtId="0" fontId="356" fillId="0" borderId="0" xfId="5457" applyFont="1">
      <alignment vertical="center"/>
    </xf>
    <xf numFmtId="0" fontId="357" fillId="0" borderId="0" xfId="5457" applyFont="1" applyAlignment="1">
      <alignment horizontal="center" vertical="center"/>
    </xf>
    <xf numFmtId="182" fontId="296" fillId="0" borderId="0" xfId="5458" applyNumberFormat="1" applyFont="1" applyFill="1" applyBorder="1" applyAlignment="1">
      <alignment horizontal="right" vertical="center"/>
    </xf>
    <xf numFmtId="182" fontId="295" fillId="0" borderId="0" xfId="5458" applyNumberFormat="1" applyFont="1" applyFill="1" applyBorder="1" applyAlignment="1">
      <alignment horizontal="right" vertical="center"/>
    </xf>
    <xf numFmtId="180" fontId="295" fillId="0" borderId="0" xfId="5458" applyNumberFormat="1" applyFont="1" applyFill="1" applyBorder="1" applyAlignment="1">
      <alignment horizontal="right" vertical="center"/>
    </xf>
    <xf numFmtId="189" fontId="295" fillId="0" borderId="0" xfId="5458" applyNumberFormat="1" applyFont="1" applyFill="1" applyBorder="1" applyAlignment="1">
      <alignment horizontal="right" vertical="center"/>
    </xf>
    <xf numFmtId="189" fontId="296" fillId="0" borderId="0" xfId="5458" applyNumberFormat="1" applyFont="1" applyFill="1" applyBorder="1" applyAlignment="1">
      <alignment horizontal="right" vertical="center"/>
    </xf>
    <xf numFmtId="0" fontId="156" fillId="0" borderId="0" xfId="5453" applyFont="1">
      <alignment vertical="center"/>
    </xf>
    <xf numFmtId="0" fontId="3" fillId="0" borderId="0" xfId="5453">
      <alignment vertical="center"/>
    </xf>
    <xf numFmtId="0" fontId="157" fillId="78" borderId="123" xfId="5453" applyFont="1" applyFill="1" applyBorder="1" applyAlignment="1">
      <alignment horizontal="center" vertical="center"/>
    </xf>
    <xf numFmtId="0" fontId="157" fillId="78" borderId="15" xfId="5453" applyFont="1" applyFill="1" applyBorder="1" applyAlignment="1">
      <alignment horizontal="center" vertical="center"/>
    </xf>
    <xf numFmtId="0" fontId="157" fillId="78" borderId="124" xfId="5453" applyFont="1" applyFill="1" applyBorder="1" applyAlignment="1">
      <alignment horizontal="center" vertical="center"/>
    </xf>
    <xf numFmtId="9" fontId="158" fillId="0" borderId="15" xfId="5454" applyNumberFormat="1" applyFont="1" applyBorder="1">
      <alignment vertical="center"/>
    </xf>
    <xf numFmtId="0" fontId="158" fillId="0" borderId="126" xfId="5453" applyFont="1" applyBorder="1" applyAlignment="1">
      <alignment horizontal="center" vertical="center"/>
    </xf>
    <xf numFmtId="0" fontId="158" fillId="0" borderId="15" xfId="5453" applyFont="1" applyBorder="1" applyAlignment="1">
      <alignment horizontal="center" vertical="center"/>
    </xf>
    <xf numFmtId="0" fontId="159" fillId="0" borderId="15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3" fillId="0" borderId="15" xfId="5453" applyBorder="1" applyProtection="1">
      <alignment vertical="center"/>
      <protection locked="0"/>
    </xf>
    <xf numFmtId="0" fontId="3" fillId="0" borderId="0" xfId="5453" applyFont="1" applyProtection="1">
      <alignment vertical="center"/>
      <protection locked="0"/>
    </xf>
    <xf numFmtId="0" fontId="158" fillId="0" borderId="0" xfId="5453" applyFont="1" applyBorder="1" applyAlignment="1">
      <alignment vertical="center" shrinkToFit="1"/>
    </xf>
    <xf numFmtId="9" fontId="158" fillId="0" borderId="13" xfId="5460" applyNumberFormat="1" applyFont="1" applyBorder="1">
      <alignment vertical="center"/>
    </xf>
    <xf numFmtId="0" fontId="302" fillId="0" borderId="0" xfId="5454" applyFont="1" applyBorder="1" applyAlignment="1">
      <alignment horizontal="center" vertical="center"/>
    </xf>
    <xf numFmtId="0" fontId="302" fillId="0" borderId="13" xfId="5454" applyFont="1" applyBorder="1" applyAlignment="1">
      <alignment horizontal="center" vertical="center"/>
    </xf>
    <xf numFmtId="0" fontId="302" fillId="0" borderId="252" xfId="5454" applyFont="1" applyBorder="1" applyAlignment="1">
      <alignment horizontal="center" vertical="center"/>
    </xf>
    <xf numFmtId="191" fontId="3" fillId="0" borderId="113" xfId="5461" applyNumberFormat="1" applyFont="1" applyBorder="1" applyProtection="1">
      <alignment vertical="center"/>
      <protection locked="0"/>
    </xf>
    <xf numFmtId="191" fontId="323" fillId="0" borderId="0" xfId="5461" applyNumberFormat="1" applyFont="1" applyProtection="1">
      <alignment vertical="center"/>
      <protection locked="0"/>
    </xf>
    <xf numFmtId="191" fontId="324" fillId="0" borderId="0" xfId="5461" applyNumberFormat="1" applyFont="1" applyProtection="1">
      <alignment vertical="center"/>
      <protection locked="0"/>
    </xf>
    <xf numFmtId="0" fontId="158" fillId="0" borderId="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/>
    </xf>
    <xf numFmtId="0" fontId="158" fillId="0" borderId="252" xfId="5454" quotePrefix="1" applyFont="1" applyBorder="1" applyAlignment="1">
      <alignment horizontal="center" vertical="center"/>
    </xf>
    <xf numFmtId="191" fontId="3" fillId="0" borderId="13" xfId="5461" applyNumberFormat="1" applyFont="1" applyBorder="1" applyProtection="1">
      <alignment vertical="center"/>
      <protection locked="0"/>
    </xf>
    <xf numFmtId="0" fontId="158" fillId="0" borderId="0" xfId="5454" applyFont="1" applyBorder="1" applyAlignment="1">
      <alignment vertical="center" shrinkToFit="1"/>
    </xf>
    <xf numFmtId="0" fontId="158" fillId="0" borderId="252" xfId="5454" applyFont="1" applyBorder="1" applyAlignment="1">
      <alignment horizontal="center" vertical="center"/>
    </xf>
    <xf numFmtId="190" fontId="3" fillId="0" borderId="13" xfId="5461" applyNumberFormat="1" applyFont="1" applyBorder="1" applyProtection="1">
      <alignment vertical="center"/>
      <protection locked="0"/>
    </xf>
    <xf numFmtId="0" fontId="158" fillId="0" borderId="123" xfId="5453" applyFont="1" applyBorder="1" applyAlignment="1">
      <alignment vertical="center" shrinkToFit="1"/>
    </xf>
    <xf numFmtId="9" fontId="158" fillId="0" borderId="11" xfId="5460" applyNumberFormat="1" applyFont="1" applyBorder="1">
      <alignment vertical="center"/>
    </xf>
    <xf numFmtId="0" fontId="158" fillId="0" borderId="12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24" xfId="5453" applyFont="1" applyBorder="1" applyAlignment="1">
      <alignment horizontal="center" vertical="center"/>
    </xf>
    <xf numFmtId="191" fontId="3" fillId="0" borderId="11" xfId="5453" applyNumberFormat="1" applyBorder="1" applyProtection="1">
      <alignment vertical="center"/>
      <protection locked="0"/>
    </xf>
    <xf numFmtId="0" fontId="324" fillId="0" borderId="0" xfId="5453" applyFont="1" applyProtection="1">
      <alignment vertical="center"/>
      <protection locked="0"/>
    </xf>
    <xf numFmtId="191" fontId="3" fillId="0" borderId="15" xfId="5453" applyNumberFormat="1" applyBorder="1" applyProtection="1">
      <alignment vertical="center"/>
      <protection locked="0"/>
    </xf>
    <xf numFmtId="0" fontId="158" fillId="0" borderId="129" xfId="5453" applyFont="1" applyBorder="1" applyAlignment="1">
      <alignment vertical="center" shrinkToFit="1"/>
    </xf>
    <xf numFmtId="9" fontId="158" fillId="0" borderId="113" xfId="5460" applyNumberFormat="1" applyFont="1" applyBorder="1">
      <alignment vertical="center"/>
    </xf>
    <xf numFmtId="0" fontId="158" fillId="0" borderId="129" xfId="5454" applyFont="1" applyBorder="1" applyAlignment="1">
      <alignment horizontal="center" vertical="center"/>
    </xf>
    <xf numFmtId="0" fontId="158" fillId="0" borderId="113" xfId="5454" applyFont="1" applyBorder="1" applyAlignment="1">
      <alignment horizontal="center" vertical="center"/>
    </xf>
    <xf numFmtId="0" fontId="158" fillId="0" borderId="13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 shrinkToFit="1"/>
    </xf>
    <xf numFmtId="0" fontId="158" fillId="0" borderId="0" xfId="5454" applyFont="1" applyBorder="1" applyAlignment="1">
      <alignment horizontal="center" vertical="center" shrinkToFit="1"/>
    </xf>
    <xf numFmtId="190" fontId="324" fillId="0" borderId="0" xfId="5461" applyNumberFormat="1" applyFont="1" applyProtection="1">
      <alignment vertical="center"/>
      <protection locked="0"/>
    </xf>
    <xf numFmtId="177" fontId="324" fillId="0" borderId="0" xfId="5461" applyFont="1" applyProtection="1">
      <alignment vertical="center"/>
      <protection locked="0"/>
    </xf>
    <xf numFmtId="0" fontId="302" fillId="0" borderId="0" xfId="5453" applyFont="1" applyBorder="1" applyAlignment="1">
      <alignment horizontal="center" vertical="center"/>
    </xf>
    <xf numFmtId="0" fontId="302" fillId="0" borderId="13" xfId="5453" applyFont="1" applyBorder="1" applyAlignment="1">
      <alignment horizontal="center" vertical="center"/>
    </xf>
    <xf numFmtId="0" fontId="302" fillId="0" borderId="252" xfId="5453" applyFont="1" applyBorder="1" applyAlignment="1">
      <alignment horizontal="center" vertical="center"/>
    </xf>
    <xf numFmtId="177" fontId="3" fillId="0" borderId="13" xfId="5461" applyNumberFormat="1" applyFont="1" applyBorder="1" applyProtection="1">
      <alignment vertical="center"/>
      <protection locked="0"/>
    </xf>
    <xf numFmtId="177" fontId="323" fillId="0" borderId="0" xfId="5461" applyNumberFormat="1" applyFont="1" applyProtection="1">
      <alignment vertical="center"/>
      <protection locked="0"/>
    </xf>
    <xf numFmtId="177" fontId="324" fillId="0" borderId="0" xfId="5461" applyNumberFormat="1" applyFont="1" applyProtection="1">
      <alignment vertical="center"/>
      <protection locked="0"/>
    </xf>
    <xf numFmtId="0" fontId="158" fillId="0" borderId="123" xfId="5453" applyFont="1" applyBorder="1">
      <alignment vertical="center"/>
    </xf>
    <xf numFmtId="0" fontId="158" fillId="0" borderId="11" xfId="5453" applyFont="1" applyBorder="1">
      <alignment vertical="center"/>
    </xf>
    <xf numFmtId="0" fontId="158" fillId="0" borderId="124" xfId="5453" applyFont="1" applyBorder="1">
      <alignment vertical="center"/>
    </xf>
    <xf numFmtId="0" fontId="3" fillId="0" borderId="11" xfId="5453" applyBorder="1" applyProtection="1">
      <alignment vertical="center"/>
      <protection locked="0"/>
    </xf>
    <xf numFmtId="0" fontId="356" fillId="0" borderId="0" xfId="0" applyFont="1" applyAlignment="1">
      <alignment horizontal="center" vertical="center"/>
    </xf>
    <xf numFmtId="0" fontId="356" fillId="0" borderId="0" xfId="0" applyFont="1">
      <alignment vertical="center"/>
    </xf>
    <xf numFmtId="0" fontId="357" fillId="0" borderId="0" xfId="0" applyFont="1" applyAlignment="1">
      <alignment horizontal="center" vertical="center"/>
    </xf>
    <xf numFmtId="181" fontId="158" fillId="0" borderId="0" xfId="5462" applyFont="1">
      <alignment vertical="center"/>
    </xf>
    <xf numFmtId="181" fontId="297" fillId="48" borderId="0" xfId="5462" applyFont="1" applyFill="1">
      <alignment vertical="center"/>
    </xf>
    <xf numFmtId="181" fontId="158" fillId="0" borderId="0" xfId="5463" applyFont="1" applyAlignment="1">
      <alignment horizontal="center" vertical="center"/>
    </xf>
    <xf numFmtId="181" fontId="158" fillId="77" borderId="182" xfId="5462" applyFont="1" applyFill="1" applyBorder="1" applyAlignment="1">
      <alignment horizontal="center" vertical="center" wrapText="1"/>
    </xf>
    <xf numFmtId="181" fontId="157" fillId="0" borderId="0" xfId="5462" applyFont="1">
      <alignment vertical="center"/>
    </xf>
    <xf numFmtId="184" fontId="157" fillId="0" borderId="0" xfId="5462" applyNumberFormat="1" applyFont="1" applyAlignment="1">
      <alignment horizontal="center" vertical="center"/>
    </xf>
    <xf numFmtId="0" fontId="358" fillId="0" borderId="257" xfId="0" applyFont="1" applyBorder="1" applyAlignment="1">
      <alignment horizontal="center" vertical="center" wrapText="1"/>
    </xf>
    <xf numFmtId="0" fontId="358" fillId="0" borderId="258" xfId="0" applyFont="1" applyBorder="1" applyAlignment="1">
      <alignment horizontal="center" vertical="center" wrapText="1"/>
    </xf>
    <xf numFmtId="181" fontId="158" fillId="44" borderId="23" xfId="5462" applyFont="1" applyFill="1" applyBorder="1" applyAlignment="1">
      <alignment horizontal="left" vertical="center" indent="1"/>
    </xf>
    <xf numFmtId="182" fontId="299" fillId="44" borderId="34" xfId="5462" applyNumberFormat="1" applyFont="1" applyFill="1" applyBorder="1" applyAlignment="1">
      <alignment horizontal="right" vertical="center"/>
    </xf>
    <xf numFmtId="180" fontId="299" fillId="44" borderId="23" xfId="5462" applyNumberFormat="1" applyFont="1" applyFill="1" applyBorder="1" applyAlignment="1">
      <alignment horizontal="right" vertical="center"/>
    </xf>
    <xf numFmtId="180" fontId="299" fillId="44" borderId="34" xfId="5462" applyNumberFormat="1" applyFont="1" applyFill="1" applyBorder="1" applyAlignment="1">
      <alignment horizontal="right" vertical="center"/>
    </xf>
    <xf numFmtId="180" fontId="158" fillId="44" borderId="74" xfId="43" applyNumberFormat="1" applyFont="1" applyFill="1" applyBorder="1">
      <alignment vertical="center"/>
    </xf>
    <xf numFmtId="180" fontId="158" fillId="44" borderId="23" xfId="43" applyNumberFormat="1" applyFont="1" applyFill="1" applyBorder="1">
      <alignment vertical="center"/>
    </xf>
    <xf numFmtId="180" fontId="158" fillId="44" borderId="34" xfId="43" applyNumberFormat="1" applyFont="1" applyFill="1" applyBorder="1">
      <alignment vertical="center"/>
    </xf>
    <xf numFmtId="180" fontId="158" fillId="44" borderId="75" xfId="5462" applyNumberFormat="1" applyFont="1" applyFill="1" applyBorder="1">
      <alignment vertical="center"/>
    </xf>
    <xf numFmtId="181" fontId="158" fillId="44" borderId="182" xfId="5462" applyFont="1" applyFill="1" applyBorder="1" applyAlignment="1">
      <alignment horizontal="center" vertical="center" wrapText="1"/>
    </xf>
    <xf numFmtId="184" fontId="157" fillId="0" borderId="0" xfId="5462" applyNumberFormat="1" applyFont="1">
      <alignment vertical="center"/>
    </xf>
    <xf numFmtId="184" fontId="158" fillId="0" borderId="75" xfId="5462" applyNumberFormat="1" applyFont="1" applyBorder="1">
      <alignment vertical="center"/>
    </xf>
    <xf numFmtId="0" fontId="358" fillId="0" borderId="0" xfId="0" applyFont="1">
      <alignment vertical="center"/>
    </xf>
    <xf numFmtId="184" fontId="158" fillId="77" borderId="75" xfId="5462" applyNumberFormat="1" applyFont="1" applyFill="1" applyBorder="1" applyAlignment="1">
      <alignment horizontal="center" vertical="center"/>
    </xf>
    <xf numFmtId="181" fontId="158" fillId="97" borderId="0" xfId="5462" applyFont="1" applyFill="1">
      <alignment vertical="center"/>
    </xf>
    <xf numFmtId="0" fontId="358" fillId="97" borderId="257" xfId="0" applyFont="1" applyFill="1" applyBorder="1" applyAlignment="1">
      <alignment horizontal="center" vertical="center" wrapText="1"/>
    </xf>
    <xf numFmtId="0" fontId="358" fillId="97" borderId="258" xfId="0" applyFont="1" applyFill="1" applyBorder="1" applyAlignment="1">
      <alignment horizontal="center" vertical="center"/>
    </xf>
    <xf numFmtId="0" fontId="358" fillId="97" borderId="258" xfId="0" applyFont="1" applyFill="1" applyBorder="1" applyAlignment="1">
      <alignment horizontal="center" vertical="center" wrapText="1"/>
    </xf>
    <xf numFmtId="9" fontId="158" fillId="0" borderId="0" xfId="5462" applyNumberFormat="1" applyFont="1">
      <alignment vertical="center"/>
    </xf>
    <xf numFmtId="0" fontId="358" fillId="97" borderId="259" xfId="0" applyFont="1" applyFill="1" applyBorder="1" applyAlignment="1">
      <alignment horizontal="center" vertical="center" wrapText="1"/>
    </xf>
    <xf numFmtId="0" fontId="358" fillId="97" borderId="256" xfId="0" applyFont="1" applyFill="1" applyBorder="1" applyAlignment="1">
      <alignment horizontal="center" vertical="center"/>
    </xf>
    <xf numFmtId="0" fontId="358" fillId="97" borderId="256" xfId="0" applyFont="1" applyFill="1" applyBorder="1" applyAlignment="1">
      <alignment horizontal="center" vertical="center" wrapText="1"/>
    </xf>
    <xf numFmtId="184" fontId="158" fillId="0" borderId="75" xfId="5462" applyNumberFormat="1" applyFont="1" applyBorder="1" applyAlignment="1">
      <alignment horizontal="center" vertical="center"/>
    </xf>
    <xf numFmtId="182" fontId="158" fillId="44" borderId="74" xfId="5462" applyNumberFormat="1" applyFont="1" applyFill="1" applyBorder="1" applyAlignment="1">
      <alignment horizontal="right" vertical="center"/>
    </xf>
    <xf numFmtId="182" fontId="158" fillId="44" borderId="23" xfId="5462" applyNumberFormat="1" applyFont="1" applyFill="1" applyBorder="1" applyAlignment="1">
      <alignment horizontal="right" vertical="center"/>
    </xf>
    <xf numFmtId="182" fontId="158" fillId="44" borderId="183" xfId="5462" applyNumberFormat="1" applyFont="1" applyFill="1" applyBorder="1" applyAlignment="1">
      <alignment horizontal="right" vertical="center"/>
    </xf>
    <xf numFmtId="184" fontId="158" fillId="44" borderId="75" xfId="5462" applyNumberFormat="1" applyFont="1" applyFill="1" applyBorder="1">
      <alignment vertical="center"/>
    </xf>
    <xf numFmtId="182" fontId="158" fillId="44" borderId="75" xfId="5462" applyNumberFormat="1" applyFont="1" applyFill="1" applyBorder="1" applyAlignment="1">
      <alignment horizontal="center" vertical="center"/>
    </xf>
    <xf numFmtId="38" fontId="158" fillId="77" borderId="75" xfId="5462" applyNumberFormat="1" applyFont="1" applyFill="1" applyBorder="1" applyAlignment="1">
      <alignment horizontal="center" vertical="center"/>
    </xf>
    <xf numFmtId="181" fontId="158" fillId="0" borderId="0" xfId="5462" quotePrefix="1" applyFont="1" applyAlignment="1">
      <alignment horizontal="center" vertical="center"/>
    </xf>
    <xf numFmtId="181" fontId="158" fillId="44" borderId="23" xfId="5462" applyFont="1" applyFill="1" applyBorder="1">
      <alignment vertical="center"/>
    </xf>
    <xf numFmtId="182" fontId="299" fillId="44" borderId="34" xfId="5462" applyNumberFormat="1" applyFont="1" applyFill="1" applyBorder="1">
      <alignment vertical="center"/>
    </xf>
    <xf numFmtId="180" fontId="336" fillId="44" borderId="34" xfId="5462" applyNumberFormat="1" applyFont="1" applyFill="1" applyBorder="1">
      <alignment vertical="center"/>
    </xf>
    <xf numFmtId="180" fontId="299" fillId="44" borderId="74" xfId="5462" applyNumberFormat="1" applyFont="1" applyFill="1" applyBorder="1">
      <alignment vertical="center"/>
    </xf>
    <xf numFmtId="180" fontId="299" fillId="44" borderId="34" xfId="5462" applyNumberFormat="1" applyFont="1" applyFill="1" applyBorder="1">
      <alignment vertical="center"/>
    </xf>
    <xf numFmtId="180" fontId="299" fillId="44" borderId="183" xfId="5462" applyNumberFormat="1" applyFont="1" applyFill="1" applyBorder="1">
      <alignment vertical="center"/>
    </xf>
    <xf numFmtId="182" fontId="158" fillId="44" borderId="75" xfId="5462" applyNumberFormat="1" applyFont="1" applyFill="1" applyBorder="1">
      <alignment vertical="center"/>
    </xf>
    <xf numFmtId="190" fontId="299" fillId="44" borderId="34" xfId="43" applyNumberFormat="1" applyFont="1" applyFill="1" applyBorder="1">
      <alignment vertical="center"/>
    </xf>
    <xf numFmtId="190" fontId="299" fillId="44" borderId="34" xfId="5462" applyNumberFormat="1" applyFont="1" applyFill="1" applyBorder="1">
      <alignment vertical="center"/>
    </xf>
    <xf numFmtId="182" fontId="158" fillId="44" borderId="74" xfId="5462" applyNumberFormat="1" applyFont="1" applyFill="1" applyBorder="1">
      <alignment vertical="center"/>
    </xf>
    <xf numFmtId="182" fontId="158" fillId="44" borderId="34" xfId="5462" applyNumberFormat="1" applyFont="1" applyFill="1" applyBorder="1">
      <alignment vertical="center"/>
    </xf>
    <xf numFmtId="182" fontId="158" fillId="44" borderId="183" xfId="5462" applyNumberFormat="1" applyFont="1" applyFill="1" applyBorder="1">
      <alignment vertical="center"/>
    </xf>
    <xf numFmtId="182" fontId="336" fillId="44" borderId="34" xfId="5462" applyNumberFormat="1" applyFont="1" applyFill="1" applyBorder="1">
      <alignment vertical="center"/>
    </xf>
    <xf numFmtId="182" fontId="299" fillId="44" borderId="74" xfId="5462" applyNumberFormat="1" applyFont="1" applyFill="1" applyBorder="1">
      <alignment vertical="center"/>
    </xf>
    <xf numFmtId="182" fontId="299" fillId="44" borderId="183" xfId="5462" applyNumberFormat="1" applyFont="1" applyFill="1" applyBorder="1">
      <alignment vertical="center"/>
    </xf>
    <xf numFmtId="0" fontId="77" fillId="43" borderId="0" xfId="3263" quotePrefix="1" applyFont="1" applyFill="1" applyBorder="1" applyAlignment="1">
      <alignment horizontal="center"/>
    </xf>
    <xf numFmtId="0" fontId="77" fillId="43" borderId="109" xfId="3263" quotePrefix="1" applyFont="1" applyFill="1" applyBorder="1" applyAlignment="1">
      <alignment horizontal="center"/>
    </xf>
    <xf numFmtId="0" fontId="358" fillId="0" borderId="254" xfId="0" applyFont="1" applyBorder="1" applyAlignment="1">
      <alignment horizontal="center" vertical="center" wrapText="1"/>
    </xf>
    <xf numFmtId="0" fontId="358" fillId="0" borderId="255" xfId="0" applyFont="1" applyBorder="1" applyAlignment="1">
      <alignment horizontal="center" vertical="center" wrapText="1"/>
    </xf>
    <xf numFmtId="0" fontId="358" fillId="0" borderId="256" xfId="0" applyFont="1" applyBorder="1" applyAlignment="1">
      <alignment horizontal="center" vertical="center" wrapText="1"/>
    </xf>
    <xf numFmtId="182" fontId="326" fillId="0" borderId="204" xfId="5443" applyNumberFormat="1" applyFont="1" applyBorder="1" applyAlignment="1">
      <alignment horizontal="center"/>
    </xf>
    <xf numFmtId="182" fontId="326" fillId="0" borderId="130" xfId="5443" applyNumberFormat="1" applyFont="1" applyBorder="1" applyAlignment="1">
      <alignment horizontal="center"/>
    </xf>
    <xf numFmtId="181" fontId="326" fillId="0" borderId="204" xfId="5443" applyFont="1" applyBorder="1" applyAlignment="1">
      <alignment horizontal="center"/>
    </xf>
    <xf numFmtId="181" fontId="326" fillId="0" borderId="130" xfId="5443" applyFont="1" applyBorder="1" applyAlignment="1">
      <alignment horizontal="center"/>
    </xf>
    <xf numFmtId="0" fontId="158" fillId="0" borderId="131" xfId="5453" applyFont="1" applyBorder="1" applyAlignment="1">
      <alignment vertical="center"/>
    </xf>
    <xf numFmtId="0" fontId="158" fillId="0" borderId="126" xfId="5453" applyFont="1" applyBorder="1" applyAlignment="1">
      <alignment vertical="center"/>
    </xf>
    <xf numFmtId="0" fontId="158" fillId="0" borderId="146" xfId="5453" applyFont="1" applyBorder="1" applyAlignment="1">
      <alignment vertical="center"/>
    </xf>
    <xf numFmtId="0" fontId="157" fillId="78" borderId="113" xfId="5453" applyFont="1" applyFill="1" applyBorder="1" applyAlignment="1">
      <alignment horizontal="center" vertical="center"/>
    </xf>
    <xf numFmtId="0" fontId="157" fillId="78" borderId="11" xfId="5453" applyFont="1" applyFill="1" applyBorder="1" applyAlignment="1">
      <alignment horizontal="center" vertical="center"/>
    </xf>
    <xf numFmtId="0" fontId="158" fillId="0" borderId="113" xfId="5453" applyFont="1" applyBorder="1" applyAlignment="1">
      <alignment horizontal="center" vertical="center"/>
    </xf>
    <xf numFmtId="0" fontId="158" fillId="0" borderId="1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31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147" fillId="75" borderId="122" xfId="5459" applyFont="1" applyFill="1" applyBorder="1" applyAlignment="1" applyProtection="1">
      <alignment horizontal="center" vertical="center"/>
      <protection locked="0"/>
    </xf>
    <xf numFmtId="0" fontId="3" fillId="0" borderId="123" xfId="5453" applyBorder="1" applyAlignment="1" applyProtection="1">
      <alignment horizontal="center" vertical="center"/>
      <protection locked="0"/>
    </xf>
    <xf numFmtId="0" fontId="3" fillId="0" borderId="124" xfId="5453" applyBorder="1" applyAlignment="1" applyProtection="1">
      <alignment horizontal="center" vertical="center"/>
      <protection locked="0"/>
    </xf>
    <xf numFmtId="0" fontId="151" fillId="75" borderId="131" xfId="5453" applyFont="1" applyFill="1" applyBorder="1" applyAlignment="1" applyProtection="1">
      <alignment vertical="center"/>
      <protection locked="0"/>
    </xf>
    <xf numFmtId="0" fontId="3" fillId="0" borderId="146" xfId="5453" applyBorder="1" applyAlignment="1" applyProtection="1">
      <alignment vertical="center"/>
      <protection locked="0"/>
    </xf>
    <xf numFmtId="0" fontId="3" fillId="0" borderId="126" xfId="5453" applyBorder="1" applyAlignment="1" applyProtection="1">
      <alignment vertical="center"/>
      <protection locked="0"/>
    </xf>
    <xf numFmtId="0" fontId="157" fillId="78" borderId="204" xfId="5453" applyFont="1" applyFill="1" applyBorder="1" applyAlignment="1">
      <alignment horizontal="center" vertical="center"/>
    </xf>
    <xf numFmtId="0" fontId="157" fillId="78" borderId="122" xfId="5453" applyFont="1" applyFill="1" applyBorder="1" applyAlignment="1">
      <alignment horizontal="center" vertical="center"/>
    </xf>
    <xf numFmtId="0" fontId="157" fillId="78" borderId="131" xfId="5453" applyFont="1" applyFill="1" applyBorder="1" applyAlignment="1">
      <alignment horizontal="center" vertical="center"/>
    </xf>
    <xf numFmtId="0" fontId="157" fillId="78" borderId="126" xfId="5453" applyFont="1" applyFill="1" applyBorder="1" applyAlignment="1">
      <alignment horizontal="center" vertical="center"/>
    </xf>
    <xf numFmtId="0" fontId="157" fillId="78" borderId="146" xfId="5453" applyFont="1" applyFill="1" applyBorder="1" applyAlignment="1">
      <alignment horizontal="center" vertical="center"/>
    </xf>
    <xf numFmtId="0" fontId="140" fillId="47" borderId="34" xfId="3712" applyFont="1" applyFill="1" applyBorder="1" applyAlignment="1" applyProtection="1">
      <alignment horizontal="center" vertical="center" wrapText="1"/>
      <protection locked="0"/>
    </xf>
    <xf numFmtId="0" fontId="140" fillId="47" borderId="35" xfId="3712" applyFont="1" applyFill="1" applyBorder="1" applyAlignment="1" applyProtection="1">
      <alignment horizontal="center" vertical="center" wrapText="1"/>
      <protection locked="0"/>
    </xf>
    <xf numFmtId="0" fontId="3" fillId="0" borderId="36" xfId="5453" applyBorder="1" applyAlignment="1" applyProtection="1">
      <alignment vertical="center"/>
      <protection locked="0"/>
    </xf>
    <xf numFmtId="0" fontId="13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34" applyFont="1" applyBorder="1" applyAlignment="1" applyProtection="1">
      <alignment horizontal="left" vertical="center" wrapText="1"/>
      <protection locked="0"/>
    </xf>
    <xf numFmtId="0" fontId="140" fillId="47" borderId="34" xfId="5434" applyFont="1" applyFill="1" applyBorder="1" applyAlignment="1" applyProtection="1">
      <alignment horizontal="center" vertical="center" wrapText="1"/>
      <protection locked="0"/>
    </xf>
    <xf numFmtId="0" fontId="98" fillId="0" borderId="35" xfId="5434" applyFont="1" applyBorder="1" applyAlignment="1" applyProtection="1">
      <alignment vertical="center" wrapText="1"/>
      <protection locked="0"/>
    </xf>
    <xf numFmtId="0" fontId="98" fillId="0" borderId="36" xfId="5434" applyFont="1" applyBorder="1" applyAlignment="1" applyProtection="1">
      <alignment vertical="center" wrapText="1"/>
      <protection locked="0"/>
    </xf>
    <xf numFmtId="0" fontId="138" fillId="0" borderId="34" xfId="5434" applyFont="1" applyBorder="1" applyAlignment="1" applyProtection="1">
      <alignment horizontal="left" vertical="center" wrapText="1"/>
      <protection locked="0"/>
    </xf>
    <xf numFmtId="0" fontId="147" fillId="75" borderId="204" xfId="5459" applyFont="1" applyFill="1" applyBorder="1" applyAlignment="1" applyProtection="1">
      <alignment horizontal="center" vertical="center" wrapText="1"/>
      <protection locked="0"/>
    </xf>
    <xf numFmtId="0" fontId="147" fillId="75" borderId="40" xfId="5459" applyFont="1" applyFill="1" applyBorder="1" applyAlignment="1" applyProtection="1">
      <alignment horizontal="center" vertical="center"/>
      <protection locked="0"/>
    </xf>
    <xf numFmtId="0" fontId="141" fillId="46" borderId="34" xfId="3712" applyFont="1" applyFill="1" applyBorder="1" applyAlignment="1" applyProtection="1">
      <alignment horizontal="center" vertical="center" wrapText="1"/>
      <protection locked="0"/>
    </xf>
    <xf numFmtId="0" fontId="141" fillId="46" borderId="35" xfId="3712" applyFont="1" applyFill="1" applyBorder="1" applyAlignment="1" applyProtection="1">
      <alignment horizontal="center" vertical="center" wrapText="1"/>
      <protection locked="0"/>
    </xf>
    <xf numFmtId="0" fontId="141" fillId="46" borderId="36" xfId="3712" applyFont="1" applyFill="1" applyBorder="1" applyAlignment="1" applyProtection="1">
      <alignment horizontal="center" vertical="center" wrapText="1"/>
      <protection locked="0"/>
    </xf>
    <xf numFmtId="0" fontId="132" fillId="73" borderId="34" xfId="3712" applyFont="1" applyFill="1" applyBorder="1" applyAlignment="1" applyProtection="1">
      <alignment horizontal="center" vertical="center"/>
      <protection locked="0"/>
    </xf>
    <xf numFmtId="0" fontId="132" fillId="73" borderId="35" xfId="3712" applyFont="1" applyFill="1" applyBorder="1" applyAlignment="1" applyProtection="1">
      <alignment horizontal="center" vertical="center"/>
      <protection locked="0"/>
    </xf>
    <xf numFmtId="0" fontId="132" fillId="73" borderId="36" xfId="3712" applyFont="1" applyFill="1" applyBorder="1" applyAlignment="1" applyProtection="1">
      <alignment horizontal="center" vertical="center"/>
      <protection locked="0"/>
    </xf>
    <xf numFmtId="0" fontId="139" fillId="0" borderId="34" xfId="3712" applyFont="1" applyBorder="1" applyAlignment="1" applyProtection="1">
      <alignment horizontal="left" vertical="center" wrapText="1"/>
      <protection locked="0"/>
    </xf>
    <xf numFmtId="0" fontId="139" fillId="0" borderId="36" xfId="3712" applyFont="1" applyBorder="1" applyAlignment="1" applyProtection="1">
      <alignment horizontal="left" vertical="center" wrapText="1"/>
      <protection locked="0"/>
    </xf>
    <xf numFmtId="0" fontId="98" fillId="0" borderId="35" xfId="5442" applyFont="1" applyBorder="1" applyAlignment="1" applyProtection="1">
      <alignment vertical="center" wrapText="1"/>
      <protection locked="0"/>
    </xf>
    <xf numFmtId="0" fontId="98" fillId="0" borderId="36" xfId="5442" applyFont="1" applyBorder="1" applyAlignment="1" applyProtection="1">
      <alignment vertical="center" wrapText="1"/>
      <protection locked="0"/>
    </xf>
    <xf numFmtId="0" fontId="65" fillId="0" borderId="36" xfId="5458" applyBorder="1" applyAlignment="1" applyProtection="1">
      <alignment vertical="center"/>
      <protection locked="0"/>
    </xf>
    <xf numFmtId="0" fontId="98" fillId="0" borderId="35" xfId="0" applyFont="1" applyBorder="1" applyAlignment="1" applyProtection="1">
      <alignment horizontal="center" vertical="center"/>
      <protection locked="0"/>
    </xf>
    <xf numFmtId="0" fontId="98" fillId="0" borderId="36" xfId="0" applyFont="1" applyBorder="1" applyAlignment="1" applyProtection="1">
      <alignment horizontal="center" vertical="center"/>
      <protection locked="0"/>
    </xf>
    <xf numFmtId="0" fontId="138" fillId="0" borderId="36" xfId="5442" applyFont="1" applyBorder="1" applyAlignment="1" applyProtection="1">
      <alignment horizontal="left" vertical="center" wrapText="1"/>
      <protection locked="0"/>
    </xf>
    <xf numFmtId="0" fontId="140" fillId="47" borderId="34" xfId="3712" quotePrefix="1" applyFont="1" applyFill="1" applyBorder="1" applyAlignment="1" applyProtection="1">
      <alignment horizontal="center" vertical="center" wrapText="1"/>
      <protection locked="0"/>
    </xf>
    <xf numFmtId="0" fontId="99" fillId="73" borderId="35" xfId="5442" applyFont="1" applyFill="1" applyBorder="1" applyAlignment="1" applyProtection="1">
      <alignment horizontal="center" vertical="center"/>
      <protection locked="0"/>
    </xf>
    <xf numFmtId="0" fontId="99" fillId="73" borderId="36" xfId="5442" applyFont="1" applyFill="1" applyBorder="1" applyAlignment="1" applyProtection="1">
      <alignment horizontal="center" vertical="center"/>
      <protection locked="0"/>
    </xf>
    <xf numFmtId="0" fontId="132" fillId="73" borderId="34" xfId="3712" applyFont="1" applyFill="1" applyBorder="1" applyAlignment="1" applyProtection="1">
      <alignment horizontal="center" vertical="center" wrapText="1"/>
      <protection locked="0"/>
    </xf>
    <xf numFmtId="0" fontId="32" fillId="73" borderId="35" xfId="5434" applyFill="1" applyBorder="1" applyAlignment="1" applyProtection="1">
      <alignment horizontal="center" vertical="center"/>
      <protection locked="0"/>
    </xf>
    <xf numFmtId="0" fontId="32" fillId="73" borderId="36" xfId="5434" applyFill="1" applyBorder="1" applyAlignment="1" applyProtection="1">
      <alignment horizontal="center" vertical="center"/>
      <protection locked="0"/>
    </xf>
    <xf numFmtId="0" fontId="84" fillId="73" borderId="34" xfId="5434" quotePrefix="1" applyFont="1" applyFill="1" applyBorder="1" applyAlignment="1" applyProtection="1">
      <alignment horizontal="center" vertical="center" wrapText="1"/>
      <protection locked="0"/>
    </xf>
    <xf numFmtId="0" fontId="142" fillId="73" borderId="35" xfId="5434" applyFont="1" applyFill="1" applyBorder="1" applyAlignment="1" applyProtection="1">
      <alignment horizontal="center" vertical="center" wrapText="1"/>
      <protection locked="0"/>
    </xf>
    <xf numFmtId="0" fontId="142" fillId="73" borderId="36" xfId="5434" applyFont="1" applyFill="1" applyBorder="1" applyAlignment="1" applyProtection="1">
      <alignment horizontal="center" vertical="center" wrapText="1"/>
      <protection locked="0"/>
    </xf>
    <xf numFmtId="0" fontId="84" fillId="73" borderId="34" xfId="5434" applyFont="1" applyFill="1" applyBorder="1" applyAlignment="1" applyProtection="1">
      <alignment horizontal="center" vertical="center"/>
      <protection locked="0"/>
    </xf>
    <xf numFmtId="0" fontId="142" fillId="0" borderId="35" xfId="5434" applyFont="1" applyBorder="1" applyAlignment="1" applyProtection="1">
      <alignment horizontal="center" vertical="center"/>
      <protection locked="0"/>
    </xf>
    <xf numFmtId="0" fontId="142" fillId="0" borderId="36" xfId="5434" applyFont="1" applyBorder="1" applyAlignment="1" applyProtection="1">
      <alignment horizontal="center" vertical="center"/>
      <protection locked="0"/>
    </xf>
    <xf numFmtId="0" fontId="64" fillId="46" borderId="34" xfId="3712" applyFont="1" applyFill="1" applyBorder="1" applyAlignment="1" applyProtection="1">
      <alignment horizontal="center" vertical="center" wrapText="1"/>
      <protection locked="0"/>
    </xf>
    <xf numFmtId="0" fontId="73" fillId="46" borderId="35" xfId="5453" applyFont="1" applyFill="1" applyBorder="1" applyAlignment="1" applyProtection="1">
      <alignment horizontal="center" vertical="center" wrapText="1"/>
      <protection locked="0"/>
    </xf>
    <xf numFmtId="0" fontId="76" fillId="46" borderId="36" xfId="5453" applyFont="1" applyFill="1" applyBorder="1" applyAlignment="1" applyProtection="1">
      <alignment vertical="center"/>
      <protection locked="0"/>
    </xf>
    <xf numFmtId="0" fontId="132" fillId="73" borderId="34" xfId="3712" quotePrefix="1" applyFont="1" applyFill="1" applyBorder="1" applyAlignment="1" applyProtection="1">
      <alignment horizontal="center" vertical="center" wrapText="1"/>
      <protection locked="0"/>
    </xf>
    <xf numFmtId="0" fontId="105" fillId="73" borderId="35" xfId="5434" applyFont="1" applyFill="1" applyBorder="1" applyAlignment="1" applyProtection="1">
      <alignment horizontal="center" vertical="center" wrapText="1"/>
      <protection locked="0"/>
    </xf>
    <xf numFmtId="0" fontId="105" fillId="73" borderId="36" xfId="5434" applyFont="1" applyFill="1" applyBorder="1" applyAlignment="1" applyProtection="1">
      <alignment horizontal="center" vertical="center" wrapText="1"/>
      <protection locked="0"/>
    </xf>
    <xf numFmtId="0" fontId="139" fillId="0" borderId="36" xfId="3712" applyFont="1" applyFill="1" applyBorder="1" applyAlignment="1" applyProtection="1">
      <alignment horizontal="left" vertical="center" wrapText="1"/>
      <protection locked="0"/>
    </xf>
    <xf numFmtId="0" fontId="133" fillId="74" borderId="34" xfId="3712" applyFont="1" applyFill="1" applyBorder="1" applyAlignment="1" applyProtection="1">
      <alignment horizontal="center" vertical="center" wrapText="1"/>
      <protection locked="0"/>
    </xf>
    <xf numFmtId="0" fontId="76" fillId="74" borderId="36" xfId="5453" applyFont="1" applyFill="1" applyBorder="1" applyAlignment="1" applyProtection="1">
      <alignment vertical="center" wrapText="1"/>
      <protection locked="0"/>
    </xf>
    <xf numFmtId="0" fontId="132" fillId="46" borderId="34" xfId="3712" applyFont="1" applyFill="1" applyBorder="1" applyAlignment="1" applyProtection="1">
      <alignment horizontal="center" vertical="center" wrapText="1"/>
      <protection locked="0"/>
    </xf>
    <xf numFmtId="0" fontId="3" fillId="46" borderId="36" xfId="5453" applyFill="1" applyBorder="1" applyAlignment="1" applyProtection="1">
      <alignment vertical="center"/>
      <protection locked="0"/>
    </xf>
    <xf numFmtId="0" fontId="138" fillId="0" borderId="36" xfId="5453" applyFont="1" applyBorder="1" applyAlignment="1" applyProtection="1">
      <alignment horizontal="left" vertical="center" wrapText="1"/>
      <protection locked="0"/>
    </xf>
    <xf numFmtId="0" fontId="3" fillId="46" borderId="34" xfId="5453" applyFill="1" applyBorder="1" applyAlignment="1" applyProtection="1">
      <alignment vertical="center"/>
      <protection locked="0"/>
    </xf>
    <xf numFmtId="0" fontId="76" fillId="74" borderId="36" xfId="5453" applyFont="1" applyFill="1" applyBorder="1" applyAlignment="1" applyProtection="1">
      <alignment horizontal="center" vertical="center" wrapText="1"/>
      <protection locked="0"/>
    </xf>
    <xf numFmtId="0" fontId="31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5" applyFont="1" applyFill="1" applyBorder="1" applyAlignment="1" applyProtection="1">
      <alignment horizontal="left" vertical="center" wrapText="1"/>
      <protection locked="0"/>
    </xf>
    <xf numFmtId="0" fontId="133" fillId="0" borderId="23" xfId="5453" applyFont="1" applyFill="1" applyBorder="1" applyAlignment="1" applyProtection="1">
      <alignment horizontal="justify" vertical="center" wrapText="1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Fill="1" applyBorder="1" applyAlignment="1" applyProtection="1">
      <alignment horizontal="left" vertical="center" wrapText="1"/>
      <protection locked="0"/>
    </xf>
    <xf numFmtId="9" fontId="319" fillId="0" borderId="34" xfId="3712" applyNumberFormat="1" applyFont="1" applyFill="1" applyBorder="1" applyAlignment="1" applyProtection="1">
      <alignment horizontal="left" vertical="center" wrapText="1"/>
      <protection locked="0"/>
    </xf>
    <xf numFmtId="0" fontId="138" fillId="0" borderId="36" xfId="5455" applyFont="1" applyBorder="1" applyAlignment="1" applyProtection="1">
      <alignment horizontal="left" vertical="center" wrapText="1"/>
      <protection locked="0"/>
    </xf>
    <xf numFmtId="0" fontId="13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3" applyFont="1" applyFill="1" applyBorder="1" applyAlignment="1" applyProtection="1">
      <alignment horizontal="left" vertical="center" wrapText="1"/>
      <protection locked="0"/>
    </xf>
    <xf numFmtId="0" fontId="140" fillId="47" borderId="23" xfId="3712" applyFont="1" applyFill="1" applyBorder="1" applyAlignment="1" applyProtection="1">
      <alignment horizontal="center" vertical="center" wrapText="1"/>
      <protection locked="0"/>
    </xf>
    <xf numFmtId="0" fontId="137" fillId="0" borderId="34" xfId="5453" applyFont="1" applyFill="1" applyBorder="1" applyAlignment="1" applyProtection="1">
      <alignment horizontal="left" vertical="center" wrapText="1"/>
      <protection locked="0"/>
    </xf>
    <xf numFmtId="0" fontId="320" fillId="0" borderId="34" xfId="5455" applyFont="1" applyFill="1" applyBorder="1" applyAlignment="1" applyProtection="1">
      <alignment horizontal="left" vertical="center" wrapText="1"/>
      <protection locked="0"/>
    </xf>
    <xf numFmtId="0" fontId="133" fillId="0" borderId="23" xfId="5453" applyFont="1" applyFill="1" applyBorder="1" applyAlignment="1" applyProtection="1">
      <alignment horizontal="center" vertical="center" wrapText="1"/>
      <protection locked="0"/>
    </xf>
    <xf numFmtId="0" fontId="3" fillId="0" borderId="23" xfId="5453" applyBorder="1" applyAlignment="1" applyProtection="1">
      <alignment horizontal="justify" vertical="center" wrapText="1"/>
      <protection locked="0"/>
    </xf>
    <xf numFmtId="0" fontId="138" fillId="0" borderId="36" xfId="5457" applyFont="1" applyBorder="1" applyAlignment="1" applyProtection="1">
      <alignment horizontal="left" vertical="center" wrapText="1"/>
      <protection locked="0"/>
    </xf>
    <xf numFmtId="0" fontId="137" fillId="46" borderId="28" xfId="5453" applyFont="1" applyFill="1" applyBorder="1" applyAlignment="1" applyProtection="1">
      <alignment horizontal="center" vertical="center" wrapText="1"/>
      <protection locked="0"/>
    </xf>
    <xf numFmtId="0" fontId="3" fillId="0" borderId="29" xfId="5453" applyBorder="1" applyAlignment="1" applyProtection="1">
      <alignment horizontal="center" vertical="center"/>
      <protection locked="0"/>
    </xf>
    <xf numFmtId="0" fontId="137" fillId="46" borderId="30" xfId="5453" applyFont="1" applyFill="1" applyBorder="1" applyAlignment="1" applyProtection="1">
      <alignment horizontal="center" vertical="center"/>
      <protection locked="0"/>
    </xf>
    <xf numFmtId="0" fontId="3" fillId="0" borderId="32" xfId="5453" applyBorder="1" applyAlignment="1" applyProtection="1">
      <alignment horizontal="center" vertical="center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50" borderId="34" xfId="5453" applyFont="1" applyFill="1" applyBorder="1" applyAlignment="1" applyProtection="1">
      <alignment horizontal="center" vertical="center" wrapText="1"/>
      <protection locked="0"/>
    </xf>
    <xf numFmtId="0" fontId="138" fillId="0" borderId="36" xfId="5453" applyFont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0" fontId="319" fillId="0" borderId="34" xfId="5454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Border="1" applyAlignment="1" applyProtection="1">
      <alignment horizontal="left" vertical="center" wrapText="1"/>
      <protection locked="0"/>
    </xf>
    <xf numFmtId="0" fontId="138" fillId="0" borderId="36" xfId="3242" applyFont="1" applyFill="1" applyBorder="1" applyAlignment="1" applyProtection="1">
      <alignment horizontal="left" vertical="center" wrapText="1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0" fontId="3" fillId="0" borderId="23" xfId="5453" applyBorder="1" applyAlignment="1" applyProtection="1">
      <alignment horizontal="center" vertical="center" wrapText="1"/>
      <protection locked="0"/>
    </xf>
    <xf numFmtId="0" fontId="141" fillId="0" borderId="0" xfId="3241" applyFont="1" applyFill="1" applyBorder="1" applyAlignment="1">
      <alignment horizontal="left" vertical="center"/>
    </xf>
    <xf numFmtId="0" fontId="141" fillId="0" borderId="81" xfId="3241" applyFont="1" applyFill="1" applyBorder="1" applyAlignment="1">
      <alignment horizontal="left" vertical="center"/>
    </xf>
    <xf numFmtId="0" fontId="304" fillId="0" borderId="0" xfId="3241" applyFont="1" applyFill="1" applyBorder="1" applyAlignment="1">
      <alignment horizontal="center" vertical="center" shrinkToFit="1"/>
    </xf>
    <xf numFmtId="0" fontId="304" fillId="0" borderId="82" xfId="3241" applyFont="1" applyFill="1" applyBorder="1" applyAlignment="1">
      <alignment horizontal="center" vertical="center" shrinkToFit="1"/>
    </xf>
    <xf numFmtId="0" fontId="312" fillId="0" borderId="209" xfId="0" applyFont="1" applyFill="1" applyBorder="1" applyAlignment="1">
      <alignment vertical="distributed" wrapText="1"/>
    </xf>
    <xf numFmtId="0" fontId="312" fillId="0" borderId="210" xfId="0" applyFont="1" applyFill="1" applyBorder="1" applyAlignment="1">
      <alignment vertical="distributed" wrapText="1"/>
    </xf>
    <xf numFmtId="0" fontId="312" fillId="0" borderId="211" xfId="0" applyFont="1" applyFill="1" applyBorder="1" applyAlignment="1">
      <alignment vertical="distributed" wrapText="1"/>
    </xf>
    <xf numFmtId="0" fontId="312" fillId="0" borderId="212" xfId="0" applyFont="1" applyFill="1" applyBorder="1" applyAlignment="1">
      <alignment vertical="distributed" wrapText="1"/>
    </xf>
    <xf numFmtId="0" fontId="312" fillId="0" borderId="0" xfId="0" applyFont="1" applyFill="1" applyBorder="1" applyAlignment="1">
      <alignment vertical="distributed" wrapText="1"/>
    </xf>
    <xf numFmtId="0" fontId="312" fillId="0" borderId="68" xfId="0" applyFont="1" applyFill="1" applyBorder="1" applyAlignment="1">
      <alignment vertical="distributed" wrapText="1"/>
    </xf>
    <xf numFmtId="0" fontId="312" fillId="0" borderId="213" xfId="0" applyFont="1" applyFill="1" applyBorder="1" applyAlignment="1">
      <alignment vertical="distributed" wrapText="1"/>
    </xf>
    <xf numFmtId="0" fontId="312" fillId="0" borderId="22" xfId="0" applyFont="1" applyFill="1" applyBorder="1" applyAlignment="1">
      <alignment vertical="distributed" wrapText="1"/>
    </xf>
    <xf numFmtId="0" fontId="312" fillId="0" borderId="214" xfId="0" applyFont="1" applyFill="1" applyBorder="1" applyAlignment="1">
      <alignment vertical="distributed" wrapText="1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77" fillId="43" borderId="113" xfId="5432" quotePrefix="1" applyFont="1" applyFill="1" applyBorder="1" applyAlignment="1">
      <alignment horizontal="center" vertical="center"/>
    </xf>
    <xf numFmtId="0" fontId="77" fillId="43" borderId="112" xfId="5432" quotePrefix="1" applyFont="1" applyFill="1" applyBorder="1" applyAlignment="1">
      <alignment horizontal="center" vertical="center"/>
    </xf>
    <xf numFmtId="0" fontId="77" fillId="43" borderId="95" xfId="5432" quotePrefix="1" applyFont="1" applyFill="1" applyBorder="1" applyAlignment="1">
      <alignment horizontal="center"/>
    </xf>
    <xf numFmtId="0" fontId="77" fillId="43" borderId="96" xfId="5432" quotePrefix="1" applyFont="1" applyFill="1" applyBorder="1" applyAlignment="1">
      <alignment horizontal="center"/>
    </xf>
    <xf numFmtId="0" fontId="157" fillId="78" borderId="113" xfId="5434" applyFont="1" applyFill="1" applyBorder="1" applyAlignment="1">
      <alignment horizontal="center" vertical="center"/>
    </xf>
    <xf numFmtId="0" fontId="157" fillId="78" borderId="112" xfId="5434" applyFont="1" applyFill="1" applyBorder="1" applyAlignment="1">
      <alignment horizontal="center" vertical="center"/>
    </xf>
    <xf numFmtId="0" fontId="158" fillId="0" borderId="113" xfId="5434" applyFont="1" applyBorder="1" applyAlignment="1">
      <alignment horizontal="center" vertical="center"/>
    </xf>
    <xf numFmtId="0" fontId="158" fillId="0" borderId="1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58" fillId="0" borderId="26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158" fillId="0" borderId="26" xfId="5434" applyFont="1" applyBorder="1" applyAlignment="1">
      <alignment vertical="center"/>
    </xf>
    <xf numFmtId="0" fontId="158" fillId="0" borderId="18" xfId="5434" applyFont="1" applyBorder="1" applyAlignment="1">
      <alignment vertical="center"/>
    </xf>
    <xf numFmtId="0" fontId="158" fillId="0" borderId="16" xfId="5434" applyFont="1" applyBorder="1" applyAlignment="1">
      <alignment vertical="center"/>
    </xf>
    <xf numFmtId="0" fontId="157" fillId="78" borderId="19" xfId="5434" applyFont="1" applyFill="1" applyBorder="1" applyAlignment="1">
      <alignment horizontal="center" vertical="center"/>
    </xf>
    <xf numFmtId="0" fontId="157" fillId="78" borderId="122" xfId="5434" applyFont="1" applyFill="1" applyBorder="1" applyAlignment="1">
      <alignment horizontal="center" vertical="center"/>
    </xf>
    <xf numFmtId="0" fontId="157" fillId="78" borderId="26" xfId="5434" applyFont="1" applyFill="1" applyBorder="1" applyAlignment="1">
      <alignment horizontal="center" vertical="center"/>
    </xf>
    <xf numFmtId="0" fontId="157" fillId="78" borderId="18" xfId="5434" applyFont="1" applyFill="1" applyBorder="1" applyAlignment="1">
      <alignment horizontal="center" vertical="center"/>
    </xf>
    <xf numFmtId="0" fontId="157" fillId="78" borderId="16" xfId="5434" applyFont="1" applyFill="1" applyBorder="1" applyAlignment="1">
      <alignment horizontal="center" vertical="center"/>
    </xf>
    <xf numFmtId="0" fontId="147" fillId="75" borderId="122" xfId="3714" applyFont="1" applyFill="1" applyBorder="1" applyAlignment="1" applyProtection="1">
      <alignment horizontal="center" vertical="center"/>
      <protection locked="0"/>
    </xf>
    <xf numFmtId="0" fontId="32" fillId="0" borderId="123" xfId="5434" applyBorder="1" applyAlignment="1" applyProtection="1">
      <alignment horizontal="center" vertical="center"/>
      <protection locked="0"/>
    </xf>
    <xf numFmtId="0" fontId="32" fillId="0" borderId="124" xfId="5434" applyBorder="1" applyAlignment="1" applyProtection="1">
      <alignment horizontal="center" vertical="center"/>
      <protection locked="0"/>
    </xf>
    <xf numFmtId="0" fontId="151" fillId="75" borderId="26" xfId="5434" applyFont="1" applyFill="1" applyBorder="1" applyAlignment="1" applyProtection="1">
      <alignment vertical="center"/>
      <protection locked="0"/>
    </xf>
    <xf numFmtId="0" fontId="32" fillId="0" borderId="16" xfId="5434" applyBorder="1" applyAlignment="1" applyProtection="1">
      <alignment vertical="center"/>
      <protection locked="0"/>
    </xf>
    <xf numFmtId="0" fontId="32" fillId="0" borderId="18" xfId="5434" applyBorder="1" applyAlignment="1" applyProtection="1">
      <alignment vertical="center"/>
      <protection locked="0"/>
    </xf>
    <xf numFmtId="0" fontId="147" fillId="75" borderId="19" xfId="3714" applyFont="1" applyFill="1" applyBorder="1" applyAlignment="1" applyProtection="1">
      <alignment horizontal="center" vertical="center" wrapText="1"/>
      <protection locked="0"/>
    </xf>
    <xf numFmtId="0" fontId="147" fillId="75" borderId="40" xfId="3714" applyFont="1" applyFill="1" applyBorder="1" applyAlignment="1" applyProtection="1">
      <alignment horizontal="center" vertical="center"/>
      <protection locked="0"/>
    </xf>
    <xf numFmtId="0" fontId="32" fillId="0" borderId="36" xfId="5434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0" fontId="73" fillId="46" borderId="35" xfId="5434" applyFont="1" applyFill="1" applyBorder="1" applyAlignment="1" applyProtection="1">
      <alignment horizontal="center" vertical="center" wrapText="1"/>
      <protection locked="0"/>
    </xf>
    <xf numFmtId="0" fontId="76" fillId="46" borderId="36" xfId="5434" applyFont="1" applyFill="1" applyBorder="1" applyAlignment="1" applyProtection="1">
      <alignment vertical="center"/>
      <protection locked="0"/>
    </xf>
    <xf numFmtId="0" fontId="138" fillId="0" borderId="36" xfId="5451" applyFont="1" applyBorder="1" applyAlignment="1" applyProtection="1">
      <alignment horizontal="left" vertical="center" wrapText="1"/>
      <protection locked="0"/>
    </xf>
    <xf numFmtId="0" fontId="138" fillId="50" borderId="36" xfId="5434" applyFont="1" applyFill="1" applyBorder="1" applyAlignment="1" applyProtection="1">
      <alignment horizontal="left" vertical="center" wrapText="1"/>
      <protection locked="0"/>
    </xf>
    <xf numFmtId="0" fontId="76" fillId="74" borderId="36" xfId="5434" applyFont="1" applyFill="1" applyBorder="1" applyAlignment="1" applyProtection="1">
      <alignment vertical="center" wrapText="1"/>
      <protection locked="0"/>
    </xf>
    <xf numFmtId="0" fontId="32" fillId="46" borderId="36" xfId="5434" applyFill="1" applyBorder="1" applyAlignment="1" applyProtection="1">
      <alignment vertical="center"/>
      <protection locked="0"/>
    </xf>
    <xf numFmtId="0" fontId="32" fillId="46" borderId="34" xfId="5434" applyFill="1" applyBorder="1" applyAlignment="1" applyProtection="1">
      <alignment vertical="center"/>
      <protection locked="0"/>
    </xf>
    <xf numFmtId="0" fontId="76" fillId="74" borderId="36" xfId="5434" applyFont="1" applyFill="1" applyBorder="1" applyAlignment="1" applyProtection="1">
      <alignment horizontal="center" vertical="center" wrapText="1"/>
      <protection locked="0"/>
    </xf>
    <xf numFmtId="0" fontId="137" fillId="0" borderId="34" xfId="5434" applyFont="1" applyFill="1" applyBorder="1" applyAlignment="1" applyProtection="1">
      <alignment horizontal="left" vertical="center" wrapText="1"/>
      <protection locked="0"/>
    </xf>
    <xf numFmtId="0" fontId="320" fillId="0" borderId="34" xfId="5451" applyFont="1" applyFill="1" applyBorder="1" applyAlignment="1" applyProtection="1">
      <alignment horizontal="left" vertical="center" wrapText="1"/>
      <protection locked="0"/>
    </xf>
    <xf numFmtId="0" fontId="133" fillId="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justify" vertical="center" wrapText="1"/>
      <protection locked="0"/>
    </xf>
    <xf numFmtId="0" fontId="138" fillId="0" borderId="36" xfId="5442" applyFont="1" applyFill="1" applyBorder="1" applyAlignment="1" applyProtection="1">
      <alignment horizontal="left" vertical="center" wrapText="1"/>
      <protection locked="0"/>
    </xf>
    <xf numFmtId="0" fontId="138" fillId="50" borderId="36" xfId="5451" applyFont="1" applyFill="1" applyBorder="1" applyAlignment="1" applyProtection="1">
      <alignment horizontal="left" vertical="center" wrapText="1"/>
      <protection locked="0"/>
    </xf>
    <xf numFmtId="0" fontId="32" fillId="0" borderId="23" xfId="5434" applyBorder="1" applyAlignment="1" applyProtection="1">
      <alignment horizontal="justify" vertical="center" wrapText="1"/>
      <protection locked="0"/>
    </xf>
    <xf numFmtId="0" fontId="138" fillId="0" borderId="36" xfId="5452" applyFont="1" applyBorder="1" applyAlignment="1" applyProtection="1">
      <alignment horizontal="left" vertical="center" wrapText="1"/>
      <protection locked="0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137" fillId="46" borderId="28" xfId="5434" applyFont="1" applyFill="1" applyBorder="1" applyAlignment="1" applyProtection="1">
      <alignment horizontal="center" vertical="center" wrapText="1"/>
      <protection locked="0"/>
    </xf>
    <xf numFmtId="0" fontId="32" fillId="0" borderId="29" xfId="5434" applyBorder="1" applyAlignment="1" applyProtection="1">
      <alignment horizontal="center" vertical="center"/>
      <protection locked="0"/>
    </xf>
    <xf numFmtId="0" fontId="137" fillId="46" borderId="30" xfId="5434" applyFont="1" applyFill="1" applyBorder="1" applyAlignment="1" applyProtection="1">
      <alignment horizontal="center" vertical="center"/>
      <protection locked="0"/>
    </xf>
    <xf numFmtId="0" fontId="32" fillId="0" borderId="32" xfId="5434" applyBorder="1" applyAlignment="1" applyProtection="1">
      <alignment horizontal="center" vertical="center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50" borderId="34" xfId="5434" applyFont="1" applyFill="1" applyBorder="1" applyAlignment="1" applyProtection="1">
      <alignment horizontal="center" vertical="center" wrapText="1"/>
      <protection locked="0"/>
    </xf>
    <xf numFmtId="0" fontId="138" fillId="0" borderId="36" xfId="5434" applyFont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319" fillId="0" borderId="36" xfId="3712" applyFont="1" applyFill="1" applyBorder="1" applyAlignment="1" applyProtection="1">
      <alignment horizontal="left" vertical="center" wrapText="1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0" fontId="32" fillId="0" borderId="23" xfId="5434" applyBorder="1" applyAlignment="1" applyProtection="1">
      <alignment horizontal="center" vertical="center" wrapText="1"/>
      <protection locked="0"/>
    </xf>
    <xf numFmtId="181" fontId="326" fillId="0" borderId="151" xfId="5443" applyFont="1" applyBorder="1" applyAlignment="1">
      <alignment horizontal="center"/>
    </xf>
    <xf numFmtId="181" fontId="326" fillId="0" borderId="152" xfId="5443" applyFont="1" applyBorder="1" applyAlignment="1">
      <alignment horizontal="center"/>
    </xf>
    <xf numFmtId="181" fontId="325" fillId="0" borderId="131" xfId="5444" applyFont="1" applyBorder="1" applyAlignment="1">
      <alignment horizontal="center" vertical="center"/>
    </xf>
    <xf numFmtId="181" fontId="325" fillId="0" borderId="132" xfId="5444" applyFont="1" applyBorder="1" applyAlignment="1">
      <alignment horizontal="center" vertical="center"/>
    </xf>
    <xf numFmtId="181" fontId="325" fillId="0" borderId="133" xfId="5444" applyFont="1" applyBorder="1" applyAlignment="1">
      <alignment horizontal="center" vertical="center"/>
    </xf>
    <xf numFmtId="181" fontId="325" fillId="0" borderId="134" xfId="5444" applyFont="1" applyBorder="1" applyAlignment="1">
      <alignment horizontal="center" vertical="center"/>
    </xf>
    <xf numFmtId="181" fontId="325" fillId="0" borderId="140" xfId="5444" applyFont="1" applyBorder="1" applyAlignment="1">
      <alignment horizontal="center" vertical="center"/>
    </xf>
    <xf numFmtId="181" fontId="325" fillId="0" borderId="145" xfId="5444" applyFont="1" applyBorder="1" applyAlignment="1">
      <alignment horizontal="center" vertical="center"/>
    </xf>
    <xf numFmtId="181" fontId="325" fillId="0" borderId="141" xfId="5444" applyFont="1" applyBorder="1" applyAlignment="1">
      <alignment horizontal="center" vertical="center"/>
    </xf>
    <xf numFmtId="181" fontId="325" fillId="0" borderId="56" xfId="5444" applyFont="1" applyBorder="1" applyAlignment="1">
      <alignment horizontal="center" vertical="center"/>
    </xf>
    <xf numFmtId="181" fontId="325" fillId="0" borderId="142" xfId="5444" applyFont="1" applyBorder="1" applyAlignment="1">
      <alignment horizontal="center" vertical="center"/>
    </xf>
    <xf numFmtId="181" fontId="325" fillId="0" borderId="143" xfId="5444" applyFont="1" applyBorder="1" applyAlignment="1">
      <alignment horizontal="center" vertical="center"/>
    </xf>
    <xf numFmtId="181" fontId="325" fillId="0" borderId="144" xfId="5444" applyFont="1" applyBorder="1" applyAlignment="1">
      <alignment horizontal="center" vertical="center"/>
    </xf>
    <xf numFmtId="0" fontId="146" fillId="44" borderId="0" xfId="3714" applyFill="1">
      <alignment vertical="center"/>
    </xf>
    <xf numFmtId="0" fontId="146" fillId="106" borderId="0" xfId="3714" applyFill="1">
      <alignment vertical="center"/>
    </xf>
    <xf numFmtId="181" fontId="151" fillId="44" borderId="0" xfId="5423" applyFont="1" applyFill="1" applyAlignment="1">
      <alignment horizontal="center" vertical="center"/>
    </xf>
    <xf numFmtId="0" fontId="147" fillId="44" borderId="0" xfId="3714" applyFont="1" applyFill="1">
      <alignment vertical="center"/>
    </xf>
  </cellXfs>
  <cellStyles count="5465">
    <cellStyle name="_x000a_386grabber=M" xfId="3719" xr:uid="{00000000-0005-0000-0000-000004000000}"/>
    <cellStyle name="_x000a_386grabber=M 2" xfId="3720" xr:uid="{00000000-0005-0000-0000-000005000000}"/>
    <cellStyle name="_x000a_386grabber=M_만도_NCP" xfId="3721" xr:uid="{00000000-0005-0000-0000-000006000000}"/>
    <cellStyle name=" " xfId="3715" xr:uid="{00000000-0005-0000-0000-000000000000}"/>
    <cellStyle name="          _x000d__x000a_386grabber=vga.3gr_x000d__x000a_" xfId="3716" xr:uid="{00000000-0005-0000-0000-000001000000}"/>
    <cellStyle name="          _x000d__x000a_mouse.drv=lmouse.drv" xfId="3717" xr:uid="{00000000-0005-0000-0000-000002000000}"/>
    <cellStyle name=" FY96" xfId="3718" xr:uid="{00000000-0005-0000-0000-000003000000}"/>
    <cellStyle name="_'07년 및 중기수주매출 MPR_CMP('070905)" xfId="3824" xr:uid="{00000000-0005-0000-0000-00006D000000}"/>
    <cellStyle name="_'99상반기경영개선활동결과(게시용)" xfId="3848" xr:uid="{00000000-0005-0000-0000-000085000000}"/>
    <cellStyle name="_※ 5개년 총량최종 ver 1" xfId="3803" xr:uid="{00000000-0005-0000-0000-000058000000}"/>
    <cellStyle name="_※ New-Program(Pre-BOD)040330 최종 ver 1" xfId="3804" xr:uid="{00000000-0005-0000-0000-000059000000}"/>
    <cellStyle name="_`08년사업계획 ReferenceTemplate_1127" xfId="3791" xr:uid="{00000000-0005-0000-0000-00004C000000}"/>
    <cellStyle name="_`08년사업계획_eis자료_full" xfId="3792" xr:uid="{00000000-0005-0000-0000-00004D000000}"/>
    <cellStyle name="_→중국현지화 XD 원가검토 030409" xfId="3798" xr:uid="{00000000-0005-0000-0000-000053000000}"/>
    <cellStyle name="_~0013947" xfId="3793" xr:uid="{00000000-0005-0000-0000-00004E000000}"/>
    <cellStyle name="_~0032981" xfId="3794" xr:uid="{00000000-0005-0000-0000-00004F000000}"/>
    <cellStyle name="_~0041852" xfId="3795" xr:uid="{00000000-0005-0000-0000-000050000000}"/>
    <cellStyle name="_~0042931" xfId="3796" xr:uid="{00000000-0005-0000-0000-000051000000}"/>
    <cellStyle name="_▶ EF단품별CKD원가(030617)" xfId="3797" xr:uid="{00000000-0005-0000-0000-000052000000}"/>
    <cellStyle name="_★★★감가비통보用041119" xfId="3799" xr:uid="{00000000-0005-0000-0000-000054000000}"/>
    <cellStyle name="_★보고서(BOD최종)_내용조정" xfId="3800" xr:uid="{00000000-0005-0000-0000-000055000000}"/>
    <cellStyle name="_★보고서최종" xfId="3801" xr:uid="{00000000-0005-0000-0000-000056000000}"/>
    <cellStyle name="_★절차-CAPEX종합(원주-주물,040525)" xfId="3802" xr:uid="{00000000-0005-0000-0000-000057000000}"/>
    <cellStyle name="_0.'04.8월 누계실적" xfId="3805" xr:uid="{00000000-0005-0000-0000-00005A000000}"/>
    <cellStyle name="_00. 접수양식" xfId="3811" xr:uid="{00000000-0005-0000-0000-000060000000}"/>
    <cellStyle name="_00. Consolidated CAPEX(0508)_경영관리통보用" xfId="3806" xr:uid="{00000000-0005-0000-0000-00005B000000}"/>
    <cellStyle name="_00. Consolidated CAPEX(0509)_경관 통보용" xfId="3807" xr:uid="{00000000-0005-0000-0000-00005C000000}"/>
    <cellStyle name="_00. Consolidated CAPEX(0511)_최종_경영관리통보用" xfId="3808" xr:uid="{00000000-0005-0000-0000-00005D000000}"/>
    <cellStyle name="_00. Consolidated CAPEX(0512)_경관통보용" xfId="3809" xr:uid="{00000000-0005-0000-0000-00005E000000}"/>
    <cellStyle name="_00. Consolidated CAPEX(경관통보用)_060101" xfId="3810" xr:uid="{00000000-0005-0000-0000-00005F000000}"/>
    <cellStyle name="_01_Order Status(HMC&amp;KIA)_070531_수정" xfId="3812" xr:uid="{00000000-0005-0000-0000-000061000000}"/>
    <cellStyle name="_02-2.`06중기_PreBOD_BSJ_060315" xfId="3813" xr:uid="{00000000-0005-0000-0000-000062000000}"/>
    <cellStyle name="_03-1.`06중기_BSJN_세부자료_060317" xfId="3815" xr:uid="{00000000-0005-0000-0000-000064000000}"/>
    <cellStyle name="_03. 만도하얼빈" xfId="3814" xr:uid="{00000000-0005-0000-0000-000063000000}"/>
    <cellStyle name="_03년 총량대비(0602)" xfId="3816" xr:uid="{00000000-0005-0000-0000-000065000000}"/>
    <cellStyle name="_03년 총량대비(0604)" xfId="3817" xr:uid="{00000000-0005-0000-0000-000066000000}"/>
    <cellStyle name="_04년경비실적(050104)" xfId="3818" xr:uid="{00000000-0005-0000-0000-000067000000}"/>
    <cellStyle name="_05. Beijing(9월-결산前-CF수정)" xfId="3819" xr:uid="{00000000-0005-0000-0000-000068000000}"/>
    <cellStyle name="_05年预算(1115)" xfId="3820" xr:uid="{00000000-0005-0000-0000-000069000000}"/>
    <cellStyle name="_05年预算(1116)- " xfId="3821" xr:uid="{00000000-0005-0000-0000-00006A000000}"/>
    <cellStyle name="_05매출계획안(1101)_통보용(수정)" xfId="3822" xr:uid="{00000000-0005-0000-0000-00006B000000}"/>
    <cellStyle name="_05매출계획안(1115)" xfId="3823" xr:uid="{00000000-0005-0000-0000-00006C000000}"/>
    <cellStyle name="_1" xfId="3825" xr:uid="{00000000-0005-0000-0000-00006E000000}"/>
    <cellStyle name="_1.5개년 총량 CAPEX 조정현황검토" xfId="3826" xr:uid="{00000000-0005-0000-0000-00006F000000}"/>
    <cellStyle name="_1.판매계획(BOD)" xfId="3828" xr:uid="{00000000-0005-0000-0000-000071000000}"/>
    <cellStyle name="_1.NEW판매계획_집계" xfId="3827" xr:uid="{00000000-0005-0000-0000-000070000000}"/>
    <cellStyle name="_10월누계(JMN用)" xfId="3829" xr:uid="{00000000-0005-0000-0000-000072000000}"/>
    <cellStyle name="_10월누계연결실적(책자用)" xfId="3830" xr:uid="{00000000-0005-0000-0000-000073000000}"/>
    <cellStyle name="_11.만도(소주)발표자료_031029#2" xfId="3831" xr:uid="{00000000-0005-0000-0000-000074000000}"/>
    <cellStyle name="_111" xfId="3832" xr:uid="{00000000-0005-0000-0000-000075000000}"/>
    <cellStyle name="_11월익산" xfId="3833" xr:uid="{00000000-0005-0000-0000-000076000000}"/>
    <cellStyle name="_2.1.기간별 투자계획(3.7)" xfId="3834" xr:uid="{00000000-0005-0000-0000-000077000000}"/>
    <cellStyle name="_2004 1차 BOD투자계획전무님보고後" xfId="3835" xr:uid="{00000000-0005-0000-0000-000078000000}"/>
    <cellStyle name="_2004년 사업계획(031120)-본부장보고" xfId="3837" xr:uid="{00000000-0005-0000-0000-00007A000000}"/>
    <cellStyle name="_2004년 EBITDA(연결)" xfId="3836" xr:uid="{00000000-0005-0000-0000-000079000000}"/>
    <cellStyle name="_2004년도 연결재무제표(040110)" xfId="3838" xr:uid="{00000000-0005-0000-0000-00007B000000}"/>
    <cellStyle name="_2005년 사업계획(8)-041220-매출22.5억,판매가2.4억 추가(총괄)" xfId="3839" xr:uid="{00000000-0005-0000-0000-00007C000000}"/>
    <cellStyle name="_2005년 소재 사업계획(진흥주물 041117) " xfId="3840" xr:uid="{00000000-0005-0000-0000-00007D000000}"/>
    <cellStyle name="_3-2.Mando Biz Summary_060630" xfId="3843" xr:uid="{00000000-0005-0000-0000-000080000000}"/>
    <cellStyle name="_3. Biz Performance (Consolidated)" xfId="3841" xr:uid="{00000000-0005-0000-0000-00007E000000}"/>
    <cellStyle name="_3. New-Program CAPEX 조정현황(041004)" xfId="3842" xr:uid="{00000000-0005-0000-0000-00007F000000}"/>
    <cellStyle name="_3월누계 요약보고(0513)" xfId="3844" xr:uid="{00000000-0005-0000-0000-000081000000}"/>
    <cellStyle name="_4.Pre BOD(연결,마이스터)-최종-CF수정" xfId="3845" xr:uid="{00000000-0005-0000-0000-000082000000}"/>
    <cellStyle name="_5.손익계획(BOD)" xfId="3846" xr:uid="{00000000-0005-0000-0000-000083000000}"/>
    <cellStyle name="_6.소주ABS현황(041004)" xfId="3847" xr:uid="{00000000-0005-0000-0000-000084000000}"/>
    <cellStyle name="_개선계획표" xfId="3902" xr:uid="{00000000-0005-0000-0000-0000BB000000}"/>
    <cellStyle name="_견적원가계산서(0A-002)" xfId="3903" xr:uid="{00000000-0005-0000-0000-0000BC000000}"/>
    <cellStyle name="_경쟁사분석" xfId="3904" xr:uid="{00000000-0005-0000-0000-0000BD000000}"/>
    <cellStyle name="_고정식" xfId="3905" xr:uid="{00000000-0005-0000-0000-0000BE000000}"/>
    <cellStyle name="_공정위지정자료(고려산업개발)" xfId="3906" xr:uid="{00000000-0005-0000-0000-0000BF000000}"/>
    <cellStyle name="_공정위지정자료(고려산업개발04.3.31)" xfId="3907" xr:uid="{00000000-0005-0000-0000-0000C0000000}"/>
    <cellStyle name="_국내수주진행현황(윤SBSJN보고용,수정)070124" xfId="3908" xr:uid="{00000000-0005-0000-0000-0000C1000000}"/>
    <cellStyle name="_국내영업 매출 세부내역" xfId="3909" xr:uid="{00000000-0005-0000-0000-0000C2000000}"/>
    <cellStyle name="_국내영업소개" xfId="3910" xr:uid="{00000000-0005-0000-0000-0000C3000000}"/>
    <cellStyle name="_기존총량 대비(0203)" xfId="3911" xr:uid="{00000000-0005-0000-0000-0000C4000000}"/>
    <cellStyle name="_년간매출예상(4.30)" xfId="3912" xr:uid="{00000000-0005-0000-0000-0000C5000000}"/>
    <cellStyle name="_담당자별 기종전환" xfId="3913" xr:uid="{00000000-0005-0000-0000-0000C6000000}"/>
    <cellStyle name="_담당자별 기종전환_보고서4" xfId="3914" xr:uid="{00000000-0005-0000-0000-0000C7000000}"/>
    <cellStyle name="_마이스터(1130)" xfId="3915" xr:uid="{00000000-0005-0000-0000-0000C8000000}"/>
    <cellStyle name="_만도-소주 투자(FORECAST증량검토)_040512_원주" xfId="3918" xr:uid="{00000000-0005-0000-0000-0000CB000000}"/>
    <cellStyle name="_만도(소주)'04년 손익사업계획 040209" xfId="3916" xr:uid="{00000000-0005-0000-0000-0000C9000000}"/>
    <cellStyle name="_만도(소주)연결투자사별(1130)" xfId="3917" xr:uid="{00000000-0005-0000-0000-0000CA000000}"/>
    <cellStyle name="_매각실사자료(국내영업총괄)" xfId="3919" xr:uid="{00000000-0005-0000-0000-0000CC000000}"/>
    <cellStyle name="_매각실사자료(엔진 경쟁력 비교)" xfId="3920" xr:uid="{00000000-0005-0000-0000-0000CD000000}"/>
    <cellStyle name="_매각실사자료제출(040728)" xfId="3921" xr:uid="{00000000-0005-0000-0000-0000CE000000}"/>
    <cellStyle name="_미국공장_lay-out_021002" xfId="3922" xr:uid="{00000000-0005-0000-0000-0000CF000000}"/>
    <cellStyle name="_방침전개" xfId="3923" xr:uid="{00000000-0005-0000-0000-0000D0000000}"/>
    <cellStyle name="_별첨(계획서및실적서양식)" xfId="3924" xr:uid="{00000000-0005-0000-0000-0000D1000000}"/>
    <cellStyle name="_별첨(계획서및실적서양식)_1" xfId="3925" xr:uid="{00000000-0005-0000-0000-0000D2000000}"/>
    <cellStyle name="_별첨자료(1-4)" xfId="3926" xr:uid="{00000000-0005-0000-0000-0000D3000000}"/>
    <cellStyle name="_본부장업무보고(031222-1)" xfId="3928" xr:uid="{00000000-0005-0000-0000-0000D5000000}"/>
    <cellStyle name="_본부장업무보고(031222)" xfId="3927" xr:uid="{00000000-0005-0000-0000-0000D4000000}"/>
    <cellStyle name="_부산-울산고속도로(해지시지급금20051013)" xfId="3929" xr:uid="{00000000-0005-0000-0000-0000D6000000}"/>
    <cellStyle name="_부품개발정책(보고중.0915)" xfId="3930" xr:uid="{00000000-0005-0000-0000-0000D7000000}"/>
    <cellStyle name="_북경연구소 중기총량(050128)" xfId="3931" xr:uid="{00000000-0005-0000-0000-0000D8000000}"/>
    <cellStyle name="_사본 - 2005년 매출계획 총괄표(1)" xfId="3932" xr:uid="{00000000-0005-0000-0000-0000D9000000}"/>
    <cellStyle name="_사업계획(소재)" xfId="3933" xr:uid="{00000000-0005-0000-0000-0000DA000000}"/>
    <cellStyle name="_사업계획(케스코드)" xfId="3934" xr:uid="{00000000-0005-0000-0000-0000DB000000}"/>
    <cellStyle name="_사장 경영보고(담당040421)" xfId="3935" xr:uid="{00000000-0005-0000-0000-0000DC000000}"/>
    <cellStyle name="_사장 약정식(담당050113)" xfId="3936" xr:uid="{00000000-0005-0000-0000-0000DD000000}"/>
    <cellStyle name="_사장님보고DATA(07.09.03)" xfId="3937" xr:uid="{00000000-0005-0000-0000-0000DE000000}"/>
    <cellStyle name="_산업개발출자총액2('04년말기준'05.01.18)(백)" xfId="3938" xr:uid="{00000000-0005-0000-0000-0000DF000000}"/>
    <cellStyle name="_생기부문(0531)" xfId="3939" xr:uid="{00000000-0005-0000-0000-0000E0000000}"/>
    <cellStyle name="_생판회의(0403월)" xfId="3940" xr:uid="{00000000-0005-0000-0000-0000E1000000}"/>
    <cellStyle name="_선박엔진CAPITAL업무FLOW" xfId="3941" xr:uid="{00000000-0005-0000-0000-0000E2000000}"/>
    <cellStyle name="_설비별 기종전환" xfId="3942" xr:uid="{00000000-0005-0000-0000-0000E3000000}"/>
    <cellStyle name="_설비별 기종전환_보고서4" xfId="3943" xr:uid="{00000000-0005-0000-0000-0000E4000000}"/>
    <cellStyle name="_설비일정-3차" xfId="3944" xr:uid="{00000000-0005-0000-0000-0000E5000000}"/>
    <cellStyle name="_설비치구투자" xfId="3945" xr:uid="{00000000-0005-0000-0000-0000E6000000}"/>
    <cellStyle name="_세부자료(0223)" xfId="3946" xr:uid="{00000000-0005-0000-0000-0000E7000000}"/>
    <cellStyle name="_소주손익계획(040618-CASE2)" xfId="3947" xr:uid="{00000000-0005-0000-0000-0000E8000000}"/>
    <cellStyle name="_소주판매재료계획(041224)" xfId="3948" xr:uid="{00000000-0005-0000-0000-0000E9000000}"/>
    <cellStyle name="_수량" xfId="3950" xr:uid="{00000000-0005-0000-0000-0000EB000000}"/>
    <cellStyle name="_수량_1" xfId="3951" xr:uid="{00000000-0005-0000-0000-0000EC000000}"/>
    <cellStyle name="_수량_1_Dongbu(0424 최종)" xfId="3952" xr:uid="{00000000-0005-0000-0000-0000ED000000}"/>
    <cellStyle name="_수량_1_Dongbu(0424 최종)_부산-울산고속도로(해지시지급금20051013)" xfId="3953" xr:uid="{00000000-0005-0000-0000-0000EE000000}"/>
    <cellStyle name="_수량_2" xfId="3954" xr:uid="{00000000-0005-0000-0000-0000EF000000}"/>
    <cellStyle name="_수량1" xfId="3955" xr:uid="{00000000-0005-0000-0000-0000F0000000}"/>
    <cellStyle name="_수량1_1" xfId="3956" xr:uid="{00000000-0005-0000-0000-0000F1000000}"/>
    <cellStyle name="_수량1_1_Dongbu(0424 최종)" xfId="3957" xr:uid="{00000000-0005-0000-0000-0000F2000000}"/>
    <cellStyle name="_수량1_1_Dongbu(0424 최종)_부산-울산고속도로(해지시지급금20051013)" xfId="3958" xr:uid="{00000000-0005-0000-0000-0000F3000000}"/>
    <cellStyle name="_수량2" xfId="3959" xr:uid="{00000000-0005-0000-0000-0000F4000000}"/>
    <cellStyle name="_수량2_1" xfId="3960" xr:uid="{00000000-0005-0000-0000-0000F5000000}"/>
    <cellStyle name="_수량2_1_Dongbu(0424 최종)" xfId="3961" xr:uid="{00000000-0005-0000-0000-0000F6000000}"/>
    <cellStyle name="_수량2_1_Dongbu(0424 최종)_부산-울산고속도로(해지시지급금20051013)" xfId="3962" xr:uid="{00000000-0005-0000-0000-0000F7000000}"/>
    <cellStyle name="_수량last" xfId="3963" xr:uid="{00000000-0005-0000-0000-0000F8000000}"/>
    <cellStyle name="_수량last_1" xfId="3964" xr:uid="{00000000-0005-0000-0000-0000F9000000}"/>
    <cellStyle name="_수량last_2" xfId="3965" xr:uid="{00000000-0005-0000-0000-0000FA000000}"/>
    <cellStyle name="_신규금형LIST" xfId="3966" xr:uid="{00000000-0005-0000-0000-0000FB000000}"/>
    <cellStyle name="_앞장" xfId="3967" xr:uid="{00000000-0005-0000-0000-0000FC000000}"/>
    <cellStyle name="_양식" xfId="3968" xr:uid="{00000000-0005-0000-0000-0000FD000000}"/>
    <cellStyle name="_양식_1" xfId="3969" xr:uid="{00000000-0005-0000-0000-0000FE000000}"/>
    <cellStyle name="_양식_2" xfId="3970" xr:uid="{00000000-0005-0000-0000-0000FF000000}"/>
    <cellStyle name="_업무분장안0427" xfId="3971" xr:uid="{00000000-0005-0000-0000-000000010000}"/>
    <cellStyle name="_업무분장안0427_1" xfId="3972" xr:uid="{00000000-0005-0000-0000-000001010000}"/>
    <cellStyle name="_업무분장안0427_2" xfId="3973" xr:uid="{00000000-0005-0000-0000-000002010000}"/>
    <cellStyle name="_업무분장안0427_3" xfId="3974" xr:uid="{00000000-0005-0000-0000-000003010000}"/>
    <cellStyle name="_업무분장안0427_4" xfId="3975" xr:uid="{00000000-0005-0000-0000-000004010000}"/>
    <cellStyle name="_업무분장안0427_5" xfId="3976" xr:uid="{00000000-0005-0000-0000-000005010000}"/>
    <cellStyle name="_업체별 대금결제 조건(031119)" xfId="3977" xr:uid="{00000000-0005-0000-0000-000006010000}"/>
    <cellStyle name="_연결 매출 예상 _2월" xfId="3978" xr:uid="{00000000-0005-0000-0000-000007010000}"/>
    <cellStyle name="_영업부문자료070313" xfId="3979" xr:uid="{00000000-0005-0000-0000-000008010000}"/>
    <cellStyle name="_외주단가(6352최종)" xfId="3980" xr:uid="{00000000-0005-0000-0000-000009010000}"/>
    <cellStyle name="_용접SWA2" xfId="3981" xr:uid="{00000000-0005-0000-0000-00000A010000}"/>
    <cellStyle name="_유첨3(서식)" xfId="3982" xr:uid="{00000000-0005-0000-0000-00000B010000}"/>
    <cellStyle name="_유첨3(서식)_1" xfId="3983" xr:uid="{00000000-0005-0000-0000-00000C010000}"/>
    <cellStyle name="_장기운영" xfId="3984" xr:uid="{00000000-0005-0000-0000-00000D010000}"/>
    <cellStyle name="_재고(1월) (2)" xfId="3985" xr:uid="{00000000-0005-0000-0000-00000E010000}"/>
    <cellStyle name="_재고(2월)" xfId="3986" xr:uid="{00000000-0005-0000-0000-00000F010000}"/>
    <cellStyle name="_재료비" xfId="3987" xr:uid="{00000000-0005-0000-0000-000010010000}"/>
    <cellStyle name="_전사집계" xfId="3988" xr:uid="{00000000-0005-0000-0000-000011010000}"/>
    <cellStyle name="_전창헌-1212-업무추진계획" xfId="3989" xr:uid="{00000000-0005-0000-0000-000012010000}"/>
    <cellStyle name="_절차-CAPEX종합(원주-주물,040525)" xfId="3990" xr:uid="{00000000-0005-0000-0000-000013010000}"/>
    <cellStyle name="_중기(10-15) LRP_재무 Template (1009)_IFRS" xfId="3991" xr:uid="{00000000-0005-0000-0000-000014010000}"/>
    <cellStyle name="_중요치구" xfId="3992" xr:uid="{00000000-0005-0000-0000-000015010000}"/>
    <cellStyle name="_중장기 매출(05.2.12)" xfId="3993" xr:uid="{00000000-0005-0000-0000-000016010000}"/>
    <cellStyle name="_지정과제2차심의결과" xfId="3997" xr:uid="{00000000-0005-0000-0000-00001A010000}"/>
    <cellStyle name="_지정과제2차심의결과_1" xfId="4000" xr:uid="{00000000-0005-0000-0000-00001D010000}"/>
    <cellStyle name="_지정과제2차심의결과(금액조정후최종)" xfId="3998" xr:uid="{00000000-0005-0000-0000-00001B010000}"/>
    <cellStyle name="_지정과제2차심의결과(금액조정후최종)_1" xfId="3999" xr:uid="{00000000-0005-0000-0000-00001C010000}"/>
    <cellStyle name="_지정과제2차심의list" xfId="3994" xr:uid="{00000000-0005-0000-0000-000017010000}"/>
    <cellStyle name="_지정과제2차심의list_1" xfId="3995" xr:uid="{00000000-0005-0000-0000-000018010000}"/>
    <cellStyle name="_지정과제2차심의list_2" xfId="3996" xr:uid="{00000000-0005-0000-0000-000019010000}"/>
    <cellStyle name="_집중관리(981231)" xfId="4001" xr:uid="{00000000-0005-0000-0000-00001E010000}"/>
    <cellStyle name="_집중관리(981231)_1" xfId="4002" xr:uid="{00000000-0005-0000-0000-00001F010000}"/>
    <cellStyle name="_집중관리(지정과제및 양식)" xfId="4003" xr:uid="{00000000-0005-0000-0000-000020010000}"/>
    <cellStyle name="_집중관리(지정과제및 양식)_1" xfId="4004" xr:uid="{00000000-0005-0000-0000-000021010000}"/>
    <cellStyle name="_차량용 엔진 MS 및 제원(20041213)" xfId="4005" xr:uid="{00000000-0005-0000-0000-000022010000}"/>
    <cellStyle name="_참2.Con 5-Year Biz Plan_061221" xfId="4006" xr:uid="{00000000-0005-0000-0000-000023010000}"/>
    <cellStyle name="_참고)'04년연결(예상)" xfId="4007" xr:uid="{00000000-0005-0000-0000-000024010000}"/>
    <cellStyle name="_천안평택재무모델(제출-021220)" xfId="4008" xr:uid="{00000000-0005-0000-0000-000025010000}"/>
    <cellStyle name="_치구LIST" xfId="4009" xr:uid="{00000000-0005-0000-0000-000026010000}"/>
    <cellStyle name="_카니발 금형비_040108" xfId="4010" xr:uid="{00000000-0005-0000-0000-000027010000}"/>
    <cellStyle name="_터키조직도(11월)" xfId="4011" xr:uid="{00000000-0005-0000-0000-000028010000}"/>
    <cellStyle name="_투자2차-전체" xfId="4014" xr:uid="{00000000-0005-0000-0000-00002B010000}"/>
    <cellStyle name="_투자2차-카니발" xfId="4015" xr:uid="{00000000-0005-0000-0000-00002C010000}"/>
    <cellStyle name="_투자2차-카니발제외" xfId="4016" xr:uid="{00000000-0005-0000-0000-00002D010000}"/>
    <cellStyle name="_투자2차-GM" xfId="4012" xr:uid="{00000000-0005-0000-0000-000029010000}"/>
    <cellStyle name="_투자2차-GM-카니발제외" xfId="4013" xr:uid="{00000000-0005-0000-0000-00002A010000}"/>
    <cellStyle name="_투자사 '05년 자본금 불입 계획(041115)" xfId="4017" xr:uid="{00000000-0005-0000-0000-00002E010000}"/>
    <cellStyle name="_투자사총량계획Assumotion(040606)" xfId="4018" xr:uid="{00000000-0005-0000-0000-00002F010000}"/>
    <cellStyle name="_판매예상(0228)" xfId="4019" xr:uid="{00000000-0005-0000-0000-000030010000}"/>
    <cellStyle name="_포장" xfId="4020" xr:uid="{00000000-0005-0000-0000-000031010000}"/>
    <cellStyle name="_포장비" xfId="4021" xr:uid="{00000000-0005-0000-0000-000032010000}"/>
    <cellStyle name="_포장사양" xfId="4022" xr:uid="{00000000-0005-0000-0000-000033010000}"/>
    <cellStyle name="_포장재료비" xfId="4023" xr:uid="{00000000-0005-0000-0000-000034010000}"/>
    <cellStyle name="_표준시간 및 기종전환(GAS)" xfId="4024" xr:uid="{00000000-0005-0000-0000-000035010000}"/>
    <cellStyle name="_표준시간 및 기종전환(GAS)_보고서4" xfId="4025" xr:uid="{00000000-0005-0000-0000-000036010000}"/>
    <cellStyle name="_하얼빈(기획실 송부용031129)" xfId="4026" xr:uid="{00000000-0005-0000-0000-000037010000}"/>
    <cellStyle name="_현대차 해외공장 협력업체현황(050411)_IR팀(송" xfId="4027" xr:uid="{00000000-0005-0000-0000-000038010000}"/>
    <cellStyle name="_회계기준파악질문서(건설)-산업개발" xfId="4028" xr:uid="{00000000-0005-0000-0000-000039010000}"/>
    <cellStyle name="_苏州-1" xfId="3949" xr:uid="{00000000-0005-0000-0000-0000EA000000}"/>
    <cellStyle name="_A03 세미콘테크 BSPL" xfId="3850" xr:uid="{00000000-0005-0000-0000-000087000000}"/>
    <cellStyle name="_A1_RR재료 (2)" xfId="3851" xr:uid="{00000000-0005-0000-0000-000088000000}"/>
    <cellStyle name="_AC재료비" xfId="3852" xr:uid="{00000000-0005-0000-0000-000089000000}"/>
    <cellStyle name="_AR재료비" xfId="3853" xr:uid="{00000000-0005-0000-0000-00008A000000}"/>
    <cellStyle name="_BG별 매출 EBIT FCF-1" xfId="3854" xr:uid="{00000000-0005-0000-0000-00008B000000}"/>
    <cellStyle name="_Book1" xfId="3855" xr:uid="{00000000-0005-0000-0000-00008C000000}"/>
    <cellStyle name="_Book2" xfId="3856" xr:uid="{00000000-0005-0000-0000-00008D000000}"/>
    <cellStyle name="_Book5" xfId="3857" xr:uid="{00000000-0005-0000-0000-00008E000000}"/>
    <cellStyle name="_Book6" xfId="3858" xr:uid="{00000000-0005-0000-0000-00008F000000}"/>
    <cellStyle name="_C05 HSD 엔진 BSPL" xfId="3859" xr:uid="{00000000-0005-0000-0000-000090000000}"/>
    <cellStyle name="_CV7_재료비_040423_최종" xfId="3860" xr:uid="{00000000-0005-0000-0000-000091000000}"/>
    <cellStyle name="_CV7-CKD재료비" xfId="3861" xr:uid="{00000000-0005-0000-0000-000092000000}"/>
    <cellStyle name="_dimon" xfId="3862" xr:uid="{00000000-0005-0000-0000-000093000000}"/>
    <cellStyle name="_Dongbu(0424 최종)" xfId="3863" xr:uid="{00000000-0005-0000-0000-000094000000}"/>
    <cellStyle name="_Dongbu(0424 최종)_부산-울산고속도로(해지시지급금20051013)" xfId="3864" xr:uid="{00000000-0005-0000-0000-000095000000}"/>
    <cellStyle name="_EF_RR재료" xfId="3865" xr:uid="{00000000-0005-0000-0000-000096000000}"/>
    <cellStyle name="_FRT재료비" xfId="3866" xr:uid="{00000000-0005-0000-0000-000097000000}"/>
    <cellStyle name="_GM HOLDEN(R,SA400)" xfId="3868" xr:uid="{00000000-0005-0000-0000-000099000000}"/>
    <cellStyle name="_GM HOLDEN(R)(SA300)" xfId="3867" xr:uid="{00000000-0005-0000-0000-000098000000}"/>
    <cellStyle name="_hfj6352개발검토(0810)" xfId="3869" xr:uid="{00000000-0005-0000-0000-00009A000000}"/>
    <cellStyle name="_hfj6352외주단가1차(010811)" xfId="3870" xr:uid="{00000000-0005-0000-0000-00009B000000}"/>
    <cellStyle name="_HFJ6352재료비(0817)" xfId="3871" xr:uid="{00000000-0005-0000-0000-00009C000000}"/>
    <cellStyle name="_HFJ6390A_RR_SEAM_CURL원가비교_최종(010508)" xfId="3872" xr:uid="{00000000-0005-0000-0000-00009D000000}"/>
    <cellStyle name="_HP1_FT재료" xfId="3873" xr:uid="{00000000-0005-0000-0000-00009E000000}"/>
    <cellStyle name="_HP1_RR재료" xfId="3874" xr:uid="{00000000-0005-0000-0000-00009F000000}"/>
    <cellStyle name="_Ⅱ.(1.2.4) 기본계획(박VP 최종1031)" xfId="3849" xr:uid="{00000000-0005-0000-0000-000086000000}"/>
    <cellStyle name="_JIG개발" xfId="3875" xr:uid="{00000000-0005-0000-0000-0000A0000000}"/>
    <cellStyle name="_lay-out" xfId="3876" xr:uid="{00000000-0005-0000-0000-0000A1000000}"/>
    <cellStyle name="_LC(F)재료비 " xfId="3877" xr:uid="{00000000-0005-0000-0000-0000A2000000}"/>
    <cellStyle name="_Meister(손익분석_2차BOD용)" xfId="3878" xr:uid="{00000000-0005-0000-0000-0000A3000000}"/>
    <cellStyle name="_Monthly Report_070206" xfId="3881" xr:uid="{00000000-0005-0000-0000-0000A6000000}"/>
    <cellStyle name="_Monthly Report(January 2005)" xfId="3879" xr:uid="{00000000-0005-0000-0000-0000A4000000}"/>
    <cellStyle name="_Monthly Report(May 2006)" xfId="3880" xr:uid="{00000000-0005-0000-0000-0000A5000000}"/>
    <cellStyle name="_NF 예산 (성시2작성010913)" xfId="3882" xr:uid="{00000000-0005-0000-0000-0000A7000000}"/>
    <cellStyle name="_Pre BOD (연결,마이스터) -최종" xfId="3883" xr:uid="{00000000-0005-0000-0000-0000A8000000}"/>
    <cellStyle name="_PROJECT_CUR" xfId="3884" xr:uid="{00000000-0005-0000-0000-0000A9000000}"/>
    <cellStyle name="_R&amp;D Center MReport(해외사업팀050105)" xfId="3885" xr:uid="{00000000-0005-0000-0000-0000AA000000}"/>
    <cellStyle name="_RR금형비" xfId="3886" xr:uid="{00000000-0005-0000-0000-0000AB000000}"/>
    <cellStyle name="_RR재료비" xfId="3887" xr:uid="{00000000-0005-0000-0000-0000AC000000}"/>
    <cellStyle name="_RR재료비 (2)" xfId="3888" xr:uid="{00000000-0005-0000-0000-0000AD000000}"/>
    <cellStyle name="_SA200형CURL'G원가검토" xfId="3889" xr:uid="{00000000-0005-0000-0000-0000AE000000}"/>
    <cellStyle name="_SGM18 재료비(030818)" xfId="3890" xr:uid="{00000000-0005-0000-0000-0000AF000000}"/>
    <cellStyle name="_SGM201 DEV.내용_030714" xfId="3891" xr:uid="{00000000-0005-0000-0000-0000B0000000}"/>
    <cellStyle name="_SGTA-C-2000-다효" xfId="3892" xr:uid="{00000000-0005-0000-0000-0000B1000000}"/>
    <cellStyle name="_T_CAR 재료비_0802" xfId="3893" xr:uid="{00000000-0005-0000-0000-0000B2000000}"/>
    <cellStyle name="_T_CAR_030812 재료비접수" xfId="3894" xr:uid="{00000000-0005-0000-0000-0000B3000000}"/>
    <cellStyle name="_Template Stats" xfId="3895" xr:uid="{00000000-0005-0000-0000-0000B4000000}"/>
    <cellStyle name="_variance factors" xfId="3896" xr:uid="{00000000-0005-0000-0000-0000B5000000}"/>
    <cellStyle name="_VB" xfId="3897" xr:uid="{00000000-0005-0000-0000-0000B6000000}"/>
    <cellStyle name="_XD 재료비(Ft)" xfId="3898" xr:uid="{00000000-0005-0000-0000-0000B7000000}"/>
    <cellStyle name="_XD 재료비(Rr)" xfId="3899" xr:uid="{00000000-0005-0000-0000-0000B8000000}"/>
    <cellStyle name="_XD000515" xfId="3900" xr:uid="{00000000-0005-0000-0000-0000B9000000}"/>
    <cellStyle name="_YP0(0723)" xfId="3901" xr:uid="{00000000-0005-0000-0000-0000BA000000}"/>
    <cellStyle name=";;;" xfId="3728" xr:uid="{00000000-0005-0000-0000-00000D000000}"/>
    <cellStyle name="??_x000c_蕓&quot;_x000d_婦U_x0001_&quot;_x0004_?_x0007__x0001__x0001_" xfId="3730" xr:uid="{00000000-0005-0000-0000-00000F000000}"/>
    <cellStyle name="??_x000c_蕓&quot;_x000d_婦U_x0001_h_x0005__x0009__x000f__x0007__x0001__x0001_" xfId="3731" xr:uid="{00000000-0005-0000-0000-000010000000}"/>
    <cellStyle name="?? [0]_CODE (2)BU" xfId="3729" xr:uid="{00000000-0005-0000-0000-00000E000000}"/>
    <cellStyle name="??_ALGERIA MEETING" xfId="3737" xr:uid="{00000000-0005-0000-0000-000016000000}"/>
    <cellStyle name="???? [0.00]_PRODUCT DETAIL Q1can " xfId="3734" xr:uid="{00000000-0005-0000-0000-000013000000}"/>
    <cellStyle name="????_PRODUCT DETAIL Q1TAIL" xfId="3735" xr:uid="{00000000-0005-0000-0000-000014000000}"/>
    <cellStyle name="???Ø_½???¿¹??¼­ " xfId="3736" xr:uid="{00000000-0005-0000-0000-000015000000}"/>
    <cellStyle name="??&amp;O?&amp;H?_x0008__x000f__x0007_?_x0007__x0001__x0001_" xfId="3732" xr:uid="{00000000-0005-0000-0000-000011000000}"/>
    <cellStyle name="??&amp;O?&amp;H?_x0008_??_x0007__x0001__x0001_" xfId="3733" xr:uid="{00000000-0005-0000-0000-000012000000}"/>
    <cellStyle name="?_x000f__x0001_?잡_x0002_" xfId="3738" xr:uid="{00000000-0005-0000-0000-000017000000}"/>
    <cellStyle name="?”´?_REV3 " xfId="3739" xr:uid="{00000000-0005-0000-0000-000018000000}"/>
    <cellStyle name="?마 [0]_CASH FLOW " xfId="3747" xr:uid="{00000000-0005-0000-0000-000020000000}"/>
    <cellStyle name="?마_CASH FLOW " xfId="3748" xr:uid="{00000000-0005-0000-0000-000021000000}"/>
    <cellStyle name="?핺_2Q97 dist.EOM " xfId="3749" xr:uid="{00000000-0005-0000-0000-000022000000}"/>
    <cellStyle name="?d?A|i[0]" xfId="3740" xr:uid="{00000000-0005-0000-0000-000019000000}"/>
    <cellStyle name="?e??A?_laroux_A??I2A?_BS&amp;IncStat_PL_S " xfId="3741" xr:uid="{00000000-0005-0000-0000-00001A000000}"/>
    <cellStyle name="?W3s¢FFFGg2" xfId="3742" xr:uid="{00000000-0005-0000-0000-00001B000000}"/>
    <cellStyle name="?W3s¢FFGg2" xfId="3743" xr:uid="{00000000-0005-0000-0000-00001C000000}"/>
    <cellStyle name="?W3s¢FGg2" xfId="3744" xr:uid="{00000000-0005-0000-0000-00001D000000}"/>
    <cellStyle name="?W3s¢Gg2" xfId="3745" xr:uid="{00000000-0005-0000-0000-00001E000000}"/>
    <cellStyle name="?W3s£g2" xfId="3746" xr:uid="{00000000-0005-0000-0000-00001F000000}"/>
    <cellStyle name="(3)" xfId="3725" xr:uid="{00000000-0005-0000-0000-00000A000000}"/>
    <cellStyle name=")" xfId="3726" xr:uid="{00000000-0005-0000-0000-00000B000000}"/>
    <cellStyle name=")omma_9월경비 (2)_97회비 (2)_1월회비내역ͬ(2)" xfId="3727" xr:uid="{00000000-0005-0000-0000-00000C000000}"/>
    <cellStyle name="]_Sheet1_FY96" xfId="3789" xr:uid="{00000000-0005-0000-0000-00004A000000}"/>
    <cellStyle name="]_Sheet1_PRODUCT DETAIL_x0013_Comma [0]_Sheet1_Q1" xfId="3790" xr:uid="{00000000-0005-0000-0000-00004B000000}"/>
    <cellStyle name="¶W³sµ²" xfId="4040" xr:uid="{00000000-0005-0000-0000-000045010000}"/>
    <cellStyle name="@_2. 12월 직별생산성  " xfId="3750" xr:uid="{00000000-0005-0000-0000-000023000000}"/>
    <cellStyle name="@_2. 12월 직별생산성  _5.98노동생산총괄 (분기예상) " xfId="3751" xr:uid="{00000000-0005-0000-0000-000024000000}"/>
    <cellStyle name="@_2. 12월 직별생산성  _5.98노동생산총괄 (분기예상) _2.인력운영현황 " xfId="3752" xr:uid="{00000000-0005-0000-0000-000025000000}"/>
    <cellStyle name="@_2. 12월 직별생산성  _5.98노동생산총괄 (분기예상) _3.월간노동생산성 " xfId="3753" xr:uid="{00000000-0005-0000-0000-000026000000}"/>
    <cellStyle name="@_2. 12월 직별생산성  _5.98노동생산총괄 (분기예상) _3.주간노동생산성 " xfId="3754" xr:uid="{00000000-0005-0000-0000-000027000000}"/>
    <cellStyle name="@_2. 12월 직별생산성  _5.98노동생산총괄 (분기예상) _3.직별노동생산성 " xfId="3755" xr:uid="{00000000-0005-0000-0000-000028000000}"/>
    <cellStyle name="@_2. 12월 직별생산성  _98노동생산총괄 (분기) " xfId="3756" xr:uid="{00000000-0005-0000-0000-000029000000}"/>
    <cellStyle name="@_2. 직별생산성 " xfId="3757" xr:uid="{00000000-0005-0000-0000-00002A000000}"/>
    <cellStyle name="@_2. 직별생산성  " xfId="3758" xr:uid="{00000000-0005-0000-0000-00002B000000}"/>
    <cellStyle name="@_2. 직별생산성  _5.98노동생산총괄 (분기예상) " xfId="3759" xr:uid="{00000000-0005-0000-0000-00002C000000}"/>
    <cellStyle name="@_2. 직별생산성  _5.98노동생산총괄 (분기예상) _2.인력운영현황 " xfId="3760" xr:uid="{00000000-0005-0000-0000-00002D000000}"/>
    <cellStyle name="@_2. 직별생산성  _5.98노동생산총괄 (분기예상) _3.월간노동생산성 " xfId="3761" xr:uid="{00000000-0005-0000-0000-00002E000000}"/>
    <cellStyle name="@_2. 직별생산성  _5.98노동생산총괄 (분기예상) _3.주간노동생산성 " xfId="3762" xr:uid="{00000000-0005-0000-0000-00002F000000}"/>
    <cellStyle name="@_2. 직별생산성  _5.98노동생산총괄 (분기예상) _3.직별노동생산성 " xfId="3763" xr:uid="{00000000-0005-0000-0000-000030000000}"/>
    <cellStyle name="@_2. 직별생산성  _98노동생산총괄 (분기) " xfId="3764" xr:uid="{00000000-0005-0000-0000-000031000000}"/>
    <cellStyle name="@_2. 직별생산성 _5.98노동생산총괄 (분기예상) " xfId="3765" xr:uid="{00000000-0005-0000-0000-000032000000}"/>
    <cellStyle name="@_2. 직별생산성 _5.98노동생산총괄 (분기예상) _2.인력운영현황 " xfId="3766" xr:uid="{00000000-0005-0000-0000-000033000000}"/>
    <cellStyle name="@_2. 직별생산성 _5.98노동생산총괄 (분기예상) _3.월간노동생산성 " xfId="3767" xr:uid="{00000000-0005-0000-0000-000034000000}"/>
    <cellStyle name="@_2. 직별생산성 _5.98노동생산총괄 (분기예상) _3.주간노동생산성 " xfId="3768" xr:uid="{00000000-0005-0000-0000-000035000000}"/>
    <cellStyle name="@_2. 직별생산성 _5.98노동생산총괄 (분기예상) _3.직별노동생산성 " xfId="3769" xr:uid="{00000000-0005-0000-0000-000036000000}"/>
    <cellStyle name="@_2. 직별생산성 _98노동생산총괄 (분기) " xfId="3770" xr:uid="{00000000-0005-0000-0000-000037000000}"/>
    <cellStyle name="@_비가동원본_2. 12월 직별생산성  " xfId="3771" xr:uid="{00000000-0005-0000-0000-000038000000}"/>
    <cellStyle name="@_비가동원본_2. 12월 직별생산성  _5.98노동생산총괄 (분기예상) " xfId="3772" xr:uid="{00000000-0005-0000-0000-000039000000}"/>
    <cellStyle name="@_비가동원본_2. 12월 직별생산성  _5.98노동생산총괄 (분기예상) _3.직별노동생산성 " xfId="3773" xr:uid="{00000000-0005-0000-0000-00003A000000}"/>
    <cellStyle name="@_비가동원본_2. 12월 직별생산성  _98노동생산총괄 (분기) " xfId="3774" xr:uid="{00000000-0005-0000-0000-00003B000000}"/>
    <cellStyle name="@_비가동원본_2. 직별생산성 " xfId="3775" xr:uid="{00000000-0005-0000-0000-00003C000000}"/>
    <cellStyle name="@_비가동원본_2. 직별생산성  " xfId="3776" xr:uid="{00000000-0005-0000-0000-00003D000000}"/>
    <cellStyle name="@_비가동원본_2. 직별생산성  _5.98노동생산총괄 (분기예상) " xfId="3777" xr:uid="{00000000-0005-0000-0000-00003E000000}"/>
    <cellStyle name="@_비가동원본_2. 직별생산성  _5.98노동생산총괄 (분기예상) _2.인력운영현황 " xfId="3778" xr:uid="{00000000-0005-0000-0000-00003F000000}"/>
    <cellStyle name="@_비가동원본_2. 직별생산성  _5.98노동생산총괄 (분기예상) _3.월간노동생산성 " xfId="3779" xr:uid="{00000000-0005-0000-0000-000040000000}"/>
    <cellStyle name="@_비가동원본_2. 직별생산성  _5.98노동생산총괄 (분기예상) _3.주간노동생산성 " xfId="3780" xr:uid="{00000000-0005-0000-0000-000041000000}"/>
    <cellStyle name="@_비가동원본_2. 직별생산성  _5.98노동생산총괄 (분기예상) _3.직별노동생산성 " xfId="3781" xr:uid="{00000000-0005-0000-0000-000042000000}"/>
    <cellStyle name="@_비가동원본_2. 직별생산성  _98노동생산총괄 (분기) " xfId="3782" xr:uid="{00000000-0005-0000-0000-000043000000}"/>
    <cellStyle name="@_비가동원본_2. 직별생산성 _5.98노동생산총괄 (분기예상) " xfId="3783" xr:uid="{00000000-0005-0000-0000-000044000000}"/>
    <cellStyle name="@_비가동원본_2. 직별생산성 _5.98노동생산총괄 (분기예상) _2.인력운영현황 " xfId="3784" xr:uid="{00000000-0005-0000-0000-000045000000}"/>
    <cellStyle name="@_비가동원본_2. 직별생산성 _5.98노동생산총괄 (분기예상) _3.월간노동생산성 " xfId="3785" xr:uid="{00000000-0005-0000-0000-000046000000}"/>
    <cellStyle name="@_비가동원본_2. 직별생산성 _5.98노동생산총괄 (분기예상) _3.주간노동생산성 " xfId="3786" xr:uid="{00000000-0005-0000-0000-000047000000}"/>
    <cellStyle name="@_비가동원본_2. 직별생산성 _5.98노동생산총괄 (분기예상) _3.직별노동생산성 " xfId="3787" xr:uid="{00000000-0005-0000-0000-000048000000}"/>
    <cellStyle name="@_비가동원본_2. 직별생산성 _98노동생산총괄 (분기) " xfId="3788" xr:uid="{00000000-0005-0000-0000-000049000000}"/>
    <cellStyle name="&amp;A" xfId="3724" xr:uid="{00000000-0005-0000-0000-000009000000}"/>
    <cellStyle name="#,##0" xfId="3723" xr:uid="{00000000-0005-0000-0000-000008000000}"/>
    <cellStyle name="##.000" xfId="3722" xr:uid="{00000000-0005-0000-0000-000007000000}"/>
    <cellStyle name="°iA¤Aa·A1_10¿u2WA¸ºI " xfId="4038" xr:uid="{00000000-0005-0000-0000-000043010000}"/>
    <cellStyle name="°iA¤Aa·A2_10¿u2WA¸ºI " xfId="4039" xr:uid="{00000000-0005-0000-0000-000044010000}"/>
    <cellStyle name="¤@?e_TEST-1 " xfId="4035" xr:uid="{00000000-0005-0000-0000-000040010000}"/>
    <cellStyle name="¤@¯ë_chinese" xfId="4036" xr:uid="{00000000-0005-0000-0000-000041010000}"/>
    <cellStyle name="¤d¤À¦ì[0]" xfId="4037" xr:uid="{00000000-0005-0000-0000-000042010000}"/>
    <cellStyle name="￡Currency [0]" xfId="4029" xr:uid="{00000000-0005-0000-0000-00003A010000}"/>
    <cellStyle name="￡Currency [1]" xfId="4030" xr:uid="{00000000-0005-0000-0000-00003B010000}"/>
    <cellStyle name="￡Currency [2]" xfId="4031" xr:uid="{00000000-0005-0000-0000-00003C010000}"/>
    <cellStyle name="￡Currency [p]" xfId="4032" xr:uid="{00000000-0005-0000-0000-00003D010000}"/>
    <cellStyle name="￡Currency [p2]" xfId="4033" xr:uid="{00000000-0005-0000-0000-00003E010000}"/>
    <cellStyle name="￡Pounds" xfId="4034" xr:uid="{00000000-0005-0000-0000-00003F010000}"/>
    <cellStyle name="0,0_x000d__x000a_NA_x000d__x000a_" xfId="4042" xr:uid="{00000000-0005-0000-0000-000047010000}"/>
    <cellStyle name="0.0" xfId="4043" xr:uid="{00000000-0005-0000-0000-000048010000}"/>
    <cellStyle name="0.00" xfId="4044" xr:uid="{00000000-0005-0000-0000-000049010000}"/>
    <cellStyle name="0뾍R_x0005_?뾍b_x0005_" xfId="4045" xr:uid="{00000000-0005-0000-0000-00004A010000}"/>
    <cellStyle name="100" xfId="4046" xr:uid="{00000000-0005-0000-0000-00004B010000}"/>
    <cellStyle name="1234" xfId="4047" xr:uid="{00000000-0005-0000-0000-00004C010000}"/>
    <cellStyle name="¹eºÐA²_±aA¸" xfId="4048" xr:uid="{00000000-0005-0000-0000-00004D010000}"/>
    <cellStyle name="2)" xfId="4049" xr:uid="{00000000-0005-0000-0000-00004E010000}"/>
    <cellStyle name="20% - 강조색1" xfId="20" builtinId="30" customBuiltin="1"/>
    <cellStyle name="20% - 강조색1 10" xfId="400" xr:uid="{00000000-0005-0000-0000-00005C010000}"/>
    <cellStyle name="20% - 강조색1 11" xfId="3532" xr:uid="{00000000-0005-0000-0000-00005D010000}"/>
    <cellStyle name="20% - 강조색1 12" xfId="3657" xr:uid="{00000000-0005-0000-0000-00005E010000}"/>
    <cellStyle name="20% - 강조색1 13" xfId="3671" xr:uid="{00000000-0005-0000-0000-00005F010000}"/>
    <cellStyle name="20% - 강조색1 14" xfId="3685" xr:uid="{00000000-0005-0000-0000-000060010000}"/>
    <cellStyle name="20% - 강조색1 15" xfId="3699" xr:uid="{00000000-0005-0000-0000-000061010000}"/>
    <cellStyle name="20% - 강조색1 16" xfId="5411" xr:uid="{00000000-0005-0000-0000-000062010000}"/>
    <cellStyle name="20% - 강조색1 2" xfId="47" xr:uid="{00000000-0005-0000-0000-000063010000}"/>
    <cellStyle name="20% - 강조색1 2 2" xfId="100" xr:uid="{00000000-0005-0000-0000-000064010000}"/>
    <cellStyle name="20% - 강조색1 2 2 2" xfId="234" xr:uid="{00000000-0005-0000-0000-000065010000}"/>
    <cellStyle name="20% - 강조색1 2 3" xfId="101" xr:uid="{00000000-0005-0000-0000-000066010000}"/>
    <cellStyle name="20% - 강조색1 2 3 2" xfId="260" xr:uid="{00000000-0005-0000-0000-000067010000}"/>
    <cellStyle name="20% - 강조색1 2 4" xfId="208" xr:uid="{00000000-0005-0000-0000-000068010000}"/>
    <cellStyle name="20% - 강조색1 2 5" xfId="329" xr:uid="{00000000-0005-0000-0000-000069010000}"/>
    <cellStyle name="20% - 강조색1 2 6" xfId="3546" xr:uid="{00000000-0005-0000-0000-00006A010000}"/>
    <cellStyle name="20% - 강조색1 3" xfId="60" xr:uid="{00000000-0005-0000-0000-00006B010000}"/>
    <cellStyle name="20% - 강조색1 3 2" xfId="102" xr:uid="{00000000-0005-0000-0000-00006C010000}"/>
    <cellStyle name="20% - 강조색1 3 2 2" xfId="274" xr:uid="{00000000-0005-0000-0000-00006D010000}"/>
    <cellStyle name="20% - 강조색1 3 3" xfId="195" xr:uid="{00000000-0005-0000-0000-00006E010000}"/>
    <cellStyle name="20% - 강조색1 3 4" xfId="342" xr:uid="{00000000-0005-0000-0000-00006F010000}"/>
    <cellStyle name="20% - 강조색1 3 5" xfId="3559" xr:uid="{00000000-0005-0000-0000-000070010000}"/>
    <cellStyle name="20% - 강조색1 4" xfId="74" xr:uid="{00000000-0005-0000-0000-000071010000}"/>
    <cellStyle name="20% - 강조색1 4 2" xfId="103" xr:uid="{00000000-0005-0000-0000-000072010000}"/>
    <cellStyle name="20% - 강조색1 4 2 2" xfId="288" xr:uid="{00000000-0005-0000-0000-000073010000}"/>
    <cellStyle name="20% - 강조색1 4 3" xfId="221" xr:uid="{00000000-0005-0000-0000-000074010000}"/>
    <cellStyle name="20% - 강조색1 4 4" xfId="3573" xr:uid="{00000000-0005-0000-0000-000075010000}"/>
    <cellStyle name="20% - 강조색1 5" xfId="88" xr:uid="{00000000-0005-0000-0000-000076010000}"/>
    <cellStyle name="20% - 강조색1 5 2" xfId="166" xr:uid="{00000000-0005-0000-0000-000077010000}"/>
    <cellStyle name="20% - 강조색1 5 3" xfId="247" xr:uid="{00000000-0005-0000-0000-000078010000}"/>
    <cellStyle name="20% - 강조색1 5 4" xfId="3588" xr:uid="{00000000-0005-0000-0000-000079010000}"/>
    <cellStyle name="20% - 강조색1 6" xfId="104" xr:uid="{00000000-0005-0000-0000-00007A010000}"/>
    <cellStyle name="20% - 강조색1 6 2" xfId="302" xr:uid="{00000000-0005-0000-0000-00007B010000}"/>
    <cellStyle name="20% - 강조색1 6 3" xfId="3601" xr:uid="{00000000-0005-0000-0000-00007C010000}"/>
    <cellStyle name="20% - 강조색1 7" xfId="182" xr:uid="{00000000-0005-0000-0000-00007D010000}"/>
    <cellStyle name="20% - 강조색1 7 2" xfId="3643" xr:uid="{00000000-0005-0000-0000-00007E010000}"/>
    <cellStyle name="20% - 강조색1 8" xfId="315" xr:uid="{00000000-0005-0000-0000-00007F010000}"/>
    <cellStyle name="20% - 강조색1 9" xfId="385" xr:uid="{00000000-0005-0000-0000-000080010000}"/>
    <cellStyle name="20% - 강조색2" xfId="24" builtinId="34" customBuiltin="1"/>
    <cellStyle name="20% - 강조색2 10" xfId="402" xr:uid="{00000000-0005-0000-0000-000082010000}"/>
    <cellStyle name="20% - 강조색2 11" xfId="3534" xr:uid="{00000000-0005-0000-0000-000083010000}"/>
    <cellStyle name="20% - 강조색2 12" xfId="3659" xr:uid="{00000000-0005-0000-0000-000084010000}"/>
    <cellStyle name="20% - 강조색2 13" xfId="3673" xr:uid="{00000000-0005-0000-0000-000085010000}"/>
    <cellStyle name="20% - 강조색2 14" xfId="3687" xr:uid="{00000000-0005-0000-0000-000086010000}"/>
    <cellStyle name="20% - 강조색2 15" xfId="3701" xr:uid="{00000000-0005-0000-0000-000087010000}"/>
    <cellStyle name="20% - 강조색2 16" xfId="5413" xr:uid="{00000000-0005-0000-0000-000088010000}"/>
    <cellStyle name="20% - 강조색2 2" xfId="49" xr:uid="{00000000-0005-0000-0000-000089010000}"/>
    <cellStyle name="20% - 강조색2 2 2" xfId="105" xr:uid="{00000000-0005-0000-0000-00008A010000}"/>
    <cellStyle name="20% - 강조색2 2 2 2" xfId="236" xr:uid="{00000000-0005-0000-0000-00008B010000}"/>
    <cellStyle name="20% - 강조색2 2 3" xfId="106" xr:uid="{00000000-0005-0000-0000-00008C010000}"/>
    <cellStyle name="20% - 강조색2 2 3 2" xfId="262" xr:uid="{00000000-0005-0000-0000-00008D010000}"/>
    <cellStyle name="20% - 강조색2 2 4" xfId="210" xr:uid="{00000000-0005-0000-0000-00008E010000}"/>
    <cellStyle name="20% - 강조색2 2 5" xfId="331" xr:uid="{00000000-0005-0000-0000-00008F010000}"/>
    <cellStyle name="20% - 강조색2 2 6" xfId="3548" xr:uid="{00000000-0005-0000-0000-000090010000}"/>
    <cellStyle name="20% - 강조색2 3" xfId="62" xr:uid="{00000000-0005-0000-0000-000091010000}"/>
    <cellStyle name="20% - 강조색2 3 2" xfId="107" xr:uid="{00000000-0005-0000-0000-000092010000}"/>
    <cellStyle name="20% - 강조색2 3 2 2" xfId="276" xr:uid="{00000000-0005-0000-0000-000093010000}"/>
    <cellStyle name="20% - 강조색2 3 3" xfId="197" xr:uid="{00000000-0005-0000-0000-000094010000}"/>
    <cellStyle name="20% - 강조색2 3 4" xfId="343" xr:uid="{00000000-0005-0000-0000-000095010000}"/>
    <cellStyle name="20% - 강조색2 3 5" xfId="3561" xr:uid="{00000000-0005-0000-0000-000096010000}"/>
    <cellStyle name="20% - 강조색2 4" xfId="76" xr:uid="{00000000-0005-0000-0000-000097010000}"/>
    <cellStyle name="20% - 강조색2 4 2" xfId="108" xr:uid="{00000000-0005-0000-0000-000098010000}"/>
    <cellStyle name="20% - 강조색2 4 2 2" xfId="290" xr:uid="{00000000-0005-0000-0000-000099010000}"/>
    <cellStyle name="20% - 강조색2 4 3" xfId="223" xr:uid="{00000000-0005-0000-0000-00009A010000}"/>
    <cellStyle name="20% - 강조색2 4 4" xfId="3575" xr:uid="{00000000-0005-0000-0000-00009B010000}"/>
    <cellStyle name="20% - 강조색2 5" xfId="90" xr:uid="{00000000-0005-0000-0000-00009C010000}"/>
    <cellStyle name="20% - 강조색2 5 2" xfId="168" xr:uid="{00000000-0005-0000-0000-00009D010000}"/>
    <cellStyle name="20% - 강조색2 5 3" xfId="249" xr:uid="{00000000-0005-0000-0000-00009E010000}"/>
    <cellStyle name="20% - 강조색2 5 4" xfId="3590" xr:uid="{00000000-0005-0000-0000-00009F010000}"/>
    <cellStyle name="20% - 강조색2 6" xfId="109" xr:uid="{00000000-0005-0000-0000-0000A0010000}"/>
    <cellStyle name="20% - 강조색2 6 2" xfId="304" xr:uid="{00000000-0005-0000-0000-0000A1010000}"/>
    <cellStyle name="20% - 강조색2 6 3" xfId="3603" xr:uid="{00000000-0005-0000-0000-0000A2010000}"/>
    <cellStyle name="20% - 강조색2 7" xfId="184" xr:uid="{00000000-0005-0000-0000-0000A3010000}"/>
    <cellStyle name="20% - 강조색2 7 2" xfId="3645" xr:uid="{00000000-0005-0000-0000-0000A4010000}"/>
    <cellStyle name="20% - 강조색2 8" xfId="317" xr:uid="{00000000-0005-0000-0000-0000A5010000}"/>
    <cellStyle name="20% - 강조색2 9" xfId="387" xr:uid="{00000000-0005-0000-0000-0000A6010000}"/>
    <cellStyle name="20% - 강조색3" xfId="28" builtinId="38" customBuiltin="1"/>
    <cellStyle name="20% - 강조색3 10" xfId="404" xr:uid="{00000000-0005-0000-0000-0000A8010000}"/>
    <cellStyle name="20% - 강조색3 11" xfId="3536" xr:uid="{00000000-0005-0000-0000-0000A9010000}"/>
    <cellStyle name="20% - 강조색3 12" xfId="3661" xr:uid="{00000000-0005-0000-0000-0000AA010000}"/>
    <cellStyle name="20% - 강조색3 13" xfId="3675" xr:uid="{00000000-0005-0000-0000-0000AB010000}"/>
    <cellStyle name="20% - 강조색3 14" xfId="3689" xr:uid="{00000000-0005-0000-0000-0000AC010000}"/>
    <cellStyle name="20% - 강조색3 15" xfId="3703" xr:uid="{00000000-0005-0000-0000-0000AD010000}"/>
    <cellStyle name="20% - 강조색3 16" xfId="5415" xr:uid="{00000000-0005-0000-0000-0000AE010000}"/>
    <cellStyle name="20% - 강조색3 2" xfId="51" xr:uid="{00000000-0005-0000-0000-0000AF010000}"/>
    <cellStyle name="20% - 강조색3 2 2" xfId="110" xr:uid="{00000000-0005-0000-0000-0000B0010000}"/>
    <cellStyle name="20% - 강조색3 2 2 2" xfId="238" xr:uid="{00000000-0005-0000-0000-0000B1010000}"/>
    <cellStyle name="20% - 강조색3 2 3" xfId="111" xr:uid="{00000000-0005-0000-0000-0000B2010000}"/>
    <cellStyle name="20% - 강조색3 2 3 2" xfId="264" xr:uid="{00000000-0005-0000-0000-0000B3010000}"/>
    <cellStyle name="20% - 강조색3 2 4" xfId="212" xr:uid="{00000000-0005-0000-0000-0000B4010000}"/>
    <cellStyle name="20% - 강조색3 2 5" xfId="333" xr:uid="{00000000-0005-0000-0000-0000B5010000}"/>
    <cellStyle name="20% - 강조색3 2 6" xfId="3550" xr:uid="{00000000-0005-0000-0000-0000B6010000}"/>
    <cellStyle name="20% - 강조색3 3" xfId="64" xr:uid="{00000000-0005-0000-0000-0000B7010000}"/>
    <cellStyle name="20% - 강조색3 3 2" xfId="112" xr:uid="{00000000-0005-0000-0000-0000B8010000}"/>
    <cellStyle name="20% - 강조색3 3 2 2" xfId="278" xr:uid="{00000000-0005-0000-0000-0000B9010000}"/>
    <cellStyle name="20% - 강조색3 3 3" xfId="199" xr:uid="{00000000-0005-0000-0000-0000BA010000}"/>
    <cellStyle name="20% - 강조색3 3 4" xfId="344" xr:uid="{00000000-0005-0000-0000-0000BB010000}"/>
    <cellStyle name="20% - 강조색3 3 5" xfId="3563" xr:uid="{00000000-0005-0000-0000-0000BC010000}"/>
    <cellStyle name="20% - 강조색3 4" xfId="78" xr:uid="{00000000-0005-0000-0000-0000BD010000}"/>
    <cellStyle name="20% - 강조색3 4 2" xfId="113" xr:uid="{00000000-0005-0000-0000-0000BE010000}"/>
    <cellStyle name="20% - 강조색3 4 2 2" xfId="292" xr:uid="{00000000-0005-0000-0000-0000BF010000}"/>
    <cellStyle name="20% - 강조색3 4 3" xfId="225" xr:uid="{00000000-0005-0000-0000-0000C0010000}"/>
    <cellStyle name="20% - 강조색3 4 4" xfId="3577" xr:uid="{00000000-0005-0000-0000-0000C1010000}"/>
    <cellStyle name="20% - 강조색3 5" xfId="92" xr:uid="{00000000-0005-0000-0000-0000C2010000}"/>
    <cellStyle name="20% - 강조색3 5 2" xfId="170" xr:uid="{00000000-0005-0000-0000-0000C3010000}"/>
    <cellStyle name="20% - 강조색3 5 3" xfId="251" xr:uid="{00000000-0005-0000-0000-0000C4010000}"/>
    <cellStyle name="20% - 강조색3 5 4" xfId="3592" xr:uid="{00000000-0005-0000-0000-0000C5010000}"/>
    <cellStyle name="20% - 강조색3 6" xfId="114" xr:uid="{00000000-0005-0000-0000-0000C6010000}"/>
    <cellStyle name="20% - 강조색3 6 2" xfId="306" xr:uid="{00000000-0005-0000-0000-0000C7010000}"/>
    <cellStyle name="20% - 강조색3 6 3" xfId="3605" xr:uid="{00000000-0005-0000-0000-0000C8010000}"/>
    <cellStyle name="20% - 강조색3 7" xfId="186" xr:uid="{00000000-0005-0000-0000-0000C9010000}"/>
    <cellStyle name="20% - 강조색3 7 2" xfId="3647" xr:uid="{00000000-0005-0000-0000-0000CA010000}"/>
    <cellStyle name="20% - 강조색3 8" xfId="319" xr:uid="{00000000-0005-0000-0000-0000CB010000}"/>
    <cellStyle name="20% - 강조색3 9" xfId="389" xr:uid="{00000000-0005-0000-0000-0000CC010000}"/>
    <cellStyle name="20% - 강조색4" xfId="32" builtinId="42" customBuiltin="1"/>
    <cellStyle name="20% - 강조색4 10" xfId="406" xr:uid="{00000000-0005-0000-0000-0000CE010000}"/>
    <cellStyle name="20% - 강조색4 11" xfId="3538" xr:uid="{00000000-0005-0000-0000-0000CF010000}"/>
    <cellStyle name="20% - 강조색4 12" xfId="3663" xr:uid="{00000000-0005-0000-0000-0000D0010000}"/>
    <cellStyle name="20% - 강조색4 13" xfId="3677" xr:uid="{00000000-0005-0000-0000-0000D1010000}"/>
    <cellStyle name="20% - 강조색4 14" xfId="3691" xr:uid="{00000000-0005-0000-0000-0000D2010000}"/>
    <cellStyle name="20% - 강조색4 15" xfId="3705" xr:uid="{00000000-0005-0000-0000-0000D3010000}"/>
    <cellStyle name="20% - 강조색4 16" xfId="5417" xr:uid="{00000000-0005-0000-0000-0000D4010000}"/>
    <cellStyle name="20% - 강조색4 2" xfId="53" xr:uid="{00000000-0005-0000-0000-0000D5010000}"/>
    <cellStyle name="20% - 강조색4 2 2" xfId="115" xr:uid="{00000000-0005-0000-0000-0000D6010000}"/>
    <cellStyle name="20% - 강조색4 2 2 2" xfId="240" xr:uid="{00000000-0005-0000-0000-0000D7010000}"/>
    <cellStyle name="20% - 강조색4 2 3" xfId="116" xr:uid="{00000000-0005-0000-0000-0000D8010000}"/>
    <cellStyle name="20% - 강조색4 2 3 2" xfId="266" xr:uid="{00000000-0005-0000-0000-0000D9010000}"/>
    <cellStyle name="20% - 강조색4 2 4" xfId="214" xr:uid="{00000000-0005-0000-0000-0000DA010000}"/>
    <cellStyle name="20% - 강조색4 2 5" xfId="335" xr:uid="{00000000-0005-0000-0000-0000DB010000}"/>
    <cellStyle name="20% - 강조색4 2 6" xfId="3552" xr:uid="{00000000-0005-0000-0000-0000DC010000}"/>
    <cellStyle name="20% - 강조색4 3" xfId="66" xr:uid="{00000000-0005-0000-0000-0000DD010000}"/>
    <cellStyle name="20% - 강조색4 3 2" xfId="117" xr:uid="{00000000-0005-0000-0000-0000DE010000}"/>
    <cellStyle name="20% - 강조색4 3 2 2" xfId="280" xr:uid="{00000000-0005-0000-0000-0000DF010000}"/>
    <cellStyle name="20% - 강조색4 3 3" xfId="201" xr:uid="{00000000-0005-0000-0000-0000E0010000}"/>
    <cellStyle name="20% - 강조색4 3 4" xfId="345" xr:uid="{00000000-0005-0000-0000-0000E1010000}"/>
    <cellStyle name="20% - 강조색4 3 5" xfId="3565" xr:uid="{00000000-0005-0000-0000-0000E2010000}"/>
    <cellStyle name="20% - 강조색4 4" xfId="80" xr:uid="{00000000-0005-0000-0000-0000E3010000}"/>
    <cellStyle name="20% - 강조색4 4 2" xfId="118" xr:uid="{00000000-0005-0000-0000-0000E4010000}"/>
    <cellStyle name="20% - 강조색4 4 2 2" xfId="294" xr:uid="{00000000-0005-0000-0000-0000E5010000}"/>
    <cellStyle name="20% - 강조색4 4 3" xfId="227" xr:uid="{00000000-0005-0000-0000-0000E6010000}"/>
    <cellStyle name="20% - 강조색4 4 4" xfId="3579" xr:uid="{00000000-0005-0000-0000-0000E7010000}"/>
    <cellStyle name="20% - 강조색4 5" xfId="94" xr:uid="{00000000-0005-0000-0000-0000E8010000}"/>
    <cellStyle name="20% - 강조색4 5 2" xfId="172" xr:uid="{00000000-0005-0000-0000-0000E9010000}"/>
    <cellStyle name="20% - 강조색4 5 3" xfId="253" xr:uid="{00000000-0005-0000-0000-0000EA010000}"/>
    <cellStyle name="20% - 강조색4 5 4" xfId="3594" xr:uid="{00000000-0005-0000-0000-0000EB010000}"/>
    <cellStyle name="20% - 강조색4 6" xfId="119" xr:uid="{00000000-0005-0000-0000-0000EC010000}"/>
    <cellStyle name="20% - 강조색4 6 2" xfId="308" xr:uid="{00000000-0005-0000-0000-0000ED010000}"/>
    <cellStyle name="20% - 강조색4 6 3" xfId="3607" xr:uid="{00000000-0005-0000-0000-0000EE010000}"/>
    <cellStyle name="20% - 강조색4 7" xfId="188" xr:uid="{00000000-0005-0000-0000-0000EF010000}"/>
    <cellStyle name="20% - 강조색4 7 2" xfId="3649" xr:uid="{00000000-0005-0000-0000-0000F0010000}"/>
    <cellStyle name="20% - 강조색4 8" xfId="321" xr:uid="{00000000-0005-0000-0000-0000F1010000}"/>
    <cellStyle name="20% - 강조색4 9" xfId="391" xr:uid="{00000000-0005-0000-0000-0000F2010000}"/>
    <cellStyle name="20% - 강조색5" xfId="36" builtinId="46" customBuiltin="1"/>
    <cellStyle name="20% - 강조색5 10" xfId="408" xr:uid="{00000000-0005-0000-0000-0000F4010000}"/>
    <cellStyle name="20% - 강조색5 11" xfId="3540" xr:uid="{00000000-0005-0000-0000-0000F5010000}"/>
    <cellStyle name="20% - 강조색5 12" xfId="3665" xr:uid="{00000000-0005-0000-0000-0000F6010000}"/>
    <cellStyle name="20% - 강조색5 13" xfId="3679" xr:uid="{00000000-0005-0000-0000-0000F7010000}"/>
    <cellStyle name="20% - 강조색5 14" xfId="3693" xr:uid="{00000000-0005-0000-0000-0000F8010000}"/>
    <cellStyle name="20% - 강조색5 15" xfId="3707" xr:uid="{00000000-0005-0000-0000-0000F9010000}"/>
    <cellStyle name="20% - 강조색5 16" xfId="5419" xr:uid="{00000000-0005-0000-0000-0000FA010000}"/>
    <cellStyle name="20% - 강조색5 2" xfId="55" xr:uid="{00000000-0005-0000-0000-0000FB010000}"/>
    <cellStyle name="20% - 강조색5 2 2" xfId="120" xr:uid="{00000000-0005-0000-0000-0000FC010000}"/>
    <cellStyle name="20% - 강조색5 2 2 2" xfId="242" xr:uid="{00000000-0005-0000-0000-0000FD010000}"/>
    <cellStyle name="20% - 강조색5 2 3" xfId="121" xr:uid="{00000000-0005-0000-0000-0000FE010000}"/>
    <cellStyle name="20% - 강조색5 2 3 2" xfId="268" xr:uid="{00000000-0005-0000-0000-0000FF010000}"/>
    <cellStyle name="20% - 강조색5 2 4" xfId="216" xr:uid="{00000000-0005-0000-0000-000000020000}"/>
    <cellStyle name="20% - 강조색5 2 5" xfId="337" xr:uid="{00000000-0005-0000-0000-000001020000}"/>
    <cellStyle name="20% - 강조색5 2 6" xfId="3554" xr:uid="{00000000-0005-0000-0000-000002020000}"/>
    <cellStyle name="20% - 강조색5 3" xfId="68" xr:uid="{00000000-0005-0000-0000-000003020000}"/>
    <cellStyle name="20% - 강조색5 3 2" xfId="122" xr:uid="{00000000-0005-0000-0000-000004020000}"/>
    <cellStyle name="20% - 강조색5 3 2 2" xfId="282" xr:uid="{00000000-0005-0000-0000-000005020000}"/>
    <cellStyle name="20% - 강조색5 3 3" xfId="203" xr:uid="{00000000-0005-0000-0000-000006020000}"/>
    <cellStyle name="20% - 강조색5 3 4" xfId="346" xr:uid="{00000000-0005-0000-0000-000007020000}"/>
    <cellStyle name="20% - 강조색5 3 5" xfId="3567" xr:uid="{00000000-0005-0000-0000-000008020000}"/>
    <cellStyle name="20% - 강조색5 4" xfId="82" xr:uid="{00000000-0005-0000-0000-000009020000}"/>
    <cellStyle name="20% - 강조색5 4 2" xfId="123" xr:uid="{00000000-0005-0000-0000-00000A020000}"/>
    <cellStyle name="20% - 강조색5 4 2 2" xfId="296" xr:uid="{00000000-0005-0000-0000-00000B020000}"/>
    <cellStyle name="20% - 강조색5 4 3" xfId="229" xr:uid="{00000000-0005-0000-0000-00000C020000}"/>
    <cellStyle name="20% - 강조색5 4 4" xfId="3581" xr:uid="{00000000-0005-0000-0000-00000D020000}"/>
    <cellStyle name="20% - 강조색5 5" xfId="96" xr:uid="{00000000-0005-0000-0000-00000E020000}"/>
    <cellStyle name="20% - 강조색5 5 2" xfId="174" xr:uid="{00000000-0005-0000-0000-00000F020000}"/>
    <cellStyle name="20% - 강조색5 5 3" xfId="255" xr:uid="{00000000-0005-0000-0000-000010020000}"/>
    <cellStyle name="20% - 강조색5 5 4" xfId="3596" xr:uid="{00000000-0005-0000-0000-000011020000}"/>
    <cellStyle name="20% - 강조색5 6" xfId="124" xr:uid="{00000000-0005-0000-0000-000012020000}"/>
    <cellStyle name="20% - 강조색5 6 2" xfId="310" xr:uid="{00000000-0005-0000-0000-000013020000}"/>
    <cellStyle name="20% - 강조색5 6 3" xfId="3609" xr:uid="{00000000-0005-0000-0000-000014020000}"/>
    <cellStyle name="20% - 강조색5 7" xfId="190" xr:uid="{00000000-0005-0000-0000-000015020000}"/>
    <cellStyle name="20% - 강조색5 7 2" xfId="3651" xr:uid="{00000000-0005-0000-0000-000016020000}"/>
    <cellStyle name="20% - 강조색5 8" xfId="323" xr:uid="{00000000-0005-0000-0000-000017020000}"/>
    <cellStyle name="20% - 강조색5 9" xfId="393" xr:uid="{00000000-0005-0000-0000-000018020000}"/>
    <cellStyle name="20% - 강조색6" xfId="40" builtinId="50" customBuiltin="1"/>
    <cellStyle name="20% - 강조색6 10" xfId="410" xr:uid="{00000000-0005-0000-0000-00001A020000}"/>
    <cellStyle name="20% - 강조색6 11" xfId="3542" xr:uid="{00000000-0005-0000-0000-00001B020000}"/>
    <cellStyle name="20% - 강조색6 12" xfId="3667" xr:uid="{00000000-0005-0000-0000-00001C020000}"/>
    <cellStyle name="20% - 강조색6 13" xfId="3681" xr:uid="{00000000-0005-0000-0000-00001D020000}"/>
    <cellStyle name="20% - 강조색6 14" xfId="3695" xr:uid="{00000000-0005-0000-0000-00001E020000}"/>
    <cellStyle name="20% - 강조색6 15" xfId="3709" xr:uid="{00000000-0005-0000-0000-00001F020000}"/>
    <cellStyle name="20% - 강조색6 16" xfId="5421" xr:uid="{00000000-0005-0000-0000-000020020000}"/>
    <cellStyle name="20% - 강조색6 2" xfId="57" xr:uid="{00000000-0005-0000-0000-000021020000}"/>
    <cellStyle name="20% - 강조색6 2 2" xfId="125" xr:uid="{00000000-0005-0000-0000-000022020000}"/>
    <cellStyle name="20% - 강조색6 2 2 2" xfId="244" xr:uid="{00000000-0005-0000-0000-000023020000}"/>
    <cellStyle name="20% - 강조색6 2 3" xfId="126" xr:uid="{00000000-0005-0000-0000-000024020000}"/>
    <cellStyle name="20% - 강조색6 2 3 2" xfId="270" xr:uid="{00000000-0005-0000-0000-000025020000}"/>
    <cellStyle name="20% - 강조색6 2 4" xfId="218" xr:uid="{00000000-0005-0000-0000-000026020000}"/>
    <cellStyle name="20% - 강조색6 2 5" xfId="339" xr:uid="{00000000-0005-0000-0000-000027020000}"/>
    <cellStyle name="20% - 강조색6 2 6" xfId="3556" xr:uid="{00000000-0005-0000-0000-000028020000}"/>
    <cellStyle name="20% - 강조색6 3" xfId="70" xr:uid="{00000000-0005-0000-0000-000029020000}"/>
    <cellStyle name="20% - 강조색6 3 2" xfId="127" xr:uid="{00000000-0005-0000-0000-00002A020000}"/>
    <cellStyle name="20% - 강조색6 3 2 2" xfId="284" xr:uid="{00000000-0005-0000-0000-00002B020000}"/>
    <cellStyle name="20% - 강조색6 3 3" xfId="205" xr:uid="{00000000-0005-0000-0000-00002C020000}"/>
    <cellStyle name="20% - 강조색6 3 4" xfId="347" xr:uid="{00000000-0005-0000-0000-00002D020000}"/>
    <cellStyle name="20% - 강조색6 3 5" xfId="3569" xr:uid="{00000000-0005-0000-0000-00002E020000}"/>
    <cellStyle name="20% - 강조색6 4" xfId="84" xr:uid="{00000000-0005-0000-0000-00002F020000}"/>
    <cellStyle name="20% - 강조색6 4 2" xfId="128" xr:uid="{00000000-0005-0000-0000-000030020000}"/>
    <cellStyle name="20% - 강조색6 4 2 2" xfId="298" xr:uid="{00000000-0005-0000-0000-000031020000}"/>
    <cellStyle name="20% - 강조색6 4 3" xfId="231" xr:uid="{00000000-0005-0000-0000-000032020000}"/>
    <cellStyle name="20% - 강조색6 4 4" xfId="3583" xr:uid="{00000000-0005-0000-0000-000033020000}"/>
    <cellStyle name="20% - 강조색6 5" xfId="98" xr:uid="{00000000-0005-0000-0000-000034020000}"/>
    <cellStyle name="20% - 강조색6 5 2" xfId="176" xr:uid="{00000000-0005-0000-0000-000035020000}"/>
    <cellStyle name="20% - 강조색6 5 3" xfId="257" xr:uid="{00000000-0005-0000-0000-000036020000}"/>
    <cellStyle name="20% - 강조색6 5 4" xfId="3598" xr:uid="{00000000-0005-0000-0000-000037020000}"/>
    <cellStyle name="20% - 강조색6 6" xfId="129" xr:uid="{00000000-0005-0000-0000-000038020000}"/>
    <cellStyle name="20% - 강조색6 6 2" xfId="312" xr:uid="{00000000-0005-0000-0000-000039020000}"/>
    <cellStyle name="20% - 강조색6 6 3" xfId="3611" xr:uid="{00000000-0005-0000-0000-00003A020000}"/>
    <cellStyle name="20% - 강조색6 7" xfId="192" xr:uid="{00000000-0005-0000-0000-00003B020000}"/>
    <cellStyle name="20% - 강조색6 7 2" xfId="3653" xr:uid="{00000000-0005-0000-0000-00003C020000}"/>
    <cellStyle name="20% - 강조색6 8" xfId="325" xr:uid="{00000000-0005-0000-0000-00003D020000}"/>
    <cellStyle name="20% - 강조색6 9" xfId="395" xr:uid="{00000000-0005-0000-0000-00003E020000}"/>
    <cellStyle name="20% - Accent1" xfId="4050" xr:uid="{00000000-0005-0000-0000-00004F010000}"/>
    <cellStyle name="20% - Accent1 2" xfId="412" xr:uid="{00000000-0005-0000-0000-000050010000}"/>
    <cellStyle name="20% - Accent2" xfId="4051" xr:uid="{00000000-0005-0000-0000-000051010000}"/>
    <cellStyle name="20% - Accent2 2" xfId="413" xr:uid="{00000000-0005-0000-0000-000052010000}"/>
    <cellStyle name="20% - Accent3" xfId="4052" xr:uid="{00000000-0005-0000-0000-000053010000}"/>
    <cellStyle name="20% - Accent3 2" xfId="414" xr:uid="{00000000-0005-0000-0000-000054010000}"/>
    <cellStyle name="20% - Accent4" xfId="4053" xr:uid="{00000000-0005-0000-0000-000055010000}"/>
    <cellStyle name="20% - Accent4 2" xfId="415" xr:uid="{00000000-0005-0000-0000-000056010000}"/>
    <cellStyle name="20% - Accent5" xfId="4054" xr:uid="{00000000-0005-0000-0000-000057010000}"/>
    <cellStyle name="20% - Accent5 2" xfId="416" xr:uid="{00000000-0005-0000-0000-000058010000}"/>
    <cellStyle name="20% - Accent6" xfId="4055" xr:uid="{00000000-0005-0000-0000-000059010000}"/>
    <cellStyle name="20% - Accent6 2" xfId="417" xr:uid="{00000000-0005-0000-0000-00005A010000}"/>
    <cellStyle name="3f1o [0]" xfId="4056" xr:uid="{00000000-0005-0000-0000-00003F020000}"/>
    <cellStyle name="³f¹ô [0]" xfId="4057" xr:uid="{00000000-0005-0000-0000-000040020000}"/>
    <cellStyle name="40% - 강조색1" xfId="21" builtinId="31" customBuiltin="1"/>
    <cellStyle name="40% - 강조색1 10" xfId="401" xr:uid="{00000000-0005-0000-0000-00004E020000}"/>
    <cellStyle name="40% - 강조색1 11" xfId="3533" xr:uid="{00000000-0005-0000-0000-00004F020000}"/>
    <cellStyle name="40% - 강조색1 12" xfId="3658" xr:uid="{00000000-0005-0000-0000-000050020000}"/>
    <cellStyle name="40% - 강조색1 13" xfId="3672" xr:uid="{00000000-0005-0000-0000-000051020000}"/>
    <cellStyle name="40% - 강조색1 14" xfId="3686" xr:uid="{00000000-0005-0000-0000-000052020000}"/>
    <cellStyle name="40% - 강조색1 15" xfId="3700" xr:uid="{00000000-0005-0000-0000-000053020000}"/>
    <cellStyle name="40% - 강조색1 16" xfId="5412" xr:uid="{00000000-0005-0000-0000-000054020000}"/>
    <cellStyle name="40% - 강조색1 2" xfId="48" xr:uid="{00000000-0005-0000-0000-000055020000}"/>
    <cellStyle name="40% - 강조색1 2 2" xfId="130" xr:uid="{00000000-0005-0000-0000-000056020000}"/>
    <cellStyle name="40% - 강조색1 2 2 2" xfId="235" xr:uid="{00000000-0005-0000-0000-000057020000}"/>
    <cellStyle name="40% - 강조색1 2 3" xfId="131" xr:uid="{00000000-0005-0000-0000-000058020000}"/>
    <cellStyle name="40% - 강조색1 2 3 2" xfId="261" xr:uid="{00000000-0005-0000-0000-000059020000}"/>
    <cellStyle name="40% - 강조색1 2 4" xfId="209" xr:uid="{00000000-0005-0000-0000-00005A020000}"/>
    <cellStyle name="40% - 강조색1 2 5" xfId="330" xr:uid="{00000000-0005-0000-0000-00005B020000}"/>
    <cellStyle name="40% - 강조색1 2 6" xfId="3547" xr:uid="{00000000-0005-0000-0000-00005C020000}"/>
    <cellStyle name="40% - 강조색1 3" xfId="61" xr:uid="{00000000-0005-0000-0000-00005D020000}"/>
    <cellStyle name="40% - 강조색1 3 2" xfId="132" xr:uid="{00000000-0005-0000-0000-00005E020000}"/>
    <cellStyle name="40% - 강조색1 3 2 2" xfId="275" xr:uid="{00000000-0005-0000-0000-00005F020000}"/>
    <cellStyle name="40% - 강조색1 3 3" xfId="196" xr:uid="{00000000-0005-0000-0000-000060020000}"/>
    <cellStyle name="40% - 강조색1 3 4" xfId="348" xr:uid="{00000000-0005-0000-0000-000061020000}"/>
    <cellStyle name="40% - 강조색1 3 5" xfId="3560" xr:uid="{00000000-0005-0000-0000-000062020000}"/>
    <cellStyle name="40% - 강조색1 4" xfId="75" xr:uid="{00000000-0005-0000-0000-000063020000}"/>
    <cellStyle name="40% - 강조색1 4 2" xfId="133" xr:uid="{00000000-0005-0000-0000-000064020000}"/>
    <cellStyle name="40% - 강조색1 4 2 2" xfId="289" xr:uid="{00000000-0005-0000-0000-000065020000}"/>
    <cellStyle name="40% - 강조색1 4 3" xfId="222" xr:uid="{00000000-0005-0000-0000-000066020000}"/>
    <cellStyle name="40% - 강조색1 4 4" xfId="3574" xr:uid="{00000000-0005-0000-0000-000067020000}"/>
    <cellStyle name="40% - 강조색1 5" xfId="89" xr:uid="{00000000-0005-0000-0000-000068020000}"/>
    <cellStyle name="40% - 강조색1 5 2" xfId="167" xr:uid="{00000000-0005-0000-0000-000069020000}"/>
    <cellStyle name="40% - 강조색1 5 3" xfId="248" xr:uid="{00000000-0005-0000-0000-00006A020000}"/>
    <cellStyle name="40% - 강조색1 5 4" xfId="3589" xr:uid="{00000000-0005-0000-0000-00006B020000}"/>
    <cellStyle name="40% - 강조색1 6" xfId="134" xr:uid="{00000000-0005-0000-0000-00006C020000}"/>
    <cellStyle name="40% - 강조색1 6 2" xfId="303" xr:uid="{00000000-0005-0000-0000-00006D020000}"/>
    <cellStyle name="40% - 강조색1 6 3" xfId="3602" xr:uid="{00000000-0005-0000-0000-00006E020000}"/>
    <cellStyle name="40% - 강조색1 7" xfId="183" xr:uid="{00000000-0005-0000-0000-00006F020000}"/>
    <cellStyle name="40% - 강조색1 7 2" xfId="3644" xr:uid="{00000000-0005-0000-0000-000070020000}"/>
    <cellStyle name="40% - 강조색1 8" xfId="316" xr:uid="{00000000-0005-0000-0000-000071020000}"/>
    <cellStyle name="40% - 강조색1 9" xfId="386" xr:uid="{00000000-0005-0000-0000-000072020000}"/>
    <cellStyle name="40% - 강조색2" xfId="25" builtinId="35" customBuiltin="1"/>
    <cellStyle name="40% - 강조색2 10" xfId="403" xr:uid="{00000000-0005-0000-0000-000074020000}"/>
    <cellStyle name="40% - 강조색2 11" xfId="3535" xr:uid="{00000000-0005-0000-0000-000075020000}"/>
    <cellStyle name="40% - 강조색2 12" xfId="3660" xr:uid="{00000000-0005-0000-0000-000076020000}"/>
    <cellStyle name="40% - 강조색2 13" xfId="3674" xr:uid="{00000000-0005-0000-0000-000077020000}"/>
    <cellStyle name="40% - 강조색2 14" xfId="3688" xr:uid="{00000000-0005-0000-0000-000078020000}"/>
    <cellStyle name="40% - 강조색2 15" xfId="3702" xr:uid="{00000000-0005-0000-0000-000079020000}"/>
    <cellStyle name="40% - 강조색2 16" xfId="5414" xr:uid="{00000000-0005-0000-0000-00007A020000}"/>
    <cellStyle name="40% - 강조색2 2" xfId="50" xr:uid="{00000000-0005-0000-0000-00007B020000}"/>
    <cellStyle name="40% - 강조색2 2 2" xfId="135" xr:uid="{00000000-0005-0000-0000-00007C020000}"/>
    <cellStyle name="40% - 강조색2 2 2 2" xfId="237" xr:uid="{00000000-0005-0000-0000-00007D020000}"/>
    <cellStyle name="40% - 강조색2 2 3" xfId="136" xr:uid="{00000000-0005-0000-0000-00007E020000}"/>
    <cellStyle name="40% - 강조색2 2 3 2" xfId="263" xr:uid="{00000000-0005-0000-0000-00007F020000}"/>
    <cellStyle name="40% - 강조색2 2 4" xfId="211" xr:uid="{00000000-0005-0000-0000-000080020000}"/>
    <cellStyle name="40% - 강조색2 2 5" xfId="332" xr:uid="{00000000-0005-0000-0000-000081020000}"/>
    <cellStyle name="40% - 강조색2 2 6" xfId="3549" xr:uid="{00000000-0005-0000-0000-000082020000}"/>
    <cellStyle name="40% - 강조색2 3" xfId="63" xr:uid="{00000000-0005-0000-0000-000083020000}"/>
    <cellStyle name="40% - 강조색2 3 2" xfId="137" xr:uid="{00000000-0005-0000-0000-000084020000}"/>
    <cellStyle name="40% - 강조색2 3 2 2" xfId="277" xr:uid="{00000000-0005-0000-0000-000085020000}"/>
    <cellStyle name="40% - 강조색2 3 3" xfId="198" xr:uid="{00000000-0005-0000-0000-000086020000}"/>
    <cellStyle name="40% - 강조색2 3 4" xfId="349" xr:uid="{00000000-0005-0000-0000-000087020000}"/>
    <cellStyle name="40% - 강조색2 3 5" xfId="3562" xr:uid="{00000000-0005-0000-0000-000088020000}"/>
    <cellStyle name="40% - 강조색2 4" xfId="77" xr:uid="{00000000-0005-0000-0000-000089020000}"/>
    <cellStyle name="40% - 강조색2 4 2" xfId="138" xr:uid="{00000000-0005-0000-0000-00008A020000}"/>
    <cellStyle name="40% - 강조색2 4 2 2" xfId="291" xr:uid="{00000000-0005-0000-0000-00008B020000}"/>
    <cellStyle name="40% - 강조색2 4 3" xfId="224" xr:uid="{00000000-0005-0000-0000-00008C020000}"/>
    <cellStyle name="40% - 강조색2 4 4" xfId="3576" xr:uid="{00000000-0005-0000-0000-00008D020000}"/>
    <cellStyle name="40% - 강조색2 5" xfId="91" xr:uid="{00000000-0005-0000-0000-00008E020000}"/>
    <cellStyle name="40% - 강조색2 5 2" xfId="169" xr:uid="{00000000-0005-0000-0000-00008F020000}"/>
    <cellStyle name="40% - 강조색2 5 3" xfId="250" xr:uid="{00000000-0005-0000-0000-000090020000}"/>
    <cellStyle name="40% - 강조색2 5 4" xfId="3591" xr:uid="{00000000-0005-0000-0000-000091020000}"/>
    <cellStyle name="40% - 강조색2 6" xfId="139" xr:uid="{00000000-0005-0000-0000-000092020000}"/>
    <cellStyle name="40% - 강조색2 6 2" xfId="305" xr:uid="{00000000-0005-0000-0000-000093020000}"/>
    <cellStyle name="40% - 강조색2 6 3" xfId="3604" xr:uid="{00000000-0005-0000-0000-000094020000}"/>
    <cellStyle name="40% - 강조색2 7" xfId="185" xr:uid="{00000000-0005-0000-0000-000095020000}"/>
    <cellStyle name="40% - 강조색2 7 2" xfId="3646" xr:uid="{00000000-0005-0000-0000-000096020000}"/>
    <cellStyle name="40% - 강조색2 8" xfId="318" xr:uid="{00000000-0005-0000-0000-000097020000}"/>
    <cellStyle name="40% - 강조색2 9" xfId="388" xr:uid="{00000000-0005-0000-0000-000098020000}"/>
    <cellStyle name="40% - 강조색3" xfId="29" builtinId="39" customBuiltin="1"/>
    <cellStyle name="40% - 강조색3 10" xfId="405" xr:uid="{00000000-0005-0000-0000-00009A020000}"/>
    <cellStyle name="40% - 강조색3 11" xfId="3537" xr:uid="{00000000-0005-0000-0000-00009B020000}"/>
    <cellStyle name="40% - 강조색3 12" xfId="3662" xr:uid="{00000000-0005-0000-0000-00009C020000}"/>
    <cellStyle name="40% - 강조색3 13" xfId="3676" xr:uid="{00000000-0005-0000-0000-00009D020000}"/>
    <cellStyle name="40% - 강조색3 14" xfId="3690" xr:uid="{00000000-0005-0000-0000-00009E020000}"/>
    <cellStyle name="40% - 강조색3 15" xfId="3704" xr:uid="{00000000-0005-0000-0000-00009F020000}"/>
    <cellStyle name="40% - 강조색3 16" xfId="5416" xr:uid="{00000000-0005-0000-0000-0000A0020000}"/>
    <cellStyle name="40% - 강조색3 2" xfId="52" xr:uid="{00000000-0005-0000-0000-0000A1020000}"/>
    <cellStyle name="40% - 강조색3 2 2" xfId="140" xr:uid="{00000000-0005-0000-0000-0000A2020000}"/>
    <cellStyle name="40% - 강조색3 2 2 2" xfId="239" xr:uid="{00000000-0005-0000-0000-0000A3020000}"/>
    <cellStyle name="40% - 강조색3 2 3" xfId="141" xr:uid="{00000000-0005-0000-0000-0000A4020000}"/>
    <cellStyle name="40% - 강조색3 2 3 2" xfId="265" xr:uid="{00000000-0005-0000-0000-0000A5020000}"/>
    <cellStyle name="40% - 강조색3 2 4" xfId="213" xr:uid="{00000000-0005-0000-0000-0000A6020000}"/>
    <cellStyle name="40% - 강조색3 2 5" xfId="334" xr:uid="{00000000-0005-0000-0000-0000A7020000}"/>
    <cellStyle name="40% - 강조색3 2 6" xfId="3551" xr:uid="{00000000-0005-0000-0000-0000A8020000}"/>
    <cellStyle name="40% - 강조색3 3" xfId="65" xr:uid="{00000000-0005-0000-0000-0000A9020000}"/>
    <cellStyle name="40% - 강조색3 3 2" xfId="142" xr:uid="{00000000-0005-0000-0000-0000AA020000}"/>
    <cellStyle name="40% - 강조색3 3 2 2" xfId="279" xr:uid="{00000000-0005-0000-0000-0000AB020000}"/>
    <cellStyle name="40% - 강조색3 3 3" xfId="200" xr:uid="{00000000-0005-0000-0000-0000AC020000}"/>
    <cellStyle name="40% - 강조색3 3 4" xfId="350" xr:uid="{00000000-0005-0000-0000-0000AD020000}"/>
    <cellStyle name="40% - 강조색3 3 5" xfId="3564" xr:uid="{00000000-0005-0000-0000-0000AE020000}"/>
    <cellStyle name="40% - 강조색3 4" xfId="79" xr:uid="{00000000-0005-0000-0000-0000AF020000}"/>
    <cellStyle name="40% - 강조색3 4 2" xfId="143" xr:uid="{00000000-0005-0000-0000-0000B0020000}"/>
    <cellStyle name="40% - 강조색3 4 2 2" xfId="293" xr:uid="{00000000-0005-0000-0000-0000B1020000}"/>
    <cellStyle name="40% - 강조색3 4 3" xfId="226" xr:uid="{00000000-0005-0000-0000-0000B2020000}"/>
    <cellStyle name="40% - 강조색3 4 4" xfId="3578" xr:uid="{00000000-0005-0000-0000-0000B3020000}"/>
    <cellStyle name="40% - 강조색3 5" xfId="93" xr:uid="{00000000-0005-0000-0000-0000B4020000}"/>
    <cellStyle name="40% - 강조색3 5 2" xfId="171" xr:uid="{00000000-0005-0000-0000-0000B5020000}"/>
    <cellStyle name="40% - 강조색3 5 3" xfId="252" xr:uid="{00000000-0005-0000-0000-0000B6020000}"/>
    <cellStyle name="40% - 강조색3 5 4" xfId="3593" xr:uid="{00000000-0005-0000-0000-0000B7020000}"/>
    <cellStyle name="40% - 강조색3 6" xfId="144" xr:uid="{00000000-0005-0000-0000-0000B8020000}"/>
    <cellStyle name="40% - 강조색3 6 2" xfId="307" xr:uid="{00000000-0005-0000-0000-0000B9020000}"/>
    <cellStyle name="40% - 강조색3 6 3" xfId="3606" xr:uid="{00000000-0005-0000-0000-0000BA020000}"/>
    <cellStyle name="40% - 강조색3 7" xfId="187" xr:uid="{00000000-0005-0000-0000-0000BB020000}"/>
    <cellStyle name="40% - 강조색3 7 2" xfId="3648" xr:uid="{00000000-0005-0000-0000-0000BC020000}"/>
    <cellStyle name="40% - 강조색3 8" xfId="320" xr:uid="{00000000-0005-0000-0000-0000BD020000}"/>
    <cellStyle name="40% - 강조색3 9" xfId="390" xr:uid="{00000000-0005-0000-0000-0000BE020000}"/>
    <cellStyle name="40% - 강조색4" xfId="33" builtinId="43" customBuiltin="1"/>
    <cellStyle name="40% - 강조색4 10" xfId="407" xr:uid="{00000000-0005-0000-0000-0000C0020000}"/>
    <cellStyle name="40% - 강조색4 11" xfId="3539" xr:uid="{00000000-0005-0000-0000-0000C1020000}"/>
    <cellStyle name="40% - 강조색4 12" xfId="3664" xr:uid="{00000000-0005-0000-0000-0000C2020000}"/>
    <cellStyle name="40% - 강조색4 13" xfId="3678" xr:uid="{00000000-0005-0000-0000-0000C3020000}"/>
    <cellStyle name="40% - 강조색4 14" xfId="3692" xr:uid="{00000000-0005-0000-0000-0000C4020000}"/>
    <cellStyle name="40% - 강조색4 15" xfId="3706" xr:uid="{00000000-0005-0000-0000-0000C5020000}"/>
    <cellStyle name="40% - 강조색4 16" xfId="5418" xr:uid="{00000000-0005-0000-0000-0000C6020000}"/>
    <cellStyle name="40% - 강조색4 2" xfId="54" xr:uid="{00000000-0005-0000-0000-0000C7020000}"/>
    <cellStyle name="40% - 강조색4 2 2" xfId="145" xr:uid="{00000000-0005-0000-0000-0000C8020000}"/>
    <cellStyle name="40% - 강조색4 2 2 2" xfId="241" xr:uid="{00000000-0005-0000-0000-0000C9020000}"/>
    <cellStyle name="40% - 강조색4 2 3" xfId="146" xr:uid="{00000000-0005-0000-0000-0000CA020000}"/>
    <cellStyle name="40% - 강조색4 2 3 2" xfId="267" xr:uid="{00000000-0005-0000-0000-0000CB020000}"/>
    <cellStyle name="40% - 강조색4 2 4" xfId="215" xr:uid="{00000000-0005-0000-0000-0000CC020000}"/>
    <cellStyle name="40% - 강조색4 2 5" xfId="336" xr:uid="{00000000-0005-0000-0000-0000CD020000}"/>
    <cellStyle name="40% - 강조색4 2 6" xfId="3553" xr:uid="{00000000-0005-0000-0000-0000CE020000}"/>
    <cellStyle name="40% - 강조색4 3" xfId="67" xr:uid="{00000000-0005-0000-0000-0000CF020000}"/>
    <cellStyle name="40% - 강조색4 3 2" xfId="147" xr:uid="{00000000-0005-0000-0000-0000D0020000}"/>
    <cellStyle name="40% - 강조색4 3 2 2" xfId="281" xr:uid="{00000000-0005-0000-0000-0000D1020000}"/>
    <cellStyle name="40% - 강조색4 3 3" xfId="202" xr:uid="{00000000-0005-0000-0000-0000D2020000}"/>
    <cellStyle name="40% - 강조색4 3 4" xfId="351" xr:uid="{00000000-0005-0000-0000-0000D3020000}"/>
    <cellStyle name="40% - 강조색4 3 5" xfId="3566" xr:uid="{00000000-0005-0000-0000-0000D4020000}"/>
    <cellStyle name="40% - 강조색4 4" xfId="81" xr:uid="{00000000-0005-0000-0000-0000D5020000}"/>
    <cellStyle name="40% - 강조색4 4 2" xfId="148" xr:uid="{00000000-0005-0000-0000-0000D6020000}"/>
    <cellStyle name="40% - 강조색4 4 2 2" xfId="295" xr:uid="{00000000-0005-0000-0000-0000D7020000}"/>
    <cellStyle name="40% - 강조색4 4 3" xfId="228" xr:uid="{00000000-0005-0000-0000-0000D8020000}"/>
    <cellStyle name="40% - 강조색4 4 4" xfId="3580" xr:uid="{00000000-0005-0000-0000-0000D9020000}"/>
    <cellStyle name="40% - 강조색4 5" xfId="95" xr:uid="{00000000-0005-0000-0000-0000DA020000}"/>
    <cellStyle name="40% - 강조색4 5 2" xfId="173" xr:uid="{00000000-0005-0000-0000-0000DB020000}"/>
    <cellStyle name="40% - 강조색4 5 3" xfId="254" xr:uid="{00000000-0005-0000-0000-0000DC020000}"/>
    <cellStyle name="40% - 강조색4 5 4" xfId="3595" xr:uid="{00000000-0005-0000-0000-0000DD020000}"/>
    <cellStyle name="40% - 강조색4 6" xfId="149" xr:uid="{00000000-0005-0000-0000-0000DE020000}"/>
    <cellStyle name="40% - 강조색4 6 2" xfId="309" xr:uid="{00000000-0005-0000-0000-0000DF020000}"/>
    <cellStyle name="40% - 강조색4 6 3" xfId="3608" xr:uid="{00000000-0005-0000-0000-0000E0020000}"/>
    <cellStyle name="40% - 강조색4 7" xfId="189" xr:uid="{00000000-0005-0000-0000-0000E1020000}"/>
    <cellStyle name="40% - 강조색4 7 2" xfId="3650" xr:uid="{00000000-0005-0000-0000-0000E2020000}"/>
    <cellStyle name="40% - 강조색4 8" xfId="322" xr:uid="{00000000-0005-0000-0000-0000E3020000}"/>
    <cellStyle name="40% - 강조색4 9" xfId="392" xr:uid="{00000000-0005-0000-0000-0000E4020000}"/>
    <cellStyle name="40% - 강조색5" xfId="37" builtinId="47" customBuiltin="1"/>
    <cellStyle name="40% - 강조색5 10" xfId="409" xr:uid="{00000000-0005-0000-0000-0000E6020000}"/>
    <cellStyle name="40% - 강조색5 11" xfId="3541" xr:uid="{00000000-0005-0000-0000-0000E7020000}"/>
    <cellStyle name="40% - 강조색5 12" xfId="3666" xr:uid="{00000000-0005-0000-0000-0000E8020000}"/>
    <cellStyle name="40% - 강조색5 13" xfId="3680" xr:uid="{00000000-0005-0000-0000-0000E9020000}"/>
    <cellStyle name="40% - 강조색5 14" xfId="3694" xr:uid="{00000000-0005-0000-0000-0000EA020000}"/>
    <cellStyle name="40% - 강조색5 15" xfId="3708" xr:uid="{00000000-0005-0000-0000-0000EB020000}"/>
    <cellStyle name="40% - 강조색5 16" xfId="5420" xr:uid="{00000000-0005-0000-0000-0000EC020000}"/>
    <cellStyle name="40% - 강조색5 2" xfId="56" xr:uid="{00000000-0005-0000-0000-0000ED020000}"/>
    <cellStyle name="40% - 강조색5 2 2" xfId="150" xr:uid="{00000000-0005-0000-0000-0000EE020000}"/>
    <cellStyle name="40% - 강조색5 2 2 2" xfId="243" xr:uid="{00000000-0005-0000-0000-0000EF020000}"/>
    <cellStyle name="40% - 강조색5 2 3" xfId="151" xr:uid="{00000000-0005-0000-0000-0000F0020000}"/>
    <cellStyle name="40% - 강조색5 2 3 2" xfId="269" xr:uid="{00000000-0005-0000-0000-0000F1020000}"/>
    <cellStyle name="40% - 강조색5 2 4" xfId="217" xr:uid="{00000000-0005-0000-0000-0000F2020000}"/>
    <cellStyle name="40% - 강조색5 2 5" xfId="338" xr:uid="{00000000-0005-0000-0000-0000F3020000}"/>
    <cellStyle name="40% - 강조색5 2 6" xfId="3555" xr:uid="{00000000-0005-0000-0000-0000F4020000}"/>
    <cellStyle name="40% - 강조색5 3" xfId="69" xr:uid="{00000000-0005-0000-0000-0000F5020000}"/>
    <cellStyle name="40% - 강조색5 3 2" xfId="152" xr:uid="{00000000-0005-0000-0000-0000F6020000}"/>
    <cellStyle name="40% - 강조색5 3 2 2" xfId="283" xr:uid="{00000000-0005-0000-0000-0000F7020000}"/>
    <cellStyle name="40% - 강조색5 3 3" xfId="204" xr:uid="{00000000-0005-0000-0000-0000F8020000}"/>
    <cellStyle name="40% - 강조색5 3 4" xfId="352" xr:uid="{00000000-0005-0000-0000-0000F9020000}"/>
    <cellStyle name="40% - 강조색5 3 5" xfId="3568" xr:uid="{00000000-0005-0000-0000-0000FA020000}"/>
    <cellStyle name="40% - 강조색5 4" xfId="83" xr:uid="{00000000-0005-0000-0000-0000FB020000}"/>
    <cellStyle name="40% - 강조색5 4 2" xfId="153" xr:uid="{00000000-0005-0000-0000-0000FC020000}"/>
    <cellStyle name="40% - 강조색5 4 2 2" xfId="297" xr:uid="{00000000-0005-0000-0000-0000FD020000}"/>
    <cellStyle name="40% - 강조색5 4 3" xfId="230" xr:uid="{00000000-0005-0000-0000-0000FE020000}"/>
    <cellStyle name="40% - 강조색5 4 4" xfId="3582" xr:uid="{00000000-0005-0000-0000-0000FF020000}"/>
    <cellStyle name="40% - 강조색5 5" xfId="97" xr:uid="{00000000-0005-0000-0000-000000030000}"/>
    <cellStyle name="40% - 강조색5 5 2" xfId="175" xr:uid="{00000000-0005-0000-0000-000001030000}"/>
    <cellStyle name="40% - 강조색5 5 3" xfId="256" xr:uid="{00000000-0005-0000-0000-000002030000}"/>
    <cellStyle name="40% - 강조색5 5 4" xfId="3597" xr:uid="{00000000-0005-0000-0000-000003030000}"/>
    <cellStyle name="40% - 강조색5 6" xfId="154" xr:uid="{00000000-0005-0000-0000-000004030000}"/>
    <cellStyle name="40% - 강조색5 6 2" xfId="311" xr:uid="{00000000-0005-0000-0000-000005030000}"/>
    <cellStyle name="40% - 강조색5 6 3" xfId="3610" xr:uid="{00000000-0005-0000-0000-000006030000}"/>
    <cellStyle name="40% - 강조색5 7" xfId="191" xr:uid="{00000000-0005-0000-0000-000007030000}"/>
    <cellStyle name="40% - 강조색5 7 2" xfId="3652" xr:uid="{00000000-0005-0000-0000-000008030000}"/>
    <cellStyle name="40% - 강조색5 8" xfId="324" xr:uid="{00000000-0005-0000-0000-000009030000}"/>
    <cellStyle name="40% - 강조색5 9" xfId="394" xr:uid="{00000000-0005-0000-0000-00000A030000}"/>
    <cellStyle name="40% - 강조색6" xfId="41" builtinId="51" customBuiltin="1"/>
    <cellStyle name="40% - 강조색6 10" xfId="411" xr:uid="{00000000-0005-0000-0000-00000C030000}"/>
    <cellStyle name="40% - 강조색6 11" xfId="3543" xr:uid="{00000000-0005-0000-0000-00000D030000}"/>
    <cellStyle name="40% - 강조색6 12" xfId="3668" xr:uid="{00000000-0005-0000-0000-00000E030000}"/>
    <cellStyle name="40% - 강조색6 13" xfId="3682" xr:uid="{00000000-0005-0000-0000-00000F030000}"/>
    <cellStyle name="40% - 강조색6 14" xfId="3696" xr:uid="{00000000-0005-0000-0000-000010030000}"/>
    <cellStyle name="40% - 강조색6 15" xfId="3710" xr:uid="{00000000-0005-0000-0000-000011030000}"/>
    <cellStyle name="40% - 강조색6 16" xfId="5422" xr:uid="{00000000-0005-0000-0000-000012030000}"/>
    <cellStyle name="40% - 강조색6 2" xfId="58" xr:uid="{00000000-0005-0000-0000-000013030000}"/>
    <cellStyle name="40% - 강조색6 2 2" xfId="155" xr:uid="{00000000-0005-0000-0000-000014030000}"/>
    <cellStyle name="40% - 강조색6 2 2 2" xfId="245" xr:uid="{00000000-0005-0000-0000-000015030000}"/>
    <cellStyle name="40% - 강조색6 2 3" xfId="156" xr:uid="{00000000-0005-0000-0000-000016030000}"/>
    <cellStyle name="40% - 강조색6 2 3 2" xfId="271" xr:uid="{00000000-0005-0000-0000-000017030000}"/>
    <cellStyle name="40% - 강조색6 2 4" xfId="219" xr:uid="{00000000-0005-0000-0000-000018030000}"/>
    <cellStyle name="40% - 강조색6 2 5" xfId="340" xr:uid="{00000000-0005-0000-0000-000019030000}"/>
    <cellStyle name="40% - 강조색6 2 6" xfId="3557" xr:uid="{00000000-0005-0000-0000-00001A030000}"/>
    <cellStyle name="40% - 강조색6 3" xfId="71" xr:uid="{00000000-0005-0000-0000-00001B030000}"/>
    <cellStyle name="40% - 강조색6 3 2" xfId="157" xr:uid="{00000000-0005-0000-0000-00001C030000}"/>
    <cellStyle name="40% - 강조색6 3 2 2" xfId="285" xr:uid="{00000000-0005-0000-0000-00001D030000}"/>
    <cellStyle name="40% - 강조색6 3 3" xfId="206" xr:uid="{00000000-0005-0000-0000-00001E030000}"/>
    <cellStyle name="40% - 강조색6 3 4" xfId="353" xr:uid="{00000000-0005-0000-0000-00001F030000}"/>
    <cellStyle name="40% - 강조색6 3 5" xfId="3570" xr:uid="{00000000-0005-0000-0000-000020030000}"/>
    <cellStyle name="40% - 강조색6 4" xfId="85" xr:uid="{00000000-0005-0000-0000-000021030000}"/>
    <cellStyle name="40% - 강조색6 4 2" xfId="158" xr:uid="{00000000-0005-0000-0000-000022030000}"/>
    <cellStyle name="40% - 강조색6 4 2 2" xfId="299" xr:uid="{00000000-0005-0000-0000-000023030000}"/>
    <cellStyle name="40% - 강조색6 4 3" xfId="232" xr:uid="{00000000-0005-0000-0000-000024030000}"/>
    <cellStyle name="40% - 강조색6 4 4" xfId="3584" xr:uid="{00000000-0005-0000-0000-000025030000}"/>
    <cellStyle name="40% - 강조색6 5" xfId="99" xr:uid="{00000000-0005-0000-0000-000026030000}"/>
    <cellStyle name="40% - 강조색6 5 2" xfId="177" xr:uid="{00000000-0005-0000-0000-000027030000}"/>
    <cellStyle name="40% - 강조색6 5 3" xfId="258" xr:uid="{00000000-0005-0000-0000-000028030000}"/>
    <cellStyle name="40% - 강조색6 5 4" xfId="3599" xr:uid="{00000000-0005-0000-0000-000029030000}"/>
    <cellStyle name="40% - 강조색6 6" xfId="159" xr:uid="{00000000-0005-0000-0000-00002A030000}"/>
    <cellStyle name="40% - 강조색6 6 2" xfId="313" xr:uid="{00000000-0005-0000-0000-00002B030000}"/>
    <cellStyle name="40% - 강조색6 6 3" xfId="3612" xr:uid="{00000000-0005-0000-0000-00002C030000}"/>
    <cellStyle name="40% - 강조색6 7" xfId="193" xr:uid="{00000000-0005-0000-0000-00002D030000}"/>
    <cellStyle name="40% - 강조색6 7 2" xfId="3654" xr:uid="{00000000-0005-0000-0000-00002E030000}"/>
    <cellStyle name="40% - 강조색6 8" xfId="326" xr:uid="{00000000-0005-0000-0000-00002F030000}"/>
    <cellStyle name="40% - 강조색6 9" xfId="396" xr:uid="{00000000-0005-0000-0000-000030030000}"/>
    <cellStyle name="40% - Accent1" xfId="4058" xr:uid="{00000000-0005-0000-0000-000041020000}"/>
    <cellStyle name="40% - Accent1 2" xfId="418" xr:uid="{00000000-0005-0000-0000-000042020000}"/>
    <cellStyle name="40% - Accent2" xfId="4059" xr:uid="{00000000-0005-0000-0000-000043020000}"/>
    <cellStyle name="40% - Accent2 2" xfId="419" xr:uid="{00000000-0005-0000-0000-000044020000}"/>
    <cellStyle name="40% - Accent3" xfId="4060" xr:uid="{00000000-0005-0000-0000-000045020000}"/>
    <cellStyle name="40% - Accent3 2" xfId="420" xr:uid="{00000000-0005-0000-0000-000046020000}"/>
    <cellStyle name="40% - Accent4" xfId="4061" xr:uid="{00000000-0005-0000-0000-000047020000}"/>
    <cellStyle name="40% - Accent4 2" xfId="421" xr:uid="{00000000-0005-0000-0000-000048020000}"/>
    <cellStyle name="40% - Accent5" xfId="4062" xr:uid="{00000000-0005-0000-0000-000049020000}"/>
    <cellStyle name="40% - Accent5 2" xfId="422" xr:uid="{00000000-0005-0000-0000-00004A020000}"/>
    <cellStyle name="40% - Accent6" xfId="4063" xr:uid="{00000000-0005-0000-0000-00004B020000}"/>
    <cellStyle name="40% - Accent6 2" xfId="423" xr:uid="{00000000-0005-0000-0000-00004C020000}"/>
    <cellStyle name="4호" xfId="4064" xr:uid="{00000000-0005-0000-0000-000031030000}"/>
    <cellStyle name="60% - 강조색1" xfId="22" builtinId="32" customBuiltin="1"/>
    <cellStyle name="60% - 강조색1 2" xfId="354" xr:uid="{00000000-0005-0000-0000-00003F030000}"/>
    <cellStyle name="60% - 강조색1 2 2" xfId="3613" xr:uid="{00000000-0005-0000-0000-000040030000}"/>
    <cellStyle name="60% - 강조색1 3" xfId="430" xr:uid="{00000000-0005-0000-0000-000041030000}"/>
    <cellStyle name="60% - 강조색2" xfId="26" builtinId="36" customBuiltin="1"/>
    <cellStyle name="60% - 강조색2 2" xfId="355" xr:uid="{00000000-0005-0000-0000-000043030000}"/>
    <cellStyle name="60% - 강조색2 2 2" xfId="3614" xr:uid="{00000000-0005-0000-0000-000044030000}"/>
    <cellStyle name="60% - 강조색2 3" xfId="431" xr:uid="{00000000-0005-0000-0000-000045030000}"/>
    <cellStyle name="60% - 강조색3" xfId="30" builtinId="40" customBuiltin="1"/>
    <cellStyle name="60% - 강조색3 2" xfId="356" xr:uid="{00000000-0005-0000-0000-000047030000}"/>
    <cellStyle name="60% - 강조색3 2 2" xfId="3615" xr:uid="{00000000-0005-0000-0000-000048030000}"/>
    <cellStyle name="60% - 강조색3 3" xfId="432" xr:uid="{00000000-0005-0000-0000-000049030000}"/>
    <cellStyle name="60% - 강조색4" xfId="34" builtinId="44" customBuiltin="1"/>
    <cellStyle name="60% - 강조색4 2" xfId="357" xr:uid="{00000000-0005-0000-0000-00004B030000}"/>
    <cellStyle name="60% - 강조색4 2 2" xfId="3616" xr:uid="{00000000-0005-0000-0000-00004C030000}"/>
    <cellStyle name="60% - 강조색4 3" xfId="433" xr:uid="{00000000-0005-0000-0000-00004D030000}"/>
    <cellStyle name="60% - 강조색5" xfId="38" builtinId="48" customBuiltin="1"/>
    <cellStyle name="60% - 강조색5 2" xfId="358" xr:uid="{00000000-0005-0000-0000-00004F030000}"/>
    <cellStyle name="60% - 강조색5 2 2" xfId="3617" xr:uid="{00000000-0005-0000-0000-000050030000}"/>
    <cellStyle name="60% - 강조색5 3" xfId="434" xr:uid="{00000000-0005-0000-0000-000051030000}"/>
    <cellStyle name="60% - 강조색6" xfId="42" builtinId="52" customBuiltin="1"/>
    <cellStyle name="60% - 강조색6 2" xfId="359" xr:uid="{00000000-0005-0000-0000-000053030000}"/>
    <cellStyle name="60% - 강조색6 2 2" xfId="3618" xr:uid="{00000000-0005-0000-0000-000054030000}"/>
    <cellStyle name="60% - 강조색6 3" xfId="435" xr:uid="{00000000-0005-0000-0000-000055030000}"/>
    <cellStyle name="60% - Accent1" xfId="4065" xr:uid="{00000000-0005-0000-0000-000032030000}"/>
    <cellStyle name="60% - Accent1 2" xfId="424" xr:uid="{00000000-0005-0000-0000-000033030000}"/>
    <cellStyle name="60% - Accent2" xfId="4066" xr:uid="{00000000-0005-0000-0000-000034030000}"/>
    <cellStyle name="60% - Accent2 2" xfId="425" xr:uid="{00000000-0005-0000-0000-000035030000}"/>
    <cellStyle name="60% - Accent3" xfId="4067" xr:uid="{00000000-0005-0000-0000-000036030000}"/>
    <cellStyle name="60% - Accent3 2" xfId="426" xr:uid="{00000000-0005-0000-0000-000037030000}"/>
    <cellStyle name="60% - Accent4" xfId="4068" xr:uid="{00000000-0005-0000-0000-000038030000}"/>
    <cellStyle name="60% - Accent4 2" xfId="427" xr:uid="{00000000-0005-0000-0000-000039030000}"/>
    <cellStyle name="60% - Accent5" xfId="4069" xr:uid="{00000000-0005-0000-0000-00003A030000}"/>
    <cellStyle name="60% - Accent5 2" xfId="428" xr:uid="{00000000-0005-0000-0000-00003B030000}"/>
    <cellStyle name="60% - Accent6" xfId="4070" xr:uid="{00000000-0005-0000-0000-00003C030000}"/>
    <cellStyle name="60% - Accent6 2" xfId="429" xr:uid="{00000000-0005-0000-0000-00003D030000}"/>
    <cellStyle name="가나다라" xfId="5036" xr:uid="{00000000-0005-0000-0000-00008F070000}"/>
    <cellStyle name="강조색1" xfId="19" builtinId="29" customBuiltin="1"/>
    <cellStyle name="강조색1 2" xfId="360" xr:uid="{00000000-0005-0000-0000-000091070000}"/>
    <cellStyle name="강조색1 2 2" xfId="3619" xr:uid="{00000000-0005-0000-0000-000092070000}"/>
    <cellStyle name="강조색1 3" xfId="464" xr:uid="{00000000-0005-0000-0000-000093070000}"/>
    <cellStyle name="강조색2" xfId="23" builtinId="33" customBuiltin="1"/>
    <cellStyle name="강조색2 2" xfId="361" xr:uid="{00000000-0005-0000-0000-000095070000}"/>
    <cellStyle name="강조색2 2 2" xfId="3620" xr:uid="{00000000-0005-0000-0000-000096070000}"/>
    <cellStyle name="강조색2 3" xfId="465" xr:uid="{00000000-0005-0000-0000-000097070000}"/>
    <cellStyle name="강조색3" xfId="27" builtinId="37" customBuiltin="1"/>
    <cellStyle name="강조색3 2" xfId="362" xr:uid="{00000000-0005-0000-0000-000099070000}"/>
    <cellStyle name="강조색3 2 2" xfId="3621" xr:uid="{00000000-0005-0000-0000-00009A070000}"/>
    <cellStyle name="강조색3 3" xfId="466" xr:uid="{00000000-0005-0000-0000-00009B070000}"/>
    <cellStyle name="강조색4" xfId="31" builtinId="41" customBuiltin="1"/>
    <cellStyle name="강조색4 2" xfId="363" xr:uid="{00000000-0005-0000-0000-00009D070000}"/>
    <cellStyle name="강조색4 2 2" xfId="3622" xr:uid="{00000000-0005-0000-0000-00009E070000}"/>
    <cellStyle name="강조색4 3" xfId="467" xr:uid="{00000000-0005-0000-0000-00009F070000}"/>
    <cellStyle name="강조색5" xfId="35" builtinId="45" customBuiltin="1"/>
    <cellStyle name="강조색5 2" xfId="364" xr:uid="{00000000-0005-0000-0000-0000A1070000}"/>
    <cellStyle name="강조색5 2 2" xfId="3623" xr:uid="{00000000-0005-0000-0000-0000A2070000}"/>
    <cellStyle name="강조색5 3" xfId="468" xr:uid="{00000000-0005-0000-0000-0000A3070000}"/>
    <cellStyle name="강조색6" xfId="39" builtinId="49" customBuiltin="1"/>
    <cellStyle name="강조색6 2" xfId="365" xr:uid="{00000000-0005-0000-0000-0000A5070000}"/>
    <cellStyle name="강조색6 2 2" xfId="3624" xr:uid="{00000000-0005-0000-0000-0000A6070000}"/>
    <cellStyle name="강조색6 3" xfId="469" xr:uid="{00000000-0005-0000-0000-0000A7070000}"/>
    <cellStyle name="경고문" xfId="15" builtinId="11" customBuiltin="1"/>
    <cellStyle name="경고문 2" xfId="366" xr:uid="{00000000-0005-0000-0000-0000A9070000}"/>
    <cellStyle name="경고문 2 2" xfId="3625" xr:uid="{00000000-0005-0000-0000-0000AA070000}"/>
    <cellStyle name="경고문 3" xfId="470" xr:uid="{00000000-0005-0000-0000-0000AB070000}"/>
    <cellStyle name="계산" xfId="12" builtinId="22" customBuiltin="1"/>
    <cellStyle name="계산 2" xfId="45" xr:uid="{00000000-0005-0000-0000-0000AD070000}"/>
    <cellStyle name="계산 2 2" xfId="471" xr:uid="{00000000-0005-0000-0000-0000AE070000}"/>
    <cellStyle name="계산 3" xfId="367" xr:uid="{00000000-0005-0000-0000-0000AF070000}"/>
    <cellStyle name="계산 3 2" xfId="472" xr:uid="{00000000-0005-0000-0000-0000B0070000}"/>
    <cellStyle name="계산 4" xfId="473" xr:uid="{00000000-0005-0000-0000-0000B1070000}"/>
    <cellStyle name="고정소숫점" xfId="5037" xr:uid="{00000000-0005-0000-0000-0000B2070000}"/>
    <cellStyle name="고정출력1" xfId="5038" xr:uid="{00000000-0005-0000-0000-0000B3070000}"/>
    <cellStyle name="고정출력2" xfId="5039" xr:uid="{00000000-0005-0000-0000-0000B4070000}"/>
    <cellStyle name="咬訌裝?INCOM1" xfId="5040" xr:uid="{00000000-0005-0000-0000-0000B5070000}"/>
    <cellStyle name="咬訌裝?INCOM10" xfId="5041" xr:uid="{00000000-0005-0000-0000-0000B6070000}"/>
    <cellStyle name="咬訌裝?INCOM2" xfId="5042" xr:uid="{00000000-0005-0000-0000-0000B7070000}"/>
    <cellStyle name="咬訌裝?INCOM3" xfId="5043" xr:uid="{00000000-0005-0000-0000-0000B8070000}"/>
    <cellStyle name="咬訌裝?INCOM4" xfId="5044" xr:uid="{00000000-0005-0000-0000-0000B9070000}"/>
    <cellStyle name="咬訌裝?INCOM5" xfId="5045" xr:uid="{00000000-0005-0000-0000-0000BA070000}"/>
    <cellStyle name="咬訌裝?INCOM6" xfId="5046" xr:uid="{00000000-0005-0000-0000-0000BB070000}"/>
    <cellStyle name="咬訌裝?INCOM7" xfId="5047" xr:uid="{00000000-0005-0000-0000-0000BC070000}"/>
    <cellStyle name="咬訌裝?INCOM8" xfId="5048" xr:uid="{00000000-0005-0000-0000-0000BD070000}"/>
    <cellStyle name="咬訌裝?INCOM9" xfId="5049" xr:uid="{00000000-0005-0000-0000-0000BE070000}"/>
    <cellStyle name="咬訌裝?PRIB11" xfId="5050" xr:uid="{00000000-0005-0000-0000-0000BF070000}"/>
    <cellStyle name="咬訌裝?report-2 " xfId="5051" xr:uid="{00000000-0005-0000-0000-0000C0070000}"/>
    <cellStyle name="글꼴" xfId="5052" xr:uid="{00000000-0005-0000-0000-0000C1070000}"/>
    <cellStyle name="금액" xfId="5053" xr:uid="{00000000-0005-0000-0000-0000C2070000}"/>
    <cellStyle name="나쁨" xfId="8" builtinId="27" customBuiltin="1"/>
    <cellStyle name="나쁨 2" xfId="368" xr:uid="{00000000-0005-0000-0000-0000C4070000}"/>
    <cellStyle name="나쁨 2 2" xfId="3626" xr:uid="{00000000-0005-0000-0000-0000C5070000}"/>
    <cellStyle name="나쁨 3" xfId="474" xr:uid="{00000000-0005-0000-0000-0000C6070000}"/>
    <cellStyle name="날짜" xfId="5054" xr:uid="{00000000-0005-0000-0000-0000C7070000}"/>
    <cellStyle name="년도" xfId="5055" xr:uid="{00000000-0005-0000-0000-0000C8070000}"/>
    <cellStyle name="달러" xfId="5056" xr:uid="{00000000-0005-0000-0000-0000C9070000}"/>
    <cellStyle name="뒤에 오는 하이퍼링크" xfId="5057" xr:uid="{00000000-0005-0000-0000-0000CA070000}"/>
    <cellStyle name="똿떓죶Ø괻 [0.00]_PRODUCT DETAIL Q1" xfId="5058" xr:uid="{00000000-0005-0000-0000-0000CB070000}"/>
    <cellStyle name="똿떓죶Ø괻_PRODUCT DETAIL Q1" xfId="5059" xr:uid="{00000000-0005-0000-0000-0000CC070000}"/>
    <cellStyle name="똿뗦먛귟 [0.00]_PRODUCT DETAIL Q1" xfId="5060" xr:uid="{00000000-0005-0000-0000-0000CD070000}"/>
    <cellStyle name="똿뗦먛귟_PRODUCT DETAIL Q1" xfId="5061" xr:uid="{00000000-0005-0000-0000-0000CE070000}"/>
    <cellStyle name="메모" xfId="16" builtinId="10" customBuiltin="1"/>
    <cellStyle name="메모 10" xfId="399" xr:uid="{00000000-0005-0000-0000-0000D6070000}"/>
    <cellStyle name="메모 11" xfId="3531" xr:uid="{00000000-0005-0000-0000-0000D7070000}"/>
    <cellStyle name="메모 12" xfId="3656" xr:uid="{00000000-0005-0000-0000-0000D8070000}"/>
    <cellStyle name="메모 13" xfId="3670" xr:uid="{00000000-0005-0000-0000-0000D9070000}"/>
    <cellStyle name="메모 14" xfId="3684" xr:uid="{00000000-0005-0000-0000-0000DA070000}"/>
    <cellStyle name="메모 15" xfId="3698" xr:uid="{00000000-0005-0000-0000-0000DB070000}"/>
    <cellStyle name="메모 16" xfId="5410" xr:uid="{00000000-0005-0000-0000-0000DC070000}"/>
    <cellStyle name="메모 2" xfId="46" xr:uid="{00000000-0005-0000-0000-0000DD070000}"/>
    <cellStyle name="메모 2 2" xfId="160" xr:uid="{00000000-0005-0000-0000-0000DE070000}"/>
    <cellStyle name="메모 2 2 2" xfId="233" xr:uid="{00000000-0005-0000-0000-0000DF070000}"/>
    <cellStyle name="메모 2 2 3" xfId="3627" xr:uid="{00000000-0005-0000-0000-0000E0070000}"/>
    <cellStyle name="메모 2 3" xfId="161" xr:uid="{00000000-0005-0000-0000-0000E1070000}"/>
    <cellStyle name="메모 2 3 2" xfId="259" xr:uid="{00000000-0005-0000-0000-0000E2070000}"/>
    <cellStyle name="메모 2 4" xfId="207" xr:uid="{00000000-0005-0000-0000-0000E3070000}"/>
    <cellStyle name="메모 2 5" xfId="328" xr:uid="{00000000-0005-0000-0000-0000E4070000}"/>
    <cellStyle name="메모 2 6" xfId="3545" xr:uid="{00000000-0005-0000-0000-0000E5070000}"/>
    <cellStyle name="메모 3" xfId="59" xr:uid="{00000000-0005-0000-0000-0000E6070000}"/>
    <cellStyle name="메모 3 2" xfId="162" xr:uid="{00000000-0005-0000-0000-0000E7070000}"/>
    <cellStyle name="메모 3 2 2" xfId="273" xr:uid="{00000000-0005-0000-0000-0000E8070000}"/>
    <cellStyle name="메모 3 2 3" xfId="3628" xr:uid="{00000000-0005-0000-0000-0000E9070000}"/>
    <cellStyle name="메모 3 3" xfId="194" xr:uid="{00000000-0005-0000-0000-0000EA070000}"/>
    <cellStyle name="메모 3 4" xfId="369" xr:uid="{00000000-0005-0000-0000-0000EB070000}"/>
    <cellStyle name="메모 3 5" xfId="3558" xr:uid="{00000000-0005-0000-0000-0000EC070000}"/>
    <cellStyle name="메모 4" xfId="73" xr:uid="{00000000-0005-0000-0000-0000ED070000}"/>
    <cellStyle name="메모 4 2" xfId="163" xr:uid="{00000000-0005-0000-0000-0000EE070000}"/>
    <cellStyle name="메모 4 2 2" xfId="287" xr:uid="{00000000-0005-0000-0000-0000EF070000}"/>
    <cellStyle name="메모 4 3" xfId="220" xr:uid="{00000000-0005-0000-0000-0000F0070000}"/>
    <cellStyle name="메모 4 4" xfId="3572" xr:uid="{00000000-0005-0000-0000-0000F1070000}"/>
    <cellStyle name="메모 5" xfId="87" xr:uid="{00000000-0005-0000-0000-0000F2070000}"/>
    <cellStyle name="메모 5 2" xfId="165" xr:uid="{00000000-0005-0000-0000-0000F3070000}"/>
    <cellStyle name="메모 5 3" xfId="246" xr:uid="{00000000-0005-0000-0000-0000F4070000}"/>
    <cellStyle name="메모 5 4" xfId="3587" xr:uid="{00000000-0005-0000-0000-0000F5070000}"/>
    <cellStyle name="메모 6" xfId="164" xr:uid="{00000000-0005-0000-0000-0000F6070000}"/>
    <cellStyle name="메모 6 2" xfId="301" xr:uid="{00000000-0005-0000-0000-0000F7070000}"/>
    <cellStyle name="메모 6 3" xfId="3600" xr:uid="{00000000-0005-0000-0000-0000F8070000}"/>
    <cellStyle name="메모 7" xfId="181" xr:uid="{00000000-0005-0000-0000-0000F9070000}"/>
    <cellStyle name="메모 7 2" xfId="3642" xr:uid="{00000000-0005-0000-0000-0000FA070000}"/>
    <cellStyle name="메모 8" xfId="314" xr:uid="{00000000-0005-0000-0000-0000FB070000}"/>
    <cellStyle name="메모 9" xfId="384" xr:uid="{00000000-0005-0000-0000-0000FC070000}"/>
    <cellStyle name="묮뎋 [0.00]_PRODUCT DETAIL Q1" xfId="5068" xr:uid="{00000000-0005-0000-0000-0000FD070000}"/>
    <cellStyle name="묮뎋_PRODUCT DETAIL Q1" xfId="5069" xr:uid="{00000000-0005-0000-0000-0000FE070000}"/>
    <cellStyle name="믅됞 [0.00]_PRODUCT DETAIL Q1" xfId="5070" xr:uid="{00000000-0005-0000-0000-0000FF070000}"/>
    <cellStyle name="믅됞_PRODUCT DETAIL Q1" xfId="5071" xr:uid="{00000000-0005-0000-0000-000000080000}"/>
    <cellStyle name="밍? [0]_엄넷?? " xfId="5072" xr:uid="{00000000-0005-0000-0000-000001080000}"/>
    <cellStyle name="밍?_엄넷?? " xfId="5073" xr:uid="{00000000-0005-0000-0000-000002080000}"/>
    <cellStyle name="백_연휴 및 신구정 공사보고 " xfId="5074" xr:uid="{00000000-0005-0000-0000-000003080000}"/>
    <cellStyle name="백_정이사님 보고용 1226 " xfId="5075" xr:uid="{00000000-0005-0000-0000-000004080000}"/>
    <cellStyle name="百分比_ORDER COVER SHEET(D9905-3)" xfId="5076" xr:uid="{00000000-0005-0000-0000-000005080000}"/>
    <cellStyle name="백분율" xfId="5427" builtinId="5"/>
    <cellStyle name="백분율 10 10" xfId="475" xr:uid="{00000000-0005-0000-0000-000007080000}"/>
    <cellStyle name="백분율 10 10 2" xfId="476" xr:uid="{00000000-0005-0000-0000-000008080000}"/>
    <cellStyle name="백분율 10 11" xfId="477" xr:uid="{00000000-0005-0000-0000-000009080000}"/>
    <cellStyle name="백분율 10 12" xfId="478" xr:uid="{00000000-0005-0000-0000-00000A080000}"/>
    <cellStyle name="백분율 10 13" xfId="479" xr:uid="{00000000-0005-0000-0000-00000B080000}"/>
    <cellStyle name="백분율 10 14" xfId="480" xr:uid="{00000000-0005-0000-0000-00000C080000}"/>
    <cellStyle name="백분율 10 15" xfId="481" xr:uid="{00000000-0005-0000-0000-00000D080000}"/>
    <cellStyle name="백분율 10 16" xfId="482" xr:uid="{00000000-0005-0000-0000-00000E080000}"/>
    <cellStyle name="백분율 10 17" xfId="483" xr:uid="{00000000-0005-0000-0000-00000F080000}"/>
    <cellStyle name="백분율 10 18" xfId="484" xr:uid="{00000000-0005-0000-0000-000010080000}"/>
    <cellStyle name="백분율 10 19" xfId="485" xr:uid="{00000000-0005-0000-0000-000011080000}"/>
    <cellStyle name="백분율 10 2" xfId="486" xr:uid="{00000000-0005-0000-0000-000012080000}"/>
    <cellStyle name="백분율 10 20" xfId="487" xr:uid="{00000000-0005-0000-0000-000013080000}"/>
    <cellStyle name="백분율 10 21" xfId="488" xr:uid="{00000000-0005-0000-0000-000014080000}"/>
    <cellStyle name="백분율 10 22" xfId="489" xr:uid="{00000000-0005-0000-0000-000015080000}"/>
    <cellStyle name="백분율 10 23" xfId="490" xr:uid="{00000000-0005-0000-0000-000016080000}"/>
    <cellStyle name="백분율 10 24" xfId="491" xr:uid="{00000000-0005-0000-0000-000017080000}"/>
    <cellStyle name="백분율 10 25" xfId="492" xr:uid="{00000000-0005-0000-0000-000018080000}"/>
    <cellStyle name="백분율 10 26" xfId="493" xr:uid="{00000000-0005-0000-0000-000019080000}"/>
    <cellStyle name="백분율 10 26 2" xfId="494" xr:uid="{00000000-0005-0000-0000-00001A080000}"/>
    <cellStyle name="백분율 10 27" xfId="495" xr:uid="{00000000-0005-0000-0000-00001B080000}"/>
    <cellStyle name="백분율 10 28" xfId="496" xr:uid="{00000000-0005-0000-0000-00001C080000}"/>
    <cellStyle name="백분율 10 28 2" xfId="497" xr:uid="{00000000-0005-0000-0000-00001D080000}"/>
    <cellStyle name="백분율 10 29" xfId="498" xr:uid="{00000000-0005-0000-0000-00001E080000}"/>
    <cellStyle name="백분율 10 3" xfId="499" xr:uid="{00000000-0005-0000-0000-00001F080000}"/>
    <cellStyle name="백분율 10 30" xfId="500" xr:uid="{00000000-0005-0000-0000-000020080000}"/>
    <cellStyle name="백분율 10 31" xfId="501" xr:uid="{00000000-0005-0000-0000-000021080000}"/>
    <cellStyle name="백분율 10 32" xfId="502" xr:uid="{00000000-0005-0000-0000-000022080000}"/>
    <cellStyle name="백분율 10 33" xfId="503" xr:uid="{00000000-0005-0000-0000-000023080000}"/>
    <cellStyle name="백분율 10 34" xfId="504" xr:uid="{00000000-0005-0000-0000-000024080000}"/>
    <cellStyle name="백분율 10 35" xfId="505" xr:uid="{00000000-0005-0000-0000-000025080000}"/>
    <cellStyle name="백분율 10 36" xfId="506" xr:uid="{00000000-0005-0000-0000-000026080000}"/>
    <cellStyle name="백분율 10 36 2" xfId="507" xr:uid="{00000000-0005-0000-0000-000027080000}"/>
    <cellStyle name="백분율 10 37" xfId="508" xr:uid="{00000000-0005-0000-0000-000028080000}"/>
    <cellStyle name="백분율 10 37 2" xfId="509" xr:uid="{00000000-0005-0000-0000-000029080000}"/>
    <cellStyle name="백분율 10 38" xfId="510" xr:uid="{00000000-0005-0000-0000-00002A080000}"/>
    <cellStyle name="백분율 10 39" xfId="511" xr:uid="{00000000-0005-0000-0000-00002B080000}"/>
    <cellStyle name="백분율 10 4" xfId="512" xr:uid="{00000000-0005-0000-0000-00002C080000}"/>
    <cellStyle name="백분율 10 40" xfId="513" xr:uid="{00000000-0005-0000-0000-00002D080000}"/>
    <cellStyle name="백분율 10 41" xfId="514" xr:uid="{00000000-0005-0000-0000-00002E080000}"/>
    <cellStyle name="백분율 10 42" xfId="515" xr:uid="{00000000-0005-0000-0000-00002F080000}"/>
    <cellStyle name="백분율 10 43" xfId="516" xr:uid="{00000000-0005-0000-0000-000030080000}"/>
    <cellStyle name="백분율 10 44" xfId="517" xr:uid="{00000000-0005-0000-0000-000031080000}"/>
    <cellStyle name="백분율 10 45" xfId="518" xr:uid="{00000000-0005-0000-0000-000032080000}"/>
    <cellStyle name="백분율 10 46" xfId="519" xr:uid="{00000000-0005-0000-0000-000033080000}"/>
    <cellStyle name="백분율 10 47" xfId="520" xr:uid="{00000000-0005-0000-0000-000034080000}"/>
    <cellStyle name="백분율 10 48" xfId="521" xr:uid="{00000000-0005-0000-0000-000035080000}"/>
    <cellStyle name="백분율 10 49" xfId="522" xr:uid="{00000000-0005-0000-0000-000036080000}"/>
    <cellStyle name="백분율 10 5" xfId="523" xr:uid="{00000000-0005-0000-0000-000037080000}"/>
    <cellStyle name="백분율 10 50" xfId="524" xr:uid="{00000000-0005-0000-0000-000038080000}"/>
    <cellStyle name="백분율 10 51" xfId="525" xr:uid="{00000000-0005-0000-0000-000039080000}"/>
    <cellStyle name="백분율 10 52" xfId="526" xr:uid="{00000000-0005-0000-0000-00003A080000}"/>
    <cellStyle name="백분율 10 53" xfId="527" xr:uid="{00000000-0005-0000-0000-00003B080000}"/>
    <cellStyle name="백분율 10 54" xfId="528" xr:uid="{00000000-0005-0000-0000-00003C080000}"/>
    <cellStyle name="백분율 10 55" xfId="529" xr:uid="{00000000-0005-0000-0000-00003D080000}"/>
    <cellStyle name="백분율 10 56" xfId="530" xr:uid="{00000000-0005-0000-0000-00003E080000}"/>
    <cellStyle name="백분율 10 57" xfId="531" xr:uid="{00000000-0005-0000-0000-00003F080000}"/>
    <cellStyle name="백분율 10 58" xfId="532" xr:uid="{00000000-0005-0000-0000-000040080000}"/>
    <cellStyle name="백분율 10 59" xfId="533" xr:uid="{00000000-0005-0000-0000-000041080000}"/>
    <cellStyle name="백분율 10 6" xfId="534" xr:uid="{00000000-0005-0000-0000-000042080000}"/>
    <cellStyle name="백분율 10 60" xfId="535" xr:uid="{00000000-0005-0000-0000-000043080000}"/>
    <cellStyle name="백분율 10 61" xfId="536" xr:uid="{00000000-0005-0000-0000-000044080000}"/>
    <cellStyle name="백분율 10 62" xfId="537" xr:uid="{00000000-0005-0000-0000-000045080000}"/>
    <cellStyle name="백분율 10 63" xfId="538" xr:uid="{00000000-0005-0000-0000-000046080000}"/>
    <cellStyle name="백분율 10 64" xfId="539" xr:uid="{00000000-0005-0000-0000-000047080000}"/>
    <cellStyle name="백분율 10 65" xfId="540" xr:uid="{00000000-0005-0000-0000-000048080000}"/>
    <cellStyle name="백분율 10 66" xfId="541" xr:uid="{00000000-0005-0000-0000-000049080000}"/>
    <cellStyle name="백분율 10 67" xfId="542" xr:uid="{00000000-0005-0000-0000-00004A080000}"/>
    <cellStyle name="백분율 10 68" xfId="543" xr:uid="{00000000-0005-0000-0000-00004B080000}"/>
    <cellStyle name="백분율 10 69" xfId="544" xr:uid="{00000000-0005-0000-0000-00004C080000}"/>
    <cellStyle name="백분율 10 7" xfId="545" xr:uid="{00000000-0005-0000-0000-00004D080000}"/>
    <cellStyle name="백분율 10 70" xfId="546" xr:uid="{00000000-0005-0000-0000-00004E080000}"/>
    <cellStyle name="백분율 10 71" xfId="547" xr:uid="{00000000-0005-0000-0000-00004F080000}"/>
    <cellStyle name="백분율 10 72" xfId="548" xr:uid="{00000000-0005-0000-0000-000050080000}"/>
    <cellStyle name="백분율 10 73" xfId="549" xr:uid="{00000000-0005-0000-0000-000051080000}"/>
    <cellStyle name="백분율 10 74" xfId="550" xr:uid="{00000000-0005-0000-0000-000052080000}"/>
    <cellStyle name="백분율 10 75" xfId="551" xr:uid="{00000000-0005-0000-0000-000053080000}"/>
    <cellStyle name="백분율 10 76" xfId="552" xr:uid="{00000000-0005-0000-0000-000054080000}"/>
    <cellStyle name="백분율 10 77" xfId="553" xr:uid="{00000000-0005-0000-0000-000055080000}"/>
    <cellStyle name="백분율 10 78" xfId="554" xr:uid="{00000000-0005-0000-0000-000056080000}"/>
    <cellStyle name="백분율 10 79" xfId="555" xr:uid="{00000000-0005-0000-0000-000057080000}"/>
    <cellStyle name="백분율 10 8" xfId="556" xr:uid="{00000000-0005-0000-0000-000058080000}"/>
    <cellStyle name="백분율 10 80" xfId="557" xr:uid="{00000000-0005-0000-0000-000059080000}"/>
    <cellStyle name="백분율 10 81" xfId="558" xr:uid="{00000000-0005-0000-0000-00005A080000}"/>
    <cellStyle name="백분율 10 82" xfId="559" xr:uid="{00000000-0005-0000-0000-00005B080000}"/>
    <cellStyle name="백분율 10 83" xfId="560" xr:uid="{00000000-0005-0000-0000-00005C080000}"/>
    <cellStyle name="백분율 10 84" xfId="561" xr:uid="{00000000-0005-0000-0000-00005D080000}"/>
    <cellStyle name="백분율 10 85" xfId="562" xr:uid="{00000000-0005-0000-0000-00005E080000}"/>
    <cellStyle name="백분율 10 86" xfId="563" xr:uid="{00000000-0005-0000-0000-00005F080000}"/>
    <cellStyle name="백분율 10 87" xfId="564" xr:uid="{00000000-0005-0000-0000-000060080000}"/>
    <cellStyle name="백분율 10 88" xfId="565" xr:uid="{00000000-0005-0000-0000-000061080000}"/>
    <cellStyle name="백분율 10 9" xfId="566" xr:uid="{00000000-0005-0000-0000-000062080000}"/>
    <cellStyle name="백분율 11 10" xfId="567" xr:uid="{00000000-0005-0000-0000-000063080000}"/>
    <cellStyle name="백분율 11 11" xfId="568" xr:uid="{00000000-0005-0000-0000-000064080000}"/>
    <cellStyle name="백분율 11 12" xfId="569" xr:uid="{00000000-0005-0000-0000-000065080000}"/>
    <cellStyle name="백분율 11 13" xfId="570" xr:uid="{00000000-0005-0000-0000-000066080000}"/>
    <cellStyle name="백분율 11 14" xfId="571" xr:uid="{00000000-0005-0000-0000-000067080000}"/>
    <cellStyle name="백분율 11 15" xfId="572" xr:uid="{00000000-0005-0000-0000-000068080000}"/>
    <cellStyle name="백분율 11 16" xfId="573" xr:uid="{00000000-0005-0000-0000-000069080000}"/>
    <cellStyle name="백분율 11 17" xfId="574" xr:uid="{00000000-0005-0000-0000-00006A080000}"/>
    <cellStyle name="백분율 11 18" xfId="575" xr:uid="{00000000-0005-0000-0000-00006B080000}"/>
    <cellStyle name="백분율 11 19" xfId="576" xr:uid="{00000000-0005-0000-0000-00006C080000}"/>
    <cellStyle name="백분율 11 2" xfId="577" xr:uid="{00000000-0005-0000-0000-00006D080000}"/>
    <cellStyle name="백분율 11 20" xfId="578" xr:uid="{00000000-0005-0000-0000-00006E080000}"/>
    <cellStyle name="백분율 11 21" xfId="579" xr:uid="{00000000-0005-0000-0000-00006F080000}"/>
    <cellStyle name="백분율 11 22" xfId="580" xr:uid="{00000000-0005-0000-0000-000070080000}"/>
    <cellStyle name="백분율 11 23" xfId="581" xr:uid="{00000000-0005-0000-0000-000071080000}"/>
    <cellStyle name="백분율 11 24" xfId="582" xr:uid="{00000000-0005-0000-0000-000072080000}"/>
    <cellStyle name="백분율 11 25" xfId="583" xr:uid="{00000000-0005-0000-0000-000073080000}"/>
    <cellStyle name="백분율 11 26" xfId="584" xr:uid="{00000000-0005-0000-0000-000074080000}"/>
    <cellStyle name="백분율 11 27" xfId="585" xr:uid="{00000000-0005-0000-0000-000075080000}"/>
    <cellStyle name="백분율 11 3" xfId="586" xr:uid="{00000000-0005-0000-0000-000076080000}"/>
    <cellStyle name="백분율 11 4" xfId="587" xr:uid="{00000000-0005-0000-0000-000077080000}"/>
    <cellStyle name="백분율 11 5" xfId="588" xr:uid="{00000000-0005-0000-0000-000078080000}"/>
    <cellStyle name="백분율 11 6" xfId="589" xr:uid="{00000000-0005-0000-0000-000079080000}"/>
    <cellStyle name="백분율 11 7" xfId="590" xr:uid="{00000000-0005-0000-0000-00007A080000}"/>
    <cellStyle name="백분율 11 8" xfId="591" xr:uid="{00000000-0005-0000-0000-00007B080000}"/>
    <cellStyle name="백분율 11 9" xfId="592" xr:uid="{00000000-0005-0000-0000-00007C080000}"/>
    <cellStyle name="백분율 12 10" xfId="593" xr:uid="{00000000-0005-0000-0000-00007D080000}"/>
    <cellStyle name="백분율 12 10 2" xfId="594" xr:uid="{00000000-0005-0000-0000-00007E080000}"/>
    <cellStyle name="백분율 12 11" xfId="595" xr:uid="{00000000-0005-0000-0000-00007F080000}"/>
    <cellStyle name="백분율 12 11 2" xfId="596" xr:uid="{00000000-0005-0000-0000-000080080000}"/>
    <cellStyle name="백분율 12 12" xfId="597" xr:uid="{00000000-0005-0000-0000-000081080000}"/>
    <cellStyle name="백분율 12 12 2" xfId="598" xr:uid="{00000000-0005-0000-0000-000082080000}"/>
    <cellStyle name="백분율 12 13" xfId="599" xr:uid="{00000000-0005-0000-0000-000083080000}"/>
    <cellStyle name="백분율 12 13 2" xfId="600" xr:uid="{00000000-0005-0000-0000-000084080000}"/>
    <cellStyle name="백분율 12 14" xfId="601" xr:uid="{00000000-0005-0000-0000-000085080000}"/>
    <cellStyle name="백분율 12 14 2" xfId="602" xr:uid="{00000000-0005-0000-0000-000086080000}"/>
    <cellStyle name="백분율 12 15" xfId="603" xr:uid="{00000000-0005-0000-0000-000087080000}"/>
    <cellStyle name="백분율 12 15 2" xfId="604" xr:uid="{00000000-0005-0000-0000-000088080000}"/>
    <cellStyle name="백분율 12 16" xfId="605" xr:uid="{00000000-0005-0000-0000-000089080000}"/>
    <cellStyle name="백분율 12 16 2" xfId="606" xr:uid="{00000000-0005-0000-0000-00008A080000}"/>
    <cellStyle name="백분율 12 17" xfId="607" xr:uid="{00000000-0005-0000-0000-00008B080000}"/>
    <cellStyle name="백분율 12 17 2" xfId="608" xr:uid="{00000000-0005-0000-0000-00008C080000}"/>
    <cellStyle name="백분율 12 18" xfId="609" xr:uid="{00000000-0005-0000-0000-00008D080000}"/>
    <cellStyle name="백분율 12 18 2" xfId="610" xr:uid="{00000000-0005-0000-0000-00008E080000}"/>
    <cellStyle name="백분율 12 19" xfId="611" xr:uid="{00000000-0005-0000-0000-00008F080000}"/>
    <cellStyle name="백분율 12 19 2" xfId="612" xr:uid="{00000000-0005-0000-0000-000090080000}"/>
    <cellStyle name="백분율 12 2" xfId="613" xr:uid="{00000000-0005-0000-0000-000091080000}"/>
    <cellStyle name="백분율 12 2 2" xfId="614" xr:uid="{00000000-0005-0000-0000-000092080000}"/>
    <cellStyle name="백분율 12 20" xfId="615" xr:uid="{00000000-0005-0000-0000-000093080000}"/>
    <cellStyle name="백분율 12 20 2" xfId="616" xr:uid="{00000000-0005-0000-0000-000094080000}"/>
    <cellStyle name="백분율 12 21" xfId="617" xr:uid="{00000000-0005-0000-0000-000095080000}"/>
    <cellStyle name="백분율 12 22" xfId="618" xr:uid="{00000000-0005-0000-0000-000096080000}"/>
    <cellStyle name="백분율 12 23" xfId="619" xr:uid="{00000000-0005-0000-0000-000097080000}"/>
    <cellStyle name="백분율 12 24" xfId="620" xr:uid="{00000000-0005-0000-0000-000098080000}"/>
    <cellStyle name="백분율 12 3" xfId="621" xr:uid="{00000000-0005-0000-0000-000099080000}"/>
    <cellStyle name="백분율 12 3 2" xfId="622" xr:uid="{00000000-0005-0000-0000-00009A080000}"/>
    <cellStyle name="백분율 12 4" xfId="623" xr:uid="{00000000-0005-0000-0000-00009B080000}"/>
    <cellStyle name="백분율 12 4 2" xfId="624" xr:uid="{00000000-0005-0000-0000-00009C080000}"/>
    <cellStyle name="백분율 12 5" xfId="625" xr:uid="{00000000-0005-0000-0000-00009D080000}"/>
    <cellStyle name="백분율 12 5 2" xfId="626" xr:uid="{00000000-0005-0000-0000-00009E080000}"/>
    <cellStyle name="백분율 12 6" xfId="627" xr:uid="{00000000-0005-0000-0000-00009F080000}"/>
    <cellStyle name="백분율 12 6 2" xfId="628" xr:uid="{00000000-0005-0000-0000-0000A0080000}"/>
    <cellStyle name="백분율 12 7" xfId="629" xr:uid="{00000000-0005-0000-0000-0000A1080000}"/>
    <cellStyle name="백분율 12 7 2" xfId="630" xr:uid="{00000000-0005-0000-0000-0000A2080000}"/>
    <cellStyle name="백분율 12 8" xfId="631" xr:uid="{00000000-0005-0000-0000-0000A3080000}"/>
    <cellStyle name="백분율 12 8 2" xfId="632" xr:uid="{00000000-0005-0000-0000-0000A4080000}"/>
    <cellStyle name="백분율 12 9" xfId="633" xr:uid="{00000000-0005-0000-0000-0000A5080000}"/>
    <cellStyle name="백분율 12 9 2" xfId="634" xr:uid="{00000000-0005-0000-0000-0000A6080000}"/>
    <cellStyle name="백분율 13 10" xfId="635" xr:uid="{00000000-0005-0000-0000-0000A7080000}"/>
    <cellStyle name="백분율 13 11" xfId="636" xr:uid="{00000000-0005-0000-0000-0000A8080000}"/>
    <cellStyle name="백분율 13 12" xfId="637" xr:uid="{00000000-0005-0000-0000-0000A9080000}"/>
    <cellStyle name="백분율 13 13" xfId="638" xr:uid="{00000000-0005-0000-0000-0000AA080000}"/>
    <cellStyle name="백분율 13 14" xfId="639" xr:uid="{00000000-0005-0000-0000-0000AB080000}"/>
    <cellStyle name="백분율 13 15" xfId="640" xr:uid="{00000000-0005-0000-0000-0000AC080000}"/>
    <cellStyle name="백분율 13 16" xfId="641" xr:uid="{00000000-0005-0000-0000-0000AD080000}"/>
    <cellStyle name="백분율 13 17" xfId="642" xr:uid="{00000000-0005-0000-0000-0000AE080000}"/>
    <cellStyle name="백분율 13 18" xfId="643" xr:uid="{00000000-0005-0000-0000-0000AF080000}"/>
    <cellStyle name="백분율 13 19" xfId="644" xr:uid="{00000000-0005-0000-0000-0000B0080000}"/>
    <cellStyle name="백분율 13 2" xfId="645" xr:uid="{00000000-0005-0000-0000-0000B1080000}"/>
    <cellStyle name="백분율 13 20" xfId="646" xr:uid="{00000000-0005-0000-0000-0000B2080000}"/>
    <cellStyle name="백분율 13 21" xfId="647" xr:uid="{00000000-0005-0000-0000-0000B3080000}"/>
    <cellStyle name="백분율 13 22" xfId="648" xr:uid="{00000000-0005-0000-0000-0000B4080000}"/>
    <cellStyle name="백분율 13 23" xfId="649" xr:uid="{00000000-0005-0000-0000-0000B5080000}"/>
    <cellStyle name="백분율 13 24" xfId="650" xr:uid="{00000000-0005-0000-0000-0000B6080000}"/>
    <cellStyle name="백분율 13 25" xfId="651" xr:uid="{00000000-0005-0000-0000-0000B7080000}"/>
    <cellStyle name="백분율 13 26" xfId="652" xr:uid="{00000000-0005-0000-0000-0000B8080000}"/>
    <cellStyle name="백분율 13 27" xfId="653" xr:uid="{00000000-0005-0000-0000-0000B9080000}"/>
    <cellStyle name="백분율 13 3" xfId="654" xr:uid="{00000000-0005-0000-0000-0000BA080000}"/>
    <cellStyle name="백분율 13 4" xfId="655" xr:uid="{00000000-0005-0000-0000-0000BB080000}"/>
    <cellStyle name="백분율 13 5" xfId="656" xr:uid="{00000000-0005-0000-0000-0000BC080000}"/>
    <cellStyle name="백분율 13 6" xfId="657" xr:uid="{00000000-0005-0000-0000-0000BD080000}"/>
    <cellStyle name="백분율 13 7" xfId="658" xr:uid="{00000000-0005-0000-0000-0000BE080000}"/>
    <cellStyle name="백분율 13 8" xfId="659" xr:uid="{00000000-0005-0000-0000-0000BF080000}"/>
    <cellStyle name="백분율 13 9" xfId="660" xr:uid="{00000000-0005-0000-0000-0000C0080000}"/>
    <cellStyle name="백분율 132 10" xfId="661" xr:uid="{00000000-0005-0000-0000-0000C1080000}"/>
    <cellStyle name="백분율 132 11" xfId="662" xr:uid="{00000000-0005-0000-0000-0000C2080000}"/>
    <cellStyle name="백분율 132 12" xfId="663" xr:uid="{00000000-0005-0000-0000-0000C3080000}"/>
    <cellStyle name="백분율 132 13" xfId="664" xr:uid="{00000000-0005-0000-0000-0000C4080000}"/>
    <cellStyle name="백분율 132 14" xfId="665" xr:uid="{00000000-0005-0000-0000-0000C5080000}"/>
    <cellStyle name="백분율 132 15" xfId="666" xr:uid="{00000000-0005-0000-0000-0000C6080000}"/>
    <cellStyle name="백분율 132 16" xfId="667" xr:uid="{00000000-0005-0000-0000-0000C7080000}"/>
    <cellStyle name="백분율 132 17" xfId="668" xr:uid="{00000000-0005-0000-0000-0000C8080000}"/>
    <cellStyle name="백분율 132 18" xfId="669" xr:uid="{00000000-0005-0000-0000-0000C9080000}"/>
    <cellStyle name="백분율 132 19" xfId="670" xr:uid="{00000000-0005-0000-0000-0000CA080000}"/>
    <cellStyle name="백분율 132 2" xfId="671" xr:uid="{00000000-0005-0000-0000-0000CB080000}"/>
    <cellStyle name="백분율 132 20" xfId="672" xr:uid="{00000000-0005-0000-0000-0000CC080000}"/>
    <cellStyle name="백분율 132 21" xfId="673" xr:uid="{00000000-0005-0000-0000-0000CD080000}"/>
    <cellStyle name="백분율 132 22" xfId="674" xr:uid="{00000000-0005-0000-0000-0000CE080000}"/>
    <cellStyle name="백분율 132 23" xfId="675" xr:uid="{00000000-0005-0000-0000-0000CF080000}"/>
    <cellStyle name="백분율 132 24" xfId="676" xr:uid="{00000000-0005-0000-0000-0000D0080000}"/>
    <cellStyle name="백분율 132 25" xfId="677" xr:uid="{00000000-0005-0000-0000-0000D1080000}"/>
    <cellStyle name="백분율 132 26" xfId="678" xr:uid="{00000000-0005-0000-0000-0000D2080000}"/>
    <cellStyle name="백분율 132 27" xfId="679" xr:uid="{00000000-0005-0000-0000-0000D3080000}"/>
    <cellStyle name="백분율 132 28" xfId="680" xr:uid="{00000000-0005-0000-0000-0000D4080000}"/>
    <cellStyle name="백분율 132 29" xfId="681" xr:uid="{00000000-0005-0000-0000-0000D5080000}"/>
    <cellStyle name="백분율 132 3" xfId="682" xr:uid="{00000000-0005-0000-0000-0000D6080000}"/>
    <cellStyle name="백분율 132 30" xfId="683" xr:uid="{00000000-0005-0000-0000-0000D7080000}"/>
    <cellStyle name="백분율 132 31" xfId="684" xr:uid="{00000000-0005-0000-0000-0000D8080000}"/>
    <cellStyle name="백분율 132 32" xfId="685" xr:uid="{00000000-0005-0000-0000-0000D9080000}"/>
    <cellStyle name="백분율 132 33" xfId="686" xr:uid="{00000000-0005-0000-0000-0000DA080000}"/>
    <cellStyle name="백분율 132 34" xfId="687" xr:uid="{00000000-0005-0000-0000-0000DB080000}"/>
    <cellStyle name="백분율 132 35" xfId="688" xr:uid="{00000000-0005-0000-0000-0000DC080000}"/>
    <cellStyle name="백분율 132 36" xfId="689" xr:uid="{00000000-0005-0000-0000-0000DD080000}"/>
    <cellStyle name="백분율 132 37" xfId="690" xr:uid="{00000000-0005-0000-0000-0000DE080000}"/>
    <cellStyle name="백분율 132 38" xfId="691" xr:uid="{00000000-0005-0000-0000-0000DF080000}"/>
    <cellStyle name="백분율 132 39" xfId="692" xr:uid="{00000000-0005-0000-0000-0000E0080000}"/>
    <cellStyle name="백분율 132 4" xfId="693" xr:uid="{00000000-0005-0000-0000-0000E1080000}"/>
    <cellStyle name="백분율 132 40" xfId="694" xr:uid="{00000000-0005-0000-0000-0000E2080000}"/>
    <cellStyle name="백분율 132 41" xfId="695" xr:uid="{00000000-0005-0000-0000-0000E3080000}"/>
    <cellStyle name="백분율 132 42" xfId="696" xr:uid="{00000000-0005-0000-0000-0000E4080000}"/>
    <cellStyle name="백분율 132 43" xfId="697" xr:uid="{00000000-0005-0000-0000-0000E5080000}"/>
    <cellStyle name="백분율 132 44" xfId="698" xr:uid="{00000000-0005-0000-0000-0000E6080000}"/>
    <cellStyle name="백분율 132 45" xfId="699" xr:uid="{00000000-0005-0000-0000-0000E7080000}"/>
    <cellStyle name="백분율 132 46" xfId="700" xr:uid="{00000000-0005-0000-0000-0000E8080000}"/>
    <cellStyle name="백분율 132 47" xfId="701" xr:uid="{00000000-0005-0000-0000-0000E9080000}"/>
    <cellStyle name="백분율 132 48" xfId="702" xr:uid="{00000000-0005-0000-0000-0000EA080000}"/>
    <cellStyle name="백분율 132 5" xfId="703" xr:uid="{00000000-0005-0000-0000-0000EB080000}"/>
    <cellStyle name="백분율 132 6" xfId="704" xr:uid="{00000000-0005-0000-0000-0000EC080000}"/>
    <cellStyle name="백분율 132 7" xfId="705" xr:uid="{00000000-0005-0000-0000-0000ED080000}"/>
    <cellStyle name="백분율 132 8" xfId="706" xr:uid="{00000000-0005-0000-0000-0000EE080000}"/>
    <cellStyle name="백분율 132 9" xfId="707" xr:uid="{00000000-0005-0000-0000-0000EF080000}"/>
    <cellStyle name="백분율 138 2" xfId="708" xr:uid="{00000000-0005-0000-0000-0000F0080000}"/>
    <cellStyle name="백분율 139 2" xfId="709" xr:uid="{00000000-0005-0000-0000-0000F1080000}"/>
    <cellStyle name="백분율 14 10" xfId="710" xr:uid="{00000000-0005-0000-0000-0000F2080000}"/>
    <cellStyle name="백분율 14 10 2" xfId="711" xr:uid="{00000000-0005-0000-0000-0000F3080000}"/>
    <cellStyle name="백분율 14 11" xfId="712" xr:uid="{00000000-0005-0000-0000-0000F4080000}"/>
    <cellStyle name="백분율 14 11 2" xfId="713" xr:uid="{00000000-0005-0000-0000-0000F5080000}"/>
    <cellStyle name="백분율 14 12" xfId="714" xr:uid="{00000000-0005-0000-0000-0000F6080000}"/>
    <cellStyle name="백분율 14 12 2" xfId="715" xr:uid="{00000000-0005-0000-0000-0000F7080000}"/>
    <cellStyle name="백분율 14 13" xfId="716" xr:uid="{00000000-0005-0000-0000-0000F8080000}"/>
    <cellStyle name="백분율 14 13 2" xfId="717" xr:uid="{00000000-0005-0000-0000-0000F9080000}"/>
    <cellStyle name="백분율 14 14" xfId="718" xr:uid="{00000000-0005-0000-0000-0000FA080000}"/>
    <cellStyle name="백분율 14 14 2" xfId="719" xr:uid="{00000000-0005-0000-0000-0000FB080000}"/>
    <cellStyle name="백분율 14 15" xfId="720" xr:uid="{00000000-0005-0000-0000-0000FC080000}"/>
    <cellStyle name="백분율 14 15 2" xfId="721" xr:uid="{00000000-0005-0000-0000-0000FD080000}"/>
    <cellStyle name="백분율 14 16" xfId="722" xr:uid="{00000000-0005-0000-0000-0000FE080000}"/>
    <cellStyle name="백분율 14 16 2" xfId="723" xr:uid="{00000000-0005-0000-0000-0000FF080000}"/>
    <cellStyle name="백분율 14 17" xfId="724" xr:uid="{00000000-0005-0000-0000-000000090000}"/>
    <cellStyle name="백분율 14 17 2" xfId="725" xr:uid="{00000000-0005-0000-0000-000001090000}"/>
    <cellStyle name="백분율 14 18" xfId="726" xr:uid="{00000000-0005-0000-0000-000002090000}"/>
    <cellStyle name="백분율 14 18 2" xfId="727" xr:uid="{00000000-0005-0000-0000-000003090000}"/>
    <cellStyle name="백분율 14 19" xfId="728" xr:uid="{00000000-0005-0000-0000-000004090000}"/>
    <cellStyle name="백분율 14 19 2" xfId="729" xr:uid="{00000000-0005-0000-0000-000005090000}"/>
    <cellStyle name="백분율 14 2" xfId="730" xr:uid="{00000000-0005-0000-0000-000006090000}"/>
    <cellStyle name="백분율 14 2 2" xfId="731" xr:uid="{00000000-0005-0000-0000-000007090000}"/>
    <cellStyle name="백분율 14 20" xfId="732" xr:uid="{00000000-0005-0000-0000-000008090000}"/>
    <cellStyle name="백분율 14 20 2" xfId="733" xr:uid="{00000000-0005-0000-0000-000009090000}"/>
    <cellStyle name="백분율 14 21" xfId="734" xr:uid="{00000000-0005-0000-0000-00000A090000}"/>
    <cellStyle name="백분율 14 22" xfId="735" xr:uid="{00000000-0005-0000-0000-00000B090000}"/>
    <cellStyle name="백분율 14 23" xfId="736" xr:uid="{00000000-0005-0000-0000-00000C090000}"/>
    <cellStyle name="백분율 14 24" xfId="737" xr:uid="{00000000-0005-0000-0000-00000D090000}"/>
    <cellStyle name="백분율 14 3" xfId="738" xr:uid="{00000000-0005-0000-0000-00000E090000}"/>
    <cellStyle name="백분율 14 3 2" xfId="739" xr:uid="{00000000-0005-0000-0000-00000F090000}"/>
    <cellStyle name="백분율 14 4" xfId="740" xr:uid="{00000000-0005-0000-0000-000010090000}"/>
    <cellStyle name="백분율 14 4 2" xfId="741" xr:uid="{00000000-0005-0000-0000-000011090000}"/>
    <cellStyle name="백분율 14 5" xfId="742" xr:uid="{00000000-0005-0000-0000-000012090000}"/>
    <cellStyle name="백분율 14 5 2" xfId="743" xr:uid="{00000000-0005-0000-0000-000013090000}"/>
    <cellStyle name="백분율 14 6" xfId="744" xr:uid="{00000000-0005-0000-0000-000014090000}"/>
    <cellStyle name="백분율 14 6 2" xfId="745" xr:uid="{00000000-0005-0000-0000-000015090000}"/>
    <cellStyle name="백분율 14 7" xfId="746" xr:uid="{00000000-0005-0000-0000-000016090000}"/>
    <cellStyle name="백분율 14 7 2" xfId="747" xr:uid="{00000000-0005-0000-0000-000017090000}"/>
    <cellStyle name="백분율 14 8" xfId="748" xr:uid="{00000000-0005-0000-0000-000018090000}"/>
    <cellStyle name="백분율 14 8 2" xfId="749" xr:uid="{00000000-0005-0000-0000-000019090000}"/>
    <cellStyle name="백분율 14 9" xfId="750" xr:uid="{00000000-0005-0000-0000-00001A090000}"/>
    <cellStyle name="백분율 14 9 2" xfId="751" xr:uid="{00000000-0005-0000-0000-00001B090000}"/>
    <cellStyle name="백분율 161 2" xfId="752" xr:uid="{00000000-0005-0000-0000-00001C090000}"/>
    <cellStyle name="백분율 162 2" xfId="753" xr:uid="{00000000-0005-0000-0000-00001D090000}"/>
    <cellStyle name="백분율 167 2 2" xfId="754" xr:uid="{00000000-0005-0000-0000-00001E090000}"/>
    <cellStyle name="백분율 169 2 2" xfId="755" xr:uid="{00000000-0005-0000-0000-00001F090000}"/>
    <cellStyle name="백분율 170 2 2" xfId="756" xr:uid="{00000000-0005-0000-0000-000020090000}"/>
    <cellStyle name="백분율 175 2" xfId="757" xr:uid="{00000000-0005-0000-0000-000021090000}"/>
    <cellStyle name="백분율 183 2" xfId="758" xr:uid="{00000000-0005-0000-0000-000022090000}"/>
    <cellStyle name="백분율 19 10" xfId="759" xr:uid="{00000000-0005-0000-0000-000023090000}"/>
    <cellStyle name="백분율 19 11" xfId="760" xr:uid="{00000000-0005-0000-0000-000024090000}"/>
    <cellStyle name="백분율 19 12" xfId="761" xr:uid="{00000000-0005-0000-0000-000025090000}"/>
    <cellStyle name="백분율 19 13" xfId="762" xr:uid="{00000000-0005-0000-0000-000026090000}"/>
    <cellStyle name="백분율 19 14" xfId="763" xr:uid="{00000000-0005-0000-0000-000027090000}"/>
    <cellStyle name="백분율 19 15" xfId="764" xr:uid="{00000000-0005-0000-0000-000028090000}"/>
    <cellStyle name="백분율 19 16" xfId="765" xr:uid="{00000000-0005-0000-0000-000029090000}"/>
    <cellStyle name="백분율 19 17" xfId="766" xr:uid="{00000000-0005-0000-0000-00002A090000}"/>
    <cellStyle name="백분율 19 18" xfId="767" xr:uid="{00000000-0005-0000-0000-00002B090000}"/>
    <cellStyle name="백분율 19 19" xfId="768" xr:uid="{00000000-0005-0000-0000-00002C090000}"/>
    <cellStyle name="백분율 19 2" xfId="769" xr:uid="{00000000-0005-0000-0000-00002D090000}"/>
    <cellStyle name="백분율 19 20" xfId="770" xr:uid="{00000000-0005-0000-0000-00002E090000}"/>
    <cellStyle name="백분율 19 21" xfId="771" xr:uid="{00000000-0005-0000-0000-00002F090000}"/>
    <cellStyle name="백분율 19 22" xfId="772" xr:uid="{00000000-0005-0000-0000-000030090000}"/>
    <cellStyle name="백분율 19 23" xfId="773" xr:uid="{00000000-0005-0000-0000-000031090000}"/>
    <cellStyle name="백분율 19 24" xfId="774" xr:uid="{00000000-0005-0000-0000-000032090000}"/>
    <cellStyle name="백분율 19 25" xfId="775" xr:uid="{00000000-0005-0000-0000-000033090000}"/>
    <cellStyle name="백분율 19 26" xfId="776" xr:uid="{00000000-0005-0000-0000-000034090000}"/>
    <cellStyle name="백분율 19 27" xfId="777" xr:uid="{00000000-0005-0000-0000-000035090000}"/>
    <cellStyle name="백분율 19 3" xfId="778" xr:uid="{00000000-0005-0000-0000-000036090000}"/>
    <cellStyle name="백분율 19 4" xfId="779" xr:uid="{00000000-0005-0000-0000-000037090000}"/>
    <cellStyle name="백분율 19 5" xfId="780" xr:uid="{00000000-0005-0000-0000-000038090000}"/>
    <cellStyle name="백분율 19 6" xfId="781" xr:uid="{00000000-0005-0000-0000-000039090000}"/>
    <cellStyle name="백분율 19 7" xfId="782" xr:uid="{00000000-0005-0000-0000-00003A090000}"/>
    <cellStyle name="백분율 19 8" xfId="783" xr:uid="{00000000-0005-0000-0000-00003B090000}"/>
    <cellStyle name="백분율 19 9" xfId="784" xr:uid="{00000000-0005-0000-0000-00003C090000}"/>
    <cellStyle name="백분율 2" xfId="785" xr:uid="{00000000-0005-0000-0000-00003D090000}"/>
    <cellStyle name="백분율 2 10" xfId="786" xr:uid="{00000000-0005-0000-0000-00003E090000}"/>
    <cellStyle name="백분율 2 11" xfId="787" xr:uid="{00000000-0005-0000-0000-00003F090000}"/>
    <cellStyle name="백분율 2 12" xfId="788" xr:uid="{00000000-0005-0000-0000-000040090000}"/>
    <cellStyle name="백분율 2 13" xfId="789" xr:uid="{00000000-0005-0000-0000-000041090000}"/>
    <cellStyle name="백분율 2 14" xfId="790" xr:uid="{00000000-0005-0000-0000-000042090000}"/>
    <cellStyle name="백분율 2 15" xfId="791" xr:uid="{00000000-0005-0000-0000-000043090000}"/>
    <cellStyle name="백분율 2 16" xfId="792" xr:uid="{00000000-0005-0000-0000-000044090000}"/>
    <cellStyle name="백분율 2 17" xfId="793" xr:uid="{00000000-0005-0000-0000-000045090000}"/>
    <cellStyle name="백분율 2 18" xfId="794" xr:uid="{00000000-0005-0000-0000-000046090000}"/>
    <cellStyle name="백분율 2 19" xfId="795" xr:uid="{00000000-0005-0000-0000-000047090000}"/>
    <cellStyle name="백분율 2 2" xfId="796" xr:uid="{00000000-0005-0000-0000-000048090000}"/>
    <cellStyle name="백분율 2 20" xfId="797" xr:uid="{00000000-0005-0000-0000-000049090000}"/>
    <cellStyle name="백분율 2 21" xfId="798" xr:uid="{00000000-0005-0000-0000-00004A090000}"/>
    <cellStyle name="백분율 2 22" xfId="799" xr:uid="{00000000-0005-0000-0000-00004B090000}"/>
    <cellStyle name="백분율 2 23" xfId="800" xr:uid="{00000000-0005-0000-0000-00004C090000}"/>
    <cellStyle name="백분율 2 24" xfId="801" xr:uid="{00000000-0005-0000-0000-00004D090000}"/>
    <cellStyle name="백분율 2 25" xfId="802" xr:uid="{00000000-0005-0000-0000-00004E090000}"/>
    <cellStyle name="백분율 2 26" xfId="803" xr:uid="{00000000-0005-0000-0000-00004F090000}"/>
    <cellStyle name="백분율 2 27" xfId="804" xr:uid="{00000000-0005-0000-0000-000050090000}"/>
    <cellStyle name="백분율 2 28" xfId="805" xr:uid="{00000000-0005-0000-0000-000051090000}"/>
    <cellStyle name="백분율 2 29" xfId="806" xr:uid="{00000000-0005-0000-0000-000052090000}"/>
    <cellStyle name="백분율 2 3" xfId="807" xr:uid="{00000000-0005-0000-0000-000053090000}"/>
    <cellStyle name="백분율 2 3 2 2" xfId="5441" xr:uid="{00000000-0005-0000-0000-000054090000}"/>
    <cellStyle name="백분율 2 3 2 2 2" xfId="5460" xr:uid="{00000000-0005-0000-0000-000055090000}"/>
    <cellStyle name="백분율 2 30" xfId="808" xr:uid="{00000000-0005-0000-0000-000056090000}"/>
    <cellStyle name="백분율 2 31" xfId="809" xr:uid="{00000000-0005-0000-0000-000057090000}"/>
    <cellStyle name="백분율 2 32" xfId="810" xr:uid="{00000000-0005-0000-0000-000058090000}"/>
    <cellStyle name="백분율 2 32 2" xfId="811" xr:uid="{00000000-0005-0000-0000-000059090000}"/>
    <cellStyle name="백분율 2 33" xfId="812" xr:uid="{00000000-0005-0000-0000-00005A090000}"/>
    <cellStyle name="백분율 2 33 2" xfId="813" xr:uid="{00000000-0005-0000-0000-00005B090000}"/>
    <cellStyle name="백분율 2 34" xfId="814" xr:uid="{00000000-0005-0000-0000-00005C090000}"/>
    <cellStyle name="백분율 2 34 2" xfId="815" xr:uid="{00000000-0005-0000-0000-00005D090000}"/>
    <cellStyle name="백분율 2 35" xfId="816" xr:uid="{00000000-0005-0000-0000-00005E090000}"/>
    <cellStyle name="백분율 2 35 2" xfId="817" xr:uid="{00000000-0005-0000-0000-00005F090000}"/>
    <cellStyle name="백분율 2 36" xfId="818" xr:uid="{00000000-0005-0000-0000-000060090000}"/>
    <cellStyle name="백분율 2 36 2" xfId="819" xr:uid="{00000000-0005-0000-0000-000061090000}"/>
    <cellStyle name="백분율 2 37" xfId="820" xr:uid="{00000000-0005-0000-0000-000062090000}"/>
    <cellStyle name="백분율 2 37 2" xfId="821" xr:uid="{00000000-0005-0000-0000-000063090000}"/>
    <cellStyle name="백분율 2 38" xfId="822" xr:uid="{00000000-0005-0000-0000-000064090000}"/>
    <cellStyle name="백분율 2 38 2" xfId="823" xr:uid="{00000000-0005-0000-0000-000065090000}"/>
    <cellStyle name="백분율 2 39" xfId="824" xr:uid="{00000000-0005-0000-0000-000066090000}"/>
    <cellStyle name="백분율 2 39 2" xfId="825" xr:uid="{00000000-0005-0000-0000-000067090000}"/>
    <cellStyle name="백분율 2 4" xfId="826" xr:uid="{00000000-0005-0000-0000-000068090000}"/>
    <cellStyle name="백분율 2 40" xfId="827" xr:uid="{00000000-0005-0000-0000-000069090000}"/>
    <cellStyle name="백분율 2 40 2" xfId="828" xr:uid="{00000000-0005-0000-0000-00006A090000}"/>
    <cellStyle name="백분율 2 41" xfId="829" xr:uid="{00000000-0005-0000-0000-00006B090000}"/>
    <cellStyle name="백분율 2 41 2" xfId="830" xr:uid="{00000000-0005-0000-0000-00006C090000}"/>
    <cellStyle name="백분율 2 42" xfId="831" xr:uid="{00000000-0005-0000-0000-00006D090000}"/>
    <cellStyle name="백분율 2 42 2" xfId="832" xr:uid="{00000000-0005-0000-0000-00006E090000}"/>
    <cellStyle name="백분율 2 43" xfId="833" xr:uid="{00000000-0005-0000-0000-00006F090000}"/>
    <cellStyle name="백분율 2 43 2" xfId="834" xr:uid="{00000000-0005-0000-0000-000070090000}"/>
    <cellStyle name="백분율 2 44" xfId="835" xr:uid="{00000000-0005-0000-0000-000071090000}"/>
    <cellStyle name="백분율 2 44 2" xfId="836" xr:uid="{00000000-0005-0000-0000-000072090000}"/>
    <cellStyle name="백분율 2 45" xfId="837" xr:uid="{00000000-0005-0000-0000-000073090000}"/>
    <cellStyle name="백분율 2 45 2" xfId="838" xr:uid="{00000000-0005-0000-0000-000074090000}"/>
    <cellStyle name="백분율 2 46" xfId="839" xr:uid="{00000000-0005-0000-0000-000075090000}"/>
    <cellStyle name="백분율 2 46 2" xfId="840" xr:uid="{00000000-0005-0000-0000-000076090000}"/>
    <cellStyle name="백분율 2 47" xfId="841" xr:uid="{00000000-0005-0000-0000-000077090000}"/>
    <cellStyle name="백분율 2 47 2" xfId="842" xr:uid="{00000000-0005-0000-0000-000078090000}"/>
    <cellStyle name="백분율 2 48" xfId="843" xr:uid="{00000000-0005-0000-0000-000079090000}"/>
    <cellStyle name="백분율 2 48 2" xfId="844" xr:uid="{00000000-0005-0000-0000-00007A090000}"/>
    <cellStyle name="백분율 2 49" xfId="845" xr:uid="{00000000-0005-0000-0000-00007B090000}"/>
    <cellStyle name="백분율 2 49 2" xfId="846" xr:uid="{00000000-0005-0000-0000-00007C090000}"/>
    <cellStyle name="백분율 2 5" xfId="847" xr:uid="{00000000-0005-0000-0000-00007D090000}"/>
    <cellStyle name="백분율 2 50" xfId="848" xr:uid="{00000000-0005-0000-0000-00007E090000}"/>
    <cellStyle name="백분율 2 50 2" xfId="849" xr:uid="{00000000-0005-0000-0000-00007F090000}"/>
    <cellStyle name="백분율 2 51" xfId="850" xr:uid="{00000000-0005-0000-0000-000080090000}"/>
    <cellStyle name="백분율 2 52" xfId="851" xr:uid="{00000000-0005-0000-0000-000081090000}"/>
    <cellStyle name="백분율 2 53" xfId="852" xr:uid="{00000000-0005-0000-0000-000082090000}"/>
    <cellStyle name="백분율 2 54" xfId="853" xr:uid="{00000000-0005-0000-0000-000083090000}"/>
    <cellStyle name="백분율 2 55" xfId="3713" xr:uid="{00000000-0005-0000-0000-000084090000}"/>
    <cellStyle name="백분율 2 56" xfId="5437" xr:uid="{00000000-0005-0000-0000-000085090000}"/>
    <cellStyle name="백분율 2 56 2" xfId="5456" xr:uid="{00000000-0005-0000-0000-000086090000}"/>
    <cellStyle name="백분율 2 6" xfId="854" xr:uid="{00000000-0005-0000-0000-000087090000}"/>
    <cellStyle name="백분율 2 7" xfId="855" xr:uid="{00000000-0005-0000-0000-000088090000}"/>
    <cellStyle name="백분율 2 8" xfId="856" xr:uid="{00000000-0005-0000-0000-000089090000}"/>
    <cellStyle name="백분율 2 9" xfId="857" xr:uid="{00000000-0005-0000-0000-00008A090000}"/>
    <cellStyle name="백분율 22 10" xfId="858" xr:uid="{00000000-0005-0000-0000-00008B090000}"/>
    <cellStyle name="백분율 22 11" xfId="859" xr:uid="{00000000-0005-0000-0000-00008C090000}"/>
    <cellStyle name="백분율 22 12" xfId="860" xr:uid="{00000000-0005-0000-0000-00008D090000}"/>
    <cellStyle name="백분율 22 13" xfId="861" xr:uid="{00000000-0005-0000-0000-00008E090000}"/>
    <cellStyle name="백분율 22 14" xfId="862" xr:uid="{00000000-0005-0000-0000-00008F090000}"/>
    <cellStyle name="백분율 22 15" xfId="863" xr:uid="{00000000-0005-0000-0000-000090090000}"/>
    <cellStyle name="백분율 22 16" xfId="864" xr:uid="{00000000-0005-0000-0000-000091090000}"/>
    <cellStyle name="백분율 22 17" xfId="865" xr:uid="{00000000-0005-0000-0000-000092090000}"/>
    <cellStyle name="백분율 22 18" xfId="866" xr:uid="{00000000-0005-0000-0000-000093090000}"/>
    <cellStyle name="백분율 22 19" xfId="867" xr:uid="{00000000-0005-0000-0000-000094090000}"/>
    <cellStyle name="백분율 22 2" xfId="868" xr:uid="{00000000-0005-0000-0000-000095090000}"/>
    <cellStyle name="백분율 22 20" xfId="869" xr:uid="{00000000-0005-0000-0000-000096090000}"/>
    <cellStyle name="백분율 22 21" xfId="870" xr:uid="{00000000-0005-0000-0000-000097090000}"/>
    <cellStyle name="백분율 22 22" xfId="871" xr:uid="{00000000-0005-0000-0000-000098090000}"/>
    <cellStyle name="백분율 22 23" xfId="872" xr:uid="{00000000-0005-0000-0000-000099090000}"/>
    <cellStyle name="백분율 22 24" xfId="873" xr:uid="{00000000-0005-0000-0000-00009A090000}"/>
    <cellStyle name="백분율 22 25" xfId="874" xr:uid="{00000000-0005-0000-0000-00009B090000}"/>
    <cellStyle name="백분율 22 26" xfId="875" xr:uid="{00000000-0005-0000-0000-00009C090000}"/>
    <cellStyle name="백분율 22 27" xfId="876" xr:uid="{00000000-0005-0000-0000-00009D090000}"/>
    <cellStyle name="백분율 22 3" xfId="877" xr:uid="{00000000-0005-0000-0000-00009E090000}"/>
    <cellStyle name="백분율 22 4" xfId="878" xr:uid="{00000000-0005-0000-0000-00009F090000}"/>
    <cellStyle name="백분율 22 5" xfId="879" xr:uid="{00000000-0005-0000-0000-0000A0090000}"/>
    <cellStyle name="백분율 22 6" xfId="880" xr:uid="{00000000-0005-0000-0000-0000A1090000}"/>
    <cellStyle name="백분율 22 7" xfId="881" xr:uid="{00000000-0005-0000-0000-0000A2090000}"/>
    <cellStyle name="백분율 22 8" xfId="882" xr:uid="{00000000-0005-0000-0000-0000A3090000}"/>
    <cellStyle name="백분율 22 9" xfId="883" xr:uid="{00000000-0005-0000-0000-0000A4090000}"/>
    <cellStyle name="백분율 23 10" xfId="884" xr:uid="{00000000-0005-0000-0000-0000A5090000}"/>
    <cellStyle name="백분율 23 11" xfId="885" xr:uid="{00000000-0005-0000-0000-0000A6090000}"/>
    <cellStyle name="백분율 23 12" xfId="886" xr:uid="{00000000-0005-0000-0000-0000A7090000}"/>
    <cellStyle name="백분율 23 13" xfId="887" xr:uid="{00000000-0005-0000-0000-0000A8090000}"/>
    <cellStyle name="백분율 23 14" xfId="888" xr:uid="{00000000-0005-0000-0000-0000A9090000}"/>
    <cellStyle name="백분율 23 15" xfId="889" xr:uid="{00000000-0005-0000-0000-0000AA090000}"/>
    <cellStyle name="백분율 23 16" xfId="890" xr:uid="{00000000-0005-0000-0000-0000AB090000}"/>
    <cellStyle name="백분율 23 17" xfId="891" xr:uid="{00000000-0005-0000-0000-0000AC090000}"/>
    <cellStyle name="백분율 23 18" xfId="892" xr:uid="{00000000-0005-0000-0000-0000AD090000}"/>
    <cellStyle name="백분율 23 19" xfId="893" xr:uid="{00000000-0005-0000-0000-0000AE090000}"/>
    <cellStyle name="백분율 23 2" xfId="894" xr:uid="{00000000-0005-0000-0000-0000AF090000}"/>
    <cellStyle name="백분율 23 20" xfId="895" xr:uid="{00000000-0005-0000-0000-0000B0090000}"/>
    <cellStyle name="백분율 23 21" xfId="896" xr:uid="{00000000-0005-0000-0000-0000B1090000}"/>
    <cellStyle name="백분율 23 22" xfId="897" xr:uid="{00000000-0005-0000-0000-0000B2090000}"/>
    <cellStyle name="백분율 23 23" xfId="898" xr:uid="{00000000-0005-0000-0000-0000B3090000}"/>
    <cellStyle name="백분율 23 24" xfId="899" xr:uid="{00000000-0005-0000-0000-0000B4090000}"/>
    <cellStyle name="백분율 23 25" xfId="900" xr:uid="{00000000-0005-0000-0000-0000B5090000}"/>
    <cellStyle name="백분율 23 26" xfId="901" xr:uid="{00000000-0005-0000-0000-0000B6090000}"/>
    <cellStyle name="백분율 23 27" xfId="902" xr:uid="{00000000-0005-0000-0000-0000B7090000}"/>
    <cellStyle name="백분율 23 3" xfId="903" xr:uid="{00000000-0005-0000-0000-0000B8090000}"/>
    <cellStyle name="백분율 23 4" xfId="904" xr:uid="{00000000-0005-0000-0000-0000B9090000}"/>
    <cellStyle name="백분율 23 5" xfId="905" xr:uid="{00000000-0005-0000-0000-0000BA090000}"/>
    <cellStyle name="백분율 23 6" xfId="906" xr:uid="{00000000-0005-0000-0000-0000BB090000}"/>
    <cellStyle name="백분율 23 7" xfId="907" xr:uid="{00000000-0005-0000-0000-0000BC090000}"/>
    <cellStyle name="백분율 23 8" xfId="908" xr:uid="{00000000-0005-0000-0000-0000BD090000}"/>
    <cellStyle name="백분율 23 9" xfId="909" xr:uid="{00000000-0005-0000-0000-0000BE090000}"/>
    <cellStyle name="백분율 24 10" xfId="910" xr:uid="{00000000-0005-0000-0000-0000BF090000}"/>
    <cellStyle name="백분율 24 11" xfId="911" xr:uid="{00000000-0005-0000-0000-0000C0090000}"/>
    <cellStyle name="백분율 24 12" xfId="912" xr:uid="{00000000-0005-0000-0000-0000C1090000}"/>
    <cellStyle name="백분율 24 13" xfId="913" xr:uid="{00000000-0005-0000-0000-0000C2090000}"/>
    <cellStyle name="백분율 24 14" xfId="914" xr:uid="{00000000-0005-0000-0000-0000C3090000}"/>
    <cellStyle name="백분율 24 15" xfId="915" xr:uid="{00000000-0005-0000-0000-0000C4090000}"/>
    <cellStyle name="백분율 24 16" xfId="916" xr:uid="{00000000-0005-0000-0000-0000C5090000}"/>
    <cellStyle name="백분율 24 17" xfId="917" xr:uid="{00000000-0005-0000-0000-0000C6090000}"/>
    <cellStyle name="백분율 24 18" xfId="918" xr:uid="{00000000-0005-0000-0000-0000C7090000}"/>
    <cellStyle name="백분율 24 19" xfId="919" xr:uid="{00000000-0005-0000-0000-0000C8090000}"/>
    <cellStyle name="백분율 24 2" xfId="920" xr:uid="{00000000-0005-0000-0000-0000C9090000}"/>
    <cellStyle name="백분율 24 20" xfId="921" xr:uid="{00000000-0005-0000-0000-0000CA090000}"/>
    <cellStyle name="백분율 24 21" xfId="922" xr:uid="{00000000-0005-0000-0000-0000CB090000}"/>
    <cellStyle name="백분율 24 22" xfId="923" xr:uid="{00000000-0005-0000-0000-0000CC090000}"/>
    <cellStyle name="백분율 24 23" xfId="924" xr:uid="{00000000-0005-0000-0000-0000CD090000}"/>
    <cellStyle name="백분율 24 24" xfId="925" xr:uid="{00000000-0005-0000-0000-0000CE090000}"/>
    <cellStyle name="백분율 24 25" xfId="926" xr:uid="{00000000-0005-0000-0000-0000CF090000}"/>
    <cellStyle name="백분율 24 26" xfId="927" xr:uid="{00000000-0005-0000-0000-0000D0090000}"/>
    <cellStyle name="백분율 24 27" xfId="928" xr:uid="{00000000-0005-0000-0000-0000D1090000}"/>
    <cellStyle name="백분율 24 3" xfId="929" xr:uid="{00000000-0005-0000-0000-0000D2090000}"/>
    <cellStyle name="백분율 24 4" xfId="930" xr:uid="{00000000-0005-0000-0000-0000D3090000}"/>
    <cellStyle name="백분율 24 5" xfId="931" xr:uid="{00000000-0005-0000-0000-0000D4090000}"/>
    <cellStyle name="백분율 24 6" xfId="932" xr:uid="{00000000-0005-0000-0000-0000D5090000}"/>
    <cellStyle name="백분율 24 7" xfId="933" xr:uid="{00000000-0005-0000-0000-0000D6090000}"/>
    <cellStyle name="백분율 24 8" xfId="934" xr:uid="{00000000-0005-0000-0000-0000D7090000}"/>
    <cellStyle name="백분율 24 9" xfId="935" xr:uid="{00000000-0005-0000-0000-0000D8090000}"/>
    <cellStyle name="백분율 27 10" xfId="936" xr:uid="{00000000-0005-0000-0000-0000D9090000}"/>
    <cellStyle name="백분율 27 11" xfId="937" xr:uid="{00000000-0005-0000-0000-0000DA090000}"/>
    <cellStyle name="백분율 27 12" xfId="938" xr:uid="{00000000-0005-0000-0000-0000DB090000}"/>
    <cellStyle name="백분율 27 13" xfId="939" xr:uid="{00000000-0005-0000-0000-0000DC090000}"/>
    <cellStyle name="백분율 27 14" xfId="940" xr:uid="{00000000-0005-0000-0000-0000DD090000}"/>
    <cellStyle name="백분율 27 15" xfId="941" xr:uid="{00000000-0005-0000-0000-0000DE090000}"/>
    <cellStyle name="백분율 27 16" xfId="942" xr:uid="{00000000-0005-0000-0000-0000DF090000}"/>
    <cellStyle name="백분율 27 17" xfId="943" xr:uid="{00000000-0005-0000-0000-0000E0090000}"/>
    <cellStyle name="백분율 27 18" xfId="944" xr:uid="{00000000-0005-0000-0000-0000E1090000}"/>
    <cellStyle name="백분율 27 19" xfId="945" xr:uid="{00000000-0005-0000-0000-0000E2090000}"/>
    <cellStyle name="백분율 27 2" xfId="946" xr:uid="{00000000-0005-0000-0000-0000E3090000}"/>
    <cellStyle name="백분율 27 20" xfId="947" xr:uid="{00000000-0005-0000-0000-0000E4090000}"/>
    <cellStyle name="백분율 27 21" xfId="948" xr:uid="{00000000-0005-0000-0000-0000E5090000}"/>
    <cellStyle name="백분율 27 22" xfId="949" xr:uid="{00000000-0005-0000-0000-0000E6090000}"/>
    <cellStyle name="백분율 27 23" xfId="950" xr:uid="{00000000-0005-0000-0000-0000E7090000}"/>
    <cellStyle name="백분율 27 24" xfId="951" xr:uid="{00000000-0005-0000-0000-0000E8090000}"/>
    <cellStyle name="백분율 27 25" xfId="952" xr:uid="{00000000-0005-0000-0000-0000E9090000}"/>
    <cellStyle name="백분율 27 26" xfId="953" xr:uid="{00000000-0005-0000-0000-0000EA090000}"/>
    <cellStyle name="백분율 27 27" xfId="954" xr:uid="{00000000-0005-0000-0000-0000EB090000}"/>
    <cellStyle name="백분율 27 3" xfId="955" xr:uid="{00000000-0005-0000-0000-0000EC090000}"/>
    <cellStyle name="백분율 27 4" xfId="956" xr:uid="{00000000-0005-0000-0000-0000ED090000}"/>
    <cellStyle name="백분율 27 5" xfId="957" xr:uid="{00000000-0005-0000-0000-0000EE090000}"/>
    <cellStyle name="백분율 27 6" xfId="958" xr:uid="{00000000-0005-0000-0000-0000EF090000}"/>
    <cellStyle name="백분율 27 7" xfId="959" xr:uid="{00000000-0005-0000-0000-0000F0090000}"/>
    <cellStyle name="백분율 27 8" xfId="960" xr:uid="{00000000-0005-0000-0000-0000F1090000}"/>
    <cellStyle name="백분율 27 9" xfId="961" xr:uid="{00000000-0005-0000-0000-0000F2090000}"/>
    <cellStyle name="백분율 28 10" xfId="962" xr:uid="{00000000-0005-0000-0000-0000F3090000}"/>
    <cellStyle name="백분율 28 11" xfId="963" xr:uid="{00000000-0005-0000-0000-0000F4090000}"/>
    <cellStyle name="백분율 28 12" xfId="964" xr:uid="{00000000-0005-0000-0000-0000F5090000}"/>
    <cellStyle name="백분율 28 13" xfId="965" xr:uid="{00000000-0005-0000-0000-0000F6090000}"/>
    <cellStyle name="백분율 28 14" xfId="966" xr:uid="{00000000-0005-0000-0000-0000F7090000}"/>
    <cellStyle name="백분율 28 15" xfId="967" xr:uid="{00000000-0005-0000-0000-0000F8090000}"/>
    <cellStyle name="백분율 28 16" xfId="968" xr:uid="{00000000-0005-0000-0000-0000F9090000}"/>
    <cellStyle name="백분율 28 17" xfId="969" xr:uid="{00000000-0005-0000-0000-0000FA090000}"/>
    <cellStyle name="백분율 28 18" xfId="970" xr:uid="{00000000-0005-0000-0000-0000FB090000}"/>
    <cellStyle name="백분율 28 19" xfId="971" xr:uid="{00000000-0005-0000-0000-0000FC090000}"/>
    <cellStyle name="백분율 28 2" xfId="972" xr:uid="{00000000-0005-0000-0000-0000FD090000}"/>
    <cellStyle name="백분율 28 20" xfId="973" xr:uid="{00000000-0005-0000-0000-0000FE090000}"/>
    <cellStyle name="백분율 28 21" xfId="974" xr:uid="{00000000-0005-0000-0000-0000FF090000}"/>
    <cellStyle name="백분율 28 22" xfId="975" xr:uid="{00000000-0005-0000-0000-0000000A0000}"/>
    <cellStyle name="백분율 28 23" xfId="976" xr:uid="{00000000-0005-0000-0000-0000010A0000}"/>
    <cellStyle name="백분율 28 24" xfId="977" xr:uid="{00000000-0005-0000-0000-0000020A0000}"/>
    <cellStyle name="백분율 28 25" xfId="978" xr:uid="{00000000-0005-0000-0000-0000030A0000}"/>
    <cellStyle name="백분율 28 26" xfId="979" xr:uid="{00000000-0005-0000-0000-0000040A0000}"/>
    <cellStyle name="백분율 28 27" xfId="980" xr:uid="{00000000-0005-0000-0000-0000050A0000}"/>
    <cellStyle name="백분율 28 3" xfId="981" xr:uid="{00000000-0005-0000-0000-0000060A0000}"/>
    <cellStyle name="백분율 28 4" xfId="982" xr:uid="{00000000-0005-0000-0000-0000070A0000}"/>
    <cellStyle name="백분율 28 5" xfId="983" xr:uid="{00000000-0005-0000-0000-0000080A0000}"/>
    <cellStyle name="백분율 28 6" xfId="984" xr:uid="{00000000-0005-0000-0000-0000090A0000}"/>
    <cellStyle name="백분율 28 7" xfId="985" xr:uid="{00000000-0005-0000-0000-00000A0A0000}"/>
    <cellStyle name="백분율 28 8" xfId="986" xr:uid="{00000000-0005-0000-0000-00000B0A0000}"/>
    <cellStyle name="백분율 28 9" xfId="987" xr:uid="{00000000-0005-0000-0000-00000C0A0000}"/>
    <cellStyle name="백분율 29 10" xfId="988" xr:uid="{00000000-0005-0000-0000-00000D0A0000}"/>
    <cellStyle name="백분율 29 11" xfId="989" xr:uid="{00000000-0005-0000-0000-00000E0A0000}"/>
    <cellStyle name="백분율 29 12" xfId="990" xr:uid="{00000000-0005-0000-0000-00000F0A0000}"/>
    <cellStyle name="백분율 29 13" xfId="991" xr:uid="{00000000-0005-0000-0000-0000100A0000}"/>
    <cellStyle name="백분율 29 14" xfId="992" xr:uid="{00000000-0005-0000-0000-0000110A0000}"/>
    <cellStyle name="백분율 29 15" xfId="993" xr:uid="{00000000-0005-0000-0000-0000120A0000}"/>
    <cellStyle name="백분율 29 16" xfId="994" xr:uid="{00000000-0005-0000-0000-0000130A0000}"/>
    <cellStyle name="백분율 29 17" xfId="995" xr:uid="{00000000-0005-0000-0000-0000140A0000}"/>
    <cellStyle name="백분율 29 18" xfId="996" xr:uid="{00000000-0005-0000-0000-0000150A0000}"/>
    <cellStyle name="백분율 29 19" xfId="997" xr:uid="{00000000-0005-0000-0000-0000160A0000}"/>
    <cellStyle name="백분율 29 2" xfId="998" xr:uid="{00000000-0005-0000-0000-0000170A0000}"/>
    <cellStyle name="백분율 29 20" xfId="999" xr:uid="{00000000-0005-0000-0000-0000180A0000}"/>
    <cellStyle name="백분율 29 21" xfId="1000" xr:uid="{00000000-0005-0000-0000-0000190A0000}"/>
    <cellStyle name="백분율 29 22" xfId="1001" xr:uid="{00000000-0005-0000-0000-00001A0A0000}"/>
    <cellStyle name="백분율 29 23" xfId="1002" xr:uid="{00000000-0005-0000-0000-00001B0A0000}"/>
    <cellStyle name="백분율 29 24" xfId="1003" xr:uid="{00000000-0005-0000-0000-00001C0A0000}"/>
    <cellStyle name="백분율 29 25" xfId="1004" xr:uid="{00000000-0005-0000-0000-00001D0A0000}"/>
    <cellStyle name="백분율 29 26" xfId="1005" xr:uid="{00000000-0005-0000-0000-00001E0A0000}"/>
    <cellStyle name="백분율 29 27" xfId="1006" xr:uid="{00000000-0005-0000-0000-00001F0A0000}"/>
    <cellStyle name="백분율 29 3" xfId="1007" xr:uid="{00000000-0005-0000-0000-0000200A0000}"/>
    <cellStyle name="백분율 29 4" xfId="1008" xr:uid="{00000000-0005-0000-0000-0000210A0000}"/>
    <cellStyle name="백분율 29 5" xfId="1009" xr:uid="{00000000-0005-0000-0000-0000220A0000}"/>
    <cellStyle name="백분율 29 6" xfId="1010" xr:uid="{00000000-0005-0000-0000-0000230A0000}"/>
    <cellStyle name="백분율 29 7" xfId="1011" xr:uid="{00000000-0005-0000-0000-0000240A0000}"/>
    <cellStyle name="백분율 29 8" xfId="1012" xr:uid="{00000000-0005-0000-0000-0000250A0000}"/>
    <cellStyle name="백분율 29 9" xfId="1013" xr:uid="{00000000-0005-0000-0000-0000260A0000}"/>
    <cellStyle name="백분율 3" xfId="1014" xr:uid="{00000000-0005-0000-0000-0000270A0000}"/>
    <cellStyle name="백분율 3 10" xfId="1015" xr:uid="{00000000-0005-0000-0000-0000280A0000}"/>
    <cellStyle name="백분율 3 10 2" xfId="1016" xr:uid="{00000000-0005-0000-0000-0000290A0000}"/>
    <cellStyle name="백분율 3 11" xfId="1017" xr:uid="{00000000-0005-0000-0000-00002A0A0000}"/>
    <cellStyle name="백분율 3 11 2" xfId="1018" xr:uid="{00000000-0005-0000-0000-00002B0A0000}"/>
    <cellStyle name="백분율 3 12" xfId="1019" xr:uid="{00000000-0005-0000-0000-00002C0A0000}"/>
    <cellStyle name="백분율 3 12 2" xfId="1020" xr:uid="{00000000-0005-0000-0000-00002D0A0000}"/>
    <cellStyle name="백분율 3 13" xfId="1021" xr:uid="{00000000-0005-0000-0000-00002E0A0000}"/>
    <cellStyle name="백분율 3 13 2" xfId="1022" xr:uid="{00000000-0005-0000-0000-00002F0A0000}"/>
    <cellStyle name="백분율 3 14" xfId="1023" xr:uid="{00000000-0005-0000-0000-0000300A0000}"/>
    <cellStyle name="백분율 3 14 2" xfId="1024" xr:uid="{00000000-0005-0000-0000-0000310A0000}"/>
    <cellStyle name="백분율 3 15" xfId="1025" xr:uid="{00000000-0005-0000-0000-0000320A0000}"/>
    <cellStyle name="백분율 3 15 2" xfId="1026" xr:uid="{00000000-0005-0000-0000-0000330A0000}"/>
    <cellStyle name="백분율 3 16" xfId="1027" xr:uid="{00000000-0005-0000-0000-0000340A0000}"/>
    <cellStyle name="백분율 3 16 2" xfId="1028" xr:uid="{00000000-0005-0000-0000-0000350A0000}"/>
    <cellStyle name="백분율 3 17" xfId="1029" xr:uid="{00000000-0005-0000-0000-0000360A0000}"/>
    <cellStyle name="백분율 3 17 2" xfId="1030" xr:uid="{00000000-0005-0000-0000-0000370A0000}"/>
    <cellStyle name="백분율 3 18" xfId="1031" xr:uid="{00000000-0005-0000-0000-0000380A0000}"/>
    <cellStyle name="백분율 3 18 2" xfId="1032" xr:uid="{00000000-0005-0000-0000-0000390A0000}"/>
    <cellStyle name="백분율 3 19" xfId="1033" xr:uid="{00000000-0005-0000-0000-00003A0A0000}"/>
    <cellStyle name="백분율 3 19 2" xfId="1034" xr:uid="{00000000-0005-0000-0000-00003B0A0000}"/>
    <cellStyle name="백분율 3 2" xfId="1035" xr:uid="{00000000-0005-0000-0000-00003C0A0000}"/>
    <cellStyle name="백분율 3 2 10" xfId="1036" xr:uid="{00000000-0005-0000-0000-00003D0A0000}"/>
    <cellStyle name="백분율 3 2 10 2" xfId="1037" xr:uid="{00000000-0005-0000-0000-00003E0A0000}"/>
    <cellStyle name="백분율 3 2 11" xfId="1038" xr:uid="{00000000-0005-0000-0000-00003F0A0000}"/>
    <cellStyle name="백분율 3 2 11 2" xfId="1039" xr:uid="{00000000-0005-0000-0000-0000400A0000}"/>
    <cellStyle name="백분율 3 2 12" xfId="1040" xr:uid="{00000000-0005-0000-0000-0000410A0000}"/>
    <cellStyle name="백분율 3 2 12 2" xfId="1041" xr:uid="{00000000-0005-0000-0000-0000420A0000}"/>
    <cellStyle name="백분율 3 2 13" xfId="1042" xr:uid="{00000000-0005-0000-0000-0000430A0000}"/>
    <cellStyle name="백분율 3 2 13 2" xfId="1043" xr:uid="{00000000-0005-0000-0000-0000440A0000}"/>
    <cellStyle name="백분율 3 2 14" xfId="1044" xr:uid="{00000000-0005-0000-0000-0000450A0000}"/>
    <cellStyle name="백분율 3 2 14 2" xfId="1045" xr:uid="{00000000-0005-0000-0000-0000460A0000}"/>
    <cellStyle name="백분율 3 2 15" xfId="1046" xr:uid="{00000000-0005-0000-0000-0000470A0000}"/>
    <cellStyle name="백분율 3 2 15 2" xfId="1047" xr:uid="{00000000-0005-0000-0000-0000480A0000}"/>
    <cellStyle name="백분율 3 2 16" xfId="1048" xr:uid="{00000000-0005-0000-0000-0000490A0000}"/>
    <cellStyle name="백분율 3 2 16 2" xfId="1049" xr:uid="{00000000-0005-0000-0000-00004A0A0000}"/>
    <cellStyle name="백분율 3 2 17" xfId="1050" xr:uid="{00000000-0005-0000-0000-00004B0A0000}"/>
    <cellStyle name="백분율 3 2 17 2" xfId="1051" xr:uid="{00000000-0005-0000-0000-00004C0A0000}"/>
    <cellStyle name="백분율 3 2 18" xfId="1052" xr:uid="{00000000-0005-0000-0000-00004D0A0000}"/>
    <cellStyle name="백분율 3 2 18 2" xfId="1053" xr:uid="{00000000-0005-0000-0000-00004E0A0000}"/>
    <cellStyle name="백분율 3 2 19" xfId="1054" xr:uid="{00000000-0005-0000-0000-00004F0A0000}"/>
    <cellStyle name="백분율 3 2 2" xfId="1055" xr:uid="{00000000-0005-0000-0000-0000500A0000}"/>
    <cellStyle name="백분율 3 2 2 2" xfId="1056" xr:uid="{00000000-0005-0000-0000-0000510A0000}"/>
    <cellStyle name="백분율 3 2 3" xfId="1057" xr:uid="{00000000-0005-0000-0000-0000520A0000}"/>
    <cellStyle name="백분율 3 2 3 2" xfId="1058" xr:uid="{00000000-0005-0000-0000-0000530A0000}"/>
    <cellStyle name="백분율 3 2 4" xfId="1059" xr:uid="{00000000-0005-0000-0000-0000540A0000}"/>
    <cellStyle name="백분율 3 2 4 2" xfId="1060" xr:uid="{00000000-0005-0000-0000-0000550A0000}"/>
    <cellStyle name="백분율 3 2 5" xfId="1061" xr:uid="{00000000-0005-0000-0000-0000560A0000}"/>
    <cellStyle name="백분율 3 2 5 2" xfId="1062" xr:uid="{00000000-0005-0000-0000-0000570A0000}"/>
    <cellStyle name="백분율 3 2 6" xfId="1063" xr:uid="{00000000-0005-0000-0000-0000580A0000}"/>
    <cellStyle name="백분율 3 2 6 2" xfId="1064" xr:uid="{00000000-0005-0000-0000-0000590A0000}"/>
    <cellStyle name="백분율 3 2 7" xfId="1065" xr:uid="{00000000-0005-0000-0000-00005A0A0000}"/>
    <cellStyle name="백분율 3 2 7 2" xfId="1066" xr:uid="{00000000-0005-0000-0000-00005B0A0000}"/>
    <cellStyle name="백분율 3 2 8" xfId="1067" xr:uid="{00000000-0005-0000-0000-00005C0A0000}"/>
    <cellStyle name="백분율 3 2 8 2" xfId="1068" xr:uid="{00000000-0005-0000-0000-00005D0A0000}"/>
    <cellStyle name="백분율 3 2 9" xfId="1069" xr:uid="{00000000-0005-0000-0000-00005E0A0000}"/>
    <cellStyle name="백분율 3 2 9 2" xfId="1070" xr:uid="{00000000-0005-0000-0000-00005F0A0000}"/>
    <cellStyle name="백분율 3 20" xfId="1071" xr:uid="{00000000-0005-0000-0000-0000600A0000}"/>
    <cellStyle name="백분율 3 20 2" xfId="1072" xr:uid="{00000000-0005-0000-0000-0000610A0000}"/>
    <cellStyle name="백분율 3 21" xfId="1073" xr:uid="{00000000-0005-0000-0000-0000620A0000}"/>
    <cellStyle name="백분율 3 21 2" xfId="1074" xr:uid="{00000000-0005-0000-0000-0000630A0000}"/>
    <cellStyle name="백분율 3 22" xfId="1075" xr:uid="{00000000-0005-0000-0000-0000640A0000}"/>
    <cellStyle name="백분율 3 23" xfId="1076" xr:uid="{00000000-0005-0000-0000-0000650A0000}"/>
    <cellStyle name="백분율 3 24" xfId="1077" xr:uid="{00000000-0005-0000-0000-0000660A0000}"/>
    <cellStyle name="백분율 3 25" xfId="1078" xr:uid="{00000000-0005-0000-0000-0000670A0000}"/>
    <cellStyle name="백분율 3 3" xfId="1079" xr:uid="{00000000-0005-0000-0000-0000680A0000}"/>
    <cellStyle name="백분율 3 3 2" xfId="1080" xr:uid="{00000000-0005-0000-0000-0000690A0000}"/>
    <cellStyle name="백분율 3 4" xfId="1081" xr:uid="{00000000-0005-0000-0000-00006A0A0000}"/>
    <cellStyle name="백분율 3 4 2" xfId="1082" xr:uid="{00000000-0005-0000-0000-00006B0A0000}"/>
    <cellStyle name="백분율 3 5" xfId="1083" xr:uid="{00000000-0005-0000-0000-00006C0A0000}"/>
    <cellStyle name="백분율 3 5 2" xfId="1084" xr:uid="{00000000-0005-0000-0000-00006D0A0000}"/>
    <cellStyle name="백분율 3 6" xfId="1085" xr:uid="{00000000-0005-0000-0000-00006E0A0000}"/>
    <cellStyle name="백분율 3 6 2" xfId="1086" xr:uid="{00000000-0005-0000-0000-00006F0A0000}"/>
    <cellStyle name="백분율 3 7" xfId="1087" xr:uid="{00000000-0005-0000-0000-0000700A0000}"/>
    <cellStyle name="백분율 3 7 2" xfId="1088" xr:uid="{00000000-0005-0000-0000-0000710A0000}"/>
    <cellStyle name="백분율 3 8" xfId="1089" xr:uid="{00000000-0005-0000-0000-0000720A0000}"/>
    <cellStyle name="백분율 3 8 2" xfId="1090" xr:uid="{00000000-0005-0000-0000-0000730A0000}"/>
    <cellStyle name="백분율 3 9" xfId="1091" xr:uid="{00000000-0005-0000-0000-0000740A0000}"/>
    <cellStyle name="백분율 3 9 2" xfId="1092" xr:uid="{00000000-0005-0000-0000-0000750A0000}"/>
    <cellStyle name="백분율 30 10" xfId="1093" xr:uid="{00000000-0005-0000-0000-0000760A0000}"/>
    <cellStyle name="백분율 30 11" xfId="1094" xr:uid="{00000000-0005-0000-0000-0000770A0000}"/>
    <cellStyle name="백분율 30 12" xfId="1095" xr:uid="{00000000-0005-0000-0000-0000780A0000}"/>
    <cellStyle name="백분율 30 13" xfId="1096" xr:uid="{00000000-0005-0000-0000-0000790A0000}"/>
    <cellStyle name="백분율 30 14" xfId="1097" xr:uid="{00000000-0005-0000-0000-00007A0A0000}"/>
    <cellStyle name="백분율 30 15" xfId="1098" xr:uid="{00000000-0005-0000-0000-00007B0A0000}"/>
    <cellStyle name="백분율 30 16" xfId="1099" xr:uid="{00000000-0005-0000-0000-00007C0A0000}"/>
    <cellStyle name="백분율 30 17" xfId="1100" xr:uid="{00000000-0005-0000-0000-00007D0A0000}"/>
    <cellStyle name="백분율 30 18" xfId="1101" xr:uid="{00000000-0005-0000-0000-00007E0A0000}"/>
    <cellStyle name="백분율 30 19" xfId="1102" xr:uid="{00000000-0005-0000-0000-00007F0A0000}"/>
    <cellStyle name="백분율 30 2" xfId="1103" xr:uid="{00000000-0005-0000-0000-0000800A0000}"/>
    <cellStyle name="백분율 30 20" xfId="1104" xr:uid="{00000000-0005-0000-0000-0000810A0000}"/>
    <cellStyle name="백분율 30 21" xfId="1105" xr:uid="{00000000-0005-0000-0000-0000820A0000}"/>
    <cellStyle name="백분율 30 22" xfId="1106" xr:uid="{00000000-0005-0000-0000-0000830A0000}"/>
    <cellStyle name="백분율 30 23" xfId="1107" xr:uid="{00000000-0005-0000-0000-0000840A0000}"/>
    <cellStyle name="백분율 30 24" xfId="1108" xr:uid="{00000000-0005-0000-0000-0000850A0000}"/>
    <cellStyle name="백분율 30 25" xfId="1109" xr:uid="{00000000-0005-0000-0000-0000860A0000}"/>
    <cellStyle name="백분율 30 26" xfId="1110" xr:uid="{00000000-0005-0000-0000-0000870A0000}"/>
    <cellStyle name="백분율 30 27" xfId="1111" xr:uid="{00000000-0005-0000-0000-0000880A0000}"/>
    <cellStyle name="백분율 30 28" xfId="1112" xr:uid="{00000000-0005-0000-0000-0000890A0000}"/>
    <cellStyle name="백분율 30 3" xfId="1113" xr:uid="{00000000-0005-0000-0000-00008A0A0000}"/>
    <cellStyle name="백분율 30 4" xfId="1114" xr:uid="{00000000-0005-0000-0000-00008B0A0000}"/>
    <cellStyle name="백분율 30 5" xfId="1115" xr:uid="{00000000-0005-0000-0000-00008C0A0000}"/>
    <cellStyle name="백분율 30 6" xfId="1116" xr:uid="{00000000-0005-0000-0000-00008D0A0000}"/>
    <cellStyle name="백분율 30 7" xfId="1117" xr:uid="{00000000-0005-0000-0000-00008E0A0000}"/>
    <cellStyle name="백분율 30 8" xfId="1118" xr:uid="{00000000-0005-0000-0000-00008F0A0000}"/>
    <cellStyle name="백분율 30 9" xfId="1119" xr:uid="{00000000-0005-0000-0000-0000900A0000}"/>
    <cellStyle name="백분율 4" xfId="5077" xr:uid="{00000000-0005-0000-0000-0000910A0000}"/>
    <cellStyle name="백분율 4 10" xfId="1120" xr:uid="{00000000-0005-0000-0000-0000920A0000}"/>
    <cellStyle name="백분율 4 11" xfId="1121" xr:uid="{00000000-0005-0000-0000-0000930A0000}"/>
    <cellStyle name="백분율 4 12" xfId="1122" xr:uid="{00000000-0005-0000-0000-0000940A0000}"/>
    <cellStyle name="백분율 4 13" xfId="1123" xr:uid="{00000000-0005-0000-0000-0000950A0000}"/>
    <cellStyle name="백분율 4 14" xfId="1124" xr:uid="{00000000-0005-0000-0000-0000960A0000}"/>
    <cellStyle name="백분율 4 15" xfId="1125" xr:uid="{00000000-0005-0000-0000-0000970A0000}"/>
    <cellStyle name="백분율 4 16" xfId="1126" xr:uid="{00000000-0005-0000-0000-0000980A0000}"/>
    <cellStyle name="백분율 4 16 10" xfId="1127" xr:uid="{00000000-0005-0000-0000-0000990A0000}"/>
    <cellStyle name="백분율 4 16 10 2" xfId="1128" xr:uid="{00000000-0005-0000-0000-00009A0A0000}"/>
    <cellStyle name="백분율 4 16 11" xfId="1129" xr:uid="{00000000-0005-0000-0000-00009B0A0000}"/>
    <cellStyle name="백분율 4 16 11 2" xfId="1130" xr:uid="{00000000-0005-0000-0000-00009C0A0000}"/>
    <cellStyle name="백분율 4 16 12" xfId="1131" xr:uid="{00000000-0005-0000-0000-00009D0A0000}"/>
    <cellStyle name="백분율 4 16 12 2" xfId="1132" xr:uid="{00000000-0005-0000-0000-00009E0A0000}"/>
    <cellStyle name="백분율 4 16 13" xfId="1133" xr:uid="{00000000-0005-0000-0000-00009F0A0000}"/>
    <cellStyle name="백분율 4 16 13 2" xfId="1134" xr:uid="{00000000-0005-0000-0000-0000A00A0000}"/>
    <cellStyle name="백분율 4 16 14" xfId="1135" xr:uid="{00000000-0005-0000-0000-0000A10A0000}"/>
    <cellStyle name="백분율 4 16 14 2" xfId="1136" xr:uid="{00000000-0005-0000-0000-0000A20A0000}"/>
    <cellStyle name="백분율 4 16 15" xfId="1137" xr:uid="{00000000-0005-0000-0000-0000A30A0000}"/>
    <cellStyle name="백분율 4 16 15 2" xfId="1138" xr:uid="{00000000-0005-0000-0000-0000A40A0000}"/>
    <cellStyle name="백분율 4 16 16" xfId="1139" xr:uid="{00000000-0005-0000-0000-0000A50A0000}"/>
    <cellStyle name="백분율 4 16 16 2" xfId="1140" xr:uid="{00000000-0005-0000-0000-0000A60A0000}"/>
    <cellStyle name="백분율 4 16 17" xfId="1141" xr:uid="{00000000-0005-0000-0000-0000A70A0000}"/>
    <cellStyle name="백분율 4 16 17 2" xfId="1142" xr:uid="{00000000-0005-0000-0000-0000A80A0000}"/>
    <cellStyle name="백분율 4 16 18" xfId="1143" xr:uid="{00000000-0005-0000-0000-0000A90A0000}"/>
    <cellStyle name="백분율 4 16 18 2" xfId="1144" xr:uid="{00000000-0005-0000-0000-0000AA0A0000}"/>
    <cellStyle name="백분율 4 16 19" xfId="1145" xr:uid="{00000000-0005-0000-0000-0000AB0A0000}"/>
    <cellStyle name="백분율 4 16 2" xfId="1146" xr:uid="{00000000-0005-0000-0000-0000AC0A0000}"/>
    <cellStyle name="백분율 4 16 2 2" xfId="1147" xr:uid="{00000000-0005-0000-0000-0000AD0A0000}"/>
    <cellStyle name="백분율 4 16 3" xfId="1148" xr:uid="{00000000-0005-0000-0000-0000AE0A0000}"/>
    <cellStyle name="백분율 4 16 3 2" xfId="1149" xr:uid="{00000000-0005-0000-0000-0000AF0A0000}"/>
    <cellStyle name="백분율 4 16 4" xfId="1150" xr:uid="{00000000-0005-0000-0000-0000B00A0000}"/>
    <cellStyle name="백분율 4 16 4 2" xfId="1151" xr:uid="{00000000-0005-0000-0000-0000B10A0000}"/>
    <cellStyle name="백분율 4 16 5" xfId="1152" xr:uid="{00000000-0005-0000-0000-0000B20A0000}"/>
    <cellStyle name="백분율 4 16 5 2" xfId="1153" xr:uid="{00000000-0005-0000-0000-0000B30A0000}"/>
    <cellStyle name="백분율 4 16 6" xfId="1154" xr:uid="{00000000-0005-0000-0000-0000B40A0000}"/>
    <cellStyle name="백분율 4 16 6 2" xfId="1155" xr:uid="{00000000-0005-0000-0000-0000B50A0000}"/>
    <cellStyle name="백분율 4 16 7" xfId="1156" xr:uid="{00000000-0005-0000-0000-0000B60A0000}"/>
    <cellStyle name="백분율 4 16 7 2" xfId="1157" xr:uid="{00000000-0005-0000-0000-0000B70A0000}"/>
    <cellStyle name="백분율 4 16 8" xfId="1158" xr:uid="{00000000-0005-0000-0000-0000B80A0000}"/>
    <cellStyle name="백분율 4 16 8 2" xfId="1159" xr:uid="{00000000-0005-0000-0000-0000B90A0000}"/>
    <cellStyle name="백분율 4 16 9" xfId="1160" xr:uid="{00000000-0005-0000-0000-0000BA0A0000}"/>
    <cellStyle name="백분율 4 16 9 2" xfId="1161" xr:uid="{00000000-0005-0000-0000-0000BB0A0000}"/>
    <cellStyle name="백분율 4 17" xfId="1162" xr:uid="{00000000-0005-0000-0000-0000BC0A0000}"/>
    <cellStyle name="백분율 4 17 2" xfId="1163" xr:uid="{00000000-0005-0000-0000-0000BD0A0000}"/>
    <cellStyle name="백분율 4 18" xfId="1164" xr:uid="{00000000-0005-0000-0000-0000BE0A0000}"/>
    <cellStyle name="백분율 4 18 2" xfId="1165" xr:uid="{00000000-0005-0000-0000-0000BF0A0000}"/>
    <cellStyle name="백분율 4 19" xfId="1166" xr:uid="{00000000-0005-0000-0000-0000C00A0000}"/>
    <cellStyle name="백분율 4 19 2" xfId="1167" xr:uid="{00000000-0005-0000-0000-0000C10A0000}"/>
    <cellStyle name="백분율 4 2" xfId="1168" xr:uid="{00000000-0005-0000-0000-0000C20A0000}"/>
    <cellStyle name="백분율 4 20" xfId="1169" xr:uid="{00000000-0005-0000-0000-0000C30A0000}"/>
    <cellStyle name="백분율 4 20 2" xfId="1170" xr:uid="{00000000-0005-0000-0000-0000C40A0000}"/>
    <cellStyle name="백분율 4 21" xfId="1171" xr:uid="{00000000-0005-0000-0000-0000C50A0000}"/>
    <cellStyle name="백분율 4 21 2" xfId="1172" xr:uid="{00000000-0005-0000-0000-0000C60A0000}"/>
    <cellStyle name="백분율 4 22" xfId="1173" xr:uid="{00000000-0005-0000-0000-0000C70A0000}"/>
    <cellStyle name="백분율 4 22 2" xfId="1174" xr:uid="{00000000-0005-0000-0000-0000C80A0000}"/>
    <cellStyle name="백분율 4 23" xfId="1175" xr:uid="{00000000-0005-0000-0000-0000C90A0000}"/>
    <cellStyle name="백분율 4 23 2" xfId="1176" xr:uid="{00000000-0005-0000-0000-0000CA0A0000}"/>
    <cellStyle name="백분율 4 24" xfId="1177" xr:uid="{00000000-0005-0000-0000-0000CB0A0000}"/>
    <cellStyle name="백분율 4 24 2" xfId="1178" xr:uid="{00000000-0005-0000-0000-0000CC0A0000}"/>
    <cellStyle name="백분율 4 25" xfId="1179" xr:uid="{00000000-0005-0000-0000-0000CD0A0000}"/>
    <cellStyle name="백분율 4 25 2" xfId="1180" xr:uid="{00000000-0005-0000-0000-0000CE0A0000}"/>
    <cellStyle name="백분율 4 26" xfId="1181" xr:uid="{00000000-0005-0000-0000-0000CF0A0000}"/>
    <cellStyle name="백분율 4 26 2" xfId="1182" xr:uid="{00000000-0005-0000-0000-0000D00A0000}"/>
    <cellStyle name="백분율 4 27" xfId="1183" xr:uid="{00000000-0005-0000-0000-0000D10A0000}"/>
    <cellStyle name="백분율 4 27 2" xfId="1184" xr:uid="{00000000-0005-0000-0000-0000D20A0000}"/>
    <cellStyle name="백분율 4 28" xfId="1185" xr:uid="{00000000-0005-0000-0000-0000D30A0000}"/>
    <cellStyle name="백분율 4 28 2" xfId="1186" xr:uid="{00000000-0005-0000-0000-0000D40A0000}"/>
    <cellStyle name="백분율 4 29" xfId="1187" xr:uid="{00000000-0005-0000-0000-0000D50A0000}"/>
    <cellStyle name="백분율 4 29 2" xfId="1188" xr:uid="{00000000-0005-0000-0000-0000D60A0000}"/>
    <cellStyle name="백분율 4 3" xfId="1189" xr:uid="{00000000-0005-0000-0000-0000D70A0000}"/>
    <cellStyle name="백분율 4 30" xfId="1190" xr:uid="{00000000-0005-0000-0000-0000D80A0000}"/>
    <cellStyle name="백분율 4 30 2" xfId="1191" xr:uid="{00000000-0005-0000-0000-0000D90A0000}"/>
    <cellStyle name="백분율 4 31" xfId="1192" xr:uid="{00000000-0005-0000-0000-0000DA0A0000}"/>
    <cellStyle name="백분율 4 31 2" xfId="1193" xr:uid="{00000000-0005-0000-0000-0000DB0A0000}"/>
    <cellStyle name="백분율 4 32" xfId="1194" xr:uid="{00000000-0005-0000-0000-0000DC0A0000}"/>
    <cellStyle name="백분율 4 32 2" xfId="1195" xr:uid="{00000000-0005-0000-0000-0000DD0A0000}"/>
    <cellStyle name="백분율 4 33" xfId="1196" xr:uid="{00000000-0005-0000-0000-0000DE0A0000}"/>
    <cellStyle name="백분율 4 33 2" xfId="1197" xr:uid="{00000000-0005-0000-0000-0000DF0A0000}"/>
    <cellStyle name="백분율 4 34" xfId="1198" xr:uid="{00000000-0005-0000-0000-0000E00A0000}"/>
    <cellStyle name="백분율 4 34 2" xfId="1199" xr:uid="{00000000-0005-0000-0000-0000E10A0000}"/>
    <cellStyle name="백분율 4 35" xfId="1200" xr:uid="{00000000-0005-0000-0000-0000E20A0000}"/>
    <cellStyle name="백분율 4 35 2" xfId="1201" xr:uid="{00000000-0005-0000-0000-0000E30A0000}"/>
    <cellStyle name="백분율 4 36" xfId="1202" xr:uid="{00000000-0005-0000-0000-0000E40A0000}"/>
    <cellStyle name="백분율 4 37" xfId="1203" xr:uid="{00000000-0005-0000-0000-0000E50A0000}"/>
    <cellStyle name="백분율 4 38" xfId="1204" xr:uid="{00000000-0005-0000-0000-0000E60A0000}"/>
    <cellStyle name="백분율 4 39" xfId="1205" xr:uid="{00000000-0005-0000-0000-0000E70A0000}"/>
    <cellStyle name="백분율 4 4" xfId="1206" xr:uid="{00000000-0005-0000-0000-0000E80A0000}"/>
    <cellStyle name="백분율 4 5" xfId="1207" xr:uid="{00000000-0005-0000-0000-0000E90A0000}"/>
    <cellStyle name="백분율 4 6" xfId="1208" xr:uid="{00000000-0005-0000-0000-0000EA0A0000}"/>
    <cellStyle name="백분율 4 7" xfId="1209" xr:uid="{00000000-0005-0000-0000-0000EB0A0000}"/>
    <cellStyle name="백분율 4 8" xfId="1210" xr:uid="{00000000-0005-0000-0000-0000EC0A0000}"/>
    <cellStyle name="백분율 4 9" xfId="1211" xr:uid="{00000000-0005-0000-0000-0000ED0A0000}"/>
    <cellStyle name="백분율 42 10" xfId="1212" xr:uid="{00000000-0005-0000-0000-0000EE0A0000}"/>
    <cellStyle name="백분율 42 11" xfId="1213" xr:uid="{00000000-0005-0000-0000-0000EF0A0000}"/>
    <cellStyle name="백분율 42 12" xfId="1214" xr:uid="{00000000-0005-0000-0000-0000F00A0000}"/>
    <cellStyle name="백분율 42 13" xfId="1215" xr:uid="{00000000-0005-0000-0000-0000F10A0000}"/>
    <cellStyle name="백분율 42 14" xfId="1216" xr:uid="{00000000-0005-0000-0000-0000F20A0000}"/>
    <cellStyle name="백분율 42 15" xfId="1217" xr:uid="{00000000-0005-0000-0000-0000F30A0000}"/>
    <cellStyle name="백분율 42 16" xfId="1218" xr:uid="{00000000-0005-0000-0000-0000F40A0000}"/>
    <cellStyle name="백분율 42 17" xfId="1219" xr:uid="{00000000-0005-0000-0000-0000F50A0000}"/>
    <cellStyle name="백분율 42 18" xfId="1220" xr:uid="{00000000-0005-0000-0000-0000F60A0000}"/>
    <cellStyle name="백분율 42 19" xfId="1221" xr:uid="{00000000-0005-0000-0000-0000F70A0000}"/>
    <cellStyle name="백분율 42 2" xfId="1222" xr:uid="{00000000-0005-0000-0000-0000F80A0000}"/>
    <cellStyle name="백분율 42 20" xfId="1223" xr:uid="{00000000-0005-0000-0000-0000F90A0000}"/>
    <cellStyle name="백분율 42 21" xfId="1224" xr:uid="{00000000-0005-0000-0000-0000FA0A0000}"/>
    <cellStyle name="백분율 42 22" xfId="1225" xr:uid="{00000000-0005-0000-0000-0000FB0A0000}"/>
    <cellStyle name="백분율 42 23" xfId="1226" xr:uid="{00000000-0005-0000-0000-0000FC0A0000}"/>
    <cellStyle name="백분율 42 24" xfId="1227" xr:uid="{00000000-0005-0000-0000-0000FD0A0000}"/>
    <cellStyle name="백분율 42 25" xfId="1228" xr:uid="{00000000-0005-0000-0000-0000FE0A0000}"/>
    <cellStyle name="백분율 42 26" xfId="1229" xr:uid="{00000000-0005-0000-0000-0000FF0A0000}"/>
    <cellStyle name="백분율 42 27" xfId="1230" xr:uid="{00000000-0005-0000-0000-0000000B0000}"/>
    <cellStyle name="백분율 42 28" xfId="1231" xr:uid="{00000000-0005-0000-0000-0000010B0000}"/>
    <cellStyle name="백분율 42 29" xfId="1232" xr:uid="{00000000-0005-0000-0000-0000020B0000}"/>
    <cellStyle name="백분율 42 3" xfId="1233" xr:uid="{00000000-0005-0000-0000-0000030B0000}"/>
    <cellStyle name="백분율 42 30" xfId="1234" xr:uid="{00000000-0005-0000-0000-0000040B0000}"/>
    <cellStyle name="백분율 42 31" xfId="1235" xr:uid="{00000000-0005-0000-0000-0000050B0000}"/>
    <cellStyle name="백분율 42 32" xfId="1236" xr:uid="{00000000-0005-0000-0000-0000060B0000}"/>
    <cellStyle name="백분율 42 33" xfId="1237" xr:uid="{00000000-0005-0000-0000-0000070B0000}"/>
    <cellStyle name="백분율 42 34" xfId="1238" xr:uid="{00000000-0005-0000-0000-0000080B0000}"/>
    <cellStyle name="백분율 42 35" xfId="1239" xr:uid="{00000000-0005-0000-0000-0000090B0000}"/>
    <cellStyle name="백분율 42 36" xfId="1240" xr:uid="{00000000-0005-0000-0000-00000A0B0000}"/>
    <cellStyle name="백분율 42 37" xfId="1241" xr:uid="{00000000-0005-0000-0000-00000B0B0000}"/>
    <cellStyle name="백분율 42 38" xfId="1242" xr:uid="{00000000-0005-0000-0000-00000C0B0000}"/>
    <cellStyle name="백분율 42 39" xfId="1243" xr:uid="{00000000-0005-0000-0000-00000D0B0000}"/>
    <cellStyle name="백분율 42 4" xfId="1244" xr:uid="{00000000-0005-0000-0000-00000E0B0000}"/>
    <cellStyle name="백분율 42 40" xfId="1245" xr:uid="{00000000-0005-0000-0000-00000F0B0000}"/>
    <cellStyle name="백분율 42 41" xfId="1246" xr:uid="{00000000-0005-0000-0000-0000100B0000}"/>
    <cellStyle name="백분율 42 42" xfId="1247" xr:uid="{00000000-0005-0000-0000-0000110B0000}"/>
    <cellStyle name="백분율 42 43" xfId="1248" xr:uid="{00000000-0005-0000-0000-0000120B0000}"/>
    <cellStyle name="백분율 42 44" xfId="1249" xr:uid="{00000000-0005-0000-0000-0000130B0000}"/>
    <cellStyle name="백분율 42 45" xfId="1250" xr:uid="{00000000-0005-0000-0000-0000140B0000}"/>
    <cellStyle name="백분율 42 46" xfId="1251" xr:uid="{00000000-0005-0000-0000-0000150B0000}"/>
    <cellStyle name="백분율 42 47" xfId="1252" xr:uid="{00000000-0005-0000-0000-0000160B0000}"/>
    <cellStyle name="백분율 42 48" xfId="1253" xr:uid="{00000000-0005-0000-0000-0000170B0000}"/>
    <cellStyle name="백분율 42 5" xfId="1254" xr:uid="{00000000-0005-0000-0000-0000180B0000}"/>
    <cellStyle name="백분율 42 6" xfId="1255" xr:uid="{00000000-0005-0000-0000-0000190B0000}"/>
    <cellStyle name="백분율 42 7" xfId="1256" xr:uid="{00000000-0005-0000-0000-00001A0B0000}"/>
    <cellStyle name="백분율 42 8" xfId="1257" xr:uid="{00000000-0005-0000-0000-00001B0B0000}"/>
    <cellStyle name="백분율 42 9" xfId="1258" xr:uid="{00000000-0005-0000-0000-00001C0B0000}"/>
    <cellStyle name="백분율 45 10" xfId="1259" xr:uid="{00000000-0005-0000-0000-00001D0B0000}"/>
    <cellStyle name="백분율 45 11" xfId="1260" xr:uid="{00000000-0005-0000-0000-00001E0B0000}"/>
    <cellStyle name="백분율 45 12" xfId="1261" xr:uid="{00000000-0005-0000-0000-00001F0B0000}"/>
    <cellStyle name="백분율 45 13" xfId="1262" xr:uid="{00000000-0005-0000-0000-0000200B0000}"/>
    <cellStyle name="백분율 45 14" xfId="1263" xr:uid="{00000000-0005-0000-0000-0000210B0000}"/>
    <cellStyle name="백분율 45 15" xfId="1264" xr:uid="{00000000-0005-0000-0000-0000220B0000}"/>
    <cellStyle name="백분율 45 16" xfId="1265" xr:uid="{00000000-0005-0000-0000-0000230B0000}"/>
    <cellStyle name="백분율 45 17" xfId="1266" xr:uid="{00000000-0005-0000-0000-0000240B0000}"/>
    <cellStyle name="백분율 45 18" xfId="1267" xr:uid="{00000000-0005-0000-0000-0000250B0000}"/>
    <cellStyle name="백분율 45 19" xfId="1268" xr:uid="{00000000-0005-0000-0000-0000260B0000}"/>
    <cellStyle name="백분율 45 2" xfId="1269" xr:uid="{00000000-0005-0000-0000-0000270B0000}"/>
    <cellStyle name="백분율 45 20" xfId="1270" xr:uid="{00000000-0005-0000-0000-0000280B0000}"/>
    <cellStyle name="백분율 45 21" xfId="1271" xr:uid="{00000000-0005-0000-0000-0000290B0000}"/>
    <cellStyle name="백분율 45 22" xfId="1272" xr:uid="{00000000-0005-0000-0000-00002A0B0000}"/>
    <cellStyle name="백분율 45 23" xfId="1273" xr:uid="{00000000-0005-0000-0000-00002B0B0000}"/>
    <cellStyle name="백분율 45 24" xfId="1274" xr:uid="{00000000-0005-0000-0000-00002C0B0000}"/>
    <cellStyle name="백분율 45 25" xfId="1275" xr:uid="{00000000-0005-0000-0000-00002D0B0000}"/>
    <cellStyle name="백분율 45 26" xfId="1276" xr:uid="{00000000-0005-0000-0000-00002E0B0000}"/>
    <cellStyle name="백분율 45 27" xfId="1277" xr:uid="{00000000-0005-0000-0000-00002F0B0000}"/>
    <cellStyle name="백분율 45 28" xfId="1278" xr:uid="{00000000-0005-0000-0000-0000300B0000}"/>
    <cellStyle name="백분율 45 29" xfId="1279" xr:uid="{00000000-0005-0000-0000-0000310B0000}"/>
    <cellStyle name="백분율 45 3" xfId="1280" xr:uid="{00000000-0005-0000-0000-0000320B0000}"/>
    <cellStyle name="백분율 45 30" xfId="1281" xr:uid="{00000000-0005-0000-0000-0000330B0000}"/>
    <cellStyle name="백분율 45 31" xfId="1282" xr:uid="{00000000-0005-0000-0000-0000340B0000}"/>
    <cellStyle name="백분율 45 32" xfId="1283" xr:uid="{00000000-0005-0000-0000-0000350B0000}"/>
    <cellStyle name="백분율 45 33" xfId="1284" xr:uid="{00000000-0005-0000-0000-0000360B0000}"/>
    <cellStyle name="백분율 45 34" xfId="1285" xr:uid="{00000000-0005-0000-0000-0000370B0000}"/>
    <cellStyle name="백분율 45 35" xfId="1286" xr:uid="{00000000-0005-0000-0000-0000380B0000}"/>
    <cellStyle name="백분율 45 36" xfId="1287" xr:uid="{00000000-0005-0000-0000-0000390B0000}"/>
    <cellStyle name="백분율 45 37" xfId="1288" xr:uid="{00000000-0005-0000-0000-00003A0B0000}"/>
    <cellStyle name="백분율 45 38" xfId="1289" xr:uid="{00000000-0005-0000-0000-00003B0B0000}"/>
    <cellStyle name="백분율 45 39" xfId="1290" xr:uid="{00000000-0005-0000-0000-00003C0B0000}"/>
    <cellStyle name="백분율 45 4" xfId="1291" xr:uid="{00000000-0005-0000-0000-00003D0B0000}"/>
    <cellStyle name="백분율 45 40" xfId="1292" xr:uid="{00000000-0005-0000-0000-00003E0B0000}"/>
    <cellStyle name="백분율 45 41" xfId="1293" xr:uid="{00000000-0005-0000-0000-00003F0B0000}"/>
    <cellStyle name="백분율 45 42" xfId="1294" xr:uid="{00000000-0005-0000-0000-0000400B0000}"/>
    <cellStyle name="백분율 45 43" xfId="1295" xr:uid="{00000000-0005-0000-0000-0000410B0000}"/>
    <cellStyle name="백분율 45 44" xfId="1296" xr:uid="{00000000-0005-0000-0000-0000420B0000}"/>
    <cellStyle name="백분율 45 45" xfId="1297" xr:uid="{00000000-0005-0000-0000-0000430B0000}"/>
    <cellStyle name="백분율 45 46" xfId="1298" xr:uid="{00000000-0005-0000-0000-0000440B0000}"/>
    <cellStyle name="백분율 45 47" xfId="1299" xr:uid="{00000000-0005-0000-0000-0000450B0000}"/>
    <cellStyle name="백분율 45 48" xfId="1300" xr:uid="{00000000-0005-0000-0000-0000460B0000}"/>
    <cellStyle name="백분율 45 5" xfId="1301" xr:uid="{00000000-0005-0000-0000-0000470B0000}"/>
    <cellStyle name="백분율 45 6" xfId="1302" xr:uid="{00000000-0005-0000-0000-0000480B0000}"/>
    <cellStyle name="백분율 45 7" xfId="1303" xr:uid="{00000000-0005-0000-0000-0000490B0000}"/>
    <cellStyle name="백분율 45 8" xfId="1304" xr:uid="{00000000-0005-0000-0000-00004A0B0000}"/>
    <cellStyle name="백분율 45 9" xfId="1305" xr:uid="{00000000-0005-0000-0000-00004B0B0000}"/>
    <cellStyle name="백분율 49 10" xfId="1306" xr:uid="{00000000-0005-0000-0000-00004C0B0000}"/>
    <cellStyle name="백분율 49 11" xfId="1307" xr:uid="{00000000-0005-0000-0000-00004D0B0000}"/>
    <cellStyle name="백분율 49 12" xfId="1308" xr:uid="{00000000-0005-0000-0000-00004E0B0000}"/>
    <cellStyle name="백분율 49 13" xfId="1309" xr:uid="{00000000-0005-0000-0000-00004F0B0000}"/>
    <cellStyle name="백분율 49 14" xfId="1310" xr:uid="{00000000-0005-0000-0000-0000500B0000}"/>
    <cellStyle name="백분율 49 15" xfId="1311" xr:uid="{00000000-0005-0000-0000-0000510B0000}"/>
    <cellStyle name="백분율 49 16" xfId="1312" xr:uid="{00000000-0005-0000-0000-0000520B0000}"/>
    <cellStyle name="백분율 49 17" xfId="1313" xr:uid="{00000000-0005-0000-0000-0000530B0000}"/>
    <cellStyle name="백분율 49 18" xfId="1314" xr:uid="{00000000-0005-0000-0000-0000540B0000}"/>
    <cellStyle name="백분율 49 19" xfId="1315" xr:uid="{00000000-0005-0000-0000-0000550B0000}"/>
    <cellStyle name="백분율 49 2" xfId="1316" xr:uid="{00000000-0005-0000-0000-0000560B0000}"/>
    <cellStyle name="백분율 49 20" xfId="1317" xr:uid="{00000000-0005-0000-0000-0000570B0000}"/>
    <cellStyle name="백분율 49 21" xfId="1318" xr:uid="{00000000-0005-0000-0000-0000580B0000}"/>
    <cellStyle name="백분율 49 22" xfId="1319" xr:uid="{00000000-0005-0000-0000-0000590B0000}"/>
    <cellStyle name="백분율 49 23" xfId="1320" xr:uid="{00000000-0005-0000-0000-00005A0B0000}"/>
    <cellStyle name="백분율 49 24" xfId="1321" xr:uid="{00000000-0005-0000-0000-00005B0B0000}"/>
    <cellStyle name="백분율 49 25" xfId="1322" xr:uid="{00000000-0005-0000-0000-00005C0B0000}"/>
    <cellStyle name="백분율 49 26" xfId="1323" xr:uid="{00000000-0005-0000-0000-00005D0B0000}"/>
    <cellStyle name="백분율 49 27" xfId="1324" xr:uid="{00000000-0005-0000-0000-00005E0B0000}"/>
    <cellStyle name="백분율 49 28" xfId="1325" xr:uid="{00000000-0005-0000-0000-00005F0B0000}"/>
    <cellStyle name="백분율 49 29" xfId="1326" xr:uid="{00000000-0005-0000-0000-0000600B0000}"/>
    <cellStyle name="백분율 49 3" xfId="1327" xr:uid="{00000000-0005-0000-0000-0000610B0000}"/>
    <cellStyle name="백분율 49 30" xfId="1328" xr:uid="{00000000-0005-0000-0000-0000620B0000}"/>
    <cellStyle name="백분율 49 31" xfId="1329" xr:uid="{00000000-0005-0000-0000-0000630B0000}"/>
    <cellStyle name="백분율 49 32" xfId="1330" xr:uid="{00000000-0005-0000-0000-0000640B0000}"/>
    <cellStyle name="백분율 49 33" xfId="1331" xr:uid="{00000000-0005-0000-0000-0000650B0000}"/>
    <cellStyle name="백분율 49 34" xfId="1332" xr:uid="{00000000-0005-0000-0000-0000660B0000}"/>
    <cellStyle name="백분율 49 35" xfId="1333" xr:uid="{00000000-0005-0000-0000-0000670B0000}"/>
    <cellStyle name="백분율 49 36" xfId="1334" xr:uid="{00000000-0005-0000-0000-0000680B0000}"/>
    <cellStyle name="백분율 49 37" xfId="1335" xr:uid="{00000000-0005-0000-0000-0000690B0000}"/>
    <cellStyle name="백분율 49 38" xfId="1336" xr:uid="{00000000-0005-0000-0000-00006A0B0000}"/>
    <cellStyle name="백분율 49 39" xfId="1337" xr:uid="{00000000-0005-0000-0000-00006B0B0000}"/>
    <cellStyle name="백분율 49 4" xfId="1338" xr:uid="{00000000-0005-0000-0000-00006C0B0000}"/>
    <cellStyle name="백분율 49 40" xfId="1339" xr:uid="{00000000-0005-0000-0000-00006D0B0000}"/>
    <cellStyle name="백분율 49 41" xfId="1340" xr:uid="{00000000-0005-0000-0000-00006E0B0000}"/>
    <cellStyle name="백분율 49 42" xfId="1341" xr:uid="{00000000-0005-0000-0000-00006F0B0000}"/>
    <cellStyle name="백분율 49 43" xfId="1342" xr:uid="{00000000-0005-0000-0000-0000700B0000}"/>
    <cellStyle name="백분율 49 44" xfId="1343" xr:uid="{00000000-0005-0000-0000-0000710B0000}"/>
    <cellStyle name="백분율 49 45" xfId="1344" xr:uid="{00000000-0005-0000-0000-0000720B0000}"/>
    <cellStyle name="백분율 49 46" xfId="1345" xr:uid="{00000000-0005-0000-0000-0000730B0000}"/>
    <cellStyle name="백분율 49 47" xfId="1346" xr:uid="{00000000-0005-0000-0000-0000740B0000}"/>
    <cellStyle name="백분율 49 48" xfId="1347" xr:uid="{00000000-0005-0000-0000-0000750B0000}"/>
    <cellStyle name="백분율 49 49" xfId="1348" xr:uid="{00000000-0005-0000-0000-0000760B0000}"/>
    <cellStyle name="백분율 49 5" xfId="1349" xr:uid="{00000000-0005-0000-0000-0000770B0000}"/>
    <cellStyle name="백분율 49 50" xfId="1350" xr:uid="{00000000-0005-0000-0000-0000780B0000}"/>
    <cellStyle name="백분율 49 51" xfId="1351" xr:uid="{00000000-0005-0000-0000-0000790B0000}"/>
    <cellStyle name="백분율 49 52" xfId="1352" xr:uid="{00000000-0005-0000-0000-00007A0B0000}"/>
    <cellStyle name="백분율 49 53" xfId="1353" xr:uid="{00000000-0005-0000-0000-00007B0B0000}"/>
    <cellStyle name="백분율 49 54" xfId="1354" xr:uid="{00000000-0005-0000-0000-00007C0B0000}"/>
    <cellStyle name="백분율 49 55" xfId="1355" xr:uid="{00000000-0005-0000-0000-00007D0B0000}"/>
    <cellStyle name="백분율 49 56" xfId="1356" xr:uid="{00000000-0005-0000-0000-00007E0B0000}"/>
    <cellStyle name="백분율 49 57" xfId="1357" xr:uid="{00000000-0005-0000-0000-00007F0B0000}"/>
    <cellStyle name="백분율 49 58" xfId="1358" xr:uid="{00000000-0005-0000-0000-0000800B0000}"/>
    <cellStyle name="백분율 49 59" xfId="1359" xr:uid="{00000000-0005-0000-0000-0000810B0000}"/>
    <cellStyle name="백분율 49 6" xfId="1360" xr:uid="{00000000-0005-0000-0000-0000820B0000}"/>
    <cellStyle name="백분율 49 60" xfId="1361" xr:uid="{00000000-0005-0000-0000-0000830B0000}"/>
    <cellStyle name="백분율 49 61" xfId="1362" xr:uid="{00000000-0005-0000-0000-0000840B0000}"/>
    <cellStyle name="백분율 49 62" xfId="1363" xr:uid="{00000000-0005-0000-0000-0000850B0000}"/>
    <cellStyle name="백분율 49 7" xfId="1364" xr:uid="{00000000-0005-0000-0000-0000860B0000}"/>
    <cellStyle name="백분율 49 73" xfId="1365" xr:uid="{00000000-0005-0000-0000-0000870B0000}"/>
    <cellStyle name="백분율 49 73 2" xfId="1366" xr:uid="{00000000-0005-0000-0000-0000880B0000}"/>
    <cellStyle name="백분율 49 8" xfId="1367" xr:uid="{00000000-0005-0000-0000-0000890B0000}"/>
    <cellStyle name="백분율 49 9" xfId="1368" xr:uid="{00000000-0005-0000-0000-00008A0B0000}"/>
    <cellStyle name="백분율 5 10" xfId="1369" xr:uid="{00000000-0005-0000-0000-00008B0B0000}"/>
    <cellStyle name="백분율 5 10 2" xfId="1370" xr:uid="{00000000-0005-0000-0000-00008C0B0000}"/>
    <cellStyle name="백분율 5 11" xfId="1371" xr:uid="{00000000-0005-0000-0000-00008D0B0000}"/>
    <cellStyle name="백분율 5 11 2" xfId="1372" xr:uid="{00000000-0005-0000-0000-00008E0B0000}"/>
    <cellStyle name="백분율 5 12" xfId="1373" xr:uid="{00000000-0005-0000-0000-00008F0B0000}"/>
    <cellStyle name="백분율 5 12 2" xfId="1374" xr:uid="{00000000-0005-0000-0000-0000900B0000}"/>
    <cellStyle name="백분율 5 13" xfId="1375" xr:uid="{00000000-0005-0000-0000-0000910B0000}"/>
    <cellStyle name="백분율 5 13 2" xfId="1376" xr:uid="{00000000-0005-0000-0000-0000920B0000}"/>
    <cellStyle name="백분율 5 14" xfId="1377" xr:uid="{00000000-0005-0000-0000-0000930B0000}"/>
    <cellStyle name="백분율 5 14 2" xfId="1378" xr:uid="{00000000-0005-0000-0000-0000940B0000}"/>
    <cellStyle name="백분율 5 15" xfId="1379" xr:uid="{00000000-0005-0000-0000-0000950B0000}"/>
    <cellStyle name="백분율 5 15 2" xfId="1380" xr:uid="{00000000-0005-0000-0000-0000960B0000}"/>
    <cellStyle name="백분율 5 16" xfId="1381" xr:uid="{00000000-0005-0000-0000-0000970B0000}"/>
    <cellStyle name="백분율 5 16 2" xfId="1382" xr:uid="{00000000-0005-0000-0000-0000980B0000}"/>
    <cellStyle name="백분율 5 17" xfId="1383" xr:uid="{00000000-0005-0000-0000-0000990B0000}"/>
    <cellStyle name="백분율 5 17 2" xfId="1384" xr:uid="{00000000-0005-0000-0000-00009A0B0000}"/>
    <cellStyle name="백분율 5 18" xfId="1385" xr:uid="{00000000-0005-0000-0000-00009B0B0000}"/>
    <cellStyle name="백분율 5 18 2" xfId="1386" xr:uid="{00000000-0005-0000-0000-00009C0B0000}"/>
    <cellStyle name="백분율 5 19" xfId="1387" xr:uid="{00000000-0005-0000-0000-00009D0B0000}"/>
    <cellStyle name="백분율 5 19 2" xfId="1388" xr:uid="{00000000-0005-0000-0000-00009E0B0000}"/>
    <cellStyle name="백분율 5 2" xfId="1389" xr:uid="{00000000-0005-0000-0000-00009F0B0000}"/>
    <cellStyle name="백분율 5 2 10" xfId="1390" xr:uid="{00000000-0005-0000-0000-0000A00B0000}"/>
    <cellStyle name="백분율 5 2 10 2" xfId="1391" xr:uid="{00000000-0005-0000-0000-0000A10B0000}"/>
    <cellStyle name="백분율 5 2 11" xfId="1392" xr:uid="{00000000-0005-0000-0000-0000A20B0000}"/>
    <cellStyle name="백분율 5 2 11 2" xfId="1393" xr:uid="{00000000-0005-0000-0000-0000A30B0000}"/>
    <cellStyle name="백분율 5 2 12" xfId="1394" xr:uid="{00000000-0005-0000-0000-0000A40B0000}"/>
    <cellStyle name="백분율 5 2 12 2" xfId="1395" xr:uid="{00000000-0005-0000-0000-0000A50B0000}"/>
    <cellStyle name="백분율 5 2 13" xfId="1396" xr:uid="{00000000-0005-0000-0000-0000A60B0000}"/>
    <cellStyle name="백분율 5 2 13 2" xfId="1397" xr:uid="{00000000-0005-0000-0000-0000A70B0000}"/>
    <cellStyle name="백분율 5 2 14" xfId="1398" xr:uid="{00000000-0005-0000-0000-0000A80B0000}"/>
    <cellStyle name="백분율 5 2 14 2" xfId="1399" xr:uid="{00000000-0005-0000-0000-0000A90B0000}"/>
    <cellStyle name="백분율 5 2 15" xfId="1400" xr:uid="{00000000-0005-0000-0000-0000AA0B0000}"/>
    <cellStyle name="백분율 5 2 15 2" xfId="1401" xr:uid="{00000000-0005-0000-0000-0000AB0B0000}"/>
    <cellStyle name="백분율 5 2 16" xfId="1402" xr:uid="{00000000-0005-0000-0000-0000AC0B0000}"/>
    <cellStyle name="백분율 5 2 16 2" xfId="1403" xr:uid="{00000000-0005-0000-0000-0000AD0B0000}"/>
    <cellStyle name="백분율 5 2 17" xfId="1404" xr:uid="{00000000-0005-0000-0000-0000AE0B0000}"/>
    <cellStyle name="백분율 5 2 17 2" xfId="1405" xr:uid="{00000000-0005-0000-0000-0000AF0B0000}"/>
    <cellStyle name="백분율 5 2 18" xfId="1406" xr:uid="{00000000-0005-0000-0000-0000B00B0000}"/>
    <cellStyle name="백분율 5 2 18 2" xfId="1407" xr:uid="{00000000-0005-0000-0000-0000B10B0000}"/>
    <cellStyle name="백분율 5 2 19" xfId="1408" xr:uid="{00000000-0005-0000-0000-0000B20B0000}"/>
    <cellStyle name="백분율 5 2 2" xfId="1409" xr:uid="{00000000-0005-0000-0000-0000B30B0000}"/>
    <cellStyle name="백분율 5 2 2 2" xfId="1410" xr:uid="{00000000-0005-0000-0000-0000B40B0000}"/>
    <cellStyle name="백분율 5 2 3" xfId="1411" xr:uid="{00000000-0005-0000-0000-0000B50B0000}"/>
    <cellStyle name="백분율 5 2 3 2" xfId="1412" xr:uid="{00000000-0005-0000-0000-0000B60B0000}"/>
    <cellStyle name="백분율 5 2 4" xfId="1413" xr:uid="{00000000-0005-0000-0000-0000B70B0000}"/>
    <cellStyle name="백분율 5 2 4 2" xfId="1414" xr:uid="{00000000-0005-0000-0000-0000B80B0000}"/>
    <cellStyle name="백분율 5 2 5" xfId="1415" xr:uid="{00000000-0005-0000-0000-0000B90B0000}"/>
    <cellStyle name="백분율 5 2 5 2" xfId="1416" xr:uid="{00000000-0005-0000-0000-0000BA0B0000}"/>
    <cellStyle name="백분율 5 2 6" xfId="1417" xr:uid="{00000000-0005-0000-0000-0000BB0B0000}"/>
    <cellStyle name="백분율 5 2 6 2" xfId="1418" xr:uid="{00000000-0005-0000-0000-0000BC0B0000}"/>
    <cellStyle name="백분율 5 2 7" xfId="1419" xr:uid="{00000000-0005-0000-0000-0000BD0B0000}"/>
    <cellStyle name="백분율 5 2 7 2" xfId="1420" xr:uid="{00000000-0005-0000-0000-0000BE0B0000}"/>
    <cellStyle name="백분율 5 2 8" xfId="1421" xr:uid="{00000000-0005-0000-0000-0000BF0B0000}"/>
    <cellStyle name="백분율 5 2 8 2" xfId="1422" xr:uid="{00000000-0005-0000-0000-0000C00B0000}"/>
    <cellStyle name="백분율 5 2 9" xfId="1423" xr:uid="{00000000-0005-0000-0000-0000C10B0000}"/>
    <cellStyle name="백분율 5 2 9 2" xfId="1424" xr:uid="{00000000-0005-0000-0000-0000C20B0000}"/>
    <cellStyle name="백분율 5 20" xfId="1425" xr:uid="{00000000-0005-0000-0000-0000C30B0000}"/>
    <cellStyle name="백분율 5 20 2" xfId="1426" xr:uid="{00000000-0005-0000-0000-0000C40B0000}"/>
    <cellStyle name="백분율 5 21" xfId="1427" xr:uid="{00000000-0005-0000-0000-0000C50B0000}"/>
    <cellStyle name="백분율 5 21 2" xfId="1428" xr:uid="{00000000-0005-0000-0000-0000C60B0000}"/>
    <cellStyle name="백분율 5 22" xfId="1429" xr:uid="{00000000-0005-0000-0000-0000C70B0000}"/>
    <cellStyle name="백분율 5 23" xfId="1430" xr:uid="{00000000-0005-0000-0000-0000C80B0000}"/>
    <cellStyle name="백분율 5 24" xfId="1431" xr:uid="{00000000-0005-0000-0000-0000C90B0000}"/>
    <cellStyle name="백분율 5 25" xfId="1432" xr:uid="{00000000-0005-0000-0000-0000CA0B0000}"/>
    <cellStyle name="백분율 5 3" xfId="1433" xr:uid="{00000000-0005-0000-0000-0000CB0B0000}"/>
    <cellStyle name="백분율 5 3 2" xfId="1434" xr:uid="{00000000-0005-0000-0000-0000CC0B0000}"/>
    <cellStyle name="백분율 5 4" xfId="1435" xr:uid="{00000000-0005-0000-0000-0000CD0B0000}"/>
    <cellStyle name="백분율 5 4 2" xfId="1436" xr:uid="{00000000-0005-0000-0000-0000CE0B0000}"/>
    <cellStyle name="백분율 5 5" xfId="1437" xr:uid="{00000000-0005-0000-0000-0000CF0B0000}"/>
    <cellStyle name="백분율 5 5 2" xfId="1438" xr:uid="{00000000-0005-0000-0000-0000D00B0000}"/>
    <cellStyle name="백분율 5 6" xfId="1439" xr:uid="{00000000-0005-0000-0000-0000D10B0000}"/>
    <cellStyle name="백분율 5 6 2" xfId="1440" xr:uid="{00000000-0005-0000-0000-0000D20B0000}"/>
    <cellStyle name="백분율 5 7" xfId="1441" xr:uid="{00000000-0005-0000-0000-0000D30B0000}"/>
    <cellStyle name="백분율 5 7 2" xfId="1442" xr:uid="{00000000-0005-0000-0000-0000D40B0000}"/>
    <cellStyle name="백분율 5 8" xfId="1443" xr:uid="{00000000-0005-0000-0000-0000D50B0000}"/>
    <cellStyle name="백분율 5 8 2" xfId="1444" xr:uid="{00000000-0005-0000-0000-0000D60B0000}"/>
    <cellStyle name="백분율 5 9" xfId="1445" xr:uid="{00000000-0005-0000-0000-0000D70B0000}"/>
    <cellStyle name="백분율 5 9 2" xfId="1446" xr:uid="{00000000-0005-0000-0000-0000D80B0000}"/>
    <cellStyle name="백분율 6" xfId="5429" xr:uid="{00000000-0005-0000-0000-0000D90B0000}"/>
    <cellStyle name="백분율 6 10" xfId="1447" xr:uid="{00000000-0005-0000-0000-0000DA0B0000}"/>
    <cellStyle name="백분율 6 11" xfId="1448" xr:uid="{00000000-0005-0000-0000-0000DB0B0000}"/>
    <cellStyle name="백분율 6 12" xfId="1449" xr:uid="{00000000-0005-0000-0000-0000DC0B0000}"/>
    <cellStyle name="백분율 6 13" xfId="1450" xr:uid="{00000000-0005-0000-0000-0000DD0B0000}"/>
    <cellStyle name="백분율 6 14" xfId="1451" xr:uid="{00000000-0005-0000-0000-0000DE0B0000}"/>
    <cellStyle name="백분율 6 15" xfId="1452" xr:uid="{00000000-0005-0000-0000-0000DF0B0000}"/>
    <cellStyle name="백분율 6 16" xfId="1453" xr:uid="{00000000-0005-0000-0000-0000E00B0000}"/>
    <cellStyle name="백분율 6 17" xfId="1454" xr:uid="{00000000-0005-0000-0000-0000E10B0000}"/>
    <cellStyle name="백분율 6 18" xfId="1455" xr:uid="{00000000-0005-0000-0000-0000E20B0000}"/>
    <cellStyle name="백분율 6 19" xfId="1456" xr:uid="{00000000-0005-0000-0000-0000E30B0000}"/>
    <cellStyle name="백분율 6 2" xfId="1457" xr:uid="{00000000-0005-0000-0000-0000E40B0000}"/>
    <cellStyle name="백분율 6 20" xfId="1458" xr:uid="{00000000-0005-0000-0000-0000E50B0000}"/>
    <cellStyle name="백분율 6 21" xfId="1459" xr:uid="{00000000-0005-0000-0000-0000E60B0000}"/>
    <cellStyle name="백분율 6 22" xfId="1460" xr:uid="{00000000-0005-0000-0000-0000E70B0000}"/>
    <cellStyle name="백분율 6 23" xfId="1461" xr:uid="{00000000-0005-0000-0000-0000E80B0000}"/>
    <cellStyle name="백분율 6 24" xfId="1462" xr:uid="{00000000-0005-0000-0000-0000E90B0000}"/>
    <cellStyle name="백분율 6 25" xfId="1463" xr:uid="{00000000-0005-0000-0000-0000EA0B0000}"/>
    <cellStyle name="백분율 6 26" xfId="1464" xr:uid="{00000000-0005-0000-0000-0000EB0B0000}"/>
    <cellStyle name="백분율 6 27" xfId="1465" xr:uid="{00000000-0005-0000-0000-0000EC0B0000}"/>
    <cellStyle name="백분율 6 28" xfId="1466" xr:uid="{00000000-0005-0000-0000-0000ED0B0000}"/>
    <cellStyle name="백분율 6 29" xfId="1467" xr:uid="{00000000-0005-0000-0000-0000EE0B0000}"/>
    <cellStyle name="백분율 6 3" xfId="1468" xr:uid="{00000000-0005-0000-0000-0000EF0B0000}"/>
    <cellStyle name="백분율 6 30" xfId="1469" xr:uid="{00000000-0005-0000-0000-0000F00B0000}"/>
    <cellStyle name="백분율 6 31" xfId="1470" xr:uid="{00000000-0005-0000-0000-0000F10B0000}"/>
    <cellStyle name="백분율 6 32" xfId="1471" xr:uid="{00000000-0005-0000-0000-0000F20B0000}"/>
    <cellStyle name="백분율 6 33" xfId="1472" xr:uid="{00000000-0005-0000-0000-0000F30B0000}"/>
    <cellStyle name="백분율 6 34" xfId="1473" xr:uid="{00000000-0005-0000-0000-0000F40B0000}"/>
    <cellStyle name="백분율 6 35" xfId="1474" xr:uid="{00000000-0005-0000-0000-0000F50B0000}"/>
    <cellStyle name="백분율 6 36" xfId="1475" xr:uid="{00000000-0005-0000-0000-0000F60B0000}"/>
    <cellStyle name="백분율 6 37" xfId="1476" xr:uid="{00000000-0005-0000-0000-0000F70B0000}"/>
    <cellStyle name="백분율 6 38" xfId="1477" xr:uid="{00000000-0005-0000-0000-0000F80B0000}"/>
    <cellStyle name="백분율 6 39" xfId="1478" xr:uid="{00000000-0005-0000-0000-0000F90B0000}"/>
    <cellStyle name="백분율 6 4" xfId="1479" xr:uid="{00000000-0005-0000-0000-0000FA0B0000}"/>
    <cellStyle name="백분율 6 40" xfId="1480" xr:uid="{00000000-0005-0000-0000-0000FB0B0000}"/>
    <cellStyle name="백분율 6 41" xfId="1481" xr:uid="{00000000-0005-0000-0000-0000FC0B0000}"/>
    <cellStyle name="백분율 6 42" xfId="1482" xr:uid="{00000000-0005-0000-0000-0000FD0B0000}"/>
    <cellStyle name="백분율 6 43" xfId="1483" xr:uid="{00000000-0005-0000-0000-0000FE0B0000}"/>
    <cellStyle name="백분율 6 44" xfId="1484" xr:uid="{00000000-0005-0000-0000-0000FF0B0000}"/>
    <cellStyle name="백분율 6 45" xfId="1485" xr:uid="{00000000-0005-0000-0000-0000000C0000}"/>
    <cellStyle name="백분율 6 46" xfId="1486" xr:uid="{00000000-0005-0000-0000-0000010C0000}"/>
    <cellStyle name="백분율 6 47" xfId="1487" xr:uid="{00000000-0005-0000-0000-0000020C0000}"/>
    <cellStyle name="백분율 6 48" xfId="1488" xr:uid="{00000000-0005-0000-0000-0000030C0000}"/>
    <cellStyle name="백분율 6 49" xfId="1489" xr:uid="{00000000-0005-0000-0000-0000040C0000}"/>
    <cellStyle name="백분율 6 5" xfId="1490" xr:uid="{00000000-0005-0000-0000-0000050C0000}"/>
    <cellStyle name="백분율 6 5 2" xfId="5450" xr:uid="{00000000-0005-0000-0000-0000060C0000}"/>
    <cellStyle name="백분율 6 50" xfId="1491" xr:uid="{00000000-0005-0000-0000-0000070C0000}"/>
    <cellStyle name="백분율 6 51" xfId="1492" xr:uid="{00000000-0005-0000-0000-0000080C0000}"/>
    <cellStyle name="백분율 6 52" xfId="1493" xr:uid="{00000000-0005-0000-0000-0000090C0000}"/>
    <cellStyle name="백분율 6 53" xfId="1494" xr:uid="{00000000-0005-0000-0000-00000A0C0000}"/>
    <cellStyle name="백분율 6 54" xfId="1495" xr:uid="{00000000-0005-0000-0000-00000B0C0000}"/>
    <cellStyle name="백분율 6 55" xfId="1496" xr:uid="{00000000-0005-0000-0000-00000C0C0000}"/>
    <cellStyle name="백분율 6 56" xfId="1497" xr:uid="{00000000-0005-0000-0000-00000D0C0000}"/>
    <cellStyle name="백분율 6 57" xfId="1498" xr:uid="{00000000-0005-0000-0000-00000E0C0000}"/>
    <cellStyle name="백분율 6 58" xfId="1499" xr:uid="{00000000-0005-0000-0000-00000F0C0000}"/>
    <cellStyle name="백분율 6 59" xfId="1500" xr:uid="{00000000-0005-0000-0000-0000100C0000}"/>
    <cellStyle name="백분율 6 6" xfId="1501" xr:uid="{00000000-0005-0000-0000-0000110C0000}"/>
    <cellStyle name="백분율 6 60" xfId="1502" xr:uid="{00000000-0005-0000-0000-0000120C0000}"/>
    <cellStyle name="백분율 6 61" xfId="1503" xr:uid="{00000000-0005-0000-0000-0000130C0000}"/>
    <cellStyle name="백분율 6 62" xfId="1504" xr:uid="{00000000-0005-0000-0000-0000140C0000}"/>
    <cellStyle name="백분율 6 63" xfId="1505" xr:uid="{00000000-0005-0000-0000-0000150C0000}"/>
    <cellStyle name="백분율 6 64" xfId="1506" xr:uid="{00000000-0005-0000-0000-0000160C0000}"/>
    <cellStyle name="백분율 6 65" xfId="1507" xr:uid="{00000000-0005-0000-0000-0000170C0000}"/>
    <cellStyle name="백분율 6 66" xfId="1508" xr:uid="{00000000-0005-0000-0000-0000180C0000}"/>
    <cellStyle name="백분율 6 67" xfId="1509" xr:uid="{00000000-0005-0000-0000-0000190C0000}"/>
    <cellStyle name="백분율 6 68" xfId="1510" xr:uid="{00000000-0005-0000-0000-00001A0C0000}"/>
    <cellStyle name="백분율 6 69" xfId="1511" xr:uid="{00000000-0005-0000-0000-00001B0C0000}"/>
    <cellStyle name="백분율 6 7" xfId="1512" xr:uid="{00000000-0005-0000-0000-00001C0C0000}"/>
    <cellStyle name="백분율 6 70" xfId="1513" xr:uid="{00000000-0005-0000-0000-00001D0C0000}"/>
    <cellStyle name="백분율 6 71" xfId="1514" xr:uid="{00000000-0005-0000-0000-00001E0C0000}"/>
    <cellStyle name="백분율 6 72" xfId="1515" xr:uid="{00000000-0005-0000-0000-00001F0C0000}"/>
    <cellStyle name="백분율 6 8" xfId="1516" xr:uid="{00000000-0005-0000-0000-0000200C0000}"/>
    <cellStyle name="백분율 6 9" xfId="1517" xr:uid="{00000000-0005-0000-0000-0000210C0000}"/>
    <cellStyle name="백분율 62 10" xfId="1518" xr:uid="{00000000-0005-0000-0000-0000220C0000}"/>
    <cellStyle name="백분율 62 11" xfId="1519" xr:uid="{00000000-0005-0000-0000-0000230C0000}"/>
    <cellStyle name="백분율 62 12" xfId="1520" xr:uid="{00000000-0005-0000-0000-0000240C0000}"/>
    <cellStyle name="백분율 62 13" xfId="1521" xr:uid="{00000000-0005-0000-0000-0000250C0000}"/>
    <cellStyle name="백분율 62 14" xfId="1522" xr:uid="{00000000-0005-0000-0000-0000260C0000}"/>
    <cellStyle name="백분율 62 15" xfId="1523" xr:uid="{00000000-0005-0000-0000-0000270C0000}"/>
    <cellStyle name="백분율 62 16" xfId="1524" xr:uid="{00000000-0005-0000-0000-0000280C0000}"/>
    <cellStyle name="백분율 62 17" xfId="1525" xr:uid="{00000000-0005-0000-0000-0000290C0000}"/>
    <cellStyle name="백분율 62 18" xfId="1526" xr:uid="{00000000-0005-0000-0000-00002A0C0000}"/>
    <cellStyle name="백분율 62 19" xfId="1527" xr:uid="{00000000-0005-0000-0000-00002B0C0000}"/>
    <cellStyle name="백분율 62 2" xfId="1528" xr:uid="{00000000-0005-0000-0000-00002C0C0000}"/>
    <cellStyle name="백분율 62 20" xfId="1529" xr:uid="{00000000-0005-0000-0000-00002D0C0000}"/>
    <cellStyle name="백분율 62 21" xfId="1530" xr:uid="{00000000-0005-0000-0000-00002E0C0000}"/>
    <cellStyle name="백분율 62 22" xfId="1531" xr:uid="{00000000-0005-0000-0000-00002F0C0000}"/>
    <cellStyle name="백분율 62 23" xfId="1532" xr:uid="{00000000-0005-0000-0000-0000300C0000}"/>
    <cellStyle name="백분율 62 24" xfId="1533" xr:uid="{00000000-0005-0000-0000-0000310C0000}"/>
    <cellStyle name="백분율 62 25" xfId="1534" xr:uid="{00000000-0005-0000-0000-0000320C0000}"/>
    <cellStyle name="백분율 62 26" xfId="1535" xr:uid="{00000000-0005-0000-0000-0000330C0000}"/>
    <cellStyle name="백분율 62 27" xfId="1536" xr:uid="{00000000-0005-0000-0000-0000340C0000}"/>
    <cellStyle name="백분율 62 28" xfId="1537" xr:uid="{00000000-0005-0000-0000-0000350C0000}"/>
    <cellStyle name="백분율 62 29" xfId="1538" xr:uid="{00000000-0005-0000-0000-0000360C0000}"/>
    <cellStyle name="백분율 62 3" xfId="1539" xr:uid="{00000000-0005-0000-0000-0000370C0000}"/>
    <cellStyle name="백분율 62 30" xfId="1540" xr:uid="{00000000-0005-0000-0000-0000380C0000}"/>
    <cellStyle name="백분율 62 31" xfId="1541" xr:uid="{00000000-0005-0000-0000-0000390C0000}"/>
    <cellStyle name="백분율 62 32" xfId="1542" xr:uid="{00000000-0005-0000-0000-00003A0C0000}"/>
    <cellStyle name="백분율 62 33" xfId="1543" xr:uid="{00000000-0005-0000-0000-00003B0C0000}"/>
    <cellStyle name="백분율 62 34" xfId="1544" xr:uid="{00000000-0005-0000-0000-00003C0C0000}"/>
    <cellStyle name="백분율 62 35" xfId="1545" xr:uid="{00000000-0005-0000-0000-00003D0C0000}"/>
    <cellStyle name="백분율 62 36" xfId="1546" xr:uid="{00000000-0005-0000-0000-00003E0C0000}"/>
    <cellStyle name="백분율 62 37" xfId="1547" xr:uid="{00000000-0005-0000-0000-00003F0C0000}"/>
    <cellStyle name="백분율 62 38" xfId="1548" xr:uid="{00000000-0005-0000-0000-0000400C0000}"/>
    <cellStyle name="백분율 62 39" xfId="1549" xr:uid="{00000000-0005-0000-0000-0000410C0000}"/>
    <cellStyle name="백분율 62 4" xfId="1550" xr:uid="{00000000-0005-0000-0000-0000420C0000}"/>
    <cellStyle name="백분율 62 40" xfId="1551" xr:uid="{00000000-0005-0000-0000-0000430C0000}"/>
    <cellStyle name="백분율 62 41" xfId="1552" xr:uid="{00000000-0005-0000-0000-0000440C0000}"/>
    <cellStyle name="백분율 62 42" xfId="1553" xr:uid="{00000000-0005-0000-0000-0000450C0000}"/>
    <cellStyle name="백분율 62 43" xfId="1554" xr:uid="{00000000-0005-0000-0000-0000460C0000}"/>
    <cellStyle name="백분율 62 44" xfId="1555" xr:uid="{00000000-0005-0000-0000-0000470C0000}"/>
    <cellStyle name="백분율 62 45" xfId="1556" xr:uid="{00000000-0005-0000-0000-0000480C0000}"/>
    <cellStyle name="백분율 62 46" xfId="1557" xr:uid="{00000000-0005-0000-0000-0000490C0000}"/>
    <cellStyle name="백분율 62 47" xfId="1558" xr:uid="{00000000-0005-0000-0000-00004A0C0000}"/>
    <cellStyle name="백분율 62 48" xfId="1559" xr:uid="{00000000-0005-0000-0000-00004B0C0000}"/>
    <cellStyle name="백분율 62 49" xfId="1560" xr:uid="{00000000-0005-0000-0000-00004C0C0000}"/>
    <cellStyle name="백분율 62 5" xfId="1561" xr:uid="{00000000-0005-0000-0000-00004D0C0000}"/>
    <cellStyle name="백분율 62 50" xfId="1562" xr:uid="{00000000-0005-0000-0000-00004E0C0000}"/>
    <cellStyle name="백분율 62 51" xfId="1563" xr:uid="{00000000-0005-0000-0000-00004F0C0000}"/>
    <cellStyle name="백분율 62 52" xfId="1564" xr:uid="{00000000-0005-0000-0000-0000500C0000}"/>
    <cellStyle name="백분율 62 53" xfId="1565" xr:uid="{00000000-0005-0000-0000-0000510C0000}"/>
    <cellStyle name="백분율 62 54" xfId="1566" xr:uid="{00000000-0005-0000-0000-0000520C0000}"/>
    <cellStyle name="백분율 62 55" xfId="1567" xr:uid="{00000000-0005-0000-0000-0000530C0000}"/>
    <cellStyle name="백분율 62 56" xfId="1568" xr:uid="{00000000-0005-0000-0000-0000540C0000}"/>
    <cellStyle name="백분율 62 57" xfId="1569" xr:uid="{00000000-0005-0000-0000-0000550C0000}"/>
    <cellStyle name="백분율 62 58" xfId="1570" xr:uid="{00000000-0005-0000-0000-0000560C0000}"/>
    <cellStyle name="백분율 62 59" xfId="1571" xr:uid="{00000000-0005-0000-0000-0000570C0000}"/>
    <cellStyle name="백분율 62 6" xfId="1572" xr:uid="{00000000-0005-0000-0000-0000580C0000}"/>
    <cellStyle name="백분율 62 60" xfId="1573" xr:uid="{00000000-0005-0000-0000-0000590C0000}"/>
    <cellStyle name="백분율 62 61" xfId="1574" xr:uid="{00000000-0005-0000-0000-00005A0C0000}"/>
    <cellStyle name="백분율 62 62" xfId="1575" xr:uid="{00000000-0005-0000-0000-00005B0C0000}"/>
    <cellStyle name="백분율 62 7" xfId="1576" xr:uid="{00000000-0005-0000-0000-00005C0C0000}"/>
    <cellStyle name="백분율 62 8" xfId="1577" xr:uid="{00000000-0005-0000-0000-00005D0C0000}"/>
    <cellStyle name="백분율 62 9" xfId="1578" xr:uid="{00000000-0005-0000-0000-00005E0C0000}"/>
    <cellStyle name="백분율 7 10" xfId="1579" xr:uid="{00000000-0005-0000-0000-00005F0C0000}"/>
    <cellStyle name="백분율 7 11" xfId="1580" xr:uid="{00000000-0005-0000-0000-0000600C0000}"/>
    <cellStyle name="백분율 7 12" xfId="1581" xr:uid="{00000000-0005-0000-0000-0000610C0000}"/>
    <cellStyle name="백분율 7 13" xfId="1582" xr:uid="{00000000-0005-0000-0000-0000620C0000}"/>
    <cellStyle name="백분율 7 14" xfId="1583" xr:uid="{00000000-0005-0000-0000-0000630C0000}"/>
    <cellStyle name="백분율 7 15" xfId="1584" xr:uid="{00000000-0005-0000-0000-0000640C0000}"/>
    <cellStyle name="백분율 7 16" xfId="1585" xr:uid="{00000000-0005-0000-0000-0000650C0000}"/>
    <cellStyle name="백분율 7 17" xfId="1586" xr:uid="{00000000-0005-0000-0000-0000660C0000}"/>
    <cellStyle name="백분율 7 18" xfId="1587" xr:uid="{00000000-0005-0000-0000-0000670C0000}"/>
    <cellStyle name="백분율 7 19" xfId="1588" xr:uid="{00000000-0005-0000-0000-0000680C0000}"/>
    <cellStyle name="백분율 7 2" xfId="1589" xr:uid="{00000000-0005-0000-0000-0000690C0000}"/>
    <cellStyle name="백분율 7 20" xfId="1590" xr:uid="{00000000-0005-0000-0000-00006A0C0000}"/>
    <cellStyle name="백분율 7 21" xfId="1591" xr:uid="{00000000-0005-0000-0000-00006B0C0000}"/>
    <cellStyle name="백분율 7 22" xfId="1592" xr:uid="{00000000-0005-0000-0000-00006C0C0000}"/>
    <cellStyle name="백분율 7 23" xfId="1593" xr:uid="{00000000-0005-0000-0000-00006D0C0000}"/>
    <cellStyle name="백분율 7 24" xfId="1594" xr:uid="{00000000-0005-0000-0000-00006E0C0000}"/>
    <cellStyle name="백분율 7 25" xfId="1595" xr:uid="{00000000-0005-0000-0000-00006F0C0000}"/>
    <cellStyle name="백분율 7 26" xfId="1596" xr:uid="{00000000-0005-0000-0000-0000700C0000}"/>
    <cellStyle name="백분율 7 27" xfId="1597" xr:uid="{00000000-0005-0000-0000-0000710C0000}"/>
    <cellStyle name="백분율 7 28" xfId="1598" xr:uid="{00000000-0005-0000-0000-0000720C0000}"/>
    <cellStyle name="백분율 7 29" xfId="1599" xr:uid="{00000000-0005-0000-0000-0000730C0000}"/>
    <cellStyle name="백분율 7 3" xfId="1600" xr:uid="{00000000-0005-0000-0000-0000740C0000}"/>
    <cellStyle name="백분율 7 30" xfId="1601" xr:uid="{00000000-0005-0000-0000-0000750C0000}"/>
    <cellStyle name="백분율 7 31" xfId="1602" xr:uid="{00000000-0005-0000-0000-0000760C0000}"/>
    <cellStyle name="백분율 7 32" xfId="1603" xr:uid="{00000000-0005-0000-0000-0000770C0000}"/>
    <cellStyle name="백분율 7 33" xfId="1604" xr:uid="{00000000-0005-0000-0000-0000780C0000}"/>
    <cellStyle name="백분율 7 34" xfId="1605" xr:uid="{00000000-0005-0000-0000-0000790C0000}"/>
    <cellStyle name="백분율 7 35" xfId="1606" xr:uid="{00000000-0005-0000-0000-00007A0C0000}"/>
    <cellStyle name="백분율 7 36" xfId="1607" xr:uid="{00000000-0005-0000-0000-00007B0C0000}"/>
    <cellStyle name="백분율 7 37" xfId="1608" xr:uid="{00000000-0005-0000-0000-00007C0C0000}"/>
    <cellStyle name="백분율 7 38" xfId="1609" xr:uid="{00000000-0005-0000-0000-00007D0C0000}"/>
    <cellStyle name="백분율 7 39" xfId="1610" xr:uid="{00000000-0005-0000-0000-00007E0C0000}"/>
    <cellStyle name="백분율 7 4" xfId="1611" xr:uid="{00000000-0005-0000-0000-00007F0C0000}"/>
    <cellStyle name="백분율 7 40" xfId="1612" xr:uid="{00000000-0005-0000-0000-0000800C0000}"/>
    <cellStyle name="백분율 7 41" xfId="1613" xr:uid="{00000000-0005-0000-0000-0000810C0000}"/>
    <cellStyle name="백분율 7 42" xfId="1614" xr:uid="{00000000-0005-0000-0000-0000820C0000}"/>
    <cellStyle name="백분율 7 43" xfId="1615" xr:uid="{00000000-0005-0000-0000-0000830C0000}"/>
    <cellStyle name="백분율 7 44" xfId="1616" xr:uid="{00000000-0005-0000-0000-0000840C0000}"/>
    <cellStyle name="백분율 7 45" xfId="1617" xr:uid="{00000000-0005-0000-0000-0000850C0000}"/>
    <cellStyle name="백분율 7 46" xfId="1618" xr:uid="{00000000-0005-0000-0000-0000860C0000}"/>
    <cellStyle name="백분율 7 47" xfId="1619" xr:uid="{00000000-0005-0000-0000-0000870C0000}"/>
    <cellStyle name="백분율 7 48" xfId="1620" xr:uid="{00000000-0005-0000-0000-0000880C0000}"/>
    <cellStyle name="백분율 7 49" xfId="1621" xr:uid="{00000000-0005-0000-0000-0000890C0000}"/>
    <cellStyle name="백분율 7 5" xfId="1622" xr:uid="{00000000-0005-0000-0000-00008A0C0000}"/>
    <cellStyle name="백분율 7 50" xfId="1623" xr:uid="{00000000-0005-0000-0000-00008B0C0000}"/>
    <cellStyle name="백분율 7 51" xfId="1624" xr:uid="{00000000-0005-0000-0000-00008C0C0000}"/>
    <cellStyle name="백분율 7 52" xfId="1625" xr:uid="{00000000-0005-0000-0000-00008D0C0000}"/>
    <cellStyle name="백분율 7 53" xfId="1626" xr:uid="{00000000-0005-0000-0000-00008E0C0000}"/>
    <cellStyle name="백분율 7 54" xfId="1627" xr:uid="{00000000-0005-0000-0000-00008F0C0000}"/>
    <cellStyle name="백분율 7 55" xfId="1628" xr:uid="{00000000-0005-0000-0000-0000900C0000}"/>
    <cellStyle name="백분율 7 56" xfId="1629" xr:uid="{00000000-0005-0000-0000-0000910C0000}"/>
    <cellStyle name="백분율 7 57" xfId="1630" xr:uid="{00000000-0005-0000-0000-0000920C0000}"/>
    <cellStyle name="백분율 7 58" xfId="1631" xr:uid="{00000000-0005-0000-0000-0000930C0000}"/>
    <cellStyle name="백분율 7 59" xfId="1632" xr:uid="{00000000-0005-0000-0000-0000940C0000}"/>
    <cellStyle name="백분율 7 6" xfId="1633" xr:uid="{00000000-0005-0000-0000-0000950C0000}"/>
    <cellStyle name="백분율 7 60" xfId="1634" xr:uid="{00000000-0005-0000-0000-0000960C0000}"/>
    <cellStyle name="백분율 7 61" xfId="1635" xr:uid="{00000000-0005-0000-0000-0000970C0000}"/>
    <cellStyle name="백분율 7 62" xfId="1636" xr:uid="{00000000-0005-0000-0000-0000980C0000}"/>
    <cellStyle name="백분율 7 63" xfId="1637" xr:uid="{00000000-0005-0000-0000-0000990C0000}"/>
    <cellStyle name="백분율 7 64" xfId="1638" xr:uid="{00000000-0005-0000-0000-00009A0C0000}"/>
    <cellStyle name="백분율 7 65" xfId="1639" xr:uid="{00000000-0005-0000-0000-00009B0C0000}"/>
    <cellStyle name="백분율 7 66" xfId="1640" xr:uid="{00000000-0005-0000-0000-00009C0C0000}"/>
    <cellStyle name="백분율 7 67" xfId="1641" xr:uid="{00000000-0005-0000-0000-00009D0C0000}"/>
    <cellStyle name="백분율 7 68" xfId="1642" xr:uid="{00000000-0005-0000-0000-00009E0C0000}"/>
    <cellStyle name="백분율 7 69" xfId="1643" xr:uid="{00000000-0005-0000-0000-00009F0C0000}"/>
    <cellStyle name="백분율 7 7" xfId="1644" xr:uid="{00000000-0005-0000-0000-0000A00C0000}"/>
    <cellStyle name="백분율 7 70" xfId="1645" xr:uid="{00000000-0005-0000-0000-0000A10C0000}"/>
    <cellStyle name="백분율 7 71" xfId="1646" xr:uid="{00000000-0005-0000-0000-0000A20C0000}"/>
    <cellStyle name="백분율 7 72" xfId="1647" xr:uid="{00000000-0005-0000-0000-0000A30C0000}"/>
    <cellStyle name="백분율 7 73" xfId="1648" xr:uid="{00000000-0005-0000-0000-0000A40C0000}"/>
    <cellStyle name="백분율 7 74" xfId="1649" xr:uid="{00000000-0005-0000-0000-0000A50C0000}"/>
    <cellStyle name="백분율 7 75" xfId="1650" xr:uid="{00000000-0005-0000-0000-0000A60C0000}"/>
    <cellStyle name="백분율 7 76" xfId="1651" xr:uid="{00000000-0005-0000-0000-0000A70C0000}"/>
    <cellStyle name="백분율 7 77" xfId="1652" xr:uid="{00000000-0005-0000-0000-0000A80C0000}"/>
    <cellStyle name="백분율 7 78" xfId="1653" xr:uid="{00000000-0005-0000-0000-0000A90C0000}"/>
    <cellStyle name="백분율 7 79" xfId="1654" xr:uid="{00000000-0005-0000-0000-0000AA0C0000}"/>
    <cellStyle name="백분율 7 8" xfId="1655" xr:uid="{00000000-0005-0000-0000-0000AB0C0000}"/>
    <cellStyle name="백분율 7 80" xfId="1656" xr:uid="{00000000-0005-0000-0000-0000AC0C0000}"/>
    <cellStyle name="백분율 7 9" xfId="1657" xr:uid="{00000000-0005-0000-0000-0000AD0C0000}"/>
    <cellStyle name="백분율 78 10" xfId="1658" xr:uid="{00000000-0005-0000-0000-0000AE0C0000}"/>
    <cellStyle name="백분율 78 11" xfId="1659" xr:uid="{00000000-0005-0000-0000-0000AF0C0000}"/>
    <cellStyle name="백분율 78 12" xfId="1660" xr:uid="{00000000-0005-0000-0000-0000B00C0000}"/>
    <cellStyle name="백분율 78 13" xfId="1661" xr:uid="{00000000-0005-0000-0000-0000B10C0000}"/>
    <cellStyle name="백분율 78 14" xfId="1662" xr:uid="{00000000-0005-0000-0000-0000B20C0000}"/>
    <cellStyle name="백분율 78 15" xfId="1663" xr:uid="{00000000-0005-0000-0000-0000B30C0000}"/>
    <cellStyle name="백분율 78 2" xfId="1664" xr:uid="{00000000-0005-0000-0000-0000B40C0000}"/>
    <cellStyle name="백분율 78 3" xfId="1665" xr:uid="{00000000-0005-0000-0000-0000B50C0000}"/>
    <cellStyle name="백분율 78 4" xfId="1666" xr:uid="{00000000-0005-0000-0000-0000B60C0000}"/>
    <cellStyle name="백분율 78 5" xfId="1667" xr:uid="{00000000-0005-0000-0000-0000B70C0000}"/>
    <cellStyle name="백분율 78 6" xfId="1668" xr:uid="{00000000-0005-0000-0000-0000B80C0000}"/>
    <cellStyle name="백분율 78 7" xfId="1669" xr:uid="{00000000-0005-0000-0000-0000B90C0000}"/>
    <cellStyle name="백분율 78 8" xfId="1670" xr:uid="{00000000-0005-0000-0000-0000BA0C0000}"/>
    <cellStyle name="백분율 78 9" xfId="1671" xr:uid="{00000000-0005-0000-0000-0000BB0C0000}"/>
    <cellStyle name="백분율 8 10" xfId="1672" xr:uid="{00000000-0005-0000-0000-0000BC0C0000}"/>
    <cellStyle name="백분율 8 11" xfId="1673" xr:uid="{00000000-0005-0000-0000-0000BD0C0000}"/>
    <cellStyle name="백분율 8 12" xfId="1674" xr:uid="{00000000-0005-0000-0000-0000BE0C0000}"/>
    <cellStyle name="백분율 8 13" xfId="1675" xr:uid="{00000000-0005-0000-0000-0000BF0C0000}"/>
    <cellStyle name="백분율 8 14" xfId="1676" xr:uid="{00000000-0005-0000-0000-0000C00C0000}"/>
    <cellStyle name="백분율 8 15" xfId="1677" xr:uid="{00000000-0005-0000-0000-0000C10C0000}"/>
    <cellStyle name="백분율 8 2" xfId="1678" xr:uid="{00000000-0005-0000-0000-0000C20C0000}"/>
    <cellStyle name="백분율 8 3" xfId="1679" xr:uid="{00000000-0005-0000-0000-0000C30C0000}"/>
    <cellStyle name="백분율 8 4" xfId="1680" xr:uid="{00000000-0005-0000-0000-0000C40C0000}"/>
    <cellStyle name="백분율 8 5" xfId="1681" xr:uid="{00000000-0005-0000-0000-0000C50C0000}"/>
    <cellStyle name="백분율 8 6" xfId="1682" xr:uid="{00000000-0005-0000-0000-0000C60C0000}"/>
    <cellStyle name="백분율 8 7" xfId="1683" xr:uid="{00000000-0005-0000-0000-0000C70C0000}"/>
    <cellStyle name="백분율 8 8" xfId="1684" xr:uid="{00000000-0005-0000-0000-0000C80C0000}"/>
    <cellStyle name="백분율 8 9" xfId="1685" xr:uid="{00000000-0005-0000-0000-0000C90C0000}"/>
    <cellStyle name="백분율 9 10" xfId="1686" xr:uid="{00000000-0005-0000-0000-0000CA0C0000}"/>
    <cellStyle name="백분율 9 11" xfId="1687" xr:uid="{00000000-0005-0000-0000-0000CB0C0000}"/>
    <cellStyle name="백분율 9 12" xfId="1688" xr:uid="{00000000-0005-0000-0000-0000CC0C0000}"/>
    <cellStyle name="백분율 9 13" xfId="1689" xr:uid="{00000000-0005-0000-0000-0000CD0C0000}"/>
    <cellStyle name="백분율 9 14" xfId="1690" xr:uid="{00000000-0005-0000-0000-0000CE0C0000}"/>
    <cellStyle name="백분율 9 15" xfId="1691" xr:uid="{00000000-0005-0000-0000-0000CF0C0000}"/>
    <cellStyle name="백분율 9 16" xfId="1692" xr:uid="{00000000-0005-0000-0000-0000D00C0000}"/>
    <cellStyle name="백분율 9 17" xfId="1693" xr:uid="{00000000-0005-0000-0000-0000D10C0000}"/>
    <cellStyle name="백분율 9 18" xfId="1694" xr:uid="{00000000-0005-0000-0000-0000D20C0000}"/>
    <cellStyle name="백분율 9 19" xfId="1695" xr:uid="{00000000-0005-0000-0000-0000D30C0000}"/>
    <cellStyle name="백분율 9 2" xfId="1696" xr:uid="{00000000-0005-0000-0000-0000D40C0000}"/>
    <cellStyle name="백분율 9 20" xfId="1697" xr:uid="{00000000-0005-0000-0000-0000D50C0000}"/>
    <cellStyle name="백분율 9 21" xfId="1698" xr:uid="{00000000-0005-0000-0000-0000D60C0000}"/>
    <cellStyle name="백분율 9 22" xfId="1699" xr:uid="{00000000-0005-0000-0000-0000D70C0000}"/>
    <cellStyle name="백분율 9 23" xfId="1700" xr:uid="{00000000-0005-0000-0000-0000D80C0000}"/>
    <cellStyle name="백분율 9 24" xfId="1701" xr:uid="{00000000-0005-0000-0000-0000D90C0000}"/>
    <cellStyle name="백분율 9 25" xfId="1702" xr:uid="{00000000-0005-0000-0000-0000DA0C0000}"/>
    <cellStyle name="백분율 9 26" xfId="1703" xr:uid="{00000000-0005-0000-0000-0000DB0C0000}"/>
    <cellStyle name="백분율 9 27" xfId="1704" xr:uid="{00000000-0005-0000-0000-0000DC0C0000}"/>
    <cellStyle name="백분율 9 3" xfId="1705" xr:uid="{00000000-0005-0000-0000-0000DD0C0000}"/>
    <cellStyle name="백분율 9 4" xfId="1706" xr:uid="{00000000-0005-0000-0000-0000DE0C0000}"/>
    <cellStyle name="백분율 9 5" xfId="1707" xr:uid="{00000000-0005-0000-0000-0000DF0C0000}"/>
    <cellStyle name="백분율 9 6" xfId="1708" xr:uid="{00000000-0005-0000-0000-0000E00C0000}"/>
    <cellStyle name="백분율 9 7" xfId="1709" xr:uid="{00000000-0005-0000-0000-0000E10C0000}"/>
    <cellStyle name="백분율 9 8" xfId="1710" xr:uid="{00000000-0005-0000-0000-0000E20C0000}"/>
    <cellStyle name="백분율 9 9" xfId="1711" xr:uid="{00000000-0005-0000-0000-0000E30C0000}"/>
    <cellStyle name="백분율 유형(&amp;P)" xfId="5078" xr:uid="{00000000-0005-0000-0000-0000E40C0000}"/>
    <cellStyle name="백분율유형(1)" xfId="5079" xr:uid="{00000000-0005-0000-0000-0000E50C0000}"/>
    <cellStyle name="보통" xfId="9" builtinId="28" customBuiltin="1"/>
    <cellStyle name="보통 2" xfId="370" xr:uid="{00000000-0005-0000-0000-0000E70C0000}"/>
    <cellStyle name="보통 2 2" xfId="3629" xr:uid="{00000000-0005-0000-0000-0000E80C0000}"/>
    <cellStyle name="보통 3" xfId="1712" xr:uid="{00000000-0005-0000-0000-0000E90C0000}"/>
    <cellStyle name="분기" xfId="5080" xr:uid="{00000000-0005-0000-0000-0000EA0C0000}"/>
    <cellStyle name="뷭?" xfId="5081" xr:uid="{00000000-0005-0000-0000-0000EB0C0000}"/>
    <cellStyle name="뷰A? [0]_엄넷?? " xfId="5082" xr:uid="{00000000-0005-0000-0000-0000EC0C0000}"/>
    <cellStyle name="뷰A?_엄넷?? " xfId="5083" xr:uid="{00000000-0005-0000-0000-0000ED0C0000}"/>
    <cellStyle name="ㅅ" xfId="5084" xr:uid="{00000000-0005-0000-0000-0000EE0C0000}"/>
    <cellStyle name="常规 2" xfId="5085" xr:uid="{00000000-0005-0000-0000-0000EF0C0000}"/>
    <cellStyle name="常规 3" xfId="5086" xr:uid="{00000000-0005-0000-0000-0000F00C0000}"/>
    <cellStyle name="常规 3 2" xfId="5087" xr:uid="{00000000-0005-0000-0000-0000F10C0000}"/>
    <cellStyle name="常规 3 3" xfId="5088" xr:uid="{00000000-0005-0000-0000-0000F20C0000}"/>
    <cellStyle name="常规 3_00.2011년 중국 중장기 Capex계획 재검토보고서(길리JV,110121)v2" xfId="5089" xr:uid="{00000000-0005-0000-0000-0000F30C0000}"/>
    <cellStyle name="常规 4" xfId="5090" xr:uid="{00000000-0005-0000-0000-0000F40C0000}"/>
    <cellStyle name="常规 5" xfId="5091" xr:uid="{00000000-0005-0000-0000-0000F50C0000}"/>
    <cellStyle name="常规 5 2" xfId="5092" xr:uid="{00000000-0005-0000-0000-0000F60C0000}"/>
    <cellStyle name="常规 5 3" xfId="5093" xr:uid="{00000000-0005-0000-0000-0000F70C0000}"/>
    <cellStyle name="常规 5_00.2011년 중국 중장기 Capex계획 재검토보고서(길리JV,110121)v2" xfId="5094" xr:uid="{00000000-0005-0000-0000-0000F80C0000}"/>
    <cellStyle name="常规 6" xfId="5095" xr:uid="{00000000-0005-0000-0000-0000F90C0000}"/>
    <cellStyle name="常规 7" xfId="5096" xr:uid="{00000000-0005-0000-0000-0000FA0C0000}"/>
    <cellStyle name="常规_04资本预算년자본예산(공장요청031206)" xfId="5097" xr:uid="{00000000-0005-0000-0000-0000FB0C0000}"/>
    <cellStyle name="새귑_롤痰삠悧 " xfId="5099" xr:uid="{00000000-0005-0000-0000-0000FD0C0000}"/>
    <cellStyle name="새귑[0]_롤痰삠悧 " xfId="5098" xr:uid="{00000000-0005-0000-0000-0000FC0C0000}"/>
    <cellStyle name="설명 텍스트" xfId="17" builtinId="53" customBuiltin="1"/>
    <cellStyle name="설명 텍스트 2" xfId="371" xr:uid="{00000000-0005-0000-0000-0000FF0C0000}"/>
    <cellStyle name="설명 텍스트 2 2" xfId="3630" xr:uid="{00000000-0005-0000-0000-0000000D0000}"/>
    <cellStyle name="설명 텍스트 3" xfId="1713" xr:uid="{00000000-0005-0000-0000-0000010D0000}"/>
    <cellStyle name="셀 확인" xfId="14" builtinId="23" customBuiltin="1"/>
    <cellStyle name="셀 확인 2" xfId="372" xr:uid="{00000000-0005-0000-0000-0000030D0000}"/>
    <cellStyle name="셀 확인 2 2" xfId="3631" xr:uid="{00000000-0005-0000-0000-0000040D0000}"/>
    <cellStyle name="셀 확인 3" xfId="1714" xr:uid="{00000000-0005-0000-0000-0000050D0000}"/>
    <cellStyle name="셈迷?XLS!check_filesche|_x0005_" xfId="5100" xr:uid="{00000000-0005-0000-0000-0000060D0000}"/>
    <cellStyle name="숫자" xfId="5101" xr:uid="{00000000-0005-0000-0000-0000070D0000}"/>
    <cellStyle name="숫자(R)" xfId="5102" xr:uid="{00000000-0005-0000-0000-0000080D0000}"/>
    <cellStyle name="숫자[1]" xfId="5103" xr:uid="{00000000-0005-0000-0000-0000090D0000}"/>
    <cellStyle name="쉼표 [0]" xfId="43" builtinId="6"/>
    <cellStyle name="쉼표 [0] 10 10" xfId="1715" xr:uid="{00000000-0005-0000-0000-00000B0D0000}"/>
    <cellStyle name="쉼표 [0] 10 10 2" xfId="1716" xr:uid="{00000000-0005-0000-0000-00000C0D0000}"/>
    <cellStyle name="쉼표 [0] 10 11" xfId="1717" xr:uid="{00000000-0005-0000-0000-00000D0D0000}"/>
    <cellStyle name="쉼표 [0] 10 12" xfId="1718" xr:uid="{00000000-0005-0000-0000-00000E0D0000}"/>
    <cellStyle name="쉼표 [0] 10 13" xfId="1719" xr:uid="{00000000-0005-0000-0000-00000F0D0000}"/>
    <cellStyle name="쉼표 [0] 10 14" xfId="1720" xr:uid="{00000000-0005-0000-0000-0000100D0000}"/>
    <cellStyle name="쉼표 [0] 10 15" xfId="1721" xr:uid="{00000000-0005-0000-0000-0000110D0000}"/>
    <cellStyle name="쉼표 [0] 10 16" xfId="1722" xr:uid="{00000000-0005-0000-0000-0000120D0000}"/>
    <cellStyle name="쉼표 [0] 10 17" xfId="1723" xr:uid="{00000000-0005-0000-0000-0000130D0000}"/>
    <cellStyle name="쉼표 [0] 10 18" xfId="1724" xr:uid="{00000000-0005-0000-0000-0000140D0000}"/>
    <cellStyle name="쉼표 [0] 10 19" xfId="1725" xr:uid="{00000000-0005-0000-0000-0000150D0000}"/>
    <cellStyle name="쉼표 [0] 10 19 2" xfId="1726" xr:uid="{00000000-0005-0000-0000-0000160D0000}"/>
    <cellStyle name="쉼표 [0] 10 2" xfId="1727" xr:uid="{00000000-0005-0000-0000-0000170D0000}"/>
    <cellStyle name="쉼표 [0] 10 20" xfId="1728" xr:uid="{00000000-0005-0000-0000-0000180D0000}"/>
    <cellStyle name="쉼표 [0] 10 21" xfId="1729" xr:uid="{00000000-0005-0000-0000-0000190D0000}"/>
    <cellStyle name="쉼표 [0] 10 22" xfId="1730" xr:uid="{00000000-0005-0000-0000-00001A0D0000}"/>
    <cellStyle name="쉼표 [0] 10 23" xfId="1731" xr:uid="{00000000-0005-0000-0000-00001B0D0000}"/>
    <cellStyle name="쉼표 [0] 10 24" xfId="1732" xr:uid="{00000000-0005-0000-0000-00001C0D0000}"/>
    <cellStyle name="쉼표 [0] 10 25" xfId="1733" xr:uid="{00000000-0005-0000-0000-00001D0D0000}"/>
    <cellStyle name="쉼표 [0] 10 26" xfId="1734" xr:uid="{00000000-0005-0000-0000-00001E0D0000}"/>
    <cellStyle name="쉼표 [0] 10 27" xfId="1735" xr:uid="{00000000-0005-0000-0000-00001F0D0000}"/>
    <cellStyle name="쉼표 [0] 10 28" xfId="1736" xr:uid="{00000000-0005-0000-0000-0000200D0000}"/>
    <cellStyle name="쉼표 [0] 10 29" xfId="1737" xr:uid="{00000000-0005-0000-0000-0000210D0000}"/>
    <cellStyle name="쉼표 [0] 10 3" xfId="1738" xr:uid="{00000000-0005-0000-0000-0000220D0000}"/>
    <cellStyle name="쉼표 [0] 10 30" xfId="1739" xr:uid="{00000000-0005-0000-0000-0000230D0000}"/>
    <cellStyle name="쉼표 [0] 10 31" xfId="1740" xr:uid="{00000000-0005-0000-0000-0000240D0000}"/>
    <cellStyle name="쉼표 [0] 10 32" xfId="1741" xr:uid="{00000000-0005-0000-0000-0000250D0000}"/>
    <cellStyle name="쉼표 [0] 10 33" xfId="1742" xr:uid="{00000000-0005-0000-0000-0000260D0000}"/>
    <cellStyle name="쉼표 [0] 10 34" xfId="1743" xr:uid="{00000000-0005-0000-0000-0000270D0000}"/>
    <cellStyle name="쉼표 [0] 10 35" xfId="1744" xr:uid="{00000000-0005-0000-0000-0000280D0000}"/>
    <cellStyle name="쉼표 [0] 10 36" xfId="1745" xr:uid="{00000000-0005-0000-0000-0000290D0000}"/>
    <cellStyle name="쉼표 [0] 10 37" xfId="1746" xr:uid="{00000000-0005-0000-0000-00002A0D0000}"/>
    <cellStyle name="쉼표 [0] 10 38" xfId="1747" xr:uid="{00000000-0005-0000-0000-00002B0D0000}"/>
    <cellStyle name="쉼표 [0] 10 39" xfId="1748" xr:uid="{00000000-0005-0000-0000-00002C0D0000}"/>
    <cellStyle name="쉼표 [0] 10 4" xfId="1749" xr:uid="{00000000-0005-0000-0000-00002D0D0000}"/>
    <cellStyle name="쉼표 [0] 10 5" xfId="1750" xr:uid="{00000000-0005-0000-0000-00002E0D0000}"/>
    <cellStyle name="쉼표 [0] 10 6" xfId="1751" xr:uid="{00000000-0005-0000-0000-00002F0D0000}"/>
    <cellStyle name="쉼표 [0] 10 7" xfId="1752" xr:uid="{00000000-0005-0000-0000-0000300D0000}"/>
    <cellStyle name="쉼표 [0] 10 8" xfId="1753" xr:uid="{00000000-0005-0000-0000-0000310D0000}"/>
    <cellStyle name="쉼표 [0] 10 85 2" xfId="1754" xr:uid="{00000000-0005-0000-0000-0000320D0000}"/>
    <cellStyle name="쉼표 [0] 10 9" xfId="1755" xr:uid="{00000000-0005-0000-0000-0000330D0000}"/>
    <cellStyle name="쉼표 [0] 11 10" xfId="1756" xr:uid="{00000000-0005-0000-0000-0000340D0000}"/>
    <cellStyle name="쉼표 [0] 11 11" xfId="1757" xr:uid="{00000000-0005-0000-0000-0000350D0000}"/>
    <cellStyle name="쉼표 [0] 11 12" xfId="1758" xr:uid="{00000000-0005-0000-0000-0000360D0000}"/>
    <cellStyle name="쉼표 [0] 11 13" xfId="1759" xr:uid="{00000000-0005-0000-0000-0000370D0000}"/>
    <cellStyle name="쉼표 [0] 11 14" xfId="1760" xr:uid="{00000000-0005-0000-0000-0000380D0000}"/>
    <cellStyle name="쉼표 [0] 11 15" xfId="1761" xr:uid="{00000000-0005-0000-0000-0000390D0000}"/>
    <cellStyle name="쉼표 [0] 11 16" xfId="1762" xr:uid="{00000000-0005-0000-0000-00003A0D0000}"/>
    <cellStyle name="쉼표 [0] 11 17" xfId="1763" xr:uid="{00000000-0005-0000-0000-00003B0D0000}"/>
    <cellStyle name="쉼표 [0] 11 18" xfId="1764" xr:uid="{00000000-0005-0000-0000-00003C0D0000}"/>
    <cellStyle name="쉼표 [0] 11 19" xfId="1765" xr:uid="{00000000-0005-0000-0000-00003D0D0000}"/>
    <cellStyle name="쉼표 [0] 11 2" xfId="1766" xr:uid="{00000000-0005-0000-0000-00003E0D0000}"/>
    <cellStyle name="쉼표 [0] 11 20" xfId="1767" xr:uid="{00000000-0005-0000-0000-00003F0D0000}"/>
    <cellStyle name="쉼표 [0] 11 21" xfId="1768" xr:uid="{00000000-0005-0000-0000-0000400D0000}"/>
    <cellStyle name="쉼표 [0] 11 22" xfId="1769" xr:uid="{00000000-0005-0000-0000-0000410D0000}"/>
    <cellStyle name="쉼표 [0] 11 23" xfId="1770" xr:uid="{00000000-0005-0000-0000-0000420D0000}"/>
    <cellStyle name="쉼표 [0] 11 24" xfId="1771" xr:uid="{00000000-0005-0000-0000-0000430D0000}"/>
    <cellStyle name="쉼표 [0] 11 25" xfId="1772" xr:uid="{00000000-0005-0000-0000-0000440D0000}"/>
    <cellStyle name="쉼표 [0] 11 26" xfId="1773" xr:uid="{00000000-0005-0000-0000-0000450D0000}"/>
    <cellStyle name="쉼표 [0] 11 27" xfId="1774" xr:uid="{00000000-0005-0000-0000-0000460D0000}"/>
    <cellStyle name="쉼표 [0] 11 3" xfId="1775" xr:uid="{00000000-0005-0000-0000-0000470D0000}"/>
    <cellStyle name="쉼표 [0] 11 4" xfId="1776" xr:uid="{00000000-0005-0000-0000-0000480D0000}"/>
    <cellStyle name="쉼표 [0] 11 5" xfId="1777" xr:uid="{00000000-0005-0000-0000-0000490D0000}"/>
    <cellStyle name="쉼표 [0] 11 6" xfId="1778" xr:uid="{00000000-0005-0000-0000-00004A0D0000}"/>
    <cellStyle name="쉼표 [0] 11 7" xfId="1779" xr:uid="{00000000-0005-0000-0000-00004B0D0000}"/>
    <cellStyle name="쉼표 [0] 11 8" xfId="1780" xr:uid="{00000000-0005-0000-0000-00004C0D0000}"/>
    <cellStyle name="쉼표 [0] 11 9" xfId="1781" xr:uid="{00000000-0005-0000-0000-00004D0D0000}"/>
    <cellStyle name="쉼표 [0] 12 10" xfId="1782" xr:uid="{00000000-0005-0000-0000-00004E0D0000}"/>
    <cellStyle name="쉼표 [0] 12 11" xfId="1783" xr:uid="{00000000-0005-0000-0000-00004F0D0000}"/>
    <cellStyle name="쉼표 [0] 12 12" xfId="1784" xr:uid="{00000000-0005-0000-0000-0000500D0000}"/>
    <cellStyle name="쉼표 [0] 12 13" xfId="1785" xr:uid="{00000000-0005-0000-0000-0000510D0000}"/>
    <cellStyle name="쉼표 [0] 12 14" xfId="1786" xr:uid="{00000000-0005-0000-0000-0000520D0000}"/>
    <cellStyle name="쉼표 [0] 12 15" xfId="1787" xr:uid="{00000000-0005-0000-0000-0000530D0000}"/>
    <cellStyle name="쉼표 [0] 12 16" xfId="1788" xr:uid="{00000000-0005-0000-0000-0000540D0000}"/>
    <cellStyle name="쉼표 [0] 12 17" xfId="1789" xr:uid="{00000000-0005-0000-0000-0000550D0000}"/>
    <cellStyle name="쉼표 [0] 12 18" xfId="1790" xr:uid="{00000000-0005-0000-0000-0000560D0000}"/>
    <cellStyle name="쉼표 [0] 12 19" xfId="1791" xr:uid="{00000000-0005-0000-0000-0000570D0000}"/>
    <cellStyle name="쉼표 [0] 12 2" xfId="1792" xr:uid="{00000000-0005-0000-0000-0000580D0000}"/>
    <cellStyle name="쉼표 [0] 12 20" xfId="1793" xr:uid="{00000000-0005-0000-0000-0000590D0000}"/>
    <cellStyle name="쉼표 [0] 12 21" xfId="1794" xr:uid="{00000000-0005-0000-0000-00005A0D0000}"/>
    <cellStyle name="쉼표 [0] 12 22" xfId="1795" xr:uid="{00000000-0005-0000-0000-00005B0D0000}"/>
    <cellStyle name="쉼표 [0] 12 23" xfId="1796" xr:uid="{00000000-0005-0000-0000-00005C0D0000}"/>
    <cellStyle name="쉼표 [0] 12 24" xfId="1797" xr:uid="{00000000-0005-0000-0000-00005D0D0000}"/>
    <cellStyle name="쉼표 [0] 12 25" xfId="1798" xr:uid="{00000000-0005-0000-0000-00005E0D0000}"/>
    <cellStyle name="쉼표 [0] 12 26" xfId="1799" xr:uid="{00000000-0005-0000-0000-00005F0D0000}"/>
    <cellStyle name="쉼표 [0] 12 27" xfId="1800" xr:uid="{00000000-0005-0000-0000-0000600D0000}"/>
    <cellStyle name="쉼표 [0] 12 3" xfId="1801" xr:uid="{00000000-0005-0000-0000-0000610D0000}"/>
    <cellStyle name="쉼표 [0] 12 4" xfId="1802" xr:uid="{00000000-0005-0000-0000-0000620D0000}"/>
    <cellStyle name="쉼표 [0] 12 5" xfId="1803" xr:uid="{00000000-0005-0000-0000-0000630D0000}"/>
    <cellStyle name="쉼표 [0] 12 6" xfId="1804" xr:uid="{00000000-0005-0000-0000-0000640D0000}"/>
    <cellStyle name="쉼표 [0] 12 7" xfId="1805" xr:uid="{00000000-0005-0000-0000-0000650D0000}"/>
    <cellStyle name="쉼표 [0] 12 8" xfId="1806" xr:uid="{00000000-0005-0000-0000-0000660D0000}"/>
    <cellStyle name="쉼표 [0] 12 9" xfId="1807" xr:uid="{00000000-0005-0000-0000-0000670D0000}"/>
    <cellStyle name="쉼표 [0] 13 10" xfId="1808" xr:uid="{00000000-0005-0000-0000-0000680D0000}"/>
    <cellStyle name="쉼표 [0] 13 11" xfId="1809" xr:uid="{00000000-0005-0000-0000-0000690D0000}"/>
    <cellStyle name="쉼표 [0] 13 12" xfId="1810" xr:uid="{00000000-0005-0000-0000-00006A0D0000}"/>
    <cellStyle name="쉼표 [0] 13 13" xfId="1811" xr:uid="{00000000-0005-0000-0000-00006B0D0000}"/>
    <cellStyle name="쉼표 [0] 13 14" xfId="1812" xr:uid="{00000000-0005-0000-0000-00006C0D0000}"/>
    <cellStyle name="쉼표 [0] 13 15" xfId="1813" xr:uid="{00000000-0005-0000-0000-00006D0D0000}"/>
    <cellStyle name="쉼표 [0] 13 16" xfId="1814" xr:uid="{00000000-0005-0000-0000-00006E0D0000}"/>
    <cellStyle name="쉼표 [0] 13 17" xfId="1815" xr:uid="{00000000-0005-0000-0000-00006F0D0000}"/>
    <cellStyle name="쉼표 [0] 13 18" xfId="1816" xr:uid="{00000000-0005-0000-0000-0000700D0000}"/>
    <cellStyle name="쉼표 [0] 13 19" xfId="1817" xr:uid="{00000000-0005-0000-0000-0000710D0000}"/>
    <cellStyle name="쉼표 [0] 13 2" xfId="1818" xr:uid="{00000000-0005-0000-0000-0000720D0000}"/>
    <cellStyle name="쉼표 [0] 13 20" xfId="1819" xr:uid="{00000000-0005-0000-0000-0000730D0000}"/>
    <cellStyle name="쉼표 [0] 13 21" xfId="1820" xr:uid="{00000000-0005-0000-0000-0000740D0000}"/>
    <cellStyle name="쉼표 [0] 13 22" xfId="1821" xr:uid="{00000000-0005-0000-0000-0000750D0000}"/>
    <cellStyle name="쉼표 [0] 13 23" xfId="1822" xr:uid="{00000000-0005-0000-0000-0000760D0000}"/>
    <cellStyle name="쉼표 [0] 13 24" xfId="1823" xr:uid="{00000000-0005-0000-0000-0000770D0000}"/>
    <cellStyle name="쉼표 [0] 13 25" xfId="1824" xr:uid="{00000000-0005-0000-0000-0000780D0000}"/>
    <cellStyle name="쉼표 [0] 13 26" xfId="1825" xr:uid="{00000000-0005-0000-0000-0000790D0000}"/>
    <cellStyle name="쉼표 [0] 13 27" xfId="1826" xr:uid="{00000000-0005-0000-0000-00007A0D0000}"/>
    <cellStyle name="쉼표 [0] 13 28" xfId="1827" xr:uid="{00000000-0005-0000-0000-00007B0D0000}"/>
    <cellStyle name="쉼표 [0] 13 29" xfId="1828" xr:uid="{00000000-0005-0000-0000-00007C0D0000}"/>
    <cellStyle name="쉼표 [0] 13 3" xfId="1829" xr:uid="{00000000-0005-0000-0000-00007D0D0000}"/>
    <cellStyle name="쉼표 [0] 13 30" xfId="1830" xr:uid="{00000000-0005-0000-0000-00007E0D0000}"/>
    <cellStyle name="쉼표 [0] 13 31" xfId="1831" xr:uid="{00000000-0005-0000-0000-00007F0D0000}"/>
    <cellStyle name="쉼표 [0] 13 32" xfId="1832" xr:uid="{00000000-0005-0000-0000-0000800D0000}"/>
    <cellStyle name="쉼표 [0] 13 33" xfId="1833" xr:uid="{00000000-0005-0000-0000-0000810D0000}"/>
    <cellStyle name="쉼표 [0] 13 34" xfId="1834" xr:uid="{00000000-0005-0000-0000-0000820D0000}"/>
    <cellStyle name="쉼표 [0] 13 35" xfId="1835" xr:uid="{00000000-0005-0000-0000-0000830D0000}"/>
    <cellStyle name="쉼표 [0] 13 36" xfId="1836" xr:uid="{00000000-0005-0000-0000-0000840D0000}"/>
    <cellStyle name="쉼표 [0] 13 37" xfId="1837" xr:uid="{00000000-0005-0000-0000-0000850D0000}"/>
    <cellStyle name="쉼표 [0] 13 38" xfId="1838" xr:uid="{00000000-0005-0000-0000-0000860D0000}"/>
    <cellStyle name="쉼표 [0] 13 39" xfId="1839" xr:uid="{00000000-0005-0000-0000-0000870D0000}"/>
    <cellStyle name="쉼표 [0] 13 4" xfId="1840" xr:uid="{00000000-0005-0000-0000-0000880D0000}"/>
    <cellStyle name="쉼표 [0] 13 40" xfId="1841" xr:uid="{00000000-0005-0000-0000-0000890D0000}"/>
    <cellStyle name="쉼표 [0] 13 41" xfId="1842" xr:uid="{00000000-0005-0000-0000-00008A0D0000}"/>
    <cellStyle name="쉼표 [0] 13 42" xfId="1843" xr:uid="{00000000-0005-0000-0000-00008B0D0000}"/>
    <cellStyle name="쉼표 [0] 13 43" xfId="1844" xr:uid="{00000000-0005-0000-0000-00008C0D0000}"/>
    <cellStyle name="쉼표 [0] 13 44" xfId="1845" xr:uid="{00000000-0005-0000-0000-00008D0D0000}"/>
    <cellStyle name="쉼표 [0] 13 45" xfId="1846" xr:uid="{00000000-0005-0000-0000-00008E0D0000}"/>
    <cellStyle name="쉼표 [0] 13 46" xfId="1847" xr:uid="{00000000-0005-0000-0000-00008F0D0000}"/>
    <cellStyle name="쉼표 [0] 13 47" xfId="1848" xr:uid="{00000000-0005-0000-0000-0000900D0000}"/>
    <cellStyle name="쉼표 [0] 13 48" xfId="1849" xr:uid="{00000000-0005-0000-0000-0000910D0000}"/>
    <cellStyle name="쉼표 [0] 13 49" xfId="1850" xr:uid="{00000000-0005-0000-0000-0000920D0000}"/>
    <cellStyle name="쉼표 [0] 13 5" xfId="1851" xr:uid="{00000000-0005-0000-0000-0000930D0000}"/>
    <cellStyle name="쉼표 [0] 13 50" xfId="1852" xr:uid="{00000000-0005-0000-0000-0000940D0000}"/>
    <cellStyle name="쉼표 [0] 13 51" xfId="1853" xr:uid="{00000000-0005-0000-0000-0000950D0000}"/>
    <cellStyle name="쉼표 [0] 13 52" xfId="1854" xr:uid="{00000000-0005-0000-0000-0000960D0000}"/>
    <cellStyle name="쉼표 [0] 13 53" xfId="1855" xr:uid="{00000000-0005-0000-0000-0000970D0000}"/>
    <cellStyle name="쉼표 [0] 13 54" xfId="1856" xr:uid="{00000000-0005-0000-0000-0000980D0000}"/>
    <cellStyle name="쉼표 [0] 13 55" xfId="1857" xr:uid="{00000000-0005-0000-0000-0000990D0000}"/>
    <cellStyle name="쉼표 [0] 13 56" xfId="1858" xr:uid="{00000000-0005-0000-0000-00009A0D0000}"/>
    <cellStyle name="쉼표 [0] 13 57" xfId="1859" xr:uid="{00000000-0005-0000-0000-00009B0D0000}"/>
    <cellStyle name="쉼표 [0] 13 58" xfId="1860" xr:uid="{00000000-0005-0000-0000-00009C0D0000}"/>
    <cellStyle name="쉼표 [0] 13 59" xfId="1861" xr:uid="{00000000-0005-0000-0000-00009D0D0000}"/>
    <cellStyle name="쉼표 [0] 13 6" xfId="1862" xr:uid="{00000000-0005-0000-0000-00009E0D0000}"/>
    <cellStyle name="쉼표 [0] 13 60" xfId="1863" xr:uid="{00000000-0005-0000-0000-00009F0D0000}"/>
    <cellStyle name="쉼표 [0] 13 61" xfId="1864" xr:uid="{00000000-0005-0000-0000-0000A00D0000}"/>
    <cellStyle name="쉼표 [0] 13 62" xfId="1865" xr:uid="{00000000-0005-0000-0000-0000A10D0000}"/>
    <cellStyle name="쉼표 [0] 13 63" xfId="1866" xr:uid="{00000000-0005-0000-0000-0000A20D0000}"/>
    <cellStyle name="쉼표 [0] 13 64" xfId="1867" xr:uid="{00000000-0005-0000-0000-0000A30D0000}"/>
    <cellStyle name="쉼표 [0] 13 65" xfId="1868" xr:uid="{00000000-0005-0000-0000-0000A40D0000}"/>
    <cellStyle name="쉼표 [0] 13 66" xfId="1869" xr:uid="{00000000-0005-0000-0000-0000A50D0000}"/>
    <cellStyle name="쉼표 [0] 13 67" xfId="1870" xr:uid="{00000000-0005-0000-0000-0000A60D0000}"/>
    <cellStyle name="쉼표 [0] 13 68" xfId="1871" xr:uid="{00000000-0005-0000-0000-0000A70D0000}"/>
    <cellStyle name="쉼표 [0] 13 69" xfId="1872" xr:uid="{00000000-0005-0000-0000-0000A80D0000}"/>
    <cellStyle name="쉼표 [0] 13 7" xfId="1873" xr:uid="{00000000-0005-0000-0000-0000A90D0000}"/>
    <cellStyle name="쉼표 [0] 13 70" xfId="1874" xr:uid="{00000000-0005-0000-0000-0000AA0D0000}"/>
    <cellStyle name="쉼표 [0] 13 71" xfId="1875" xr:uid="{00000000-0005-0000-0000-0000AB0D0000}"/>
    <cellStyle name="쉼표 [0] 13 72" xfId="1876" xr:uid="{00000000-0005-0000-0000-0000AC0D0000}"/>
    <cellStyle name="쉼표 [0] 13 8" xfId="1877" xr:uid="{00000000-0005-0000-0000-0000AD0D0000}"/>
    <cellStyle name="쉼표 [0] 13 9" xfId="1878" xr:uid="{00000000-0005-0000-0000-0000AE0D0000}"/>
    <cellStyle name="쉼표 [0] 139 2" xfId="1879" xr:uid="{00000000-0005-0000-0000-0000AF0D0000}"/>
    <cellStyle name="쉼표 [0] 16 10" xfId="1880" xr:uid="{00000000-0005-0000-0000-0000B00D0000}"/>
    <cellStyle name="쉼표 [0] 16 10 2" xfId="1881" xr:uid="{00000000-0005-0000-0000-0000B10D0000}"/>
    <cellStyle name="쉼표 [0] 16 11" xfId="1882" xr:uid="{00000000-0005-0000-0000-0000B20D0000}"/>
    <cellStyle name="쉼표 [0] 16 11 2" xfId="1883" xr:uid="{00000000-0005-0000-0000-0000B30D0000}"/>
    <cellStyle name="쉼표 [0] 16 12" xfId="1884" xr:uid="{00000000-0005-0000-0000-0000B40D0000}"/>
    <cellStyle name="쉼표 [0] 16 12 2" xfId="1885" xr:uid="{00000000-0005-0000-0000-0000B50D0000}"/>
    <cellStyle name="쉼표 [0] 16 13" xfId="1886" xr:uid="{00000000-0005-0000-0000-0000B60D0000}"/>
    <cellStyle name="쉼표 [0] 16 13 2" xfId="1887" xr:uid="{00000000-0005-0000-0000-0000B70D0000}"/>
    <cellStyle name="쉼표 [0] 16 14" xfId="1888" xr:uid="{00000000-0005-0000-0000-0000B80D0000}"/>
    <cellStyle name="쉼표 [0] 16 14 2" xfId="1889" xr:uid="{00000000-0005-0000-0000-0000B90D0000}"/>
    <cellStyle name="쉼표 [0] 16 15" xfId="1890" xr:uid="{00000000-0005-0000-0000-0000BA0D0000}"/>
    <cellStyle name="쉼표 [0] 16 15 2" xfId="1891" xr:uid="{00000000-0005-0000-0000-0000BB0D0000}"/>
    <cellStyle name="쉼표 [0] 16 16" xfId="1892" xr:uid="{00000000-0005-0000-0000-0000BC0D0000}"/>
    <cellStyle name="쉼표 [0] 16 16 2" xfId="1893" xr:uid="{00000000-0005-0000-0000-0000BD0D0000}"/>
    <cellStyle name="쉼표 [0] 16 17" xfId="1894" xr:uid="{00000000-0005-0000-0000-0000BE0D0000}"/>
    <cellStyle name="쉼표 [0] 16 17 2" xfId="1895" xr:uid="{00000000-0005-0000-0000-0000BF0D0000}"/>
    <cellStyle name="쉼표 [0] 16 18" xfId="1896" xr:uid="{00000000-0005-0000-0000-0000C00D0000}"/>
    <cellStyle name="쉼표 [0] 16 18 2" xfId="1897" xr:uid="{00000000-0005-0000-0000-0000C10D0000}"/>
    <cellStyle name="쉼표 [0] 16 19" xfId="1898" xr:uid="{00000000-0005-0000-0000-0000C20D0000}"/>
    <cellStyle name="쉼표 [0] 16 19 2" xfId="1899" xr:uid="{00000000-0005-0000-0000-0000C30D0000}"/>
    <cellStyle name="쉼표 [0] 16 2" xfId="1900" xr:uid="{00000000-0005-0000-0000-0000C40D0000}"/>
    <cellStyle name="쉼표 [0] 16 2 2" xfId="1901" xr:uid="{00000000-0005-0000-0000-0000C50D0000}"/>
    <cellStyle name="쉼표 [0] 16 20" xfId="1902" xr:uid="{00000000-0005-0000-0000-0000C60D0000}"/>
    <cellStyle name="쉼표 [0] 16 20 2" xfId="1903" xr:uid="{00000000-0005-0000-0000-0000C70D0000}"/>
    <cellStyle name="쉼표 [0] 16 21" xfId="1904" xr:uid="{00000000-0005-0000-0000-0000C80D0000}"/>
    <cellStyle name="쉼표 [0] 16 22" xfId="1905" xr:uid="{00000000-0005-0000-0000-0000C90D0000}"/>
    <cellStyle name="쉼표 [0] 16 23" xfId="1906" xr:uid="{00000000-0005-0000-0000-0000CA0D0000}"/>
    <cellStyle name="쉼표 [0] 16 24" xfId="1907" xr:uid="{00000000-0005-0000-0000-0000CB0D0000}"/>
    <cellStyle name="쉼표 [0] 16 3" xfId="1908" xr:uid="{00000000-0005-0000-0000-0000CC0D0000}"/>
    <cellStyle name="쉼표 [0] 16 3 2" xfId="1909" xr:uid="{00000000-0005-0000-0000-0000CD0D0000}"/>
    <cellStyle name="쉼표 [0] 16 4" xfId="1910" xr:uid="{00000000-0005-0000-0000-0000CE0D0000}"/>
    <cellStyle name="쉼표 [0] 16 4 2" xfId="1911" xr:uid="{00000000-0005-0000-0000-0000CF0D0000}"/>
    <cellStyle name="쉼표 [0] 16 5" xfId="1912" xr:uid="{00000000-0005-0000-0000-0000D00D0000}"/>
    <cellStyle name="쉼표 [0] 16 5 2" xfId="1913" xr:uid="{00000000-0005-0000-0000-0000D10D0000}"/>
    <cellStyle name="쉼표 [0] 16 6" xfId="1914" xr:uid="{00000000-0005-0000-0000-0000D20D0000}"/>
    <cellStyle name="쉼표 [0] 16 6 2" xfId="1915" xr:uid="{00000000-0005-0000-0000-0000D30D0000}"/>
    <cellStyle name="쉼표 [0] 16 7" xfId="1916" xr:uid="{00000000-0005-0000-0000-0000D40D0000}"/>
    <cellStyle name="쉼표 [0] 16 7 2" xfId="1917" xr:uid="{00000000-0005-0000-0000-0000D50D0000}"/>
    <cellStyle name="쉼표 [0] 16 8" xfId="1918" xr:uid="{00000000-0005-0000-0000-0000D60D0000}"/>
    <cellStyle name="쉼표 [0] 16 8 2" xfId="1919" xr:uid="{00000000-0005-0000-0000-0000D70D0000}"/>
    <cellStyle name="쉼표 [0] 16 9" xfId="1920" xr:uid="{00000000-0005-0000-0000-0000D80D0000}"/>
    <cellStyle name="쉼표 [0] 16 9 2" xfId="1921" xr:uid="{00000000-0005-0000-0000-0000D90D0000}"/>
    <cellStyle name="쉼표 [0] 17 10" xfId="1922" xr:uid="{00000000-0005-0000-0000-0000DA0D0000}"/>
    <cellStyle name="쉼표 [0] 17 10 2" xfId="1923" xr:uid="{00000000-0005-0000-0000-0000DB0D0000}"/>
    <cellStyle name="쉼표 [0] 17 11" xfId="1924" xr:uid="{00000000-0005-0000-0000-0000DC0D0000}"/>
    <cellStyle name="쉼표 [0] 17 11 2" xfId="1925" xr:uid="{00000000-0005-0000-0000-0000DD0D0000}"/>
    <cellStyle name="쉼표 [0] 17 12" xfId="1926" xr:uid="{00000000-0005-0000-0000-0000DE0D0000}"/>
    <cellStyle name="쉼표 [0] 17 12 2" xfId="1927" xr:uid="{00000000-0005-0000-0000-0000DF0D0000}"/>
    <cellStyle name="쉼표 [0] 17 13" xfId="1928" xr:uid="{00000000-0005-0000-0000-0000E00D0000}"/>
    <cellStyle name="쉼표 [0] 17 13 2" xfId="1929" xr:uid="{00000000-0005-0000-0000-0000E10D0000}"/>
    <cellStyle name="쉼표 [0] 17 14" xfId="1930" xr:uid="{00000000-0005-0000-0000-0000E20D0000}"/>
    <cellStyle name="쉼표 [0] 17 14 2" xfId="1931" xr:uid="{00000000-0005-0000-0000-0000E30D0000}"/>
    <cellStyle name="쉼표 [0] 17 15" xfId="1932" xr:uid="{00000000-0005-0000-0000-0000E40D0000}"/>
    <cellStyle name="쉼표 [0] 17 15 2" xfId="1933" xr:uid="{00000000-0005-0000-0000-0000E50D0000}"/>
    <cellStyle name="쉼표 [0] 17 16" xfId="1934" xr:uid="{00000000-0005-0000-0000-0000E60D0000}"/>
    <cellStyle name="쉼표 [0] 17 16 2" xfId="1935" xr:uid="{00000000-0005-0000-0000-0000E70D0000}"/>
    <cellStyle name="쉼표 [0] 17 17" xfId="1936" xr:uid="{00000000-0005-0000-0000-0000E80D0000}"/>
    <cellStyle name="쉼표 [0] 17 17 2" xfId="1937" xr:uid="{00000000-0005-0000-0000-0000E90D0000}"/>
    <cellStyle name="쉼표 [0] 17 18" xfId="1938" xr:uid="{00000000-0005-0000-0000-0000EA0D0000}"/>
    <cellStyle name="쉼표 [0] 17 18 2" xfId="1939" xr:uid="{00000000-0005-0000-0000-0000EB0D0000}"/>
    <cellStyle name="쉼표 [0] 17 19" xfId="1940" xr:uid="{00000000-0005-0000-0000-0000EC0D0000}"/>
    <cellStyle name="쉼표 [0] 17 19 2" xfId="1941" xr:uid="{00000000-0005-0000-0000-0000ED0D0000}"/>
    <cellStyle name="쉼표 [0] 17 2" xfId="1942" xr:uid="{00000000-0005-0000-0000-0000EE0D0000}"/>
    <cellStyle name="쉼표 [0] 17 2 2" xfId="1943" xr:uid="{00000000-0005-0000-0000-0000EF0D0000}"/>
    <cellStyle name="쉼표 [0] 17 20" xfId="1944" xr:uid="{00000000-0005-0000-0000-0000F00D0000}"/>
    <cellStyle name="쉼표 [0] 17 20 2" xfId="1945" xr:uid="{00000000-0005-0000-0000-0000F10D0000}"/>
    <cellStyle name="쉼표 [0] 17 21" xfId="1946" xr:uid="{00000000-0005-0000-0000-0000F20D0000}"/>
    <cellStyle name="쉼표 [0] 17 22" xfId="1947" xr:uid="{00000000-0005-0000-0000-0000F30D0000}"/>
    <cellStyle name="쉼표 [0] 17 23" xfId="1948" xr:uid="{00000000-0005-0000-0000-0000F40D0000}"/>
    <cellStyle name="쉼표 [0] 17 24" xfId="1949" xr:uid="{00000000-0005-0000-0000-0000F50D0000}"/>
    <cellStyle name="쉼표 [0] 17 3" xfId="1950" xr:uid="{00000000-0005-0000-0000-0000F60D0000}"/>
    <cellStyle name="쉼표 [0] 17 3 2" xfId="1951" xr:uid="{00000000-0005-0000-0000-0000F70D0000}"/>
    <cellStyle name="쉼표 [0] 17 4" xfId="1952" xr:uid="{00000000-0005-0000-0000-0000F80D0000}"/>
    <cellStyle name="쉼표 [0] 17 4 2" xfId="1953" xr:uid="{00000000-0005-0000-0000-0000F90D0000}"/>
    <cellStyle name="쉼표 [0] 17 5" xfId="1954" xr:uid="{00000000-0005-0000-0000-0000FA0D0000}"/>
    <cellStyle name="쉼표 [0] 17 5 2" xfId="1955" xr:uid="{00000000-0005-0000-0000-0000FB0D0000}"/>
    <cellStyle name="쉼표 [0] 17 6" xfId="1956" xr:uid="{00000000-0005-0000-0000-0000FC0D0000}"/>
    <cellStyle name="쉼표 [0] 17 6 2" xfId="1957" xr:uid="{00000000-0005-0000-0000-0000FD0D0000}"/>
    <cellStyle name="쉼표 [0] 17 7" xfId="1958" xr:uid="{00000000-0005-0000-0000-0000FE0D0000}"/>
    <cellStyle name="쉼표 [0] 17 7 2" xfId="1959" xr:uid="{00000000-0005-0000-0000-0000FF0D0000}"/>
    <cellStyle name="쉼표 [0] 17 8" xfId="1960" xr:uid="{00000000-0005-0000-0000-0000000E0000}"/>
    <cellStyle name="쉼표 [0] 17 8 2" xfId="1961" xr:uid="{00000000-0005-0000-0000-0000010E0000}"/>
    <cellStyle name="쉼표 [0] 17 9" xfId="1962" xr:uid="{00000000-0005-0000-0000-0000020E0000}"/>
    <cellStyle name="쉼표 [0] 17 9 2" xfId="1963" xr:uid="{00000000-0005-0000-0000-0000030E0000}"/>
    <cellStyle name="쉼표 [0] 175" xfId="1964" xr:uid="{00000000-0005-0000-0000-0000040E0000}"/>
    <cellStyle name="쉼표 [0] 18 10" xfId="1965" xr:uid="{00000000-0005-0000-0000-0000050E0000}"/>
    <cellStyle name="쉼표 [0] 18 10 2" xfId="1966" xr:uid="{00000000-0005-0000-0000-0000060E0000}"/>
    <cellStyle name="쉼표 [0] 18 11" xfId="1967" xr:uid="{00000000-0005-0000-0000-0000070E0000}"/>
    <cellStyle name="쉼표 [0] 18 11 2" xfId="1968" xr:uid="{00000000-0005-0000-0000-0000080E0000}"/>
    <cellStyle name="쉼표 [0] 18 12" xfId="1969" xr:uid="{00000000-0005-0000-0000-0000090E0000}"/>
    <cellStyle name="쉼표 [0] 18 12 2" xfId="1970" xr:uid="{00000000-0005-0000-0000-00000A0E0000}"/>
    <cellStyle name="쉼표 [0] 18 13" xfId="1971" xr:uid="{00000000-0005-0000-0000-00000B0E0000}"/>
    <cellStyle name="쉼표 [0] 18 13 2" xfId="1972" xr:uid="{00000000-0005-0000-0000-00000C0E0000}"/>
    <cellStyle name="쉼표 [0] 18 14" xfId="1973" xr:uid="{00000000-0005-0000-0000-00000D0E0000}"/>
    <cellStyle name="쉼표 [0] 18 14 2" xfId="1974" xr:uid="{00000000-0005-0000-0000-00000E0E0000}"/>
    <cellStyle name="쉼표 [0] 18 15" xfId="1975" xr:uid="{00000000-0005-0000-0000-00000F0E0000}"/>
    <cellStyle name="쉼표 [0] 18 15 2" xfId="1976" xr:uid="{00000000-0005-0000-0000-0000100E0000}"/>
    <cellStyle name="쉼표 [0] 18 16" xfId="1977" xr:uid="{00000000-0005-0000-0000-0000110E0000}"/>
    <cellStyle name="쉼표 [0] 18 16 2" xfId="1978" xr:uid="{00000000-0005-0000-0000-0000120E0000}"/>
    <cellStyle name="쉼표 [0] 18 17" xfId="1979" xr:uid="{00000000-0005-0000-0000-0000130E0000}"/>
    <cellStyle name="쉼표 [0] 18 17 2" xfId="1980" xr:uid="{00000000-0005-0000-0000-0000140E0000}"/>
    <cellStyle name="쉼표 [0] 18 18" xfId="1981" xr:uid="{00000000-0005-0000-0000-0000150E0000}"/>
    <cellStyle name="쉼표 [0] 18 18 2" xfId="1982" xr:uid="{00000000-0005-0000-0000-0000160E0000}"/>
    <cellStyle name="쉼표 [0] 18 19" xfId="1983" xr:uid="{00000000-0005-0000-0000-0000170E0000}"/>
    <cellStyle name="쉼표 [0] 18 19 2" xfId="1984" xr:uid="{00000000-0005-0000-0000-0000180E0000}"/>
    <cellStyle name="쉼표 [0] 18 2" xfId="1985" xr:uid="{00000000-0005-0000-0000-0000190E0000}"/>
    <cellStyle name="쉼표 [0] 18 2 2" xfId="1986" xr:uid="{00000000-0005-0000-0000-00001A0E0000}"/>
    <cellStyle name="쉼표 [0] 18 20" xfId="1987" xr:uid="{00000000-0005-0000-0000-00001B0E0000}"/>
    <cellStyle name="쉼표 [0] 18 20 2" xfId="1988" xr:uid="{00000000-0005-0000-0000-00001C0E0000}"/>
    <cellStyle name="쉼표 [0] 18 21" xfId="1989" xr:uid="{00000000-0005-0000-0000-00001D0E0000}"/>
    <cellStyle name="쉼표 [0] 18 22" xfId="1990" xr:uid="{00000000-0005-0000-0000-00001E0E0000}"/>
    <cellStyle name="쉼표 [0] 18 23" xfId="1991" xr:uid="{00000000-0005-0000-0000-00001F0E0000}"/>
    <cellStyle name="쉼표 [0] 18 24" xfId="1992" xr:uid="{00000000-0005-0000-0000-0000200E0000}"/>
    <cellStyle name="쉼표 [0] 18 3" xfId="1993" xr:uid="{00000000-0005-0000-0000-0000210E0000}"/>
    <cellStyle name="쉼표 [0] 18 3 2" xfId="1994" xr:uid="{00000000-0005-0000-0000-0000220E0000}"/>
    <cellStyle name="쉼표 [0] 18 4" xfId="1995" xr:uid="{00000000-0005-0000-0000-0000230E0000}"/>
    <cellStyle name="쉼표 [0] 18 4 2" xfId="1996" xr:uid="{00000000-0005-0000-0000-0000240E0000}"/>
    <cellStyle name="쉼표 [0] 18 5" xfId="1997" xr:uid="{00000000-0005-0000-0000-0000250E0000}"/>
    <cellStyle name="쉼표 [0] 18 5 2" xfId="1998" xr:uid="{00000000-0005-0000-0000-0000260E0000}"/>
    <cellStyle name="쉼표 [0] 18 6" xfId="1999" xr:uid="{00000000-0005-0000-0000-0000270E0000}"/>
    <cellStyle name="쉼표 [0] 18 6 2" xfId="2000" xr:uid="{00000000-0005-0000-0000-0000280E0000}"/>
    <cellStyle name="쉼표 [0] 18 7" xfId="2001" xr:uid="{00000000-0005-0000-0000-0000290E0000}"/>
    <cellStyle name="쉼표 [0] 18 7 2" xfId="2002" xr:uid="{00000000-0005-0000-0000-00002A0E0000}"/>
    <cellStyle name="쉼표 [0] 18 8" xfId="2003" xr:uid="{00000000-0005-0000-0000-00002B0E0000}"/>
    <cellStyle name="쉼표 [0] 18 8 2" xfId="2004" xr:uid="{00000000-0005-0000-0000-00002C0E0000}"/>
    <cellStyle name="쉼표 [0] 18 9" xfId="2005" xr:uid="{00000000-0005-0000-0000-00002D0E0000}"/>
    <cellStyle name="쉼표 [0] 18 9 2" xfId="2006" xr:uid="{00000000-0005-0000-0000-00002E0E0000}"/>
    <cellStyle name="쉼표 [0] 180" xfId="2007" xr:uid="{00000000-0005-0000-0000-00002F0E0000}"/>
    <cellStyle name="쉼표 [0] 19 10" xfId="2008" xr:uid="{00000000-0005-0000-0000-0000300E0000}"/>
    <cellStyle name="쉼표 [0] 19 11" xfId="2009" xr:uid="{00000000-0005-0000-0000-0000310E0000}"/>
    <cellStyle name="쉼표 [0] 19 12" xfId="2010" xr:uid="{00000000-0005-0000-0000-0000320E0000}"/>
    <cellStyle name="쉼표 [0] 19 13" xfId="2011" xr:uid="{00000000-0005-0000-0000-0000330E0000}"/>
    <cellStyle name="쉼표 [0] 19 14" xfId="2012" xr:uid="{00000000-0005-0000-0000-0000340E0000}"/>
    <cellStyle name="쉼표 [0] 19 15" xfId="2013" xr:uid="{00000000-0005-0000-0000-0000350E0000}"/>
    <cellStyle name="쉼표 [0] 19 16" xfId="2014" xr:uid="{00000000-0005-0000-0000-0000360E0000}"/>
    <cellStyle name="쉼표 [0] 19 17" xfId="2015" xr:uid="{00000000-0005-0000-0000-0000370E0000}"/>
    <cellStyle name="쉼표 [0] 19 18" xfId="2016" xr:uid="{00000000-0005-0000-0000-0000380E0000}"/>
    <cellStyle name="쉼표 [0] 19 19" xfId="2017" xr:uid="{00000000-0005-0000-0000-0000390E0000}"/>
    <cellStyle name="쉼표 [0] 19 2" xfId="2018" xr:uid="{00000000-0005-0000-0000-00003A0E0000}"/>
    <cellStyle name="쉼표 [0] 19 20" xfId="2019" xr:uid="{00000000-0005-0000-0000-00003B0E0000}"/>
    <cellStyle name="쉼표 [0] 19 21" xfId="2020" xr:uid="{00000000-0005-0000-0000-00003C0E0000}"/>
    <cellStyle name="쉼표 [0] 19 22" xfId="2021" xr:uid="{00000000-0005-0000-0000-00003D0E0000}"/>
    <cellStyle name="쉼표 [0] 19 23" xfId="2022" xr:uid="{00000000-0005-0000-0000-00003E0E0000}"/>
    <cellStyle name="쉼표 [0] 19 24" xfId="2023" xr:uid="{00000000-0005-0000-0000-00003F0E0000}"/>
    <cellStyle name="쉼표 [0] 19 25" xfId="2024" xr:uid="{00000000-0005-0000-0000-0000400E0000}"/>
    <cellStyle name="쉼표 [0] 19 26" xfId="2025" xr:uid="{00000000-0005-0000-0000-0000410E0000}"/>
    <cellStyle name="쉼표 [0] 19 27" xfId="2026" xr:uid="{00000000-0005-0000-0000-0000420E0000}"/>
    <cellStyle name="쉼표 [0] 19 3" xfId="2027" xr:uid="{00000000-0005-0000-0000-0000430E0000}"/>
    <cellStyle name="쉼표 [0] 19 4" xfId="2028" xr:uid="{00000000-0005-0000-0000-0000440E0000}"/>
    <cellStyle name="쉼표 [0] 19 5" xfId="2029" xr:uid="{00000000-0005-0000-0000-0000450E0000}"/>
    <cellStyle name="쉼표 [0] 19 6" xfId="2030" xr:uid="{00000000-0005-0000-0000-0000460E0000}"/>
    <cellStyle name="쉼표 [0] 19 7" xfId="2031" xr:uid="{00000000-0005-0000-0000-0000470E0000}"/>
    <cellStyle name="쉼표 [0] 19 8" xfId="2032" xr:uid="{00000000-0005-0000-0000-0000480E0000}"/>
    <cellStyle name="쉼표 [0] 19 9" xfId="2033" xr:uid="{00000000-0005-0000-0000-0000490E0000}"/>
    <cellStyle name="쉼표 [0] 199" xfId="2034" xr:uid="{00000000-0005-0000-0000-00004A0E0000}"/>
    <cellStyle name="쉼표 [0] 199 2" xfId="2035" xr:uid="{00000000-0005-0000-0000-00004B0E0000}"/>
    <cellStyle name="쉼표 [0] 2" xfId="398" xr:uid="{00000000-0005-0000-0000-00004C0E0000}"/>
    <cellStyle name="쉼표 [0] 2 10" xfId="2036" xr:uid="{00000000-0005-0000-0000-00004D0E0000}"/>
    <cellStyle name="쉼표 [0] 2 11" xfId="2037" xr:uid="{00000000-0005-0000-0000-00004E0E0000}"/>
    <cellStyle name="쉼표 [0] 2 12" xfId="2038" xr:uid="{00000000-0005-0000-0000-00004F0E0000}"/>
    <cellStyle name="쉼표 [0] 2 13" xfId="2039" xr:uid="{00000000-0005-0000-0000-0000500E0000}"/>
    <cellStyle name="쉼표 [0] 2 14" xfId="2040" xr:uid="{00000000-0005-0000-0000-0000510E0000}"/>
    <cellStyle name="쉼표 [0] 2 15" xfId="2041" xr:uid="{00000000-0005-0000-0000-0000520E0000}"/>
    <cellStyle name="쉼표 [0] 2 16" xfId="2042" xr:uid="{00000000-0005-0000-0000-0000530E0000}"/>
    <cellStyle name="쉼표 [0] 2 17" xfId="2043" xr:uid="{00000000-0005-0000-0000-0000540E0000}"/>
    <cellStyle name="쉼표 [0] 2 18" xfId="2044" xr:uid="{00000000-0005-0000-0000-0000550E0000}"/>
    <cellStyle name="쉼표 [0] 2 19" xfId="2045" xr:uid="{00000000-0005-0000-0000-0000560E0000}"/>
    <cellStyle name="쉼표 [0] 2 2" xfId="2046" xr:uid="{00000000-0005-0000-0000-0000570E0000}"/>
    <cellStyle name="쉼표 [0] 2 20" xfId="2047" xr:uid="{00000000-0005-0000-0000-0000580E0000}"/>
    <cellStyle name="쉼표 [0] 2 21" xfId="2048" xr:uid="{00000000-0005-0000-0000-0000590E0000}"/>
    <cellStyle name="쉼표 [0] 2 22" xfId="2049" xr:uid="{00000000-0005-0000-0000-00005A0E0000}"/>
    <cellStyle name="쉼표 [0] 2 23" xfId="2050" xr:uid="{00000000-0005-0000-0000-00005B0E0000}"/>
    <cellStyle name="쉼표 [0] 2 24" xfId="2051" xr:uid="{00000000-0005-0000-0000-00005C0E0000}"/>
    <cellStyle name="쉼표 [0] 2 25" xfId="2052" xr:uid="{00000000-0005-0000-0000-00005D0E0000}"/>
    <cellStyle name="쉼표 [0] 2 26" xfId="2053" xr:uid="{00000000-0005-0000-0000-00005E0E0000}"/>
    <cellStyle name="쉼표 [0] 2 27" xfId="2054" xr:uid="{00000000-0005-0000-0000-00005F0E0000}"/>
    <cellStyle name="쉼표 [0] 2 28" xfId="2055" xr:uid="{00000000-0005-0000-0000-0000600E0000}"/>
    <cellStyle name="쉼표 [0] 2 29" xfId="2056" xr:uid="{00000000-0005-0000-0000-0000610E0000}"/>
    <cellStyle name="쉼표 [0] 2 3" xfId="2057" xr:uid="{00000000-0005-0000-0000-0000620E0000}"/>
    <cellStyle name="쉼표 [0] 2 30" xfId="2058" xr:uid="{00000000-0005-0000-0000-0000630E0000}"/>
    <cellStyle name="쉼표 [0] 2 31" xfId="2059" xr:uid="{00000000-0005-0000-0000-0000640E0000}"/>
    <cellStyle name="쉼표 [0] 2 32" xfId="2060" xr:uid="{00000000-0005-0000-0000-0000650E0000}"/>
    <cellStyle name="쉼표 [0] 2 33" xfId="3586" xr:uid="{00000000-0005-0000-0000-0000660E0000}"/>
    <cellStyle name="쉼표 [0] 2 34" xfId="5461" xr:uid="{00000000-0005-0000-0000-0000670E0000}"/>
    <cellStyle name="쉼표 [0] 2 4" xfId="2061" xr:uid="{00000000-0005-0000-0000-0000680E0000}"/>
    <cellStyle name="쉼표 [0] 2 5" xfId="2062" xr:uid="{00000000-0005-0000-0000-0000690E0000}"/>
    <cellStyle name="쉼표 [0] 2 6" xfId="2063" xr:uid="{00000000-0005-0000-0000-00006A0E0000}"/>
    <cellStyle name="쉼표 [0] 2 7" xfId="2064" xr:uid="{00000000-0005-0000-0000-00006B0E0000}"/>
    <cellStyle name="쉼표 [0] 2 8" xfId="2065" xr:uid="{00000000-0005-0000-0000-00006C0E0000}"/>
    <cellStyle name="쉼표 [0] 2 9" xfId="2066" xr:uid="{00000000-0005-0000-0000-00006D0E0000}"/>
    <cellStyle name="쉼표 [0] 20 10" xfId="2067" xr:uid="{00000000-0005-0000-0000-00006E0E0000}"/>
    <cellStyle name="쉼표 [0] 20 10 2" xfId="2068" xr:uid="{00000000-0005-0000-0000-00006F0E0000}"/>
    <cellStyle name="쉼표 [0] 20 11" xfId="2069" xr:uid="{00000000-0005-0000-0000-0000700E0000}"/>
    <cellStyle name="쉼표 [0] 20 11 2" xfId="2070" xr:uid="{00000000-0005-0000-0000-0000710E0000}"/>
    <cellStyle name="쉼표 [0] 20 12" xfId="2071" xr:uid="{00000000-0005-0000-0000-0000720E0000}"/>
    <cellStyle name="쉼표 [0] 20 12 2" xfId="2072" xr:uid="{00000000-0005-0000-0000-0000730E0000}"/>
    <cellStyle name="쉼표 [0] 20 13" xfId="2073" xr:uid="{00000000-0005-0000-0000-0000740E0000}"/>
    <cellStyle name="쉼표 [0] 20 13 2" xfId="2074" xr:uid="{00000000-0005-0000-0000-0000750E0000}"/>
    <cellStyle name="쉼표 [0] 20 14" xfId="2075" xr:uid="{00000000-0005-0000-0000-0000760E0000}"/>
    <cellStyle name="쉼표 [0] 20 14 2" xfId="2076" xr:uid="{00000000-0005-0000-0000-0000770E0000}"/>
    <cellStyle name="쉼표 [0] 20 15" xfId="2077" xr:uid="{00000000-0005-0000-0000-0000780E0000}"/>
    <cellStyle name="쉼표 [0] 20 15 2" xfId="2078" xr:uid="{00000000-0005-0000-0000-0000790E0000}"/>
    <cellStyle name="쉼표 [0] 20 16" xfId="2079" xr:uid="{00000000-0005-0000-0000-00007A0E0000}"/>
    <cellStyle name="쉼표 [0] 20 16 2" xfId="2080" xr:uid="{00000000-0005-0000-0000-00007B0E0000}"/>
    <cellStyle name="쉼표 [0] 20 17" xfId="2081" xr:uid="{00000000-0005-0000-0000-00007C0E0000}"/>
    <cellStyle name="쉼표 [0] 20 17 2" xfId="2082" xr:uid="{00000000-0005-0000-0000-00007D0E0000}"/>
    <cellStyle name="쉼표 [0] 20 18" xfId="2083" xr:uid="{00000000-0005-0000-0000-00007E0E0000}"/>
    <cellStyle name="쉼표 [0] 20 18 2" xfId="2084" xr:uid="{00000000-0005-0000-0000-00007F0E0000}"/>
    <cellStyle name="쉼표 [0] 20 19" xfId="2085" xr:uid="{00000000-0005-0000-0000-0000800E0000}"/>
    <cellStyle name="쉼표 [0] 20 19 2" xfId="2086" xr:uid="{00000000-0005-0000-0000-0000810E0000}"/>
    <cellStyle name="쉼표 [0] 20 2" xfId="2087" xr:uid="{00000000-0005-0000-0000-0000820E0000}"/>
    <cellStyle name="쉼표 [0] 20 2 2" xfId="2088" xr:uid="{00000000-0005-0000-0000-0000830E0000}"/>
    <cellStyle name="쉼표 [0] 20 20" xfId="2089" xr:uid="{00000000-0005-0000-0000-0000840E0000}"/>
    <cellStyle name="쉼표 [0] 20 20 2" xfId="2090" xr:uid="{00000000-0005-0000-0000-0000850E0000}"/>
    <cellStyle name="쉼표 [0] 20 21" xfId="2091" xr:uid="{00000000-0005-0000-0000-0000860E0000}"/>
    <cellStyle name="쉼표 [0] 20 22" xfId="2092" xr:uid="{00000000-0005-0000-0000-0000870E0000}"/>
    <cellStyle name="쉼표 [0] 20 23" xfId="2093" xr:uid="{00000000-0005-0000-0000-0000880E0000}"/>
    <cellStyle name="쉼표 [0] 20 24" xfId="2094" xr:uid="{00000000-0005-0000-0000-0000890E0000}"/>
    <cellStyle name="쉼표 [0] 20 3" xfId="2095" xr:uid="{00000000-0005-0000-0000-00008A0E0000}"/>
    <cellStyle name="쉼표 [0] 20 3 2" xfId="2096" xr:uid="{00000000-0005-0000-0000-00008B0E0000}"/>
    <cellStyle name="쉼표 [0] 20 4" xfId="2097" xr:uid="{00000000-0005-0000-0000-00008C0E0000}"/>
    <cellStyle name="쉼표 [0] 20 4 2" xfId="2098" xr:uid="{00000000-0005-0000-0000-00008D0E0000}"/>
    <cellStyle name="쉼표 [0] 20 5" xfId="2099" xr:uid="{00000000-0005-0000-0000-00008E0E0000}"/>
    <cellStyle name="쉼표 [0] 20 5 2" xfId="2100" xr:uid="{00000000-0005-0000-0000-00008F0E0000}"/>
    <cellStyle name="쉼표 [0] 20 6" xfId="2101" xr:uid="{00000000-0005-0000-0000-0000900E0000}"/>
    <cellStyle name="쉼표 [0] 20 6 2" xfId="2102" xr:uid="{00000000-0005-0000-0000-0000910E0000}"/>
    <cellStyle name="쉼표 [0] 20 7" xfId="2103" xr:uid="{00000000-0005-0000-0000-0000920E0000}"/>
    <cellStyle name="쉼표 [0] 20 7 2" xfId="2104" xr:uid="{00000000-0005-0000-0000-0000930E0000}"/>
    <cellStyle name="쉼표 [0] 20 8" xfId="2105" xr:uid="{00000000-0005-0000-0000-0000940E0000}"/>
    <cellStyle name="쉼표 [0] 20 8 2" xfId="2106" xr:uid="{00000000-0005-0000-0000-0000950E0000}"/>
    <cellStyle name="쉼표 [0] 20 9" xfId="2107" xr:uid="{00000000-0005-0000-0000-0000960E0000}"/>
    <cellStyle name="쉼표 [0] 20 9 2" xfId="2108" xr:uid="{00000000-0005-0000-0000-0000970E0000}"/>
    <cellStyle name="쉼표 [0] 208 2" xfId="2109" xr:uid="{00000000-0005-0000-0000-0000980E0000}"/>
    <cellStyle name="쉼표 [0] 214 2" xfId="2110" xr:uid="{00000000-0005-0000-0000-0000990E0000}"/>
    <cellStyle name="쉼표 [0] 22 10" xfId="2111" xr:uid="{00000000-0005-0000-0000-00009A0E0000}"/>
    <cellStyle name="쉼표 [0] 22 11" xfId="2112" xr:uid="{00000000-0005-0000-0000-00009B0E0000}"/>
    <cellStyle name="쉼표 [0] 22 12" xfId="2113" xr:uid="{00000000-0005-0000-0000-00009C0E0000}"/>
    <cellStyle name="쉼표 [0] 22 13" xfId="2114" xr:uid="{00000000-0005-0000-0000-00009D0E0000}"/>
    <cellStyle name="쉼표 [0] 22 14" xfId="2115" xr:uid="{00000000-0005-0000-0000-00009E0E0000}"/>
    <cellStyle name="쉼표 [0] 22 15" xfId="2116" xr:uid="{00000000-0005-0000-0000-00009F0E0000}"/>
    <cellStyle name="쉼표 [0] 22 16" xfId="2117" xr:uid="{00000000-0005-0000-0000-0000A00E0000}"/>
    <cellStyle name="쉼표 [0] 22 17" xfId="2118" xr:uid="{00000000-0005-0000-0000-0000A10E0000}"/>
    <cellStyle name="쉼표 [0] 22 18" xfId="2119" xr:uid="{00000000-0005-0000-0000-0000A20E0000}"/>
    <cellStyle name="쉼표 [0] 22 19" xfId="2120" xr:uid="{00000000-0005-0000-0000-0000A30E0000}"/>
    <cellStyle name="쉼표 [0] 22 2" xfId="2121" xr:uid="{00000000-0005-0000-0000-0000A40E0000}"/>
    <cellStyle name="쉼표 [0] 22 20" xfId="2122" xr:uid="{00000000-0005-0000-0000-0000A50E0000}"/>
    <cellStyle name="쉼표 [0] 22 21" xfId="2123" xr:uid="{00000000-0005-0000-0000-0000A60E0000}"/>
    <cellStyle name="쉼표 [0] 22 22" xfId="2124" xr:uid="{00000000-0005-0000-0000-0000A70E0000}"/>
    <cellStyle name="쉼표 [0] 22 23" xfId="2125" xr:uid="{00000000-0005-0000-0000-0000A80E0000}"/>
    <cellStyle name="쉼표 [0] 22 24" xfId="2126" xr:uid="{00000000-0005-0000-0000-0000A90E0000}"/>
    <cellStyle name="쉼표 [0] 22 25" xfId="2127" xr:uid="{00000000-0005-0000-0000-0000AA0E0000}"/>
    <cellStyle name="쉼표 [0] 22 26" xfId="2128" xr:uid="{00000000-0005-0000-0000-0000AB0E0000}"/>
    <cellStyle name="쉼표 [0] 22 27" xfId="2129" xr:uid="{00000000-0005-0000-0000-0000AC0E0000}"/>
    <cellStyle name="쉼표 [0] 22 3" xfId="2130" xr:uid="{00000000-0005-0000-0000-0000AD0E0000}"/>
    <cellStyle name="쉼표 [0] 22 4" xfId="2131" xr:uid="{00000000-0005-0000-0000-0000AE0E0000}"/>
    <cellStyle name="쉼표 [0] 22 5" xfId="2132" xr:uid="{00000000-0005-0000-0000-0000AF0E0000}"/>
    <cellStyle name="쉼표 [0] 22 6" xfId="2133" xr:uid="{00000000-0005-0000-0000-0000B00E0000}"/>
    <cellStyle name="쉼표 [0] 22 7" xfId="2134" xr:uid="{00000000-0005-0000-0000-0000B10E0000}"/>
    <cellStyle name="쉼표 [0] 22 8" xfId="2135" xr:uid="{00000000-0005-0000-0000-0000B20E0000}"/>
    <cellStyle name="쉼표 [0] 22 9" xfId="2136" xr:uid="{00000000-0005-0000-0000-0000B30E0000}"/>
    <cellStyle name="쉼표 [0] 23 10" xfId="2137" xr:uid="{00000000-0005-0000-0000-0000B40E0000}"/>
    <cellStyle name="쉼표 [0] 23 11" xfId="2138" xr:uid="{00000000-0005-0000-0000-0000B50E0000}"/>
    <cellStyle name="쉼표 [0] 23 12" xfId="2139" xr:uid="{00000000-0005-0000-0000-0000B60E0000}"/>
    <cellStyle name="쉼표 [0] 23 13" xfId="2140" xr:uid="{00000000-0005-0000-0000-0000B70E0000}"/>
    <cellStyle name="쉼표 [0] 23 14" xfId="2141" xr:uid="{00000000-0005-0000-0000-0000B80E0000}"/>
    <cellStyle name="쉼표 [0] 23 15" xfId="2142" xr:uid="{00000000-0005-0000-0000-0000B90E0000}"/>
    <cellStyle name="쉼표 [0] 23 16" xfId="2143" xr:uid="{00000000-0005-0000-0000-0000BA0E0000}"/>
    <cellStyle name="쉼표 [0] 23 17" xfId="2144" xr:uid="{00000000-0005-0000-0000-0000BB0E0000}"/>
    <cellStyle name="쉼표 [0] 23 18" xfId="2145" xr:uid="{00000000-0005-0000-0000-0000BC0E0000}"/>
    <cellStyle name="쉼표 [0] 23 19" xfId="2146" xr:uid="{00000000-0005-0000-0000-0000BD0E0000}"/>
    <cellStyle name="쉼표 [0] 23 2" xfId="2147" xr:uid="{00000000-0005-0000-0000-0000BE0E0000}"/>
    <cellStyle name="쉼표 [0] 23 20" xfId="2148" xr:uid="{00000000-0005-0000-0000-0000BF0E0000}"/>
    <cellStyle name="쉼표 [0] 23 21" xfId="2149" xr:uid="{00000000-0005-0000-0000-0000C00E0000}"/>
    <cellStyle name="쉼표 [0] 23 22" xfId="2150" xr:uid="{00000000-0005-0000-0000-0000C10E0000}"/>
    <cellStyle name="쉼표 [0] 23 23" xfId="2151" xr:uid="{00000000-0005-0000-0000-0000C20E0000}"/>
    <cellStyle name="쉼표 [0] 23 24" xfId="2152" xr:uid="{00000000-0005-0000-0000-0000C30E0000}"/>
    <cellStyle name="쉼표 [0] 23 25" xfId="2153" xr:uid="{00000000-0005-0000-0000-0000C40E0000}"/>
    <cellStyle name="쉼표 [0] 23 26" xfId="2154" xr:uid="{00000000-0005-0000-0000-0000C50E0000}"/>
    <cellStyle name="쉼표 [0] 23 27" xfId="2155" xr:uid="{00000000-0005-0000-0000-0000C60E0000}"/>
    <cellStyle name="쉼표 [0] 23 3" xfId="2156" xr:uid="{00000000-0005-0000-0000-0000C70E0000}"/>
    <cellStyle name="쉼표 [0] 23 4" xfId="2157" xr:uid="{00000000-0005-0000-0000-0000C80E0000}"/>
    <cellStyle name="쉼표 [0] 23 5" xfId="2158" xr:uid="{00000000-0005-0000-0000-0000C90E0000}"/>
    <cellStyle name="쉼표 [0] 23 6" xfId="2159" xr:uid="{00000000-0005-0000-0000-0000CA0E0000}"/>
    <cellStyle name="쉼표 [0] 23 7" xfId="2160" xr:uid="{00000000-0005-0000-0000-0000CB0E0000}"/>
    <cellStyle name="쉼표 [0] 23 8" xfId="2161" xr:uid="{00000000-0005-0000-0000-0000CC0E0000}"/>
    <cellStyle name="쉼표 [0] 23 9" xfId="2162" xr:uid="{00000000-0005-0000-0000-0000CD0E0000}"/>
    <cellStyle name="쉼표 [0] 24 10" xfId="2163" xr:uid="{00000000-0005-0000-0000-0000CE0E0000}"/>
    <cellStyle name="쉼표 [0] 24 11" xfId="2164" xr:uid="{00000000-0005-0000-0000-0000CF0E0000}"/>
    <cellStyle name="쉼표 [0] 24 12" xfId="2165" xr:uid="{00000000-0005-0000-0000-0000D00E0000}"/>
    <cellStyle name="쉼표 [0] 24 13" xfId="2166" xr:uid="{00000000-0005-0000-0000-0000D10E0000}"/>
    <cellStyle name="쉼표 [0] 24 14" xfId="2167" xr:uid="{00000000-0005-0000-0000-0000D20E0000}"/>
    <cellStyle name="쉼표 [0] 24 15" xfId="2168" xr:uid="{00000000-0005-0000-0000-0000D30E0000}"/>
    <cellStyle name="쉼표 [0] 24 16" xfId="2169" xr:uid="{00000000-0005-0000-0000-0000D40E0000}"/>
    <cellStyle name="쉼표 [0] 24 17" xfId="2170" xr:uid="{00000000-0005-0000-0000-0000D50E0000}"/>
    <cellStyle name="쉼표 [0] 24 18" xfId="2171" xr:uid="{00000000-0005-0000-0000-0000D60E0000}"/>
    <cellStyle name="쉼표 [0] 24 19" xfId="2172" xr:uid="{00000000-0005-0000-0000-0000D70E0000}"/>
    <cellStyle name="쉼표 [0] 24 2" xfId="2173" xr:uid="{00000000-0005-0000-0000-0000D80E0000}"/>
    <cellStyle name="쉼표 [0] 24 20" xfId="2174" xr:uid="{00000000-0005-0000-0000-0000D90E0000}"/>
    <cellStyle name="쉼표 [0] 24 21" xfId="2175" xr:uid="{00000000-0005-0000-0000-0000DA0E0000}"/>
    <cellStyle name="쉼표 [0] 24 22" xfId="2176" xr:uid="{00000000-0005-0000-0000-0000DB0E0000}"/>
    <cellStyle name="쉼표 [0] 24 23" xfId="2177" xr:uid="{00000000-0005-0000-0000-0000DC0E0000}"/>
    <cellStyle name="쉼표 [0] 24 24" xfId="2178" xr:uid="{00000000-0005-0000-0000-0000DD0E0000}"/>
    <cellStyle name="쉼표 [0] 24 25" xfId="2179" xr:uid="{00000000-0005-0000-0000-0000DE0E0000}"/>
    <cellStyle name="쉼표 [0] 24 26" xfId="2180" xr:uid="{00000000-0005-0000-0000-0000DF0E0000}"/>
    <cellStyle name="쉼표 [0] 24 27" xfId="2181" xr:uid="{00000000-0005-0000-0000-0000E00E0000}"/>
    <cellStyle name="쉼표 [0] 24 3" xfId="2182" xr:uid="{00000000-0005-0000-0000-0000E10E0000}"/>
    <cellStyle name="쉼표 [0] 24 4" xfId="2183" xr:uid="{00000000-0005-0000-0000-0000E20E0000}"/>
    <cellStyle name="쉼표 [0] 24 5" xfId="2184" xr:uid="{00000000-0005-0000-0000-0000E30E0000}"/>
    <cellStyle name="쉼표 [0] 24 6" xfId="2185" xr:uid="{00000000-0005-0000-0000-0000E40E0000}"/>
    <cellStyle name="쉼표 [0] 24 7" xfId="2186" xr:uid="{00000000-0005-0000-0000-0000E50E0000}"/>
    <cellStyle name="쉼표 [0] 24 8" xfId="2187" xr:uid="{00000000-0005-0000-0000-0000E60E0000}"/>
    <cellStyle name="쉼표 [0] 24 9" xfId="2188" xr:uid="{00000000-0005-0000-0000-0000E70E0000}"/>
    <cellStyle name="쉼표 [0] 26 10" xfId="2189" xr:uid="{00000000-0005-0000-0000-0000E80E0000}"/>
    <cellStyle name="쉼표 [0] 26 11" xfId="2190" xr:uid="{00000000-0005-0000-0000-0000E90E0000}"/>
    <cellStyle name="쉼표 [0] 26 12" xfId="2191" xr:uid="{00000000-0005-0000-0000-0000EA0E0000}"/>
    <cellStyle name="쉼표 [0] 26 13" xfId="2192" xr:uid="{00000000-0005-0000-0000-0000EB0E0000}"/>
    <cellStyle name="쉼표 [0] 26 14" xfId="2193" xr:uid="{00000000-0005-0000-0000-0000EC0E0000}"/>
    <cellStyle name="쉼표 [0] 26 15" xfId="2194" xr:uid="{00000000-0005-0000-0000-0000ED0E0000}"/>
    <cellStyle name="쉼표 [0] 26 16" xfId="2195" xr:uid="{00000000-0005-0000-0000-0000EE0E0000}"/>
    <cellStyle name="쉼표 [0] 26 17" xfId="2196" xr:uid="{00000000-0005-0000-0000-0000EF0E0000}"/>
    <cellStyle name="쉼표 [0] 26 18" xfId="2197" xr:uid="{00000000-0005-0000-0000-0000F00E0000}"/>
    <cellStyle name="쉼표 [0] 26 19" xfId="2198" xr:uid="{00000000-0005-0000-0000-0000F10E0000}"/>
    <cellStyle name="쉼표 [0] 26 2" xfId="2199" xr:uid="{00000000-0005-0000-0000-0000F20E0000}"/>
    <cellStyle name="쉼표 [0] 26 20" xfId="2200" xr:uid="{00000000-0005-0000-0000-0000F30E0000}"/>
    <cellStyle name="쉼표 [0] 26 21" xfId="2201" xr:uid="{00000000-0005-0000-0000-0000F40E0000}"/>
    <cellStyle name="쉼표 [0] 26 22" xfId="2202" xr:uid="{00000000-0005-0000-0000-0000F50E0000}"/>
    <cellStyle name="쉼표 [0] 26 23" xfId="2203" xr:uid="{00000000-0005-0000-0000-0000F60E0000}"/>
    <cellStyle name="쉼표 [0] 26 24" xfId="2204" xr:uid="{00000000-0005-0000-0000-0000F70E0000}"/>
    <cellStyle name="쉼표 [0] 26 25" xfId="2205" xr:uid="{00000000-0005-0000-0000-0000F80E0000}"/>
    <cellStyle name="쉼표 [0] 26 26" xfId="2206" xr:uid="{00000000-0005-0000-0000-0000F90E0000}"/>
    <cellStyle name="쉼표 [0] 26 27" xfId="2207" xr:uid="{00000000-0005-0000-0000-0000FA0E0000}"/>
    <cellStyle name="쉼표 [0] 26 3" xfId="2208" xr:uid="{00000000-0005-0000-0000-0000FB0E0000}"/>
    <cellStyle name="쉼표 [0] 26 4" xfId="2209" xr:uid="{00000000-0005-0000-0000-0000FC0E0000}"/>
    <cellStyle name="쉼표 [0] 26 5" xfId="2210" xr:uid="{00000000-0005-0000-0000-0000FD0E0000}"/>
    <cellStyle name="쉼표 [0] 26 6" xfId="2211" xr:uid="{00000000-0005-0000-0000-0000FE0E0000}"/>
    <cellStyle name="쉼표 [0] 26 7" xfId="2212" xr:uid="{00000000-0005-0000-0000-0000FF0E0000}"/>
    <cellStyle name="쉼표 [0] 26 8" xfId="2213" xr:uid="{00000000-0005-0000-0000-0000000F0000}"/>
    <cellStyle name="쉼표 [0] 26 9" xfId="2214" xr:uid="{00000000-0005-0000-0000-0000010F0000}"/>
    <cellStyle name="쉼표 [0] 27 10" xfId="2215" xr:uid="{00000000-0005-0000-0000-0000020F0000}"/>
    <cellStyle name="쉼표 [0] 27 11" xfId="2216" xr:uid="{00000000-0005-0000-0000-0000030F0000}"/>
    <cellStyle name="쉼표 [0] 27 12" xfId="2217" xr:uid="{00000000-0005-0000-0000-0000040F0000}"/>
    <cellStyle name="쉼표 [0] 27 13" xfId="2218" xr:uid="{00000000-0005-0000-0000-0000050F0000}"/>
    <cellStyle name="쉼표 [0] 27 14" xfId="2219" xr:uid="{00000000-0005-0000-0000-0000060F0000}"/>
    <cellStyle name="쉼표 [0] 27 15" xfId="2220" xr:uid="{00000000-0005-0000-0000-0000070F0000}"/>
    <cellStyle name="쉼표 [0] 27 16" xfId="2221" xr:uid="{00000000-0005-0000-0000-0000080F0000}"/>
    <cellStyle name="쉼표 [0] 27 17" xfId="2222" xr:uid="{00000000-0005-0000-0000-0000090F0000}"/>
    <cellStyle name="쉼표 [0] 27 18" xfId="2223" xr:uid="{00000000-0005-0000-0000-00000A0F0000}"/>
    <cellStyle name="쉼표 [0] 27 19" xfId="2224" xr:uid="{00000000-0005-0000-0000-00000B0F0000}"/>
    <cellStyle name="쉼표 [0] 27 2" xfId="2225" xr:uid="{00000000-0005-0000-0000-00000C0F0000}"/>
    <cellStyle name="쉼표 [0] 27 20" xfId="2226" xr:uid="{00000000-0005-0000-0000-00000D0F0000}"/>
    <cellStyle name="쉼표 [0] 27 21" xfId="2227" xr:uid="{00000000-0005-0000-0000-00000E0F0000}"/>
    <cellStyle name="쉼표 [0] 27 22" xfId="2228" xr:uid="{00000000-0005-0000-0000-00000F0F0000}"/>
    <cellStyle name="쉼표 [0] 27 23" xfId="2229" xr:uid="{00000000-0005-0000-0000-0000100F0000}"/>
    <cellStyle name="쉼표 [0] 27 24" xfId="2230" xr:uid="{00000000-0005-0000-0000-0000110F0000}"/>
    <cellStyle name="쉼표 [0] 27 25" xfId="2231" xr:uid="{00000000-0005-0000-0000-0000120F0000}"/>
    <cellStyle name="쉼표 [0] 27 26" xfId="2232" xr:uid="{00000000-0005-0000-0000-0000130F0000}"/>
    <cellStyle name="쉼표 [0] 27 27" xfId="2233" xr:uid="{00000000-0005-0000-0000-0000140F0000}"/>
    <cellStyle name="쉼표 [0] 27 3" xfId="2234" xr:uid="{00000000-0005-0000-0000-0000150F0000}"/>
    <cellStyle name="쉼표 [0] 27 4" xfId="2235" xr:uid="{00000000-0005-0000-0000-0000160F0000}"/>
    <cellStyle name="쉼표 [0] 27 5" xfId="2236" xr:uid="{00000000-0005-0000-0000-0000170F0000}"/>
    <cellStyle name="쉼표 [0] 27 6" xfId="2237" xr:uid="{00000000-0005-0000-0000-0000180F0000}"/>
    <cellStyle name="쉼표 [0] 27 7" xfId="2238" xr:uid="{00000000-0005-0000-0000-0000190F0000}"/>
    <cellStyle name="쉼표 [0] 27 8" xfId="2239" xr:uid="{00000000-0005-0000-0000-00001A0F0000}"/>
    <cellStyle name="쉼표 [0] 27 9" xfId="2240" xr:uid="{00000000-0005-0000-0000-00001B0F0000}"/>
    <cellStyle name="쉼표 [0] 28 10" xfId="2241" xr:uid="{00000000-0005-0000-0000-00001C0F0000}"/>
    <cellStyle name="쉼표 [0] 28 11" xfId="2242" xr:uid="{00000000-0005-0000-0000-00001D0F0000}"/>
    <cellStyle name="쉼표 [0] 28 12" xfId="2243" xr:uid="{00000000-0005-0000-0000-00001E0F0000}"/>
    <cellStyle name="쉼표 [0] 28 13" xfId="2244" xr:uid="{00000000-0005-0000-0000-00001F0F0000}"/>
    <cellStyle name="쉼표 [0] 28 14" xfId="2245" xr:uid="{00000000-0005-0000-0000-0000200F0000}"/>
    <cellStyle name="쉼표 [0] 28 15" xfId="2246" xr:uid="{00000000-0005-0000-0000-0000210F0000}"/>
    <cellStyle name="쉼표 [0] 28 16" xfId="2247" xr:uid="{00000000-0005-0000-0000-0000220F0000}"/>
    <cellStyle name="쉼표 [0] 28 17" xfId="2248" xr:uid="{00000000-0005-0000-0000-0000230F0000}"/>
    <cellStyle name="쉼표 [0] 28 18" xfId="2249" xr:uid="{00000000-0005-0000-0000-0000240F0000}"/>
    <cellStyle name="쉼표 [0] 28 19" xfId="2250" xr:uid="{00000000-0005-0000-0000-0000250F0000}"/>
    <cellStyle name="쉼표 [0] 28 2" xfId="2251" xr:uid="{00000000-0005-0000-0000-0000260F0000}"/>
    <cellStyle name="쉼표 [0] 28 20" xfId="2252" xr:uid="{00000000-0005-0000-0000-0000270F0000}"/>
    <cellStyle name="쉼표 [0] 28 21" xfId="2253" xr:uid="{00000000-0005-0000-0000-0000280F0000}"/>
    <cellStyle name="쉼표 [0] 28 22" xfId="2254" xr:uid="{00000000-0005-0000-0000-0000290F0000}"/>
    <cellStyle name="쉼표 [0] 28 23" xfId="2255" xr:uid="{00000000-0005-0000-0000-00002A0F0000}"/>
    <cellStyle name="쉼표 [0] 28 24" xfId="2256" xr:uid="{00000000-0005-0000-0000-00002B0F0000}"/>
    <cellStyle name="쉼표 [0] 28 25" xfId="2257" xr:uid="{00000000-0005-0000-0000-00002C0F0000}"/>
    <cellStyle name="쉼표 [0] 28 26" xfId="2258" xr:uid="{00000000-0005-0000-0000-00002D0F0000}"/>
    <cellStyle name="쉼표 [0] 28 27" xfId="2259" xr:uid="{00000000-0005-0000-0000-00002E0F0000}"/>
    <cellStyle name="쉼표 [0] 28 3" xfId="2260" xr:uid="{00000000-0005-0000-0000-00002F0F0000}"/>
    <cellStyle name="쉼표 [0] 28 4" xfId="2261" xr:uid="{00000000-0005-0000-0000-0000300F0000}"/>
    <cellStyle name="쉼표 [0] 28 5" xfId="2262" xr:uid="{00000000-0005-0000-0000-0000310F0000}"/>
    <cellStyle name="쉼표 [0] 28 6" xfId="2263" xr:uid="{00000000-0005-0000-0000-0000320F0000}"/>
    <cellStyle name="쉼표 [0] 28 7" xfId="2264" xr:uid="{00000000-0005-0000-0000-0000330F0000}"/>
    <cellStyle name="쉼표 [0] 28 8" xfId="2265" xr:uid="{00000000-0005-0000-0000-0000340F0000}"/>
    <cellStyle name="쉼표 [0] 28 9" xfId="2266" xr:uid="{00000000-0005-0000-0000-0000350F0000}"/>
    <cellStyle name="쉼표 [0] 29 10" xfId="2267" xr:uid="{00000000-0005-0000-0000-0000360F0000}"/>
    <cellStyle name="쉼표 [0] 29 11" xfId="2268" xr:uid="{00000000-0005-0000-0000-0000370F0000}"/>
    <cellStyle name="쉼표 [0] 29 12" xfId="2269" xr:uid="{00000000-0005-0000-0000-0000380F0000}"/>
    <cellStyle name="쉼표 [0] 29 13" xfId="2270" xr:uid="{00000000-0005-0000-0000-0000390F0000}"/>
    <cellStyle name="쉼표 [0] 29 14" xfId="2271" xr:uid="{00000000-0005-0000-0000-00003A0F0000}"/>
    <cellStyle name="쉼표 [0] 29 15" xfId="2272" xr:uid="{00000000-0005-0000-0000-00003B0F0000}"/>
    <cellStyle name="쉼표 [0] 29 16" xfId="2273" xr:uid="{00000000-0005-0000-0000-00003C0F0000}"/>
    <cellStyle name="쉼표 [0] 29 17" xfId="2274" xr:uid="{00000000-0005-0000-0000-00003D0F0000}"/>
    <cellStyle name="쉼표 [0] 29 18" xfId="2275" xr:uid="{00000000-0005-0000-0000-00003E0F0000}"/>
    <cellStyle name="쉼표 [0] 29 19" xfId="2276" xr:uid="{00000000-0005-0000-0000-00003F0F0000}"/>
    <cellStyle name="쉼표 [0] 29 2" xfId="2277" xr:uid="{00000000-0005-0000-0000-0000400F0000}"/>
    <cellStyle name="쉼표 [0] 29 20" xfId="2278" xr:uid="{00000000-0005-0000-0000-0000410F0000}"/>
    <cellStyle name="쉼표 [0] 29 21" xfId="2279" xr:uid="{00000000-0005-0000-0000-0000420F0000}"/>
    <cellStyle name="쉼표 [0] 29 22" xfId="2280" xr:uid="{00000000-0005-0000-0000-0000430F0000}"/>
    <cellStyle name="쉼표 [0] 29 23" xfId="2281" xr:uid="{00000000-0005-0000-0000-0000440F0000}"/>
    <cellStyle name="쉼표 [0] 29 24" xfId="2282" xr:uid="{00000000-0005-0000-0000-0000450F0000}"/>
    <cellStyle name="쉼표 [0] 29 25" xfId="2283" xr:uid="{00000000-0005-0000-0000-0000460F0000}"/>
    <cellStyle name="쉼표 [0] 29 26" xfId="2284" xr:uid="{00000000-0005-0000-0000-0000470F0000}"/>
    <cellStyle name="쉼표 [0] 29 27" xfId="2285" xr:uid="{00000000-0005-0000-0000-0000480F0000}"/>
    <cellStyle name="쉼표 [0] 29 3" xfId="2286" xr:uid="{00000000-0005-0000-0000-0000490F0000}"/>
    <cellStyle name="쉼표 [0] 29 4" xfId="2287" xr:uid="{00000000-0005-0000-0000-00004A0F0000}"/>
    <cellStyle name="쉼표 [0] 29 5" xfId="2288" xr:uid="{00000000-0005-0000-0000-00004B0F0000}"/>
    <cellStyle name="쉼표 [0] 29 6" xfId="2289" xr:uid="{00000000-0005-0000-0000-00004C0F0000}"/>
    <cellStyle name="쉼표 [0] 29 7" xfId="2290" xr:uid="{00000000-0005-0000-0000-00004D0F0000}"/>
    <cellStyle name="쉼표 [0] 29 8" xfId="2291" xr:uid="{00000000-0005-0000-0000-00004E0F0000}"/>
    <cellStyle name="쉼표 [0] 29 9" xfId="2292" xr:uid="{00000000-0005-0000-0000-00004F0F0000}"/>
    <cellStyle name="쉼표 [0] 3" xfId="2293" xr:uid="{00000000-0005-0000-0000-0000500F0000}"/>
    <cellStyle name="쉼표 [0] 3 10" xfId="2294" xr:uid="{00000000-0005-0000-0000-0000510F0000}"/>
    <cellStyle name="쉼표 [0] 3 10 2" xfId="2295" xr:uid="{00000000-0005-0000-0000-0000520F0000}"/>
    <cellStyle name="쉼표 [0] 3 11" xfId="2296" xr:uid="{00000000-0005-0000-0000-0000530F0000}"/>
    <cellStyle name="쉼표 [0] 3 11 2" xfId="2297" xr:uid="{00000000-0005-0000-0000-0000540F0000}"/>
    <cellStyle name="쉼표 [0] 3 12" xfId="2298" xr:uid="{00000000-0005-0000-0000-0000550F0000}"/>
    <cellStyle name="쉼표 [0] 3 12 2" xfId="2299" xr:uid="{00000000-0005-0000-0000-0000560F0000}"/>
    <cellStyle name="쉼표 [0] 3 13" xfId="2300" xr:uid="{00000000-0005-0000-0000-0000570F0000}"/>
    <cellStyle name="쉼표 [0] 3 13 2" xfId="2301" xr:uid="{00000000-0005-0000-0000-0000580F0000}"/>
    <cellStyle name="쉼표 [0] 3 14" xfId="2302" xr:uid="{00000000-0005-0000-0000-0000590F0000}"/>
    <cellStyle name="쉼표 [0] 3 14 2" xfId="2303" xr:uid="{00000000-0005-0000-0000-00005A0F0000}"/>
    <cellStyle name="쉼표 [0] 3 15" xfId="2304" xr:uid="{00000000-0005-0000-0000-00005B0F0000}"/>
    <cellStyle name="쉼표 [0] 3 15 2" xfId="2305" xr:uid="{00000000-0005-0000-0000-00005C0F0000}"/>
    <cellStyle name="쉼표 [0] 3 16" xfId="2306" xr:uid="{00000000-0005-0000-0000-00005D0F0000}"/>
    <cellStyle name="쉼표 [0] 3 16 2" xfId="2307" xr:uid="{00000000-0005-0000-0000-00005E0F0000}"/>
    <cellStyle name="쉼표 [0] 3 17" xfId="2308" xr:uid="{00000000-0005-0000-0000-00005F0F0000}"/>
    <cellStyle name="쉼표 [0] 3 17 2" xfId="2309" xr:uid="{00000000-0005-0000-0000-0000600F0000}"/>
    <cellStyle name="쉼표 [0] 3 18" xfId="2310" xr:uid="{00000000-0005-0000-0000-0000610F0000}"/>
    <cellStyle name="쉼표 [0] 3 18 2" xfId="2311" xr:uid="{00000000-0005-0000-0000-0000620F0000}"/>
    <cellStyle name="쉼표 [0] 3 19" xfId="2312" xr:uid="{00000000-0005-0000-0000-0000630F0000}"/>
    <cellStyle name="쉼표 [0] 3 19 2" xfId="2313" xr:uid="{00000000-0005-0000-0000-0000640F0000}"/>
    <cellStyle name="쉼표 [0] 3 2" xfId="2314" xr:uid="{00000000-0005-0000-0000-0000650F0000}"/>
    <cellStyle name="쉼표 [0] 3 2 10" xfId="2315" xr:uid="{00000000-0005-0000-0000-0000660F0000}"/>
    <cellStyle name="쉼표 [0] 3 2 10 2" xfId="2316" xr:uid="{00000000-0005-0000-0000-0000670F0000}"/>
    <cellStyle name="쉼표 [0] 3 2 11" xfId="2317" xr:uid="{00000000-0005-0000-0000-0000680F0000}"/>
    <cellStyle name="쉼표 [0] 3 2 11 2" xfId="2318" xr:uid="{00000000-0005-0000-0000-0000690F0000}"/>
    <cellStyle name="쉼표 [0] 3 2 12" xfId="2319" xr:uid="{00000000-0005-0000-0000-00006A0F0000}"/>
    <cellStyle name="쉼표 [0] 3 2 12 2" xfId="2320" xr:uid="{00000000-0005-0000-0000-00006B0F0000}"/>
    <cellStyle name="쉼표 [0] 3 2 13" xfId="2321" xr:uid="{00000000-0005-0000-0000-00006C0F0000}"/>
    <cellStyle name="쉼표 [0] 3 2 13 2" xfId="2322" xr:uid="{00000000-0005-0000-0000-00006D0F0000}"/>
    <cellStyle name="쉼표 [0] 3 2 14" xfId="2323" xr:uid="{00000000-0005-0000-0000-00006E0F0000}"/>
    <cellStyle name="쉼표 [0] 3 2 14 2" xfId="2324" xr:uid="{00000000-0005-0000-0000-00006F0F0000}"/>
    <cellStyle name="쉼표 [0] 3 2 15" xfId="2325" xr:uid="{00000000-0005-0000-0000-0000700F0000}"/>
    <cellStyle name="쉼표 [0] 3 2 15 2" xfId="2326" xr:uid="{00000000-0005-0000-0000-0000710F0000}"/>
    <cellStyle name="쉼표 [0] 3 2 16" xfId="2327" xr:uid="{00000000-0005-0000-0000-0000720F0000}"/>
    <cellStyle name="쉼표 [0] 3 2 16 2" xfId="2328" xr:uid="{00000000-0005-0000-0000-0000730F0000}"/>
    <cellStyle name="쉼표 [0] 3 2 17" xfId="2329" xr:uid="{00000000-0005-0000-0000-0000740F0000}"/>
    <cellStyle name="쉼표 [0] 3 2 17 2" xfId="2330" xr:uid="{00000000-0005-0000-0000-0000750F0000}"/>
    <cellStyle name="쉼표 [0] 3 2 18" xfId="2331" xr:uid="{00000000-0005-0000-0000-0000760F0000}"/>
    <cellStyle name="쉼표 [0] 3 2 18 2" xfId="2332" xr:uid="{00000000-0005-0000-0000-0000770F0000}"/>
    <cellStyle name="쉼표 [0] 3 2 19" xfId="2333" xr:uid="{00000000-0005-0000-0000-0000780F0000}"/>
    <cellStyle name="쉼표 [0] 3 2 2" xfId="2334" xr:uid="{00000000-0005-0000-0000-0000790F0000}"/>
    <cellStyle name="쉼표 [0] 3 2 2 2" xfId="2335" xr:uid="{00000000-0005-0000-0000-00007A0F0000}"/>
    <cellStyle name="쉼표 [0] 3 2 20" xfId="2336" xr:uid="{00000000-0005-0000-0000-00007B0F0000}"/>
    <cellStyle name="쉼표 [0] 3 2 3" xfId="2337" xr:uid="{00000000-0005-0000-0000-00007C0F0000}"/>
    <cellStyle name="쉼표 [0] 3 2 3 2" xfId="2338" xr:uid="{00000000-0005-0000-0000-00007D0F0000}"/>
    <cellStyle name="쉼표 [0] 3 2 4" xfId="2339" xr:uid="{00000000-0005-0000-0000-00007E0F0000}"/>
    <cellStyle name="쉼표 [0] 3 2 4 2" xfId="2340" xr:uid="{00000000-0005-0000-0000-00007F0F0000}"/>
    <cellStyle name="쉼표 [0] 3 2 5" xfId="2341" xr:uid="{00000000-0005-0000-0000-0000800F0000}"/>
    <cellStyle name="쉼표 [0] 3 2 5 2" xfId="2342" xr:uid="{00000000-0005-0000-0000-0000810F0000}"/>
    <cellStyle name="쉼표 [0] 3 2 6" xfId="2343" xr:uid="{00000000-0005-0000-0000-0000820F0000}"/>
    <cellStyle name="쉼표 [0] 3 2 6 2" xfId="2344" xr:uid="{00000000-0005-0000-0000-0000830F0000}"/>
    <cellStyle name="쉼표 [0] 3 2 7" xfId="2345" xr:uid="{00000000-0005-0000-0000-0000840F0000}"/>
    <cellStyle name="쉼표 [0] 3 2 7 2" xfId="2346" xr:uid="{00000000-0005-0000-0000-0000850F0000}"/>
    <cellStyle name="쉼표 [0] 3 2 8" xfId="2347" xr:uid="{00000000-0005-0000-0000-0000860F0000}"/>
    <cellStyle name="쉼표 [0] 3 2 8 2" xfId="2348" xr:uid="{00000000-0005-0000-0000-0000870F0000}"/>
    <cellStyle name="쉼표 [0] 3 2 9" xfId="2349" xr:uid="{00000000-0005-0000-0000-0000880F0000}"/>
    <cellStyle name="쉼표 [0] 3 2 9 2" xfId="2350" xr:uid="{00000000-0005-0000-0000-0000890F0000}"/>
    <cellStyle name="쉼표 [0] 3 20" xfId="2351" xr:uid="{00000000-0005-0000-0000-00008A0F0000}"/>
    <cellStyle name="쉼표 [0] 3 20 2" xfId="2352" xr:uid="{00000000-0005-0000-0000-00008B0F0000}"/>
    <cellStyle name="쉼표 [0] 3 21" xfId="2353" xr:uid="{00000000-0005-0000-0000-00008C0F0000}"/>
    <cellStyle name="쉼표 [0] 3 21 2" xfId="2354" xr:uid="{00000000-0005-0000-0000-00008D0F0000}"/>
    <cellStyle name="쉼표 [0] 3 22" xfId="2355" xr:uid="{00000000-0005-0000-0000-00008E0F0000}"/>
    <cellStyle name="쉼표 [0] 3 23" xfId="2356" xr:uid="{00000000-0005-0000-0000-00008F0F0000}"/>
    <cellStyle name="쉼표 [0] 3 24" xfId="2357" xr:uid="{00000000-0005-0000-0000-0000900F0000}"/>
    <cellStyle name="쉼표 [0] 3 25" xfId="2358" xr:uid="{00000000-0005-0000-0000-0000910F0000}"/>
    <cellStyle name="쉼표 [0] 3 3" xfId="2359" xr:uid="{00000000-0005-0000-0000-0000920F0000}"/>
    <cellStyle name="쉼표 [0] 3 3 2" xfId="2360" xr:uid="{00000000-0005-0000-0000-0000930F0000}"/>
    <cellStyle name="쉼표 [0] 3 4" xfId="2361" xr:uid="{00000000-0005-0000-0000-0000940F0000}"/>
    <cellStyle name="쉼표 [0] 3 4 2" xfId="2362" xr:uid="{00000000-0005-0000-0000-0000950F0000}"/>
    <cellStyle name="쉼표 [0] 3 5" xfId="2363" xr:uid="{00000000-0005-0000-0000-0000960F0000}"/>
    <cellStyle name="쉼표 [0] 3 5 2" xfId="2364" xr:uid="{00000000-0005-0000-0000-0000970F0000}"/>
    <cellStyle name="쉼표 [0] 3 6" xfId="2365" xr:uid="{00000000-0005-0000-0000-0000980F0000}"/>
    <cellStyle name="쉼표 [0] 3 6 2" xfId="2366" xr:uid="{00000000-0005-0000-0000-0000990F0000}"/>
    <cellStyle name="쉼표 [0] 3 7" xfId="2367" xr:uid="{00000000-0005-0000-0000-00009A0F0000}"/>
    <cellStyle name="쉼표 [0] 3 7 2" xfId="2368" xr:uid="{00000000-0005-0000-0000-00009B0F0000}"/>
    <cellStyle name="쉼표 [0] 3 8" xfId="2369" xr:uid="{00000000-0005-0000-0000-00009C0F0000}"/>
    <cellStyle name="쉼표 [0] 3 8 2" xfId="2370" xr:uid="{00000000-0005-0000-0000-00009D0F0000}"/>
    <cellStyle name="쉼표 [0] 3 9" xfId="2371" xr:uid="{00000000-0005-0000-0000-00009E0F0000}"/>
    <cellStyle name="쉼표 [0] 3 9 2" xfId="2372" xr:uid="{00000000-0005-0000-0000-00009F0F0000}"/>
    <cellStyle name="쉼표 [0] 30 10" xfId="2373" xr:uid="{00000000-0005-0000-0000-0000A00F0000}"/>
    <cellStyle name="쉼표 [0] 30 11" xfId="2374" xr:uid="{00000000-0005-0000-0000-0000A10F0000}"/>
    <cellStyle name="쉼표 [0] 30 12" xfId="2375" xr:uid="{00000000-0005-0000-0000-0000A20F0000}"/>
    <cellStyle name="쉼표 [0] 30 13" xfId="2376" xr:uid="{00000000-0005-0000-0000-0000A30F0000}"/>
    <cellStyle name="쉼표 [0] 30 14" xfId="2377" xr:uid="{00000000-0005-0000-0000-0000A40F0000}"/>
    <cellStyle name="쉼표 [0] 30 15" xfId="2378" xr:uid="{00000000-0005-0000-0000-0000A50F0000}"/>
    <cellStyle name="쉼표 [0] 30 16" xfId="2379" xr:uid="{00000000-0005-0000-0000-0000A60F0000}"/>
    <cellStyle name="쉼표 [0] 30 17" xfId="2380" xr:uid="{00000000-0005-0000-0000-0000A70F0000}"/>
    <cellStyle name="쉼표 [0] 30 18" xfId="2381" xr:uid="{00000000-0005-0000-0000-0000A80F0000}"/>
    <cellStyle name="쉼표 [0] 30 19" xfId="2382" xr:uid="{00000000-0005-0000-0000-0000A90F0000}"/>
    <cellStyle name="쉼표 [0] 30 2" xfId="2383" xr:uid="{00000000-0005-0000-0000-0000AA0F0000}"/>
    <cellStyle name="쉼표 [0] 30 20" xfId="2384" xr:uid="{00000000-0005-0000-0000-0000AB0F0000}"/>
    <cellStyle name="쉼표 [0] 30 21" xfId="2385" xr:uid="{00000000-0005-0000-0000-0000AC0F0000}"/>
    <cellStyle name="쉼표 [0] 30 22" xfId="2386" xr:uid="{00000000-0005-0000-0000-0000AD0F0000}"/>
    <cellStyle name="쉼표 [0] 30 23" xfId="2387" xr:uid="{00000000-0005-0000-0000-0000AE0F0000}"/>
    <cellStyle name="쉼표 [0] 30 24" xfId="2388" xr:uid="{00000000-0005-0000-0000-0000AF0F0000}"/>
    <cellStyle name="쉼표 [0] 30 25" xfId="2389" xr:uid="{00000000-0005-0000-0000-0000B00F0000}"/>
    <cellStyle name="쉼표 [0] 30 26" xfId="2390" xr:uid="{00000000-0005-0000-0000-0000B10F0000}"/>
    <cellStyle name="쉼표 [0] 30 27" xfId="2391" xr:uid="{00000000-0005-0000-0000-0000B20F0000}"/>
    <cellStyle name="쉼표 [0] 30 3" xfId="2392" xr:uid="{00000000-0005-0000-0000-0000B30F0000}"/>
    <cellStyle name="쉼표 [0] 30 4" xfId="2393" xr:uid="{00000000-0005-0000-0000-0000B40F0000}"/>
    <cellStyle name="쉼표 [0] 30 5" xfId="2394" xr:uid="{00000000-0005-0000-0000-0000B50F0000}"/>
    <cellStyle name="쉼표 [0] 30 6" xfId="2395" xr:uid="{00000000-0005-0000-0000-0000B60F0000}"/>
    <cellStyle name="쉼표 [0] 30 7" xfId="2396" xr:uid="{00000000-0005-0000-0000-0000B70F0000}"/>
    <cellStyle name="쉼표 [0] 30 8" xfId="2397" xr:uid="{00000000-0005-0000-0000-0000B80F0000}"/>
    <cellStyle name="쉼표 [0] 30 9" xfId="2398" xr:uid="{00000000-0005-0000-0000-0000B90F0000}"/>
    <cellStyle name="쉼표 [0] 4" xfId="2399" xr:uid="{00000000-0005-0000-0000-0000BA0F0000}"/>
    <cellStyle name="쉼표 [0] 4 10" xfId="2400" xr:uid="{00000000-0005-0000-0000-0000BB0F0000}"/>
    <cellStyle name="쉼표 [0] 4 10 2" xfId="2401" xr:uid="{00000000-0005-0000-0000-0000BC0F0000}"/>
    <cellStyle name="쉼표 [0] 4 11" xfId="2402" xr:uid="{00000000-0005-0000-0000-0000BD0F0000}"/>
    <cellStyle name="쉼표 [0] 4 11 2" xfId="2403" xr:uid="{00000000-0005-0000-0000-0000BE0F0000}"/>
    <cellStyle name="쉼표 [0] 4 12" xfId="2404" xr:uid="{00000000-0005-0000-0000-0000BF0F0000}"/>
    <cellStyle name="쉼표 [0] 4 12 2" xfId="2405" xr:uid="{00000000-0005-0000-0000-0000C00F0000}"/>
    <cellStyle name="쉼표 [0] 4 13" xfId="2406" xr:uid="{00000000-0005-0000-0000-0000C10F0000}"/>
    <cellStyle name="쉼표 [0] 4 13 2" xfId="2407" xr:uid="{00000000-0005-0000-0000-0000C20F0000}"/>
    <cellStyle name="쉼표 [0] 4 14" xfId="2408" xr:uid="{00000000-0005-0000-0000-0000C30F0000}"/>
    <cellStyle name="쉼표 [0] 4 14 2" xfId="2409" xr:uid="{00000000-0005-0000-0000-0000C40F0000}"/>
    <cellStyle name="쉼표 [0] 4 15" xfId="2410" xr:uid="{00000000-0005-0000-0000-0000C50F0000}"/>
    <cellStyle name="쉼표 [0] 4 15 2" xfId="2411" xr:uid="{00000000-0005-0000-0000-0000C60F0000}"/>
    <cellStyle name="쉼표 [0] 4 16" xfId="2412" xr:uid="{00000000-0005-0000-0000-0000C70F0000}"/>
    <cellStyle name="쉼표 [0] 4 16 2" xfId="2413" xr:uid="{00000000-0005-0000-0000-0000C80F0000}"/>
    <cellStyle name="쉼표 [0] 4 17" xfId="2414" xr:uid="{00000000-0005-0000-0000-0000C90F0000}"/>
    <cellStyle name="쉼표 [0] 4 17 2" xfId="2415" xr:uid="{00000000-0005-0000-0000-0000CA0F0000}"/>
    <cellStyle name="쉼표 [0] 4 18" xfId="2416" xr:uid="{00000000-0005-0000-0000-0000CB0F0000}"/>
    <cellStyle name="쉼표 [0] 4 18 2" xfId="2417" xr:uid="{00000000-0005-0000-0000-0000CC0F0000}"/>
    <cellStyle name="쉼표 [0] 4 19" xfId="2418" xr:uid="{00000000-0005-0000-0000-0000CD0F0000}"/>
    <cellStyle name="쉼표 [0] 4 19 2" xfId="2419" xr:uid="{00000000-0005-0000-0000-0000CE0F0000}"/>
    <cellStyle name="쉼표 [0] 4 2" xfId="2420" xr:uid="{00000000-0005-0000-0000-0000CF0F0000}"/>
    <cellStyle name="쉼표 [0] 4 2 10" xfId="2421" xr:uid="{00000000-0005-0000-0000-0000D00F0000}"/>
    <cellStyle name="쉼표 [0] 4 2 10 2" xfId="2422" xr:uid="{00000000-0005-0000-0000-0000D10F0000}"/>
    <cellStyle name="쉼표 [0] 4 2 11" xfId="2423" xr:uid="{00000000-0005-0000-0000-0000D20F0000}"/>
    <cellStyle name="쉼표 [0] 4 2 11 2" xfId="2424" xr:uid="{00000000-0005-0000-0000-0000D30F0000}"/>
    <cellStyle name="쉼표 [0] 4 2 12" xfId="2425" xr:uid="{00000000-0005-0000-0000-0000D40F0000}"/>
    <cellStyle name="쉼표 [0] 4 2 12 2" xfId="2426" xr:uid="{00000000-0005-0000-0000-0000D50F0000}"/>
    <cellStyle name="쉼표 [0] 4 2 13" xfId="2427" xr:uid="{00000000-0005-0000-0000-0000D60F0000}"/>
    <cellStyle name="쉼표 [0] 4 2 13 2" xfId="2428" xr:uid="{00000000-0005-0000-0000-0000D70F0000}"/>
    <cellStyle name="쉼표 [0] 4 2 14" xfId="2429" xr:uid="{00000000-0005-0000-0000-0000D80F0000}"/>
    <cellStyle name="쉼표 [0] 4 2 14 2" xfId="2430" xr:uid="{00000000-0005-0000-0000-0000D90F0000}"/>
    <cellStyle name="쉼표 [0] 4 2 15" xfId="2431" xr:uid="{00000000-0005-0000-0000-0000DA0F0000}"/>
    <cellStyle name="쉼표 [0] 4 2 15 2" xfId="2432" xr:uid="{00000000-0005-0000-0000-0000DB0F0000}"/>
    <cellStyle name="쉼표 [0] 4 2 16" xfId="2433" xr:uid="{00000000-0005-0000-0000-0000DC0F0000}"/>
    <cellStyle name="쉼표 [0] 4 2 16 2" xfId="2434" xr:uid="{00000000-0005-0000-0000-0000DD0F0000}"/>
    <cellStyle name="쉼표 [0] 4 2 17" xfId="2435" xr:uid="{00000000-0005-0000-0000-0000DE0F0000}"/>
    <cellStyle name="쉼표 [0] 4 2 17 2" xfId="2436" xr:uid="{00000000-0005-0000-0000-0000DF0F0000}"/>
    <cellStyle name="쉼표 [0] 4 2 18" xfId="2437" xr:uid="{00000000-0005-0000-0000-0000E00F0000}"/>
    <cellStyle name="쉼표 [0] 4 2 18 2" xfId="2438" xr:uid="{00000000-0005-0000-0000-0000E10F0000}"/>
    <cellStyle name="쉼표 [0] 4 2 19" xfId="2439" xr:uid="{00000000-0005-0000-0000-0000E20F0000}"/>
    <cellStyle name="쉼표 [0] 4 2 2" xfId="2440" xr:uid="{00000000-0005-0000-0000-0000E30F0000}"/>
    <cellStyle name="쉼표 [0] 4 2 2 2" xfId="2441" xr:uid="{00000000-0005-0000-0000-0000E40F0000}"/>
    <cellStyle name="쉼표 [0] 4 2 3" xfId="2442" xr:uid="{00000000-0005-0000-0000-0000E50F0000}"/>
    <cellStyle name="쉼표 [0] 4 2 3 2" xfId="2443" xr:uid="{00000000-0005-0000-0000-0000E60F0000}"/>
    <cellStyle name="쉼표 [0] 4 2 4" xfId="2444" xr:uid="{00000000-0005-0000-0000-0000E70F0000}"/>
    <cellStyle name="쉼표 [0] 4 2 4 2" xfId="2445" xr:uid="{00000000-0005-0000-0000-0000E80F0000}"/>
    <cellStyle name="쉼표 [0] 4 2 5" xfId="2446" xr:uid="{00000000-0005-0000-0000-0000E90F0000}"/>
    <cellStyle name="쉼표 [0] 4 2 5 2" xfId="2447" xr:uid="{00000000-0005-0000-0000-0000EA0F0000}"/>
    <cellStyle name="쉼표 [0] 4 2 6" xfId="2448" xr:uid="{00000000-0005-0000-0000-0000EB0F0000}"/>
    <cellStyle name="쉼표 [0] 4 2 6 2" xfId="2449" xr:uid="{00000000-0005-0000-0000-0000EC0F0000}"/>
    <cellStyle name="쉼표 [0] 4 2 7" xfId="2450" xr:uid="{00000000-0005-0000-0000-0000ED0F0000}"/>
    <cellStyle name="쉼표 [0] 4 2 7 2" xfId="2451" xr:uid="{00000000-0005-0000-0000-0000EE0F0000}"/>
    <cellStyle name="쉼표 [0] 4 2 8" xfId="2452" xr:uid="{00000000-0005-0000-0000-0000EF0F0000}"/>
    <cellStyle name="쉼표 [0] 4 2 8 2" xfId="2453" xr:uid="{00000000-0005-0000-0000-0000F00F0000}"/>
    <cellStyle name="쉼표 [0] 4 2 9" xfId="2454" xr:uid="{00000000-0005-0000-0000-0000F10F0000}"/>
    <cellStyle name="쉼표 [0] 4 2 9 2" xfId="2455" xr:uid="{00000000-0005-0000-0000-0000F20F0000}"/>
    <cellStyle name="쉼표 [0] 4 20" xfId="2456" xr:uid="{00000000-0005-0000-0000-0000F30F0000}"/>
    <cellStyle name="쉼표 [0] 4 20 2" xfId="2457" xr:uid="{00000000-0005-0000-0000-0000F40F0000}"/>
    <cellStyle name="쉼표 [0] 4 21" xfId="2458" xr:uid="{00000000-0005-0000-0000-0000F50F0000}"/>
    <cellStyle name="쉼표 [0] 4 21 2" xfId="2459" xr:uid="{00000000-0005-0000-0000-0000F60F0000}"/>
    <cellStyle name="쉼표 [0] 4 22" xfId="2460" xr:uid="{00000000-0005-0000-0000-0000F70F0000}"/>
    <cellStyle name="쉼표 [0] 4 23" xfId="2461" xr:uid="{00000000-0005-0000-0000-0000F80F0000}"/>
    <cellStyle name="쉼표 [0] 4 24" xfId="2462" xr:uid="{00000000-0005-0000-0000-0000F90F0000}"/>
    <cellStyle name="쉼표 [0] 4 25" xfId="2463" xr:uid="{00000000-0005-0000-0000-0000FA0F0000}"/>
    <cellStyle name="쉼표 [0] 4 3" xfId="2464" xr:uid="{00000000-0005-0000-0000-0000FB0F0000}"/>
    <cellStyle name="쉼표 [0] 4 3 2" xfId="2465" xr:uid="{00000000-0005-0000-0000-0000FC0F0000}"/>
    <cellStyle name="쉼표 [0] 4 4" xfId="2466" xr:uid="{00000000-0005-0000-0000-0000FD0F0000}"/>
    <cellStyle name="쉼표 [0] 4 4 2" xfId="2467" xr:uid="{00000000-0005-0000-0000-0000FE0F0000}"/>
    <cellStyle name="쉼표 [0] 4 5" xfId="2468" xr:uid="{00000000-0005-0000-0000-0000FF0F0000}"/>
    <cellStyle name="쉼표 [0] 4 5 2" xfId="2469" xr:uid="{00000000-0005-0000-0000-000000100000}"/>
    <cellStyle name="쉼표 [0] 4 6" xfId="2470" xr:uid="{00000000-0005-0000-0000-000001100000}"/>
    <cellStyle name="쉼표 [0] 4 6 2" xfId="2471" xr:uid="{00000000-0005-0000-0000-000002100000}"/>
    <cellStyle name="쉼표 [0] 4 7" xfId="2472" xr:uid="{00000000-0005-0000-0000-000003100000}"/>
    <cellStyle name="쉼표 [0] 4 7 2" xfId="2473" xr:uid="{00000000-0005-0000-0000-000004100000}"/>
    <cellStyle name="쉼표 [0] 4 8" xfId="2474" xr:uid="{00000000-0005-0000-0000-000005100000}"/>
    <cellStyle name="쉼표 [0] 4 8 2" xfId="2475" xr:uid="{00000000-0005-0000-0000-000006100000}"/>
    <cellStyle name="쉼표 [0] 4 9" xfId="2476" xr:uid="{00000000-0005-0000-0000-000007100000}"/>
    <cellStyle name="쉼표 [0] 4 9 2" xfId="2477" xr:uid="{00000000-0005-0000-0000-000008100000}"/>
    <cellStyle name="쉼표 [0] 43 10" xfId="2478" xr:uid="{00000000-0005-0000-0000-000009100000}"/>
    <cellStyle name="쉼표 [0] 43 11" xfId="2479" xr:uid="{00000000-0005-0000-0000-00000A100000}"/>
    <cellStyle name="쉼표 [0] 43 12" xfId="2480" xr:uid="{00000000-0005-0000-0000-00000B100000}"/>
    <cellStyle name="쉼표 [0] 43 13" xfId="2481" xr:uid="{00000000-0005-0000-0000-00000C100000}"/>
    <cellStyle name="쉼표 [0] 43 14" xfId="2482" xr:uid="{00000000-0005-0000-0000-00000D100000}"/>
    <cellStyle name="쉼표 [0] 43 15" xfId="2483" xr:uid="{00000000-0005-0000-0000-00000E100000}"/>
    <cellStyle name="쉼표 [0] 43 16" xfId="2484" xr:uid="{00000000-0005-0000-0000-00000F100000}"/>
    <cellStyle name="쉼표 [0] 43 17" xfId="2485" xr:uid="{00000000-0005-0000-0000-000010100000}"/>
    <cellStyle name="쉼표 [0] 43 18" xfId="2486" xr:uid="{00000000-0005-0000-0000-000011100000}"/>
    <cellStyle name="쉼표 [0] 43 19" xfId="2487" xr:uid="{00000000-0005-0000-0000-000012100000}"/>
    <cellStyle name="쉼표 [0] 43 2" xfId="2488" xr:uid="{00000000-0005-0000-0000-000013100000}"/>
    <cellStyle name="쉼표 [0] 43 20" xfId="2489" xr:uid="{00000000-0005-0000-0000-000014100000}"/>
    <cellStyle name="쉼표 [0] 43 21" xfId="2490" xr:uid="{00000000-0005-0000-0000-000015100000}"/>
    <cellStyle name="쉼표 [0] 43 22" xfId="2491" xr:uid="{00000000-0005-0000-0000-000016100000}"/>
    <cellStyle name="쉼표 [0] 43 23" xfId="2492" xr:uid="{00000000-0005-0000-0000-000017100000}"/>
    <cellStyle name="쉼표 [0] 43 24" xfId="2493" xr:uid="{00000000-0005-0000-0000-000018100000}"/>
    <cellStyle name="쉼표 [0] 43 25" xfId="2494" xr:uid="{00000000-0005-0000-0000-000019100000}"/>
    <cellStyle name="쉼표 [0] 43 26" xfId="2495" xr:uid="{00000000-0005-0000-0000-00001A100000}"/>
    <cellStyle name="쉼표 [0] 43 27" xfId="2496" xr:uid="{00000000-0005-0000-0000-00001B100000}"/>
    <cellStyle name="쉼표 [0] 43 28" xfId="2497" xr:uid="{00000000-0005-0000-0000-00001C100000}"/>
    <cellStyle name="쉼표 [0] 43 29" xfId="2498" xr:uid="{00000000-0005-0000-0000-00001D100000}"/>
    <cellStyle name="쉼표 [0] 43 3" xfId="2499" xr:uid="{00000000-0005-0000-0000-00001E100000}"/>
    <cellStyle name="쉼표 [0] 43 30" xfId="2500" xr:uid="{00000000-0005-0000-0000-00001F100000}"/>
    <cellStyle name="쉼표 [0] 43 31" xfId="2501" xr:uid="{00000000-0005-0000-0000-000020100000}"/>
    <cellStyle name="쉼표 [0] 43 32" xfId="2502" xr:uid="{00000000-0005-0000-0000-000021100000}"/>
    <cellStyle name="쉼표 [0] 43 33" xfId="2503" xr:uid="{00000000-0005-0000-0000-000022100000}"/>
    <cellStyle name="쉼표 [0] 43 34" xfId="2504" xr:uid="{00000000-0005-0000-0000-000023100000}"/>
    <cellStyle name="쉼표 [0] 43 35" xfId="2505" xr:uid="{00000000-0005-0000-0000-000024100000}"/>
    <cellStyle name="쉼표 [0] 43 36" xfId="2506" xr:uid="{00000000-0005-0000-0000-000025100000}"/>
    <cellStyle name="쉼표 [0] 43 37" xfId="2507" xr:uid="{00000000-0005-0000-0000-000026100000}"/>
    <cellStyle name="쉼표 [0] 43 38" xfId="2508" xr:uid="{00000000-0005-0000-0000-000027100000}"/>
    <cellStyle name="쉼표 [0] 43 39" xfId="2509" xr:uid="{00000000-0005-0000-0000-000028100000}"/>
    <cellStyle name="쉼표 [0] 43 4" xfId="2510" xr:uid="{00000000-0005-0000-0000-000029100000}"/>
    <cellStyle name="쉼표 [0] 43 40" xfId="2511" xr:uid="{00000000-0005-0000-0000-00002A100000}"/>
    <cellStyle name="쉼표 [0] 43 41" xfId="2512" xr:uid="{00000000-0005-0000-0000-00002B100000}"/>
    <cellStyle name="쉼표 [0] 43 42" xfId="2513" xr:uid="{00000000-0005-0000-0000-00002C100000}"/>
    <cellStyle name="쉼표 [0] 43 43" xfId="2514" xr:uid="{00000000-0005-0000-0000-00002D100000}"/>
    <cellStyle name="쉼표 [0] 43 44" xfId="2515" xr:uid="{00000000-0005-0000-0000-00002E100000}"/>
    <cellStyle name="쉼표 [0] 43 45" xfId="2516" xr:uid="{00000000-0005-0000-0000-00002F100000}"/>
    <cellStyle name="쉼표 [0] 43 46" xfId="2517" xr:uid="{00000000-0005-0000-0000-000030100000}"/>
    <cellStyle name="쉼표 [0] 43 47" xfId="2518" xr:uid="{00000000-0005-0000-0000-000031100000}"/>
    <cellStyle name="쉼표 [0] 43 48" xfId="2519" xr:uid="{00000000-0005-0000-0000-000032100000}"/>
    <cellStyle name="쉼표 [0] 43 5" xfId="2520" xr:uid="{00000000-0005-0000-0000-000033100000}"/>
    <cellStyle name="쉼표 [0] 43 6" xfId="2521" xr:uid="{00000000-0005-0000-0000-000034100000}"/>
    <cellStyle name="쉼표 [0] 43 7" xfId="2522" xr:uid="{00000000-0005-0000-0000-000035100000}"/>
    <cellStyle name="쉼표 [0] 43 8" xfId="2523" xr:uid="{00000000-0005-0000-0000-000036100000}"/>
    <cellStyle name="쉼표 [0] 43 9" xfId="2524" xr:uid="{00000000-0005-0000-0000-000037100000}"/>
    <cellStyle name="쉼표 [0] 44 10" xfId="2525" xr:uid="{00000000-0005-0000-0000-000038100000}"/>
    <cellStyle name="쉼표 [0] 44 11" xfId="2526" xr:uid="{00000000-0005-0000-0000-000039100000}"/>
    <cellStyle name="쉼표 [0] 44 12" xfId="2527" xr:uid="{00000000-0005-0000-0000-00003A100000}"/>
    <cellStyle name="쉼표 [0] 44 13" xfId="2528" xr:uid="{00000000-0005-0000-0000-00003B100000}"/>
    <cellStyle name="쉼표 [0] 44 14" xfId="2529" xr:uid="{00000000-0005-0000-0000-00003C100000}"/>
    <cellStyle name="쉼표 [0] 44 15" xfId="2530" xr:uid="{00000000-0005-0000-0000-00003D100000}"/>
    <cellStyle name="쉼표 [0] 44 16" xfId="2531" xr:uid="{00000000-0005-0000-0000-00003E100000}"/>
    <cellStyle name="쉼표 [0] 44 17" xfId="2532" xr:uid="{00000000-0005-0000-0000-00003F100000}"/>
    <cellStyle name="쉼표 [0] 44 18" xfId="2533" xr:uid="{00000000-0005-0000-0000-000040100000}"/>
    <cellStyle name="쉼표 [0] 44 19" xfId="2534" xr:uid="{00000000-0005-0000-0000-000041100000}"/>
    <cellStyle name="쉼표 [0] 44 2" xfId="2535" xr:uid="{00000000-0005-0000-0000-000042100000}"/>
    <cellStyle name="쉼표 [0] 44 20" xfId="2536" xr:uid="{00000000-0005-0000-0000-000043100000}"/>
    <cellStyle name="쉼표 [0] 44 21" xfId="2537" xr:uid="{00000000-0005-0000-0000-000044100000}"/>
    <cellStyle name="쉼표 [0] 44 22" xfId="2538" xr:uid="{00000000-0005-0000-0000-000045100000}"/>
    <cellStyle name="쉼표 [0] 44 23" xfId="2539" xr:uid="{00000000-0005-0000-0000-000046100000}"/>
    <cellStyle name="쉼표 [0] 44 24" xfId="2540" xr:uid="{00000000-0005-0000-0000-000047100000}"/>
    <cellStyle name="쉼표 [0] 44 25" xfId="2541" xr:uid="{00000000-0005-0000-0000-000048100000}"/>
    <cellStyle name="쉼표 [0] 44 26" xfId="2542" xr:uid="{00000000-0005-0000-0000-000049100000}"/>
    <cellStyle name="쉼표 [0] 44 27" xfId="2543" xr:uid="{00000000-0005-0000-0000-00004A100000}"/>
    <cellStyle name="쉼표 [0] 44 28" xfId="2544" xr:uid="{00000000-0005-0000-0000-00004B100000}"/>
    <cellStyle name="쉼표 [0] 44 29" xfId="2545" xr:uid="{00000000-0005-0000-0000-00004C100000}"/>
    <cellStyle name="쉼표 [0] 44 3" xfId="2546" xr:uid="{00000000-0005-0000-0000-00004D100000}"/>
    <cellStyle name="쉼표 [0] 44 30" xfId="2547" xr:uid="{00000000-0005-0000-0000-00004E100000}"/>
    <cellStyle name="쉼표 [0] 44 31" xfId="2548" xr:uid="{00000000-0005-0000-0000-00004F100000}"/>
    <cellStyle name="쉼표 [0] 44 32" xfId="2549" xr:uid="{00000000-0005-0000-0000-000050100000}"/>
    <cellStyle name="쉼표 [0] 44 33" xfId="2550" xr:uid="{00000000-0005-0000-0000-000051100000}"/>
    <cellStyle name="쉼표 [0] 44 34" xfId="2551" xr:uid="{00000000-0005-0000-0000-000052100000}"/>
    <cellStyle name="쉼표 [0] 44 35" xfId="2552" xr:uid="{00000000-0005-0000-0000-000053100000}"/>
    <cellStyle name="쉼표 [0] 44 36" xfId="2553" xr:uid="{00000000-0005-0000-0000-000054100000}"/>
    <cellStyle name="쉼표 [0] 44 37" xfId="2554" xr:uid="{00000000-0005-0000-0000-000055100000}"/>
    <cellStyle name="쉼표 [0] 44 38" xfId="2555" xr:uid="{00000000-0005-0000-0000-000056100000}"/>
    <cellStyle name="쉼표 [0] 44 39" xfId="2556" xr:uid="{00000000-0005-0000-0000-000057100000}"/>
    <cellStyle name="쉼표 [0] 44 4" xfId="2557" xr:uid="{00000000-0005-0000-0000-000058100000}"/>
    <cellStyle name="쉼표 [0] 44 40" xfId="2558" xr:uid="{00000000-0005-0000-0000-000059100000}"/>
    <cellStyle name="쉼표 [0] 44 41" xfId="2559" xr:uid="{00000000-0005-0000-0000-00005A100000}"/>
    <cellStyle name="쉼표 [0] 44 42" xfId="2560" xr:uid="{00000000-0005-0000-0000-00005B100000}"/>
    <cellStyle name="쉼표 [0] 44 43" xfId="2561" xr:uid="{00000000-0005-0000-0000-00005C100000}"/>
    <cellStyle name="쉼표 [0] 44 44" xfId="2562" xr:uid="{00000000-0005-0000-0000-00005D100000}"/>
    <cellStyle name="쉼표 [0] 44 45" xfId="2563" xr:uid="{00000000-0005-0000-0000-00005E100000}"/>
    <cellStyle name="쉼표 [0] 44 46" xfId="2564" xr:uid="{00000000-0005-0000-0000-00005F100000}"/>
    <cellStyle name="쉼표 [0] 44 47" xfId="2565" xr:uid="{00000000-0005-0000-0000-000060100000}"/>
    <cellStyle name="쉼표 [0] 44 48" xfId="2566" xr:uid="{00000000-0005-0000-0000-000061100000}"/>
    <cellStyle name="쉼표 [0] 44 5" xfId="2567" xr:uid="{00000000-0005-0000-0000-000062100000}"/>
    <cellStyle name="쉼표 [0] 44 6" xfId="2568" xr:uid="{00000000-0005-0000-0000-000063100000}"/>
    <cellStyle name="쉼표 [0] 44 7" xfId="2569" xr:uid="{00000000-0005-0000-0000-000064100000}"/>
    <cellStyle name="쉼표 [0] 44 8" xfId="2570" xr:uid="{00000000-0005-0000-0000-000065100000}"/>
    <cellStyle name="쉼표 [0] 44 9" xfId="2571" xr:uid="{00000000-0005-0000-0000-000066100000}"/>
    <cellStyle name="쉼표 [0] 45 10" xfId="2572" xr:uid="{00000000-0005-0000-0000-000067100000}"/>
    <cellStyle name="쉼표 [0] 45 11" xfId="2573" xr:uid="{00000000-0005-0000-0000-000068100000}"/>
    <cellStyle name="쉼표 [0] 45 12" xfId="2574" xr:uid="{00000000-0005-0000-0000-000069100000}"/>
    <cellStyle name="쉼표 [0] 45 13" xfId="2575" xr:uid="{00000000-0005-0000-0000-00006A100000}"/>
    <cellStyle name="쉼표 [0] 45 14" xfId="2576" xr:uid="{00000000-0005-0000-0000-00006B100000}"/>
    <cellStyle name="쉼표 [0] 45 15" xfId="2577" xr:uid="{00000000-0005-0000-0000-00006C100000}"/>
    <cellStyle name="쉼표 [0] 45 16" xfId="2578" xr:uid="{00000000-0005-0000-0000-00006D100000}"/>
    <cellStyle name="쉼표 [0] 45 17" xfId="2579" xr:uid="{00000000-0005-0000-0000-00006E100000}"/>
    <cellStyle name="쉼표 [0] 45 18" xfId="2580" xr:uid="{00000000-0005-0000-0000-00006F100000}"/>
    <cellStyle name="쉼표 [0] 45 19" xfId="2581" xr:uid="{00000000-0005-0000-0000-000070100000}"/>
    <cellStyle name="쉼표 [0] 45 2" xfId="2582" xr:uid="{00000000-0005-0000-0000-000071100000}"/>
    <cellStyle name="쉼표 [0] 45 20" xfId="2583" xr:uid="{00000000-0005-0000-0000-000072100000}"/>
    <cellStyle name="쉼표 [0] 45 21" xfId="2584" xr:uid="{00000000-0005-0000-0000-000073100000}"/>
    <cellStyle name="쉼표 [0] 45 22" xfId="2585" xr:uid="{00000000-0005-0000-0000-000074100000}"/>
    <cellStyle name="쉼표 [0] 45 23" xfId="2586" xr:uid="{00000000-0005-0000-0000-000075100000}"/>
    <cellStyle name="쉼표 [0] 45 24" xfId="2587" xr:uid="{00000000-0005-0000-0000-000076100000}"/>
    <cellStyle name="쉼표 [0] 45 25" xfId="2588" xr:uid="{00000000-0005-0000-0000-000077100000}"/>
    <cellStyle name="쉼표 [0] 45 26" xfId="2589" xr:uid="{00000000-0005-0000-0000-000078100000}"/>
    <cellStyle name="쉼표 [0] 45 27" xfId="2590" xr:uid="{00000000-0005-0000-0000-000079100000}"/>
    <cellStyle name="쉼표 [0] 45 28" xfId="2591" xr:uid="{00000000-0005-0000-0000-00007A100000}"/>
    <cellStyle name="쉼표 [0] 45 29" xfId="2592" xr:uid="{00000000-0005-0000-0000-00007B100000}"/>
    <cellStyle name="쉼표 [0] 45 3" xfId="2593" xr:uid="{00000000-0005-0000-0000-00007C100000}"/>
    <cellStyle name="쉼표 [0] 45 30" xfId="2594" xr:uid="{00000000-0005-0000-0000-00007D100000}"/>
    <cellStyle name="쉼표 [0] 45 31" xfId="2595" xr:uid="{00000000-0005-0000-0000-00007E100000}"/>
    <cellStyle name="쉼표 [0] 45 32" xfId="2596" xr:uid="{00000000-0005-0000-0000-00007F100000}"/>
    <cellStyle name="쉼표 [0] 45 33" xfId="2597" xr:uid="{00000000-0005-0000-0000-000080100000}"/>
    <cellStyle name="쉼표 [0] 45 34" xfId="2598" xr:uid="{00000000-0005-0000-0000-000081100000}"/>
    <cellStyle name="쉼표 [0] 45 35" xfId="2599" xr:uid="{00000000-0005-0000-0000-000082100000}"/>
    <cellStyle name="쉼표 [0] 45 36" xfId="2600" xr:uid="{00000000-0005-0000-0000-000083100000}"/>
    <cellStyle name="쉼표 [0] 45 37" xfId="2601" xr:uid="{00000000-0005-0000-0000-000084100000}"/>
    <cellStyle name="쉼표 [0] 45 38" xfId="2602" xr:uid="{00000000-0005-0000-0000-000085100000}"/>
    <cellStyle name="쉼표 [0] 45 39" xfId="2603" xr:uid="{00000000-0005-0000-0000-000086100000}"/>
    <cellStyle name="쉼표 [0] 45 4" xfId="2604" xr:uid="{00000000-0005-0000-0000-000087100000}"/>
    <cellStyle name="쉼표 [0] 45 40" xfId="2605" xr:uid="{00000000-0005-0000-0000-000088100000}"/>
    <cellStyle name="쉼표 [0] 45 41" xfId="2606" xr:uid="{00000000-0005-0000-0000-000089100000}"/>
    <cellStyle name="쉼표 [0] 45 42" xfId="2607" xr:uid="{00000000-0005-0000-0000-00008A100000}"/>
    <cellStyle name="쉼표 [0] 45 43" xfId="2608" xr:uid="{00000000-0005-0000-0000-00008B100000}"/>
    <cellStyle name="쉼표 [0] 45 44" xfId="2609" xr:uid="{00000000-0005-0000-0000-00008C100000}"/>
    <cellStyle name="쉼표 [0] 45 45" xfId="2610" xr:uid="{00000000-0005-0000-0000-00008D100000}"/>
    <cellStyle name="쉼표 [0] 45 46" xfId="2611" xr:uid="{00000000-0005-0000-0000-00008E100000}"/>
    <cellStyle name="쉼표 [0] 45 47" xfId="2612" xr:uid="{00000000-0005-0000-0000-00008F100000}"/>
    <cellStyle name="쉼표 [0] 45 48" xfId="2613" xr:uid="{00000000-0005-0000-0000-000090100000}"/>
    <cellStyle name="쉼표 [0] 45 5" xfId="2614" xr:uid="{00000000-0005-0000-0000-000091100000}"/>
    <cellStyle name="쉼표 [0] 45 6" xfId="2615" xr:uid="{00000000-0005-0000-0000-000092100000}"/>
    <cellStyle name="쉼표 [0] 45 7" xfId="2616" xr:uid="{00000000-0005-0000-0000-000093100000}"/>
    <cellStyle name="쉼표 [0] 45 8" xfId="2617" xr:uid="{00000000-0005-0000-0000-000094100000}"/>
    <cellStyle name="쉼표 [0] 45 9" xfId="2618" xr:uid="{00000000-0005-0000-0000-000095100000}"/>
    <cellStyle name="쉼표 [0] 46 10" xfId="2619" xr:uid="{00000000-0005-0000-0000-000096100000}"/>
    <cellStyle name="쉼표 [0] 46 11" xfId="2620" xr:uid="{00000000-0005-0000-0000-000097100000}"/>
    <cellStyle name="쉼표 [0] 46 12" xfId="2621" xr:uid="{00000000-0005-0000-0000-000098100000}"/>
    <cellStyle name="쉼표 [0] 46 13" xfId="2622" xr:uid="{00000000-0005-0000-0000-000099100000}"/>
    <cellStyle name="쉼표 [0] 46 14" xfId="2623" xr:uid="{00000000-0005-0000-0000-00009A100000}"/>
    <cellStyle name="쉼표 [0] 46 15" xfId="2624" xr:uid="{00000000-0005-0000-0000-00009B100000}"/>
    <cellStyle name="쉼표 [0] 46 16" xfId="2625" xr:uid="{00000000-0005-0000-0000-00009C100000}"/>
    <cellStyle name="쉼표 [0] 46 17" xfId="2626" xr:uid="{00000000-0005-0000-0000-00009D100000}"/>
    <cellStyle name="쉼표 [0] 46 18" xfId="2627" xr:uid="{00000000-0005-0000-0000-00009E100000}"/>
    <cellStyle name="쉼표 [0] 46 19" xfId="2628" xr:uid="{00000000-0005-0000-0000-00009F100000}"/>
    <cellStyle name="쉼표 [0] 46 2" xfId="2629" xr:uid="{00000000-0005-0000-0000-0000A0100000}"/>
    <cellStyle name="쉼표 [0] 46 20" xfId="2630" xr:uid="{00000000-0005-0000-0000-0000A1100000}"/>
    <cellStyle name="쉼표 [0] 46 21" xfId="2631" xr:uid="{00000000-0005-0000-0000-0000A2100000}"/>
    <cellStyle name="쉼표 [0] 46 22" xfId="2632" xr:uid="{00000000-0005-0000-0000-0000A3100000}"/>
    <cellStyle name="쉼표 [0] 46 23" xfId="2633" xr:uid="{00000000-0005-0000-0000-0000A4100000}"/>
    <cellStyle name="쉼표 [0] 46 24" xfId="2634" xr:uid="{00000000-0005-0000-0000-0000A5100000}"/>
    <cellStyle name="쉼표 [0] 46 25" xfId="2635" xr:uid="{00000000-0005-0000-0000-0000A6100000}"/>
    <cellStyle name="쉼표 [0] 46 26" xfId="2636" xr:uid="{00000000-0005-0000-0000-0000A7100000}"/>
    <cellStyle name="쉼표 [0] 46 27" xfId="2637" xr:uid="{00000000-0005-0000-0000-0000A8100000}"/>
    <cellStyle name="쉼표 [0] 46 28" xfId="2638" xr:uid="{00000000-0005-0000-0000-0000A9100000}"/>
    <cellStyle name="쉼표 [0] 46 29" xfId="2639" xr:uid="{00000000-0005-0000-0000-0000AA100000}"/>
    <cellStyle name="쉼표 [0] 46 3" xfId="2640" xr:uid="{00000000-0005-0000-0000-0000AB100000}"/>
    <cellStyle name="쉼표 [0] 46 30" xfId="2641" xr:uid="{00000000-0005-0000-0000-0000AC100000}"/>
    <cellStyle name="쉼표 [0] 46 31" xfId="2642" xr:uid="{00000000-0005-0000-0000-0000AD100000}"/>
    <cellStyle name="쉼표 [0] 46 32" xfId="2643" xr:uid="{00000000-0005-0000-0000-0000AE100000}"/>
    <cellStyle name="쉼표 [0] 46 33" xfId="2644" xr:uid="{00000000-0005-0000-0000-0000AF100000}"/>
    <cellStyle name="쉼표 [0] 46 34" xfId="2645" xr:uid="{00000000-0005-0000-0000-0000B0100000}"/>
    <cellStyle name="쉼표 [0] 46 35" xfId="2646" xr:uid="{00000000-0005-0000-0000-0000B1100000}"/>
    <cellStyle name="쉼표 [0] 46 36" xfId="2647" xr:uid="{00000000-0005-0000-0000-0000B2100000}"/>
    <cellStyle name="쉼표 [0] 46 37" xfId="2648" xr:uid="{00000000-0005-0000-0000-0000B3100000}"/>
    <cellStyle name="쉼표 [0] 46 38" xfId="2649" xr:uid="{00000000-0005-0000-0000-0000B4100000}"/>
    <cellStyle name="쉼표 [0] 46 39" xfId="2650" xr:uid="{00000000-0005-0000-0000-0000B5100000}"/>
    <cellStyle name="쉼표 [0] 46 4" xfId="2651" xr:uid="{00000000-0005-0000-0000-0000B6100000}"/>
    <cellStyle name="쉼표 [0] 46 40" xfId="2652" xr:uid="{00000000-0005-0000-0000-0000B7100000}"/>
    <cellStyle name="쉼표 [0] 46 41" xfId="2653" xr:uid="{00000000-0005-0000-0000-0000B8100000}"/>
    <cellStyle name="쉼표 [0] 46 42" xfId="2654" xr:uid="{00000000-0005-0000-0000-0000B9100000}"/>
    <cellStyle name="쉼표 [0] 46 43" xfId="2655" xr:uid="{00000000-0005-0000-0000-0000BA100000}"/>
    <cellStyle name="쉼표 [0] 46 44" xfId="2656" xr:uid="{00000000-0005-0000-0000-0000BB100000}"/>
    <cellStyle name="쉼표 [0] 46 45" xfId="2657" xr:uid="{00000000-0005-0000-0000-0000BC100000}"/>
    <cellStyle name="쉼표 [0] 46 46" xfId="2658" xr:uid="{00000000-0005-0000-0000-0000BD100000}"/>
    <cellStyle name="쉼표 [0] 46 47" xfId="2659" xr:uid="{00000000-0005-0000-0000-0000BE100000}"/>
    <cellStyle name="쉼표 [0] 46 48" xfId="2660" xr:uid="{00000000-0005-0000-0000-0000BF100000}"/>
    <cellStyle name="쉼표 [0] 46 5" xfId="2661" xr:uid="{00000000-0005-0000-0000-0000C0100000}"/>
    <cellStyle name="쉼표 [0] 46 6" xfId="2662" xr:uid="{00000000-0005-0000-0000-0000C1100000}"/>
    <cellStyle name="쉼표 [0] 46 7" xfId="2663" xr:uid="{00000000-0005-0000-0000-0000C2100000}"/>
    <cellStyle name="쉼표 [0] 46 8" xfId="2664" xr:uid="{00000000-0005-0000-0000-0000C3100000}"/>
    <cellStyle name="쉼표 [0] 46 9" xfId="2665" xr:uid="{00000000-0005-0000-0000-0000C4100000}"/>
    <cellStyle name="쉼표 [0] 49 10" xfId="2666" xr:uid="{00000000-0005-0000-0000-0000C5100000}"/>
    <cellStyle name="쉼표 [0] 49 11" xfId="2667" xr:uid="{00000000-0005-0000-0000-0000C6100000}"/>
    <cellStyle name="쉼표 [0] 49 12" xfId="2668" xr:uid="{00000000-0005-0000-0000-0000C7100000}"/>
    <cellStyle name="쉼표 [0] 49 13" xfId="2669" xr:uid="{00000000-0005-0000-0000-0000C8100000}"/>
    <cellStyle name="쉼표 [0] 49 14" xfId="2670" xr:uid="{00000000-0005-0000-0000-0000C9100000}"/>
    <cellStyle name="쉼표 [0] 49 15" xfId="2671" xr:uid="{00000000-0005-0000-0000-0000CA100000}"/>
    <cellStyle name="쉼표 [0] 49 16" xfId="2672" xr:uid="{00000000-0005-0000-0000-0000CB100000}"/>
    <cellStyle name="쉼표 [0] 49 17" xfId="2673" xr:uid="{00000000-0005-0000-0000-0000CC100000}"/>
    <cellStyle name="쉼표 [0] 49 18" xfId="2674" xr:uid="{00000000-0005-0000-0000-0000CD100000}"/>
    <cellStyle name="쉼표 [0] 49 19" xfId="2675" xr:uid="{00000000-0005-0000-0000-0000CE100000}"/>
    <cellStyle name="쉼표 [0] 49 2" xfId="2676" xr:uid="{00000000-0005-0000-0000-0000CF100000}"/>
    <cellStyle name="쉼표 [0] 49 20" xfId="2677" xr:uid="{00000000-0005-0000-0000-0000D0100000}"/>
    <cellStyle name="쉼표 [0] 49 21" xfId="2678" xr:uid="{00000000-0005-0000-0000-0000D1100000}"/>
    <cellStyle name="쉼표 [0] 49 22" xfId="2679" xr:uid="{00000000-0005-0000-0000-0000D2100000}"/>
    <cellStyle name="쉼표 [0] 49 23" xfId="2680" xr:uid="{00000000-0005-0000-0000-0000D3100000}"/>
    <cellStyle name="쉼표 [0] 49 24" xfId="2681" xr:uid="{00000000-0005-0000-0000-0000D4100000}"/>
    <cellStyle name="쉼표 [0] 49 25" xfId="2682" xr:uid="{00000000-0005-0000-0000-0000D5100000}"/>
    <cellStyle name="쉼표 [0] 49 26" xfId="2683" xr:uid="{00000000-0005-0000-0000-0000D6100000}"/>
    <cellStyle name="쉼표 [0] 49 27" xfId="2684" xr:uid="{00000000-0005-0000-0000-0000D7100000}"/>
    <cellStyle name="쉼표 [0] 49 28" xfId="2685" xr:uid="{00000000-0005-0000-0000-0000D8100000}"/>
    <cellStyle name="쉼표 [0] 49 29" xfId="2686" xr:uid="{00000000-0005-0000-0000-0000D9100000}"/>
    <cellStyle name="쉼표 [0] 49 3" xfId="2687" xr:uid="{00000000-0005-0000-0000-0000DA100000}"/>
    <cellStyle name="쉼표 [0] 49 30" xfId="2688" xr:uid="{00000000-0005-0000-0000-0000DB100000}"/>
    <cellStyle name="쉼표 [0] 49 31" xfId="2689" xr:uid="{00000000-0005-0000-0000-0000DC100000}"/>
    <cellStyle name="쉼표 [0] 49 32" xfId="2690" xr:uid="{00000000-0005-0000-0000-0000DD100000}"/>
    <cellStyle name="쉼표 [0] 49 33" xfId="2691" xr:uid="{00000000-0005-0000-0000-0000DE100000}"/>
    <cellStyle name="쉼표 [0] 49 34" xfId="2692" xr:uid="{00000000-0005-0000-0000-0000DF100000}"/>
    <cellStyle name="쉼표 [0] 49 35" xfId="2693" xr:uid="{00000000-0005-0000-0000-0000E0100000}"/>
    <cellStyle name="쉼표 [0] 49 36" xfId="2694" xr:uid="{00000000-0005-0000-0000-0000E1100000}"/>
    <cellStyle name="쉼표 [0] 49 37" xfId="2695" xr:uid="{00000000-0005-0000-0000-0000E2100000}"/>
    <cellStyle name="쉼표 [0] 49 38" xfId="2696" xr:uid="{00000000-0005-0000-0000-0000E3100000}"/>
    <cellStyle name="쉼표 [0] 49 39" xfId="2697" xr:uid="{00000000-0005-0000-0000-0000E4100000}"/>
    <cellStyle name="쉼표 [0] 49 4" xfId="2698" xr:uid="{00000000-0005-0000-0000-0000E5100000}"/>
    <cellStyle name="쉼표 [0] 49 40" xfId="2699" xr:uid="{00000000-0005-0000-0000-0000E6100000}"/>
    <cellStyle name="쉼표 [0] 49 41" xfId="2700" xr:uid="{00000000-0005-0000-0000-0000E7100000}"/>
    <cellStyle name="쉼표 [0] 49 42" xfId="2701" xr:uid="{00000000-0005-0000-0000-0000E8100000}"/>
    <cellStyle name="쉼표 [0] 49 43" xfId="2702" xr:uid="{00000000-0005-0000-0000-0000E9100000}"/>
    <cellStyle name="쉼표 [0] 49 44" xfId="2703" xr:uid="{00000000-0005-0000-0000-0000EA100000}"/>
    <cellStyle name="쉼표 [0] 49 45" xfId="2704" xr:uid="{00000000-0005-0000-0000-0000EB100000}"/>
    <cellStyle name="쉼표 [0] 49 46" xfId="2705" xr:uid="{00000000-0005-0000-0000-0000EC100000}"/>
    <cellStyle name="쉼표 [0] 49 47" xfId="2706" xr:uid="{00000000-0005-0000-0000-0000ED100000}"/>
    <cellStyle name="쉼표 [0] 49 48" xfId="2707" xr:uid="{00000000-0005-0000-0000-0000EE100000}"/>
    <cellStyle name="쉼표 [0] 49 49" xfId="2708" xr:uid="{00000000-0005-0000-0000-0000EF100000}"/>
    <cellStyle name="쉼표 [0] 49 5" xfId="2709" xr:uid="{00000000-0005-0000-0000-0000F0100000}"/>
    <cellStyle name="쉼표 [0] 49 50" xfId="2710" xr:uid="{00000000-0005-0000-0000-0000F1100000}"/>
    <cellStyle name="쉼표 [0] 49 51" xfId="2711" xr:uid="{00000000-0005-0000-0000-0000F2100000}"/>
    <cellStyle name="쉼표 [0] 49 52" xfId="2712" xr:uid="{00000000-0005-0000-0000-0000F3100000}"/>
    <cellStyle name="쉼표 [0] 49 53" xfId="2713" xr:uid="{00000000-0005-0000-0000-0000F4100000}"/>
    <cellStyle name="쉼표 [0] 49 54" xfId="2714" xr:uid="{00000000-0005-0000-0000-0000F5100000}"/>
    <cellStyle name="쉼표 [0] 49 55" xfId="2715" xr:uid="{00000000-0005-0000-0000-0000F6100000}"/>
    <cellStyle name="쉼표 [0] 49 56" xfId="2716" xr:uid="{00000000-0005-0000-0000-0000F7100000}"/>
    <cellStyle name="쉼표 [0] 49 57" xfId="2717" xr:uid="{00000000-0005-0000-0000-0000F8100000}"/>
    <cellStyle name="쉼표 [0] 49 58" xfId="2718" xr:uid="{00000000-0005-0000-0000-0000F9100000}"/>
    <cellStyle name="쉼표 [0] 49 59" xfId="2719" xr:uid="{00000000-0005-0000-0000-0000FA100000}"/>
    <cellStyle name="쉼표 [0] 49 6" xfId="2720" xr:uid="{00000000-0005-0000-0000-0000FB100000}"/>
    <cellStyle name="쉼표 [0] 49 60" xfId="2721" xr:uid="{00000000-0005-0000-0000-0000FC100000}"/>
    <cellStyle name="쉼표 [0] 49 61" xfId="2722" xr:uid="{00000000-0005-0000-0000-0000FD100000}"/>
    <cellStyle name="쉼표 [0] 49 62" xfId="2723" xr:uid="{00000000-0005-0000-0000-0000FE100000}"/>
    <cellStyle name="쉼표 [0] 49 7" xfId="2724" xr:uid="{00000000-0005-0000-0000-0000FF100000}"/>
    <cellStyle name="쉼표 [0] 49 8" xfId="2725" xr:uid="{00000000-0005-0000-0000-000000110000}"/>
    <cellStyle name="쉼표 [0] 49 9" xfId="2726" xr:uid="{00000000-0005-0000-0000-000001110000}"/>
    <cellStyle name="쉼표 [0] 5" xfId="5104" xr:uid="{00000000-0005-0000-0000-000002110000}"/>
    <cellStyle name="쉼표 [0] 5 10" xfId="2727" xr:uid="{00000000-0005-0000-0000-000003110000}"/>
    <cellStyle name="쉼표 [0] 5 11" xfId="2728" xr:uid="{00000000-0005-0000-0000-000004110000}"/>
    <cellStyle name="쉼표 [0] 5 12" xfId="2729" xr:uid="{00000000-0005-0000-0000-000005110000}"/>
    <cellStyle name="쉼표 [0] 5 13" xfId="2730" xr:uid="{00000000-0005-0000-0000-000006110000}"/>
    <cellStyle name="쉼표 [0] 5 14" xfId="2731" xr:uid="{00000000-0005-0000-0000-000007110000}"/>
    <cellStyle name="쉼표 [0] 5 15" xfId="2732" xr:uid="{00000000-0005-0000-0000-000008110000}"/>
    <cellStyle name="쉼표 [0] 5 16" xfId="2733" xr:uid="{00000000-0005-0000-0000-000009110000}"/>
    <cellStyle name="쉼표 [0] 5 17" xfId="2734" xr:uid="{00000000-0005-0000-0000-00000A110000}"/>
    <cellStyle name="쉼표 [0] 5 18" xfId="2735" xr:uid="{00000000-0005-0000-0000-00000B110000}"/>
    <cellStyle name="쉼표 [0] 5 19" xfId="2736" xr:uid="{00000000-0005-0000-0000-00000C110000}"/>
    <cellStyle name="쉼표 [0] 5 2" xfId="2737" xr:uid="{00000000-0005-0000-0000-00000D110000}"/>
    <cellStyle name="쉼표 [0] 5 20" xfId="2738" xr:uid="{00000000-0005-0000-0000-00000E110000}"/>
    <cellStyle name="쉼표 [0] 5 21" xfId="2739" xr:uid="{00000000-0005-0000-0000-00000F110000}"/>
    <cellStyle name="쉼표 [0] 5 22" xfId="2740" xr:uid="{00000000-0005-0000-0000-000010110000}"/>
    <cellStyle name="쉼표 [0] 5 23" xfId="2741" xr:uid="{00000000-0005-0000-0000-000011110000}"/>
    <cellStyle name="쉼표 [0] 5 24" xfId="2742" xr:uid="{00000000-0005-0000-0000-000012110000}"/>
    <cellStyle name="쉼표 [0] 5 25" xfId="2743" xr:uid="{00000000-0005-0000-0000-000013110000}"/>
    <cellStyle name="쉼표 [0] 5 26" xfId="2744" xr:uid="{00000000-0005-0000-0000-000014110000}"/>
    <cellStyle name="쉼표 [0] 5 27" xfId="2745" xr:uid="{00000000-0005-0000-0000-000015110000}"/>
    <cellStyle name="쉼표 [0] 5 28" xfId="2746" xr:uid="{00000000-0005-0000-0000-000016110000}"/>
    <cellStyle name="쉼표 [0] 5 29" xfId="2747" xr:uid="{00000000-0005-0000-0000-000017110000}"/>
    <cellStyle name="쉼표 [0] 5 3" xfId="2748" xr:uid="{00000000-0005-0000-0000-000018110000}"/>
    <cellStyle name="쉼표 [0] 5 30" xfId="2749" xr:uid="{00000000-0005-0000-0000-000019110000}"/>
    <cellStyle name="쉼표 [0] 5 31" xfId="2750" xr:uid="{00000000-0005-0000-0000-00001A110000}"/>
    <cellStyle name="쉼표 [0] 5 32" xfId="2751" xr:uid="{00000000-0005-0000-0000-00001B110000}"/>
    <cellStyle name="쉼표 [0] 5 33" xfId="2752" xr:uid="{00000000-0005-0000-0000-00001C110000}"/>
    <cellStyle name="쉼표 [0] 5 34" xfId="2753" xr:uid="{00000000-0005-0000-0000-00001D110000}"/>
    <cellStyle name="쉼표 [0] 5 35" xfId="2754" xr:uid="{00000000-0005-0000-0000-00001E110000}"/>
    <cellStyle name="쉼표 [0] 5 36" xfId="2755" xr:uid="{00000000-0005-0000-0000-00001F110000}"/>
    <cellStyle name="쉼표 [0] 5 37" xfId="2756" xr:uid="{00000000-0005-0000-0000-000020110000}"/>
    <cellStyle name="쉼표 [0] 5 38" xfId="2757" xr:uid="{00000000-0005-0000-0000-000021110000}"/>
    <cellStyle name="쉼표 [0] 5 39" xfId="2758" xr:uid="{00000000-0005-0000-0000-000022110000}"/>
    <cellStyle name="쉼표 [0] 5 4" xfId="2759" xr:uid="{00000000-0005-0000-0000-000023110000}"/>
    <cellStyle name="쉼표 [0] 5 40" xfId="2760" xr:uid="{00000000-0005-0000-0000-000024110000}"/>
    <cellStyle name="쉼표 [0] 5 41" xfId="2761" xr:uid="{00000000-0005-0000-0000-000025110000}"/>
    <cellStyle name="쉼표 [0] 5 42" xfId="2762" xr:uid="{00000000-0005-0000-0000-000026110000}"/>
    <cellStyle name="쉼표 [0] 5 43" xfId="2763" xr:uid="{00000000-0005-0000-0000-000027110000}"/>
    <cellStyle name="쉼표 [0] 5 44" xfId="2764" xr:uid="{00000000-0005-0000-0000-000028110000}"/>
    <cellStyle name="쉼표 [0] 5 45" xfId="2765" xr:uid="{00000000-0005-0000-0000-000029110000}"/>
    <cellStyle name="쉼표 [0] 5 46" xfId="2766" xr:uid="{00000000-0005-0000-0000-00002A110000}"/>
    <cellStyle name="쉼표 [0] 5 46 10" xfId="2767" xr:uid="{00000000-0005-0000-0000-00002B110000}"/>
    <cellStyle name="쉼표 [0] 5 46 10 2" xfId="2768" xr:uid="{00000000-0005-0000-0000-00002C110000}"/>
    <cellStyle name="쉼표 [0] 5 46 11" xfId="2769" xr:uid="{00000000-0005-0000-0000-00002D110000}"/>
    <cellStyle name="쉼표 [0] 5 46 11 2" xfId="2770" xr:uid="{00000000-0005-0000-0000-00002E110000}"/>
    <cellStyle name="쉼표 [0] 5 46 12" xfId="2771" xr:uid="{00000000-0005-0000-0000-00002F110000}"/>
    <cellStyle name="쉼표 [0] 5 46 12 2" xfId="2772" xr:uid="{00000000-0005-0000-0000-000030110000}"/>
    <cellStyle name="쉼표 [0] 5 46 13" xfId="2773" xr:uid="{00000000-0005-0000-0000-000031110000}"/>
    <cellStyle name="쉼표 [0] 5 46 13 2" xfId="2774" xr:uid="{00000000-0005-0000-0000-000032110000}"/>
    <cellStyle name="쉼표 [0] 5 46 14" xfId="2775" xr:uid="{00000000-0005-0000-0000-000033110000}"/>
    <cellStyle name="쉼표 [0] 5 46 14 2" xfId="2776" xr:uid="{00000000-0005-0000-0000-000034110000}"/>
    <cellStyle name="쉼표 [0] 5 46 15" xfId="2777" xr:uid="{00000000-0005-0000-0000-000035110000}"/>
    <cellStyle name="쉼표 [0] 5 46 15 2" xfId="2778" xr:uid="{00000000-0005-0000-0000-000036110000}"/>
    <cellStyle name="쉼표 [0] 5 46 16" xfId="2779" xr:uid="{00000000-0005-0000-0000-000037110000}"/>
    <cellStyle name="쉼표 [0] 5 46 16 2" xfId="2780" xr:uid="{00000000-0005-0000-0000-000038110000}"/>
    <cellStyle name="쉼표 [0] 5 46 17" xfId="2781" xr:uid="{00000000-0005-0000-0000-000039110000}"/>
    <cellStyle name="쉼표 [0] 5 46 17 2" xfId="2782" xr:uid="{00000000-0005-0000-0000-00003A110000}"/>
    <cellStyle name="쉼표 [0] 5 46 18" xfId="2783" xr:uid="{00000000-0005-0000-0000-00003B110000}"/>
    <cellStyle name="쉼표 [0] 5 46 18 2" xfId="2784" xr:uid="{00000000-0005-0000-0000-00003C110000}"/>
    <cellStyle name="쉼표 [0] 5 46 19" xfId="2785" xr:uid="{00000000-0005-0000-0000-00003D110000}"/>
    <cellStyle name="쉼표 [0] 5 46 2" xfId="2786" xr:uid="{00000000-0005-0000-0000-00003E110000}"/>
    <cellStyle name="쉼표 [0] 5 46 2 2" xfId="2787" xr:uid="{00000000-0005-0000-0000-00003F110000}"/>
    <cellStyle name="쉼표 [0] 5 46 3" xfId="2788" xr:uid="{00000000-0005-0000-0000-000040110000}"/>
    <cellStyle name="쉼표 [0] 5 46 3 2" xfId="2789" xr:uid="{00000000-0005-0000-0000-000041110000}"/>
    <cellStyle name="쉼표 [0] 5 46 4" xfId="2790" xr:uid="{00000000-0005-0000-0000-000042110000}"/>
    <cellStyle name="쉼표 [0] 5 46 4 2" xfId="2791" xr:uid="{00000000-0005-0000-0000-000043110000}"/>
    <cellStyle name="쉼표 [0] 5 46 5" xfId="2792" xr:uid="{00000000-0005-0000-0000-000044110000}"/>
    <cellStyle name="쉼표 [0] 5 46 5 2" xfId="2793" xr:uid="{00000000-0005-0000-0000-000045110000}"/>
    <cellStyle name="쉼표 [0] 5 46 6" xfId="2794" xr:uid="{00000000-0005-0000-0000-000046110000}"/>
    <cellStyle name="쉼표 [0] 5 46 6 2" xfId="2795" xr:uid="{00000000-0005-0000-0000-000047110000}"/>
    <cellStyle name="쉼표 [0] 5 46 7" xfId="2796" xr:uid="{00000000-0005-0000-0000-000048110000}"/>
    <cellStyle name="쉼표 [0] 5 46 7 2" xfId="2797" xr:uid="{00000000-0005-0000-0000-000049110000}"/>
    <cellStyle name="쉼표 [0] 5 46 8" xfId="2798" xr:uid="{00000000-0005-0000-0000-00004A110000}"/>
    <cellStyle name="쉼표 [0] 5 46 8 2" xfId="2799" xr:uid="{00000000-0005-0000-0000-00004B110000}"/>
    <cellStyle name="쉼표 [0] 5 46 9" xfId="2800" xr:uid="{00000000-0005-0000-0000-00004C110000}"/>
    <cellStyle name="쉼표 [0] 5 46 9 2" xfId="2801" xr:uid="{00000000-0005-0000-0000-00004D110000}"/>
    <cellStyle name="쉼표 [0] 5 47" xfId="2802" xr:uid="{00000000-0005-0000-0000-00004E110000}"/>
    <cellStyle name="쉼표 [0] 5 47 2" xfId="2803" xr:uid="{00000000-0005-0000-0000-00004F110000}"/>
    <cellStyle name="쉼표 [0] 5 48" xfId="2804" xr:uid="{00000000-0005-0000-0000-000050110000}"/>
    <cellStyle name="쉼표 [0] 5 48 2" xfId="2805" xr:uid="{00000000-0005-0000-0000-000051110000}"/>
    <cellStyle name="쉼표 [0] 5 49" xfId="2806" xr:uid="{00000000-0005-0000-0000-000052110000}"/>
    <cellStyle name="쉼표 [0] 5 49 2" xfId="2807" xr:uid="{00000000-0005-0000-0000-000053110000}"/>
    <cellStyle name="쉼표 [0] 5 5" xfId="2808" xr:uid="{00000000-0005-0000-0000-000054110000}"/>
    <cellStyle name="쉼표 [0] 5 50" xfId="2809" xr:uid="{00000000-0005-0000-0000-000055110000}"/>
    <cellStyle name="쉼표 [0] 5 50 2" xfId="2810" xr:uid="{00000000-0005-0000-0000-000056110000}"/>
    <cellStyle name="쉼표 [0] 5 51" xfId="2811" xr:uid="{00000000-0005-0000-0000-000057110000}"/>
    <cellStyle name="쉼표 [0] 5 51 2" xfId="2812" xr:uid="{00000000-0005-0000-0000-000058110000}"/>
    <cellStyle name="쉼표 [0] 5 52" xfId="2813" xr:uid="{00000000-0005-0000-0000-000059110000}"/>
    <cellStyle name="쉼표 [0] 5 52 2" xfId="2814" xr:uid="{00000000-0005-0000-0000-00005A110000}"/>
    <cellStyle name="쉼표 [0] 5 53" xfId="2815" xr:uid="{00000000-0005-0000-0000-00005B110000}"/>
    <cellStyle name="쉼표 [0] 5 53 2" xfId="2816" xr:uid="{00000000-0005-0000-0000-00005C110000}"/>
    <cellStyle name="쉼표 [0] 5 54" xfId="2817" xr:uid="{00000000-0005-0000-0000-00005D110000}"/>
    <cellStyle name="쉼표 [0] 5 54 2" xfId="2818" xr:uid="{00000000-0005-0000-0000-00005E110000}"/>
    <cellStyle name="쉼표 [0] 5 55" xfId="2819" xr:uid="{00000000-0005-0000-0000-00005F110000}"/>
    <cellStyle name="쉼표 [0] 5 55 2" xfId="2820" xr:uid="{00000000-0005-0000-0000-000060110000}"/>
    <cellStyle name="쉼표 [0] 5 56" xfId="2821" xr:uid="{00000000-0005-0000-0000-000061110000}"/>
    <cellStyle name="쉼표 [0] 5 56 2" xfId="2822" xr:uid="{00000000-0005-0000-0000-000062110000}"/>
    <cellStyle name="쉼표 [0] 5 57" xfId="2823" xr:uid="{00000000-0005-0000-0000-000063110000}"/>
    <cellStyle name="쉼표 [0] 5 57 2" xfId="2824" xr:uid="{00000000-0005-0000-0000-000064110000}"/>
    <cellStyle name="쉼표 [0] 5 58" xfId="2825" xr:uid="{00000000-0005-0000-0000-000065110000}"/>
    <cellStyle name="쉼표 [0] 5 58 2" xfId="2826" xr:uid="{00000000-0005-0000-0000-000066110000}"/>
    <cellStyle name="쉼표 [0] 5 59" xfId="2827" xr:uid="{00000000-0005-0000-0000-000067110000}"/>
    <cellStyle name="쉼표 [0] 5 59 2" xfId="2828" xr:uid="{00000000-0005-0000-0000-000068110000}"/>
    <cellStyle name="쉼표 [0] 5 6" xfId="2829" xr:uid="{00000000-0005-0000-0000-000069110000}"/>
    <cellStyle name="쉼표 [0] 5 60" xfId="2830" xr:uid="{00000000-0005-0000-0000-00006A110000}"/>
    <cellStyle name="쉼표 [0] 5 60 2" xfId="2831" xr:uid="{00000000-0005-0000-0000-00006B110000}"/>
    <cellStyle name="쉼표 [0] 5 61" xfId="2832" xr:uid="{00000000-0005-0000-0000-00006C110000}"/>
    <cellStyle name="쉼표 [0] 5 61 2" xfId="2833" xr:uid="{00000000-0005-0000-0000-00006D110000}"/>
    <cellStyle name="쉼표 [0] 5 62" xfId="2834" xr:uid="{00000000-0005-0000-0000-00006E110000}"/>
    <cellStyle name="쉼표 [0] 5 62 2" xfId="2835" xr:uid="{00000000-0005-0000-0000-00006F110000}"/>
    <cellStyle name="쉼표 [0] 5 63" xfId="2836" xr:uid="{00000000-0005-0000-0000-000070110000}"/>
    <cellStyle name="쉼표 [0] 5 63 2" xfId="2837" xr:uid="{00000000-0005-0000-0000-000071110000}"/>
    <cellStyle name="쉼표 [0] 5 64" xfId="2838" xr:uid="{00000000-0005-0000-0000-000072110000}"/>
    <cellStyle name="쉼표 [0] 5 64 2" xfId="2839" xr:uid="{00000000-0005-0000-0000-000073110000}"/>
    <cellStyle name="쉼표 [0] 5 65" xfId="2840" xr:uid="{00000000-0005-0000-0000-000074110000}"/>
    <cellStyle name="쉼표 [0] 5 65 2" xfId="2841" xr:uid="{00000000-0005-0000-0000-000075110000}"/>
    <cellStyle name="쉼표 [0] 5 66" xfId="2842" xr:uid="{00000000-0005-0000-0000-000076110000}"/>
    <cellStyle name="쉼표 [0] 5 67" xfId="2843" xr:uid="{00000000-0005-0000-0000-000077110000}"/>
    <cellStyle name="쉼표 [0] 5 68" xfId="2844" xr:uid="{00000000-0005-0000-0000-000078110000}"/>
    <cellStyle name="쉼표 [0] 5 69" xfId="2845" xr:uid="{00000000-0005-0000-0000-000079110000}"/>
    <cellStyle name="쉼표 [0] 5 7" xfId="2846" xr:uid="{00000000-0005-0000-0000-00007A110000}"/>
    <cellStyle name="쉼표 [0] 5 8" xfId="2847" xr:uid="{00000000-0005-0000-0000-00007B110000}"/>
    <cellStyle name="쉼표 [0] 5 9" xfId="2848" xr:uid="{00000000-0005-0000-0000-00007C110000}"/>
    <cellStyle name="쉼표 [0] 51 10" xfId="2849" xr:uid="{00000000-0005-0000-0000-00007D110000}"/>
    <cellStyle name="쉼표 [0] 51 11" xfId="2850" xr:uid="{00000000-0005-0000-0000-00007E110000}"/>
    <cellStyle name="쉼표 [0] 51 12" xfId="2851" xr:uid="{00000000-0005-0000-0000-00007F110000}"/>
    <cellStyle name="쉼표 [0] 51 13" xfId="2852" xr:uid="{00000000-0005-0000-0000-000080110000}"/>
    <cellStyle name="쉼표 [0] 51 14" xfId="2853" xr:uid="{00000000-0005-0000-0000-000081110000}"/>
    <cellStyle name="쉼표 [0] 51 15" xfId="2854" xr:uid="{00000000-0005-0000-0000-000082110000}"/>
    <cellStyle name="쉼표 [0] 51 16" xfId="2855" xr:uid="{00000000-0005-0000-0000-000083110000}"/>
    <cellStyle name="쉼표 [0] 51 17" xfId="2856" xr:uid="{00000000-0005-0000-0000-000084110000}"/>
    <cellStyle name="쉼표 [0] 51 18" xfId="2857" xr:uid="{00000000-0005-0000-0000-000085110000}"/>
    <cellStyle name="쉼표 [0] 51 19" xfId="2858" xr:uid="{00000000-0005-0000-0000-000086110000}"/>
    <cellStyle name="쉼표 [0] 51 2" xfId="2859" xr:uid="{00000000-0005-0000-0000-000087110000}"/>
    <cellStyle name="쉼표 [0] 51 20" xfId="2860" xr:uid="{00000000-0005-0000-0000-000088110000}"/>
    <cellStyle name="쉼표 [0] 51 21" xfId="2861" xr:uid="{00000000-0005-0000-0000-000089110000}"/>
    <cellStyle name="쉼표 [0] 51 22" xfId="2862" xr:uid="{00000000-0005-0000-0000-00008A110000}"/>
    <cellStyle name="쉼표 [0] 51 23" xfId="2863" xr:uid="{00000000-0005-0000-0000-00008B110000}"/>
    <cellStyle name="쉼표 [0] 51 24" xfId="2864" xr:uid="{00000000-0005-0000-0000-00008C110000}"/>
    <cellStyle name="쉼표 [0] 51 25" xfId="2865" xr:uid="{00000000-0005-0000-0000-00008D110000}"/>
    <cellStyle name="쉼표 [0] 51 26" xfId="2866" xr:uid="{00000000-0005-0000-0000-00008E110000}"/>
    <cellStyle name="쉼표 [0] 51 27" xfId="2867" xr:uid="{00000000-0005-0000-0000-00008F110000}"/>
    <cellStyle name="쉼표 [0] 51 28" xfId="2868" xr:uid="{00000000-0005-0000-0000-000090110000}"/>
    <cellStyle name="쉼표 [0] 51 29" xfId="2869" xr:uid="{00000000-0005-0000-0000-000091110000}"/>
    <cellStyle name="쉼표 [0] 51 3" xfId="2870" xr:uid="{00000000-0005-0000-0000-000092110000}"/>
    <cellStyle name="쉼표 [0] 51 30" xfId="2871" xr:uid="{00000000-0005-0000-0000-000093110000}"/>
    <cellStyle name="쉼표 [0] 51 31" xfId="2872" xr:uid="{00000000-0005-0000-0000-000094110000}"/>
    <cellStyle name="쉼표 [0] 51 32" xfId="2873" xr:uid="{00000000-0005-0000-0000-000095110000}"/>
    <cellStyle name="쉼표 [0] 51 33" xfId="2874" xr:uid="{00000000-0005-0000-0000-000096110000}"/>
    <cellStyle name="쉼표 [0] 51 34" xfId="2875" xr:uid="{00000000-0005-0000-0000-000097110000}"/>
    <cellStyle name="쉼표 [0] 51 35" xfId="2876" xr:uid="{00000000-0005-0000-0000-000098110000}"/>
    <cellStyle name="쉼표 [0] 51 36" xfId="2877" xr:uid="{00000000-0005-0000-0000-000099110000}"/>
    <cellStyle name="쉼표 [0] 51 37" xfId="2878" xr:uid="{00000000-0005-0000-0000-00009A110000}"/>
    <cellStyle name="쉼표 [0] 51 38" xfId="2879" xr:uid="{00000000-0005-0000-0000-00009B110000}"/>
    <cellStyle name="쉼표 [0] 51 39" xfId="2880" xr:uid="{00000000-0005-0000-0000-00009C110000}"/>
    <cellStyle name="쉼표 [0] 51 4" xfId="2881" xr:uid="{00000000-0005-0000-0000-00009D110000}"/>
    <cellStyle name="쉼표 [0] 51 40" xfId="2882" xr:uid="{00000000-0005-0000-0000-00009E110000}"/>
    <cellStyle name="쉼표 [0] 51 41" xfId="2883" xr:uid="{00000000-0005-0000-0000-00009F110000}"/>
    <cellStyle name="쉼표 [0] 51 42" xfId="2884" xr:uid="{00000000-0005-0000-0000-0000A0110000}"/>
    <cellStyle name="쉼표 [0] 51 43" xfId="2885" xr:uid="{00000000-0005-0000-0000-0000A1110000}"/>
    <cellStyle name="쉼표 [0] 51 44" xfId="2886" xr:uid="{00000000-0005-0000-0000-0000A2110000}"/>
    <cellStyle name="쉼표 [0] 51 45" xfId="2887" xr:uid="{00000000-0005-0000-0000-0000A3110000}"/>
    <cellStyle name="쉼표 [0] 51 46" xfId="2888" xr:uid="{00000000-0005-0000-0000-0000A4110000}"/>
    <cellStyle name="쉼표 [0] 51 47" xfId="2889" xr:uid="{00000000-0005-0000-0000-0000A5110000}"/>
    <cellStyle name="쉼표 [0] 51 48" xfId="2890" xr:uid="{00000000-0005-0000-0000-0000A6110000}"/>
    <cellStyle name="쉼표 [0] 51 49" xfId="2891" xr:uid="{00000000-0005-0000-0000-0000A7110000}"/>
    <cellStyle name="쉼표 [0] 51 5" xfId="2892" xr:uid="{00000000-0005-0000-0000-0000A8110000}"/>
    <cellStyle name="쉼표 [0] 51 50" xfId="2893" xr:uid="{00000000-0005-0000-0000-0000A9110000}"/>
    <cellStyle name="쉼표 [0] 51 51" xfId="2894" xr:uid="{00000000-0005-0000-0000-0000AA110000}"/>
    <cellStyle name="쉼표 [0] 51 52" xfId="2895" xr:uid="{00000000-0005-0000-0000-0000AB110000}"/>
    <cellStyle name="쉼표 [0] 51 53" xfId="2896" xr:uid="{00000000-0005-0000-0000-0000AC110000}"/>
    <cellStyle name="쉼표 [0] 51 54" xfId="2897" xr:uid="{00000000-0005-0000-0000-0000AD110000}"/>
    <cellStyle name="쉼표 [0] 51 55" xfId="2898" xr:uid="{00000000-0005-0000-0000-0000AE110000}"/>
    <cellStyle name="쉼표 [0] 51 56" xfId="2899" xr:uid="{00000000-0005-0000-0000-0000AF110000}"/>
    <cellStyle name="쉼표 [0] 51 57" xfId="2900" xr:uid="{00000000-0005-0000-0000-0000B0110000}"/>
    <cellStyle name="쉼표 [0] 51 58" xfId="2901" xr:uid="{00000000-0005-0000-0000-0000B1110000}"/>
    <cellStyle name="쉼표 [0] 51 59" xfId="2902" xr:uid="{00000000-0005-0000-0000-0000B2110000}"/>
    <cellStyle name="쉼표 [0] 51 6" xfId="2903" xr:uid="{00000000-0005-0000-0000-0000B3110000}"/>
    <cellStyle name="쉼표 [0] 51 60" xfId="2904" xr:uid="{00000000-0005-0000-0000-0000B4110000}"/>
    <cellStyle name="쉼표 [0] 51 61" xfId="2905" xr:uid="{00000000-0005-0000-0000-0000B5110000}"/>
    <cellStyle name="쉼표 [0] 51 62" xfId="2906" xr:uid="{00000000-0005-0000-0000-0000B6110000}"/>
    <cellStyle name="쉼표 [0] 51 7" xfId="2907" xr:uid="{00000000-0005-0000-0000-0000B7110000}"/>
    <cellStyle name="쉼표 [0] 51 8" xfId="2908" xr:uid="{00000000-0005-0000-0000-0000B8110000}"/>
    <cellStyle name="쉼표 [0] 51 9" xfId="2909" xr:uid="{00000000-0005-0000-0000-0000B9110000}"/>
    <cellStyle name="쉼표 [0] 6" xfId="5105" xr:uid="{00000000-0005-0000-0000-0000BA110000}"/>
    <cellStyle name="쉼표 [0] 6 10" xfId="2910" xr:uid="{00000000-0005-0000-0000-0000BB110000}"/>
    <cellStyle name="쉼표 [0] 6 11" xfId="2911" xr:uid="{00000000-0005-0000-0000-0000BC110000}"/>
    <cellStyle name="쉼표 [0] 6 12" xfId="2912" xr:uid="{00000000-0005-0000-0000-0000BD110000}"/>
    <cellStyle name="쉼표 [0] 6 13" xfId="2913" xr:uid="{00000000-0005-0000-0000-0000BE110000}"/>
    <cellStyle name="쉼표 [0] 6 14" xfId="2914" xr:uid="{00000000-0005-0000-0000-0000BF110000}"/>
    <cellStyle name="쉼표 [0] 6 15" xfId="2915" xr:uid="{00000000-0005-0000-0000-0000C0110000}"/>
    <cellStyle name="쉼표 [0] 6 16" xfId="2916" xr:uid="{00000000-0005-0000-0000-0000C1110000}"/>
    <cellStyle name="쉼표 [0] 6 17" xfId="2917" xr:uid="{00000000-0005-0000-0000-0000C2110000}"/>
    <cellStyle name="쉼표 [0] 6 18" xfId="2918" xr:uid="{00000000-0005-0000-0000-0000C3110000}"/>
    <cellStyle name="쉼표 [0] 6 19" xfId="2919" xr:uid="{00000000-0005-0000-0000-0000C4110000}"/>
    <cellStyle name="쉼표 [0] 6 2" xfId="2920" xr:uid="{00000000-0005-0000-0000-0000C5110000}"/>
    <cellStyle name="쉼표 [0] 6 20" xfId="2921" xr:uid="{00000000-0005-0000-0000-0000C6110000}"/>
    <cellStyle name="쉼표 [0] 6 21" xfId="2922" xr:uid="{00000000-0005-0000-0000-0000C7110000}"/>
    <cellStyle name="쉼표 [0] 6 22" xfId="2923" xr:uid="{00000000-0005-0000-0000-0000C8110000}"/>
    <cellStyle name="쉼표 [0] 6 23" xfId="2924" xr:uid="{00000000-0005-0000-0000-0000C9110000}"/>
    <cellStyle name="쉼표 [0] 6 24" xfId="2925" xr:uid="{00000000-0005-0000-0000-0000CA110000}"/>
    <cellStyle name="쉼표 [0] 6 25" xfId="2926" xr:uid="{00000000-0005-0000-0000-0000CB110000}"/>
    <cellStyle name="쉼표 [0] 6 26" xfId="2927" xr:uid="{00000000-0005-0000-0000-0000CC110000}"/>
    <cellStyle name="쉼표 [0] 6 27" xfId="2928" xr:uid="{00000000-0005-0000-0000-0000CD110000}"/>
    <cellStyle name="쉼표 [0] 6 28" xfId="2929" xr:uid="{00000000-0005-0000-0000-0000CE110000}"/>
    <cellStyle name="쉼표 [0] 6 3" xfId="2930" xr:uid="{00000000-0005-0000-0000-0000CF110000}"/>
    <cellStyle name="쉼표 [0] 6 4" xfId="2931" xr:uid="{00000000-0005-0000-0000-0000D0110000}"/>
    <cellStyle name="쉼표 [0] 6 5" xfId="2932" xr:uid="{00000000-0005-0000-0000-0000D1110000}"/>
    <cellStyle name="쉼표 [0] 6 6" xfId="2933" xr:uid="{00000000-0005-0000-0000-0000D2110000}"/>
    <cellStyle name="쉼표 [0] 6 7" xfId="2934" xr:uid="{00000000-0005-0000-0000-0000D3110000}"/>
    <cellStyle name="쉼표 [0] 6 8" xfId="2935" xr:uid="{00000000-0005-0000-0000-0000D4110000}"/>
    <cellStyle name="쉼표 [0] 6 9" xfId="2936" xr:uid="{00000000-0005-0000-0000-0000D5110000}"/>
    <cellStyle name="쉼표 [0] 62 10" xfId="2937" xr:uid="{00000000-0005-0000-0000-0000D6110000}"/>
    <cellStyle name="쉼표 [0] 62 11" xfId="2938" xr:uid="{00000000-0005-0000-0000-0000D7110000}"/>
    <cellStyle name="쉼표 [0] 62 12" xfId="2939" xr:uid="{00000000-0005-0000-0000-0000D8110000}"/>
    <cellStyle name="쉼표 [0] 62 13" xfId="2940" xr:uid="{00000000-0005-0000-0000-0000D9110000}"/>
    <cellStyle name="쉼표 [0] 62 14" xfId="2941" xr:uid="{00000000-0005-0000-0000-0000DA110000}"/>
    <cellStyle name="쉼표 [0] 62 15" xfId="2942" xr:uid="{00000000-0005-0000-0000-0000DB110000}"/>
    <cellStyle name="쉼표 [0] 62 16" xfId="2943" xr:uid="{00000000-0005-0000-0000-0000DC110000}"/>
    <cellStyle name="쉼표 [0] 62 17" xfId="2944" xr:uid="{00000000-0005-0000-0000-0000DD110000}"/>
    <cellStyle name="쉼표 [0] 62 18" xfId="2945" xr:uid="{00000000-0005-0000-0000-0000DE110000}"/>
    <cellStyle name="쉼표 [0] 62 19" xfId="2946" xr:uid="{00000000-0005-0000-0000-0000DF110000}"/>
    <cellStyle name="쉼표 [0] 62 2" xfId="2947" xr:uid="{00000000-0005-0000-0000-0000E0110000}"/>
    <cellStyle name="쉼표 [0] 62 20" xfId="2948" xr:uid="{00000000-0005-0000-0000-0000E1110000}"/>
    <cellStyle name="쉼표 [0] 62 21" xfId="2949" xr:uid="{00000000-0005-0000-0000-0000E2110000}"/>
    <cellStyle name="쉼표 [0] 62 22" xfId="2950" xr:uid="{00000000-0005-0000-0000-0000E3110000}"/>
    <cellStyle name="쉼표 [0] 62 23" xfId="2951" xr:uid="{00000000-0005-0000-0000-0000E4110000}"/>
    <cellStyle name="쉼표 [0] 62 24" xfId="2952" xr:uid="{00000000-0005-0000-0000-0000E5110000}"/>
    <cellStyle name="쉼표 [0] 62 25" xfId="2953" xr:uid="{00000000-0005-0000-0000-0000E6110000}"/>
    <cellStyle name="쉼표 [0] 62 26" xfId="2954" xr:uid="{00000000-0005-0000-0000-0000E7110000}"/>
    <cellStyle name="쉼표 [0] 62 27" xfId="2955" xr:uid="{00000000-0005-0000-0000-0000E8110000}"/>
    <cellStyle name="쉼표 [0] 62 28" xfId="2956" xr:uid="{00000000-0005-0000-0000-0000E9110000}"/>
    <cellStyle name="쉼표 [0] 62 29" xfId="2957" xr:uid="{00000000-0005-0000-0000-0000EA110000}"/>
    <cellStyle name="쉼표 [0] 62 3" xfId="2958" xr:uid="{00000000-0005-0000-0000-0000EB110000}"/>
    <cellStyle name="쉼표 [0] 62 30" xfId="2959" xr:uid="{00000000-0005-0000-0000-0000EC110000}"/>
    <cellStyle name="쉼표 [0] 62 31" xfId="2960" xr:uid="{00000000-0005-0000-0000-0000ED110000}"/>
    <cellStyle name="쉼표 [0] 62 32" xfId="2961" xr:uid="{00000000-0005-0000-0000-0000EE110000}"/>
    <cellStyle name="쉼표 [0] 62 33" xfId="2962" xr:uid="{00000000-0005-0000-0000-0000EF110000}"/>
    <cellStyle name="쉼표 [0] 62 34" xfId="2963" xr:uid="{00000000-0005-0000-0000-0000F0110000}"/>
    <cellStyle name="쉼표 [0] 62 35" xfId="2964" xr:uid="{00000000-0005-0000-0000-0000F1110000}"/>
    <cellStyle name="쉼표 [0] 62 36" xfId="2965" xr:uid="{00000000-0005-0000-0000-0000F2110000}"/>
    <cellStyle name="쉼표 [0] 62 37" xfId="2966" xr:uid="{00000000-0005-0000-0000-0000F3110000}"/>
    <cellStyle name="쉼표 [0] 62 38" xfId="2967" xr:uid="{00000000-0005-0000-0000-0000F4110000}"/>
    <cellStyle name="쉼표 [0] 62 39" xfId="2968" xr:uid="{00000000-0005-0000-0000-0000F5110000}"/>
    <cellStyle name="쉼표 [0] 62 4" xfId="2969" xr:uid="{00000000-0005-0000-0000-0000F6110000}"/>
    <cellStyle name="쉼표 [0] 62 40" xfId="2970" xr:uid="{00000000-0005-0000-0000-0000F7110000}"/>
    <cellStyle name="쉼표 [0] 62 41" xfId="2971" xr:uid="{00000000-0005-0000-0000-0000F8110000}"/>
    <cellStyle name="쉼표 [0] 62 42" xfId="2972" xr:uid="{00000000-0005-0000-0000-0000F9110000}"/>
    <cellStyle name="쉼표 [0] 62 43" xfId="2973" xr:uid="{00000000-0005-0000-0000-0000FA110000}"/>
    <cellStyle name="쉼표 [0] 62 44" xfId="2974" xr:uid="{00000000-0005-0000-0000-0000FB110000}"/>
    <cellStyle name="쉼표 [0] 62 45" xfId="2975" xr:uid="{00000000-0005-0000-0000-0000FC110000}"/>
    <cellStyle name="쉼표 [0] 62 46" xfId="2976" xr:uid="{00000000-0005-0000-0000-0000FD110000}"/>
    <cellStyle name="쉼표 [0] 62 47" xfId="2977" xr:uid="{00000000-0005-0000-0000-0000FE110000}"/>
    <cellStyle name="쉼표 [0] 62 48" xfId="2978" xr:uid="{00000000-0005-0000-0000-0000FF110000}"/>
    <cellStyle name="쉼표 [0] 62 49" xfId="2979" xr:uid="{00000000-0005-0000-0000-000000120000}"/>
    <cellStyle name="쉼표 [0] 62 5" xfId="2980" xr:uid="{00000000-0005-0000-0000-000001120000}"/>
    <cellStyle name="쉼표 [0] 62 50" xfId="2981" xr:uid="{00000000-0005-0000-0000-000002120000}"/>
    <cellStyle name="쉼표 [0] 62 51" xfId="2982" xr:uid="{00000000-0005-0000-0000-000003120000}"/>
    <cellStyle name="쉼표 [0] 62 52" xfId="2983" xr:uid="{00000000-0005-0000-0000-000004120000}"/>
    <cellStyle name="쉼표 [0] 62 53" xfId="2984" xr:uid="{00000000-0005-0000-0000-000005120000}"/>
    <cellStyle name="쉼표 [0] 62 54" xfId="2985" xr:uid="{00000000-0005-0000-0000-000006120000}"/>
    <cellStyle name="쉼표 [0] 62 55" xfId="2986" xr:uid="{00000000-0005-0000-0000-000007120000}"/>
    <cellStyle name="쉼표 [0] 62 56" xfId="2987" xr:uid="{00000000-0005-0000-0000-000008120000}"/>
    <cellStyle name="쉼표 [0] 62 57" xfId="2988" xr:uid="{00000000-0005-0000-0000-000009120000}"/>
    <cellStyle name="쉼표 [0] 62 58" xfId="2989" xr:uid="{00000000-0005-0000-0000-00000A120000}"/>
    <cellStyle name="쉼표 [0] 62 59" xfId="2990" xr:uid="{00000000-0005-0000-0000-00000B120000}"/>
    <cellStyle name="쉼표 [0] 62 6" xfId="2991" xr:uid="{00000000-0005-0000-0000-00000C120000}"/>
    <cellStyle name="쉼표 [0] 62 60" xfId="2992" xr:uid="{00000000-0005-0000-0000-00000D120000}"/>
    <cellStyle name="쉼표 [0] 62 61" xfId="2993" xr:uid="{00000000-0005-0000-0000-00000E120000}"/>
    <cellStyle name="쉼표 [0] 62 62" xfId="2994" xr:uid="{00000000-0005-0000-0000-00000F120000}"/>
    <cellStyle name="쉼표 [0] 62 7" xfId="2995" xr:uid="{00000000-0005-0000-0000-000010120000}"/>
    <cellStyle name="쉼표 [0] 62 8" xfId="2996" xr:uid="{00000000-0005-0000-0000-000011120000}"/>
    <cellStyle name="쉼표 [0] 62 9" xfId="2997" xr:uid="{00000000-0005-0000-0000-000012120000}"/>
    <cellStyle name="쉼표 [0] 7 10" xfId="2998" xr:uid="{00000000-0005-0000-0000-000013120000}"/>
    <cellStyle name="쉼표 [0] 7 11" xfId="2999" xr:uid="{00000000-0005-0000-0000-000014120000}"/>
    <cellStyle name="쉼표 [0] 7 12" xfId="3000" xr:uid="{00000000-0005-0000-0000-000015120000}"/>
    <cellStyle name="쉼표 [0] 7 13" xfId="3001" xr:uid="{00000000-0005-0000-0000-000016120000}"/>
    <cellStyle name="쉼표 [0] 7 14" xfId="3002" xr:uid="{00000000-0005-0000-0000-000017120000}"/>
    <cellStyle name="쉼표 [0] 7 15" xfId="3003" xr:uid="{00000000-0005-0000-0000-000018120000}"/>
    <cellStyle name="쉼표 [0] 7 16" xfId="3004" xr:uid="{00000000-0005-0000-0000-000019120000}"/>
    <cellStyle name="쉼표 [0] 7 17" xfId="3005" xr:uid="{00000000-0005-0000-0000-00001A120000}"/>
    <cellStyle name="쉼표 [0] 7 18" xfId="3006" xr:uid="{00000000-0005-0000-0000-00001B120000}"/>
    <cellStyle name="쉼표 [0] 7 19" xfId="3007" xr:uid="{00000000-0005-0000-0000-00001C120000}"/>
    <cellStyle name="쉼표 [0] 7 2" xfId="3008" xr:uid="{00000000-0005-0000-0000-00001D120000}"/>
    <cellStyle name="쉼표 [0] 7 20" xfId="3009" xr:uid="{00000000-0005-0000-0000-00001E120000}"/>
    <cellStyle name="쉼표 [0] 7 21" xfId="3010" xr:uid="{00000000-0005-0000-0000-00001F120000}"/>
    <cellStyle name="쉼표 [0] 7 22" xfId="3011" xr:uid="{00000000-0005-0000-0000-000020120000}"/>
    <cellStyle name="쉼표 [0] 7 23" xfId="3012" xr:uid="{00000000-0005-0000-0000-000021120000}"/>
    <cellStyle name="쉼표 [0] 7 24" xfId="3013" xr:uid="{00000000-0005-0000-0000-000022120000}"/>
    <cellStyle name="쉼표 [0] 7 25" xfId="3014" xr:uid="{00000000-0005-0000-0000-000023120000}"/>
    <cellStyle name="쉼표 [0] 7 26" xfId="3015" xr:uid="{00000000-0005-0000-0000-000024120000}"/>
    <cellStyle name="쉼표 [0] 7 27" xfId="3016" xr:uid="{00000000-0005-0000-0000-000025120000}"/>
    <cellStyle name="쉼표 [0] 7 28" xfId="3017" xr:uid="{00000000-0005-0000-0000-000026120000}"/>
    <cellStyle name="쉼표 [0] 7 29" xfId="3018" xr:uid="{00000000-0005-0000-0000-000027120000}"/>
    <cellStyle name="쉼표 [0] 7 3" xfId="3019" xr:uid="{00000000-0005-0000-0000-000028120000}"/>
    <cellStyle name="쉼표 [0] 7 30" xfId="3020" xr:uid="{00000000-0005-0000-0000-000029120000}"/>
    <cellStyle name="쉼표 [0] 7 31" xfId="3021" xr:uid="{00000000-0005-0000-0000-00002A120000}"/>
    <cellStyle name="쉼표 [0] 7 32" xfId="3022" xr:uid="{00000000-0005-0000-0000-00002B120000}"/>
    <cellStyle name="쉼표 [0] 7 33" xfId="3023" xr:uid="{00000000-0005-0000-0000-00002C120000}"/>
    <cellStyle name="쉼표 [0] 7 34" xfId="3024" xr:uid="{00000000-0005-0000-0000-00002D120000}"/>
    <cellStyle name="쉼표 [0] 7 35" xfId="3025" xr:uid="{00000000-0005-0000-0000-00002E120000}"/>
    <cellStyle name="쉼표 [0] 7 36" xfId="3026" xr:uid="{00000000-0005-0000-0000-00002F120000}"/>
    <cellStyle name="쉼표 [0] 7 37" xfId="3027" xr:uid="{00000000-0005-0000-0000-000030120000}"/>
    <cellStyle name="쉼표 [0] 7 38" xfId="3028" xr:uid="{00000000-0005-0000-0000-000031120000}"/>
    <cellStyle name="쉼표 [0] 7 39" xfId="3029" xr:uid="{00000000-0005-0000-0000-000032120000}"/>
    <cellStyle name="쉼표 [0] 7 4" xfId="3030" xr:uid="{00000000-0005-0000-0000-000033120000}"/>
    <cellStyle name="쉼표 [0] 7 40" xfId="3031" xr:uid="{00000000-0005-0000-0000-000034120000}"/>
    <cellStyle name="쉼표 [0] 7 41" xfId="3032" xr:uid="{00000000-0005-0000-0000-000035120000}"/>
    <cellStyle name="쉼표 [0] 7 42" xfId="3033" xr:uid="{00000000-0005-0000-0000-000036120000}"/>
    <cellStyle name="쉼표 [0] 7 43" xfId="3034" xr:uid="{00000000-0005-0000-0000-000037120000}"/>
    <cellStyle name="쉼표 [0] 7 44" xfId="3035" xr:uid="{00000000-0005-0000-0000-000038120000}"/>
    <cellStyle name="쉼표 [0] 7 45" xfId="3036" xr:uid="{00000000-0005-0000-0000-000039120000}"/>
    <cellStyle name="쉼표 [0] 7 46" xfId="3037" xr:uid="{00000000-0005-0000-0000-00003A120000}"/>
    <cellStyle name="쉼표 [0] 7 47" xfId="3038" xr:uid="{00000000-0005-0000-0000-00003B120000}"/>
    <cellStyle name="쉼표 [0] 7 48" xfId="3039" xr:uid="{00000000-0005-0000-0000-00003C120000}"/>
    <cellStyle name="쉼표 [0] 7 49" xfId="3040" xr:uid="{00000000-0005-0000-0000-00003D120000}"/>
    <cellStyle name="쉼표 [0] 7 5" xfId="3041" xr:uid="{00000000-0005-0000-0000-00003E120000}"/>
    <cellStyle name="쉼표 [0] 7 5 2" xfId="5445" xr:uid="{00000000-0005-0000-0000-00003F120000}"/>
    <cellStyle name="쉼표 [0] 7 50" xfId="3042" xr:uid="{00000000-0005-0000-0000-000040120000}"/>
    <cellStyle name="쉼표 [0] 7 51" xfId="3043" xr:uid="{00000000-0005-0000-0000-000041120000}"/>
    <cellStyle name="쉼표 [0] 7 52" xfId="3044" xr:uid="{00000000-0005-0000-0000-000042120000}"/>
    <cellStyle name="쉼표 [0] 7 53" xfId="3045" xr:uid="{00000000-0005-0000-0000-000043120000}"/>
    <cellStyle name="쉼표 [0] 7 54" xfId="3046" xr:uid="{00000000-0005-0000-0000-000044120000}"/>
    <cellStyle name="쉼표 [0] 7 55" xfId="3047" xr:uid="{00000000-0005-0000-0000-000045120000}"/>
    <cellStyle name="쉼표 [0] 7 56" xfId="3048" xr:uid="{00000000-0005-0000-0000-000046120000}"/>
    <cellStyle name="쉼표 [0] 7 57" xfId="3049" xr:uid="{00000000-0005-0000-0000-000047120000}"/>
    <cellStyle name="쉼표 [0] 7 58" xfId="3050" xr:uid="{00000000-0005-0000-0000-000048120000}"/>
    <cellStyle name="쉼표 [0] 7 59" xfId="3051" xr:uid="{00000000-0005-0000-0000-000049120000}"/>
    <cellStyle name="쉼표 [0] 7 6" xfId="3052" xr:uid="{00000000-0005-0000-0000-00004A120000}"/>
    <cellStyle name="쉼표 [0] 7 60" xfId="3053" xr:uid="{00000000-0005-0000-0000-00004B120000}"/>
    <cellStyle name="쉼표 [0] 7 61" xfId="3054" xr:uid="{00000000-0005-0000-0000-00004C120000}"/>
    <cellStyle name="쉼표 [0] 7 62" xfId="3055" xr:uid="{00000000-0005-0000-0000-00004D120000}"/>
    <cellStyle name="쉼표 [0] 7 63" xfId="3056" xr:uid="{00000000-0005-0000-0000-00004E120000}"/>
    <cellStyle name="쉼표 [0] 7 64" xfId="3057" xr:uid="{00000000-0005-0000-0000-00004F120000}"/>
    <cellStyle name="쉼표 [0] 7 65" xfId="3058" xr:uid="{00000000-0005-0000-0000-000050120000}"/>
    <cellStyle name="쉼표 [0] 7 66" xfId="3059" xr:uid="{00000000-0005-0000-0000-000051120000}"/>
    <cellStyle name="쉼표 [0] 7 67" xfId="3060" xr:uid="{00000000-0005-0000-0000-000052120000}"/>
    <cellStyle name="쉼표 [0] 7 68" xfId="3061" xr:uid="{00000000-0005-0000-0000-000053120000}"/>
    <cellStyle name="쉼표 [0] 7 69" xfId="3062" xr:uid="{00000000-0005-0000-0000-000054120000}"/>
    <cellStyle name="쉼표 [0] 7 7" xfId="3063" xr:uid="{00000000-0005-0000-0000-000055120000}"/>
    <cellStyle name="쉼표 [0] 7 70" xfId="3064" xr:uid="{00000000-0005-0000-0000-000056120000}"/>
    <cellStyle name="쉼표 [0] 7 71" xfId="3065" xr:uid="{00000000-0005-0000-0000-000057120000}"/>
    <cellStyle name="쉼표 [0] 7 72" xfId="3066" xr:uid="{00000000-0005-0000-0000-000058120000}"/>
    <cellStyle name="쉼표 [0] 7 73" xfId="3067" xr:uid="{00000000-0005-0000-0000-000059120000}"/>
    <cellStyle name="쉼표 [0] 7 74" xfId="3068" xr:uid="{00000000-0005-0000-0000-00005A120000}"/>
    <cellStyle name="쉼표 [0] 7 75" xfId="3069" xr:uid="{00000000-0005-0000-0000-00005B120000}"/>
    <cellStyle name="쉼표 [0] 7 76" xfId="3070" xr:uid="{00000000-0005-0000-0000-00005C120000}"/>
    <cellStyle name="쉼표 [0] 7 77" xfId="3071" xr:uid="{00000000-0005-0000-0000-00005D120000}"/>
    <cellStyle name="쉼표 [0] 7 78" xfId="3072" xr:uid="{00000000-0005-0000-0000-00005E120000}"/>
    <cellStyle name="쉼표 [0] 7 79" xfId="3073" xr:uid="{00000000-0005-0000-0000-00005F120000}"/>
    <cellStyle name="쉼표 [0] 7 8" xfId="3074" xr:uid="{00000000-0005-0000-0000-000060120000}"/>
    <cellStyle name="쉼표 [0] 7 80" xfId="3075" xr:uid="{00000000-0005-0000-0000-000061120000}"/>
    <cellStyle name="쉼표 [0] 7 81" xfId="3076" xr:uid="{00000000-0005-0000-0000-000062120000}"/>
    <cellStyle name="쉼표 [0] 7 82" xfId="3077" xr:uid="{00000000-0005-0000-0000-000063120000}"/>
    <cellStyle name="쉼표 [0] 7 83" xfId="3078" xr:uid="{00000000-0005-0000-0000-000064120000}"/>
    <cellStyle name="쉼표 [0] 7 84" xfId="3079" xr:uid="{00000000-0005-0000-0000-000065120000}"/>
    <cellStyle name="쉼표 [0] 7 85" xfId="3080" xr:uid="{00000000-0005-0000-0000-000066120000}"/>
    <cellStyle name="쉼표 [0] 7 86" xfId="3081" xr:uid="{00000000-0005-0000-0000-000067120000}"/>
    <cellStyle name="쉼표 [0] 7 9" xfId="3082" xr:uid="{00000000-0005-0000-0000-000068120000}"/>
    <cellStyle name="쉼표 [0] 73 10" xfId="3083" xr:uid="{00000000-0005-0000-0000-000069120000}"/>
    <cellStyle name="쉼표 [0] 73 11" xfId="3084" xr:uid="{00000000-0005-0000-0000-00006A120000}"/>
    <cellStyle name="쉼표 [0] 73 12" xfId="3085" xr:uid="{00000000-0005-0000-0000-00006B120000}"/>
    <cellStyle name="쉼표 [0] 73 13" xfId="3086" xr:uid="{00000000-0005-0000-0000-00006C120000}"/>
    <cellStyle name="쉼표 [0] 73 14" xfId="3087" xr:uid="{00000000-0005-0000-0000-00006D120000}"/>
    <cellStyle name="쉼표 [0] 73 15" xfId="3088" xr:uid="{00000000-0005-0000-0000-00006E120000}"/>
    <cellStyle name="쉼표 [0] 73 2" xfId="3089" xr:uid="{00000000-0005-0000-0000-00006F120000}"/>
    <cellStyle name="쉼표 [0] 73 3" xfId="3090" xr:uid="{00000000-0005-0000-0000-000070120000}"/>
    <cellStyle name="쉼표 [0] 73 4" xfId="3091" xr:uid="{00000000-0005-0000-0000-000071120000}"/>
    <cellStyle name="쉼표 [0] 73 5" xfId="3092" xr:uid="{00000000-0005-0000-0000-000072120000}"/>
    <cellStyle name="쉼표 [0] 73 6" xfId="3093" xr:uid="{00000000-0005-0000-0000-000073120000}"/>
    <cellStyle name="쉼표 [0] 73 7" xfId="3094" xr:uid="{00000000-0005-0000-0000-000074120000}"/>
    <cellStyle name="쉼표 [0] 73 8" xfId="3095" xr:uid="{00000000-0005-0000-0000-000075120000}"/>
    <cellStyle name="쉼표 [0] 73 9" xfId="3096" xr:uid="{00000000-0005-0000-0000-000076120000}"/>
    <cellStyle name="쉼표 [0] 78 10" xfId="3097" xr:uid="{00000000-0005-0000-0000-000077120000}"/>
    <cellStyle name="쉼표 [0] 78 11" xfId="3098" xr:uid="{00000000-0005-0000-0000-000078120000}"/>
    <cellStyle name="쉼표 [0] 78 12" xfId="3099" xr:uid="{00000000-0005-0000-0000-000079120000}"/>
    <cellStyle name="쉼표 [0] 78 13" xfId="3100" xr:uid="{00000000-0005-0000-0000-00007A120000}"/>
    <cellStyle name="쉼표 [0] 78 14" xfId="3101" xr:uid="{00000000-0005-0000-0000-00007B120000}"/>
    <cellStyle name="쉼표 [0] 78 15" xfId="3102" xr:uid="{00000000-0005-0000-0000-00007C120000}"/>
    <cellStyle name="쉼표 [0] 78 2" xfId="3103" xr:uid="{00000000-0005-0000-0000-00007D120000}"/>
    <cellStyle name="쉼표 [0] 78 3" xfId="3104" xr:uid="{00000000-0005-0000-0000-00007E120000}"/>
    <cellStyle name="쉼표 [0] 78 4" xfId="3105" xr:uid="{00000000-0005-0000-0000-00007F120000}"/>
    <cellStyle name="쉼표 [0] 78 5" xfId="3106" xr:uid="{00000000-0005-0000-0000-000080120000}"/>
    <cellStyle name="쉼표 [0] 78 6" xfId="3107" xr:uid="{00000000-0005-0000-0000-000081120000}"/>
    <cellStyle name="쉼표 [0] 78 7" xfId="3108" xr:uid="{00000000-0005-0000-0000-000082120000}"/>
    <cellStyle name="쉼표 [0] 78 8" xfId="3109" xr:uid="{00000000-0005-0000-0000-000083120000}"/>
    <cellStyle name="쉼표 [0] 78 9" xfId="3110" xr:uid="{00000000-0005-0000-0000-000084120000}"/>
    <cellStyle name="쉼표 [0] 8" xfId="5430" xr:uid="{00000000-0005-0000-0000-000085120000}"/>
    <cellStyle name="쉼표 [0] 8 10" xfId="3111" xr:uid="{00000000-0005-0000-0000-000086120000}"/>
    <cellStyle name="쉼표 [0] 8 11" xfId="3112" xr:uid="{00000000-0005-0000-0000-000087120000}"/>
    <cellStyle name="쉼표 [0] 8 12" xfId="3113" xr:uid="{00000000-0005-0000-0000-000088120000}"/>
    <cellStyle name="쉼표 [0] 8 13" xfId="3114" xr:uid="{00000000-0005-0000-0000-000089120000}"/>
    <cellStyle name="쉼표 [0] 8 14" xfId="3115" xr:uid="{00000000-0005-0000-0000-00008A120000}"/>
    <cellStyle name="쉼표 [0] 8 15" xfId="3116" xr:uid="{00000000-0005-0000-0000-00008B120000}"/>
    <cellStyle name="쉼표 [0] 8 16" xfId="3117" xr:uid="{00000000-0005-0000-0000-00008C120000}"/>
    <cellStyle name="쉼표 [0] 8 17" xfId="3118" xr:uid="{00000000-0005-0000-0000-00008D120000}"/>
    <cellStyle name="쉼표 [0] 8 18" xfId="3119" xr:uid="{00000000-0005-0000-0000-00008E120000}"/>
    <cellStyle name="쉼표 [0] 8 19" xfId="3120" xr:uid="{00000000-0005-0000-0000-00008F120000}"/>
    <cellStyle name="쉼표 [0] 8 2" xfId="3121" xr:uid="{00000000-0005-0000-0000-000090120000}"/>
    <cellStyle name="쉼표 [0] 8 20" xfId="3122" xr:uid="{00000000-0005-0000-0000-000091120000}"/>
    <cellStyle name="쉼표 [0] 8 21" xfId="3123" xr:uid="{00000000-0005-0000-0000-000092120000}"/>
    <cellStyle name="쉼표 [0] 8 22" xfId="3124" xr:uid="{00000000-0005-0000-0000-000093120000}"/>
    <cellStyle name="쉼표 [0] 8 23" xfId="3125" xr:uid="{00000000-0005-0000-0000-000094120000}"/>
    <cellStyle name="쉼표 [0] 8 24" xfId="3126" xr:uid="{00000000-0005-0000-0000-000095120000}"/>
    <cellStyle name="쉼표 [0] 8 25" xfId="3127" xr:uid="{00000000-0005-0000-0000-000096120000}"/>
    <cellStyle name="쉼표 [0] 8 26" xfId="3128" xr:uid="{00000000-0005-0000-0000-000097120000}"/>
    <cellStyle name="쉼표 [0] 8 27" xfId="3129" xr:uid="{00000000-0005-0000-0000-000098120000}"/>
    <cellStyle name="쉼표 [0] 8 28" xfId="3130" xr:uid="{00000000-0005-0000-0000-000099120000}"/>
    <cellStyle name="쉼표 [0] 8 29" xfId="3131" xr:uid="{00000000-0005-0000-0000-00009A120000}"/>
    <cellStyle name="쉼표 [0] 8 3" xfId="3132" xr:uid="{00000000-0005-0000-0000-00009B120000}"/>
    <cellStyle name="쉼표 [0] 8 3 2" xfId="5449" xr:uid="{00000000-0005-0000-0000-00009C120000}"/>
    <cellStyle name="쉼표 [0] 8 3 2 2" xfId="5464" xr:uid="{00000000-0005-0000-0000-00009D120000}"/>
    <cellStyle name="쉼표 [0] 8 30" xfId="3133" xr:uid="{00000000-0005-0000-0000-00009E120000}"/>
    <cellStyle name="쉼표 [0] 8 31" xfId="3134" xr:uid="{00000000-0005-0000-0000-00009F120000}"/>
    <cellStyle name="쉼표 [0] 8 32" xfId="3135" xr:uid="{00000000-0005-0000-0000-0000A0120000}"/>
    <cellStyle name="쉼표 [0] 8 33" xfId="3136" xr:uid="{00000000-0005-0000-0000-0000A1120000}"/>
    <cellStyle name="쉼표 [0] 8 34" xfId="3137" xr:uid="{00000000-0005-0000-0000-0000A2120000}"/>
    <cellStyle name="쉼표 [0] 8 35" xfId="3138" xr:uid="{00000000-0005-0000-0000-0000A3120000}"/>
    <cellStyle name="쉼표 [0] 8 36" xfId="3139" xr:uid="{00000000-0005-0000-0000-0000A4120000}"/>
    <cellStyle name="쉼표 [0] 8 37" xfId="3140" xr:uid="{00000000-0005-0000-0000-0000A5120000}"/>
    <cellStyle name="쉼표 [0] 8 38" xfId="3141" xr:uid="{00000000-0005-0000-0000-0000A6120000}"/>
    <cellStyle name="쉼표 [0] 8 39" xfId="3142" xr:uid="{00000000-0005-0000-0000-0000A7120000}"/>
    <cellStyle name="쉼표 [0] 8 4" xfId="3143" xr:uid="{00000000-0005-0000-0000-0000A8120000}"/>
    <cellStyle name="쉼표 [0] 8 40" xfId="3144" xr:uid="{00000000-0005-0000-0000-0000A9120000}"/>
    <cellStyle name="쉼표 [0] 8 41" xfId="3145" xr:uid="{00000000-0005-0000-0000-0000AA120000}"/>
    <cellStyle name="쉼표 [0] 8 42" xfId="3146" xr:uid="{00000000-0005-0000-0000-0000AB120000}"/>
    <cellStyle name="쉼표 [0] 8 43" xfId="3147" xr:uid="{00000000-0005-0000-0000-0000AC120000}"/>
    <cellStyle name="쉼표 [0] 8 44" xfId="3148" xr:uid="{00000000-0005-0000-0000-0000AD120000}"/>
    <cellStyle name="쉼표 [0] 8 45" xfId="3149" xr:uid="{00000000-0005-0000-0000-0000AE120000}"/>
    <cellStyle name="쉼표 [0] 8 46" xfId="3150" xr:uid="{00000000-0005-0000-0000-0000AF120000}"/>
    <cellStyle name="쉼표 [0] 8 47" xfId="3151" xr:uid="{00000000-0005-0000-0000-0000B0120000}"/>
    <cellStyle name="쉼표 [0] 8 48" xfId="3152" xr:uid="{00000000-0005-0000-0000-0000B1120000}"/>
    <cellStyle name="쉼표 [0] 8 49" xfId="3153" xr:uid="{00000000-0005-0000-0000-0000B2120000}"/>
    <cellStyle name="쉼표 [0] 8 5" xfId="3154" xr:uid="{00000000-0005-0000-0000-0000B3120000}"/>
    <cellStyle name="쉼표 [0] 8 50" xfId="3155" xr:uid="{00000000-0005-0000-0000-0000B4120000}"/>
    <cellStyle name="쉼표 [0] 8 51" xfId="3156" xr:uid="{00000000-0005-0000-0000-0000B5120000}"/>
    <cellStyle name="쉼표 [0] 8 52" xfId="3157" xr:uid="{00000000-0005-0000-0000-0000B6120000}"/>
    <cellStyle name="쉼표 [0] 8 53" xfId="3158" xr:uid="{00000000-0005-0000-0000-0000B7120000}"/>
    <cellStyle name="쉼표 [0] 8 54" xfId="3159" xr:uid="{00000000-0005-0000-0000-0000B8120000}"/>
    <cellStyle name="쉼표 [0] 8 55" xfId="3160" xr:uid="{00000000-0005-0000-0000-0000B9120000}"/>
    <cellStyle name="쉼표 [0] 8 56" xfId="3161" xr:uid="{00000000-0005-0000-0000-0000BA120000}"/>
    <cellStyle name="쉼표 [0] 8 6" xfId="3162" xr:uid="{00000000-0005-0000-0000-0000BB120000}"/>
    <cellStyle name="쉼표 [0] 8 7" xfId="3163" xr:uid="{00000000-0005-0000-0000-0000BC120000}"/>
    <cellStyle name="쉼표 [0] 8 8" xfId="3164" xr:uid="{00000000-0005-0000-0000-0000BD120000}"/>
    <cellStyle name="쉼표 [0] 8 9" xfId="3165" xr:uid="{00000000-0005-0000-0000-0000BE120000}"/>
    <cellStyle name="쉼표 [0] 9 10" xfId="3166" xr:uid="{00000000-0005-0000-0000-0000BF120000}"/>
    <cellStyle name="쉼표 [0] 9 11" xfId="3167" xr:uid="{00000000-0005-0000-0000-0000C0120000}"/>
    <cellStyle name="쉼표 [0] 9 12" xfId="3168" xr:uid="{00000000-0005-0000-0000-0000C1120000}"/>
    <cellStyle name="쉼표 [0] 9 13" xfId="3169" xr:uid="{00000000-0005-0000-0000-0000C2120000}"/>
    <cellStyle name="쉼표 [0] 9 14" xfId="3170" xr:uid="{00000000-0005-0000-0000-0000C3120000}"/>
    <cellStyle name="쉼표 [0] 9 15" xfId="3171" xr:uid="{00000000-0005-0000-0000-0000C4120000}"/>
    <cellStyle name="쉼표 [0] 9 16" xfId="3172" xr:uid="{00000000-0005-0000-0000-0000C5120000}"/>
    <cellStyle name="쉼표 [0] 9 17" xfId="3173" xr:uid="{00000000-0005-0000-0000-0000C6120000}"/>
    <cellStyle name="쉼표 [0] 9 18" xfId="3174" xr:uid="{00000000-0005-0000-0000-0000C7120000}"/>
    <cellStyle name="쉼표 [0] 9 19" xfId="3175" xr:uid="{00000000-0005-0000-0000-0000C8120000}"/>
    <cellStyle name="쉼표 [0] 9 2" xfId="3176" xr:uid="{00000000-0005-0000-0000-0000C9120000}"/>
    <cellStyle name="쉼표 [0] 9 20" xfId="3177" xr:uid="{00000000-0005-0000-0000-0000CA120000}"/>
    <cellStyle name="쉼표 [0] 9 21" xfId="3178" xr:uid="{00000000-0005-0000-0000-0000CB120000}"/>
    <cellStyle name="쉼표 [0] 9 22" xfId="3179" xr:uid="{00000000-0005-0000-0000-0000CC120000}"/>
    <cellStyle name="쉼표 [0] 9 23" xfId="3180" xr:uid="{00000000-0005-0000-0000-0000CD120000}"/>
    <cellStyle name="쉼표 [0] 9 24" xfId="3181" xr:uid="{00000000-0005-0000-0000-0000CE120000}"/>
    <cellStyle name="쉼표 [0] 9 25" xfId="3182" xr:uid="{00000000-0005-0000-0000-0000CF120000}"/>
    <cellStyle name="쉼표 [0] 9 26" xfId="3183" xr:uid="{00000000-0005-0000-0000-0000D0120000}"/>
    <cellStyle name="쉼표 [0] 9 27" xfId="3184" xr:uid="{00000000-0005-0000-0000-0000D1120000}"/>
    <cellStyle name="쉼표 [0] 9 28" xfId="3185" xr:uid="{00000000-0005-0000-0000-0000D2120000}"/>
    <cellStyle name="쉼표 [0] 9 29" xfId="3186" xr:uid="{00000000-0005-0000-0000-0000D3120000}"/>
    <cellStyle name="쉼표 [0] 9 3" xfId="3187" xr:uid="{00000000-0005-0000-0000-0000D4120000}"/>
    <cellStyle name="쉼표 [0] 9 30" xfId="3188" xr:uid="{00000000-0005-0000-0000-0000D5120000}"/>
    <cellStyle name="쉼표 [0] 9 31" xfId="3189" xr:uid="{00000000-0005-0000-0000-0000D6120000}"/>
    <cellStyle name="쉼표 [0] 9 32" xfId="3190" xr:uid="{00000000-0005-0000-0000-0000D7120000}"/>
    <cellStyle name="쉼표 [0] 9 33" xfId="3191" xr:uid="{00000000-0005-0000-0000-0000D8120000}"/>
    <cellStyle name="쉼표 [0] 9 34" xfId="3192" xr:uid="{00000000-0005-0000-0000-0000D9120000}"/>
    <cellStyle name="쉼표 [0] 9 35" xfId="3193" xr:uid="{00000000-0005-0000-0000-0000DA120000}"/>
    <cellStyle name="쉼표 [0] 9 36" xfId="3194" xr:uid="{00000000-0005-0000-0000-0000DB120000}"/>
    <cellStyle name="쉼표 [0] 9 37" xfId="3195" xr:uid="{00000000-0005-0000-0000-0000DC120000}"/>
    <cellStyle name="쉼표 [0] 9 38" xfId="3196" xr:uid="{00000000-0005-0000-0000-0000DD120000}"/>
    <cellStyle name="쉼표 [0] 9 39" xfId="3197" xr:uid="{00000000-0005-0000-0000-0000DE120000}"/>
    <cellStyle name="쉼표 [0] 9 4" xfId="3198" xr:uid="{00000000-0005-0000-0000-0000DF120000}"/>
    <cellStyle name="쉼표 [0] 9 5" xfId="3199" xr:uid="{00000000-0005-0000-0000-0000E0120000}"/>
    <cellStyle name="쉼표 [0] 9 6" xfId="3200" xr:uid="{00000000-0005-0000-0000-0000E1120000}"/>
    <cellStyle name="쉼표 [0] 9 7" xfId="3201" xr:uid="{00000000-0005-0000-0000-0000E2120000}"/>
    <cellStyle name="쉼표 [0] 9 8" xfId="3202" xr:uid="{00000000-0005-0000-0000-0000E3120000}"/>
    <cellStyle name="쉼표 [0] 9 9" xfId="3203" xr:uid="{00000000-0005-0000-0000-0000E4120000}"/>
    <cellStyle name="쉼표 2 53" xfId="5106" xr:uid="{00000000-0005-0000-0000-0000E5120000}"/>
    <cellStyle name="스타일 1" xfId="5107" xr:uid="{00000000-0005-0000-0000-0000E6120000}"/>
    <cellStyle name="스타일 1 2" xfId="5431" xr:uid="{00000000-0005-0000-0000-0000E7120000}"/>
    <cellStyle name="스타일 10" xfId="5108" xr:uid="{00000000-0005-0000-0000-0000E8120000}"/>
    <cellStyle name="스타일 11" xfId="5109" xr:uid="{00000000-0005-0000-0000-0000E9120000}"/>
    <cellStyle name="스타일 12" xfId="5110" xr:uid="{00000000-0005-0000-0000-0000EA120000}"/>
    <cellStyle name="스타일 13" xfId="5111" xr:uid="{00000000-0005-0000-0000-0000EB120000}"/>
    <cellStyle name="스타일 14" xfId="5112" xr:uid="{00000000-0005-0000-0000-0000EC120000}"/>
    <cellStyle name="스타일 15" xfId="5113" xr:uid="{00000000-0005-0000-0000-0000ED120000}"/>
    <cellStyle name="스타일 16" xfId="5114" xr:uid="{00000000-0005-0000-0000-0000EE120000}"/>
    <cellStyle name="스타일 17" xfId="5115" xr:uid="{00000000-0005-0000-0000-0000EF120000}"/>
    <cellStyle name="스타일 18" xfId="5116" xr:uid="{00000000-0005-0000-0000-0000F0120000}"/>
    <cellStyle name="스타일 19" xfId="5117" xr:uid="{00000000-0005-0000-0000-0000F1120000}"/>
    <cellStyle name="스타일 2" xfId="5118" xr:uid="{00000000-0005-0000-0000-0000F2120000}"/>
    <cellStyle name="스타일 20" xfId="5119" xr:uid="{00000000-0005-0000-0000-0000F3120000}"/>
    <cellStyle name="스타일 21" xfId="5120" xr:uid="{00000000-0005-0000-0000-0000F4120000}"/>
    <cellStyle name="스타일 22" xfId="5121" xr:uid="{00000000-0005-0000-0000-0000F5120000}"/>
    <cellStyle name="스타일 23" xfId="5122" xr:uid="{00000000-0005-0000-0000-0000F6120000}"/>
    <cellStyle name="스타일 24" xfId="5123" xr:uid="{00000000-0005-0000-0000-0000F7120000}"/>
    <cellStyle name="스타일 25" xfId="5124" xr:uid="{00000000-0005-0000-0000-0000F8120000}"/>
    <cellStyle name="스타일 26" xfId="5125" xr:uid="{00000000-0005-0000-0000-0000F9120000}"/>
    <cellStyle name="스타일 3" xfId="5126" xr:uid="{00000000-0005-0000-0000-0000FA120000}"/>
    <cellStyle name="스타일 4" xfId="5127" xr:uid="{00000000-0005-0000-0000-0000FB120000}"/>
    <cellStyle name="스타일 5" xfId="5128" xr:uid="{00000000-0005-0000-0000-0000FC120000}"/>
    <cellStyle name="스타일 6" xfId="5129" xr:uid="{00000000-0005-0000-0000-0000FD120000}"/>
    <cellStyle name="스타일 7" xfId="5130" xr:uid="{00000000-0005-0000-0000-0000FE120000}"/>
    <cellStyle name="스타일 8" xfId="5131" xr:uid="{00000000-0005-0000-0000-0000FF120000}"/>
    <cellStyle name="스타일 9" xfId="5132" xr:uid="{00000000-0005-0000-0000-000000130000}"/>
    <cellStyle name="식" xfId="5133" xr:uid="{00000000-0005-0000-0000-000001130000}"/>
    <cellStyle name="식_'09년 재무계획 점검결과보고_Template" xfId="5134" xr:uid="{00000000-0005-0000-0000-000002130000}"/>
    <cellStyle name="식_모델제세공과금(0424)-1100원" xfId="5143" xr:uid="{00000000-0005-0000-0000-00000B130000}"/>
    <cellStyle name="식_모델제세공과금(0424)-1100원_'09년 재무계획 점검결과보고_Template" xfId="5144" xr:uid="{00000000-0005-0000-0000-00000C130000}"/>
    <cellStyle name="식_모델제세공과금(0424)-1100원_재무계획점검결과보고(1205)_r0" xfId="5153" xr:uid="{00000000-0005-0000-0000-000015130000}"/>
    <cellStyle name="식_모델제세공과금(0424)-1100원_재무계획점검결과보고(1205)_r0_'09년 재무계획 점검결과보고_Template" xfId="5154" xr:uid="{00000000-0005-0000-0000-000016130000}"/>
    <cellStyle name="식_모델제세공과금(0424)-1100원_출자Ceiling" xfId="5155" xr:uid="{00000000-0005-0000-0000-000017130000}"/>
    <cellStyle name="식_모델제세공과금(0424)-1100원_출자Ceiling_'09년 재무계획 점검결과보고_Template" xfId="5156" xr:uid="{00000000-0005-0000-0000-000018130000}"/>
    <cellStyle name="식_모델제세공과금(0424)-1100원_출자Ceiling_재무계획점검결과보고(1205)_r0" xfId="5165" xr:uid="{00000000-0005-0000-0000-000021130000}"/>
    <cellStyle name="식_모델제세공과금(0424)-1100원_출자Ceiling_재무계획점검결과보고(1205)_r0_'09년 재무계획 점검결과보고_Template" xfId="5166" xr:uid="{00000000-0005-0000-0000-000022130000}"/>
    <cellStyle name="식_모델제세공과금(0424)-1100원_출자Ceiling_CFO Session Wrap_up_중공업 엔진_1204" xfId="5157" xr:uid="{00000000-0005-0000-0000-000019130000}"/>
    <cellStyle name="식_모델제세공과금(0424)-1100원_출자Ceiling_CFO Session Wrap_up_중공업 엔진_1204_'09년 재무계획 점검결과보고_Template" xfId="5158" xr:uid="{00000000-0005-0000-0000-00001A130000}"/>
    <cellStyle name="식_모델제세공과금(0424)-1100원_출자Ceiling_CFO Session Wrap_up_중공업 엔진_1204_재무계획점검결과보고(1205)_r0" xfId="5159" xr:uid="{00000000-0005-0000-0000-00001B130000}"/>
    <cellStyle name="식_모델제세공과금(0424)-1100원_출자Ceiling_CFO Session Wrap_up_중공업 엔진_1204_재무계획점검결과보고(1205)_r0_'09년 재무계획 점검결과보고_Template" xfId="5160" xr:uid="{00000000-0005-0000-0000-00001C130000}"/>
    <cellStyle name="식_모델제세공과금(0424)-1100원_출자Ceiling_CFO Session Wrap_up_중공업 엔진_1205" xfId="5161" xr:uid="{00000000-0005-0000-0000-00001D130000}"/>
    <cellStyle name="식_모델제세공과금(0424)-1100원_출자Ceiling_CFO Session Wrap_up_중공업 엔진_1205_'09년 재무계획 점검결과보고_Template" xfId="5162" xr:uid="{00000000-0005-0000-0000-00001E130000}"/>
    <cellStyle name="식_모델제세공과금(0424)-1100원_출자Ceiling_CFO Session Wrap_up_중공업 엔진_1205_재무계획점검결과보고(1205)_r0" xfId="5163" xr:uid="{00000000-0005-0000-0000-00001F130000}"/>
    <cellStyle name="식_모델제세공과금(0424)-1100원_출자Ceiling_CFO Session Wrap_up_중공업 엔진_1205_재무계획점검결과보고(1205)_r0_'09년 재무계획 점검결과보고_Template" xfId="5164" xr:uid="{00000000-0005-0000-0000-000020130000}"/>
    <cellStyle name="식_모델제세공과금(0424)-1100원_CFO Session Wrap_up_중공업 엔진_1204" xfId="5145" xr:uid="{00000000-0005-0000-0000-00000D130000}"/>
    <cellStyle name="식_모델제세공과금(0424)-1100원_CFO Session Wrap_up_중공업 엔진_1204_'09년 재무계획 점검결과보고_Template" xfId="5146" xr:uid="{00000000-0005-0000-0000-00000E130000}"/>
    <cellStyle name="식_모델제세공과금(0424)-1100원_CFO Session Wrap_up_중공업 엔진_1204_재무계획점검결과보고(1205)_r0" xfId="5147" xr:uid="{00000000-0005-0000-0000-00000F130000}"/>
    <cellStyle name="식_모델제세공과금(0424)-1100원_CFO Session Wrap_up_중공업 엔진_1204_재무계획점검결과보고(1205)_r0_'09년 재무계획 점검결과보고_Template" xfId="5148" xr:uid="{00000000-0005-0000-0000-000010130000}"/>
    <cellStyle name="식_모델제세공과금(0424)-1100원_CFO Session Wrap_up_중공업 엔진_1205" xfId="5149" xr:uid="{00000000-0005-0000-0000-000011130000}"/>
    <cellStyle name="식_모델제세공과금(0424)-1100원_CFO Session Wrap_up_중공업 엔진_1205_'09년 재무계획 점검결과보고_Template" xfId="5150" xr:uid="{00000000-0005-0000-0000-000012130000}"/>
    <cellStyle name="식_모델제세공과금(0424)-1100원_CFO Session Wrap_up_중공업 엔진_1205_재무계획점검결과보고(1205)_r0" xfId="5151" xr:uid="{00000000-0005-0000-0000-000013130000}"/>
    <cellStyle name="식_모델제세공과금(0424)-1100원_CFO Session Wrap_up_중공업 엔진_1205_재무계획점검결과보고(1205)_r0_'09년 재무계획 점검결과보고_Template" xfId="5152" xr:uid="{00000000-0005-0000-0000-000014130000}"/>
    <cellStyle name="식_재무계획점검결과보고(1205)_r0" xfId="5167" xr:uid="{00000000-0005-0000-0000-000023130000}"/>
    <cellStyle name="식_재무계획점검결과보고(1205)_r0_'09년 재무계획 점검결과보고_Template" xfId="5168" xr:uid="{00000000-0005-0000-0000-000024130000}"/>
    <cellStyle name="식_출자Ceiling" xfId="5169" xr:uid="{00000000-0005-0000-0000-000025130000}"/>
    <cellStyle name="식_출자Ceiling_'09년 재무계획 점검결과보고_Template" xfId="5170" xr:uid="{00000000-0005-0000-0000-000026130000}"/>
    <cellStyle name="식_출자Ceiling_재무계획점검결과보고(1205)_r0" xfId="5179" xr:uid="{00000000-0005-0000-0000-00002F130000}"/>
    <cellStyle name="식_출자Ceiling_재무계획점검결과보고(1205)_r0_'09년 재무계획 점검결과보고_Template" xfId="5180" xr:uid="{00000000-0005-0000-0000-000030130000}"/>
    <cellStyle name="식_출자Ceiling_CFO Session Wrap_up_중공업 엔진_1204" xfId="5171" xr:uid="{00000000-0005-0000-0000-000027130000}"/>
    <cellStyle name="식_출자Ceiling_CFO Session Wrap_up_중공업 엔진_1204_'09년 재무계획 점검결과보고_Template" xfId="5172" xr:uid="{00000000-0005-0000-0000-000028130000}"/>
    <cellStyle name="식_출자Ceiling_CFO Session Wrap_up_중공업 엔진_1204_재무계획점검결과보고(1205)_r0" xfId="5173" xr:uid="{00000000-0005-0000-0000-000029130000}"/>
    <cellStyle name="식_출자Ceiling_CFO Session Wrap_up_중공업 엔진_1204_재무계획점검결과보고(1205)_r0_'09년 재무계획 점검결과보고_Template" xfId="5174" xr:uid="{00000000-0005-0000-0000-00002A130000}"/>
    <cellStyle name="식_출자Ceiling_CFO Session Wrap_up_중공업 엔진_1205" xfId="5175" xr:uid="{00000000-0005-0000-0000-00002B130000}"/>
    <cellStyle name="식_출자Ceiling_CFO Session Wrap_up_중공업 엔진_1205_'09년 재무계획 점검결과보고_Template" xfId="5176" xr:uid="{00000000-0005-0000-0000-00002C130000}"/>
    <cellStyle name="식_출자Ceiling_CFO Session Wrap_up_중공업 엔진_1205_재무계획점검결과보고(1205)_r0" xfId="5177" xr:uid="{00000000-0005-0000-0000-00002D130000}"/>
    <cellStyle name="식_출자Ceiling_CFO Session Wrap_up_중공업 엔진_1205_재무계획점검결과보고(1205)_r0_'09년 재무계획 점검결과보고_Template" xfId="5178" xr:uid="{00000000-0005-0000-0000-00002E130000}"/>
    <cellStyle name="식_CFO Session Wrap_up_중공업 엔진_1204" xfId="5135" xr:uid="{00000000-0005-0000-0000-000003130000}"/>
    <cellStyle name="식_CFO Session Wrap_up_중공업 엔진_1204_'09년 재무계획 점검결과보고_Template" xfId="5136" xr:uid="{00000000-0005-0000-0000-000004130000}"/>
    <cellStyle name="식_CFO Session Wrap_up_중공업 엔진_1204_재무계획점검결과보고(1205)_r0" xfId="5137" xr:uid="{00000000-0005-0000-0000-000005130000}"/>
    <cellStyle name="식_CFO Session Wrap_up_중공업 엔진_1204_재무계획점검결과보고(1205)_r0_'09년 재무계획 점검결과보고_Template" xfId="5138" xr:uid="{00000000-0005-0000-0000-000006130000}"/>
    <cellStyle name="식_CFO Session Wrap_up_중공업 엔진_1205" xfId="5139" xr:uid="{00000000-0005-0000-0000-000007130000}"/>
    <cellStyle name="식_CFO Session Wrap_up_중공업 엔진_1205_'09년 재무계획 점검결과보고_Template" xfId="5140" xr:uid="{00000000-0005-0000-0000-000008130000}"/>
    <cellStyle name="식_CFO Session Wrap_up_중공업 엔진_1205_재무계획점검결과보고(1205)_r0" xfId="5141" xr:uid="{00000000-0005-0000-0000-000009130000}"/>
    <cellStyle name="식_CFO Session Wrap_up_중공업 엔진_1205_재무계획점검결과보고(1205)_r0_'09년 재무계획 점검결과보고_Template" xfId="5142" xr:uid="{00000000-0005-0000-0000-00000A130000}"/>
    <cellStyle name="연결된 셀" xfId="13" builtinId="24" customBuiltin="1"/>
    <cellStyle name="연결된 셀 2" xfId="373" xr:uid="{00000000-0005-0000-0000-000032130000}"/>
    <cellStyle name="연결된 셀 2 2" xfId="3632" xr:uid="{00000000-0005-0000-0000-000033130000}"/>
    <cellStyle name="연결된 셀 3" xfId="3204" xr:uid="{00000000-0005-0000-0000-000034130000}"/>
    <cellStyle name="열어본 하이퍼링크" xfId="5181" xr:uid="{00000000-0005-0000-0000-000035130000}"/>
    <cellStyle name="요약" xfId="18" builtinId="25" customBuiltin="1"/>
    <cellStyle name="요약 2" xfId="374" xr:uid="{00000000-0005-0000-0000-000038130000}"/>
    <cellStyle name="요약 2 2" xfId="3205" xr:uid="{00000000-0005-0000-0000-000039130000}"/>
    <cellStyle name="요약 3" xfId="3206" xr:uid="{00000000-0005-0000-0000-00003A130000}"/>
    <cellStyle name="요약 3 2" xfId="3207" xr:uid="{00000000-0005-0000-0000-00003B130000}"/>
    <cellStyle name="요약 4" xfId="3208" xr:uid="{00000000-0005-0000-0000-00003C130000}"/>
    <cellStyle name="원" xfId="5183" xr:uid="{00000000-0005-0000-0000-00003D130000}"/>
    <cellStyle name="원_~0005857" xfId="5184" xr:uid="{00000000-0005-0000-0000-00003E130000}"/>
    <cellStyle name="원_~0017991" xfId="5185" xr:uid="{00000000-0005-0000-0000-00003F130000}"/>
    <cellStyle name="원_~0042931" xfId="5186" xr:uid="{00000000-0005-0000-0000-000040130000}"/>
    <cellStyle name="원_~0052038" xfId="5187" xr:uid="{00000000-0005-0000-0000-000041130000}"/>
    <cellStyle name="원_~0054085" xfId="5188" xr:uid="{00000000-0005-0000-0000-000042130000}"/>
    <cellStyle name="원_■ 중장기계획(물량)2005.02.11 (국영2)" xfId="5189" xr:uid="{00000000-0005-0000-0000-000043130000}"/>
    <cellStyle name="원_◈ 국내영업총괄" xfId="5190" xr:uid="{00000000-0005-0000-0000-000044130000}"/>
    <cellStyle name="원_200109마감현황.xls Chart 5" xfId="5191" xr:uid="{00000000-0005-0000-0000-000045130000}"/>
    <cellStyle name="원_200109마감현황.xls Chart 5_~0005857" xfId="5192" xr:uid="{00000000-0005-0000-0000-000046130000}"/>
    <cellStyle name="원_200109마감현황.xls Chart 5_~0017991" xfId="5193" xr:uid="{00000000-0005-0000-0000-000047130000}"/>
    <cellStyle name="원_200109마감현황.xls Chart 5_~0042931" xfId="5194" xr:uid="{00000000-0005-0000-0000-000048130000}"/>
    <cellStyle name="원_200109마감현황.xls Chart 5_~0052038" xfId="5195" xr:uid="{00000000-0005-0000-0000-000049130000}"/>
    <cellStyle name="원_200109마감현황.xls Chart 5_~0054085" xfId="5196" xr:uid="{00000000-0005-0000-0000-00004A130000}"/>
    <cellStyle name="원_200109마감현황.xls Chart 5_■ 중장기계획(물량)2005.02.11 (국영2)" xfId="5197" xr:uid="{00000000-0005-0000-0000-00004B130000}"/>
    <cellStyle name="원_200109마감현황.xls Chart 5_◈ 국내영업총괄" xfId="5198" xr:uid="{00000000-0005-0000-0000-00004C130000}"/>
    <cellStyle name="원_200109마감현황.xls Chart 5_2005년 사업계획 본부장님보고(국영2팀기초자료)" xfId="5199" xr:uid="{00000000-0005-0000-0000-00004D130000}"/>
    <cellStyle name="원_200109마감현황.xls Chart 5_2005년 사업계획(8)-041220-매출22.5억,판매가2.4억 추가(총괄)" xfId="5200" xr:uid="{00000000-0005-0000-0000-00004E130000}"/>
    <cellStyle name="원_200109마감현황.xls Chart 5_2005사업계획4차보고1214" xfId="5201" xr:uid="{00000000-0005-0000-0000-00004F130000}"/>
    <cellStyle name="원_200109마감현황.xls Chart 5_3월sfm" xfId="5202" xr:uid="{00000000-0005-0000-0000-000050130000}"/>
    <cellStyle name="원_200109마감현황.xls Chart 5_경쟁사분석" xfId="5206" xr:uid="{00000000-0005-0000-0000-000054130000}"/>
    <cellStyle name="원_200109마감현황.xls Chart 5_년간매출예상(4.30)" xfId="5207" xr:uid="{00000000-0005-0000-0000-000055130000}"/>
    <cellStyle name="원_200109마감현황.xls Chart 5_담보관리채권현황04년말" xfId="5208" xr:uid="{00000000-0005-0000-0000-000056130000}"/>
    <cellStyle name="원_200109마감현황.xls Chart 5_두산 매각실사자료(050218 v4)" xfId="5209" xr:uid="{00000000-0005-0000-0000-000057130000}"/>
    <cellStyle name="원_200109마감현황.xls Chart 5_딜러대손관련 타당성검토" xfId="5210" xr:uid="{00000000-0005-0000-0000-000058130000}"/>
    <cellStyle name="원_200109마감현황.xls Chart 5_매각실사자료(국내영업총괄)" xfId="5211" xr:uid="{00000000-0005-0000-0000-000059130000}"/>
    <cellStyle name="원_200109마감현황.xls Chart 5_매각실사자료(국영2)" xfId="5212" xr:uid="{00000000-0005-0000-0000-00005A130000}"/>
    <cellStyle name="원_200109마감현황.xls Chart 5_매각실사자료(엔진 경쟁력 비교)" xfId="5213" xr:uid="{00000000-0005-0000-0000-00005B130000}"/>
    <cellStyle name="원_200109마감현황.xls Chart 5_매각실사자료제출(040728)" xfId="5214" xr:uid="{00000000-0005-0000-0000-00005C130000}"/>
    <cellStyle name="원_200109마감현황.xls Chart 5_부실채권관리현황(1006)" xfId="5215" xr:uid="{00000000-0005-0000-0000-00005D130000}"/>
    <cellStyle name="원_200109마감현황.xls Chart 5_부실채권관리현황(1006)_~0017991" xfId="5216" xr:uid="{00000000-0005-0000-0000-00005E130000}"/>
    <cellStyle name="원_200109마감현황.xls Chart 5_부실채권관리현황(1006)_~0032981" xfId="5217" xr:uid="{00000000-0005-0000-0000-00005F130000}"/>
    <cellStyle name="원_200109마감현황.xls Chart 5_부실채권관리현황(1006)_◈ 국내영업총괄" xfId="5218" xr:uid="{00000000-0005-0000-0000-000060130000}"/>
    <cellStyle name="원_200109마감현황.xls Chart 5_부실채권관리현황(1006)_2005년 사업계획 본부장님보고(국영2팀기초자료)" xfId="5219" xr:uid="{00000000-0005-0000-0000-000061130000}"/>
    <cellStyle name="원_200109마감현황.xls Chart 5_부실채권관리현황(1006)_2005년 사업계획(8)-041220-매출22.5억,판매가2.4억 추가(총괄)" xfId="5220" xr:uid="{00000000-0005-0000-0000-000062130000}"/>
    <cellStyle name="원_200109마감현황.xls Chart 5_부실채권관리현황(1006)_소재자료" xfId="5221" xr:uid="{00000000-0005-0000-0000-000063130000}"/>
    <cellStyle name="원_200109마감현황.xls Chart 5_부실채권관리현황(1006)_육상용엔진중장기계획(20050212 V2)" xfId="5222" xr:uid="{00000000-0005-0000-0000-000064130000}"/>
    <cellStyle name="원_200109마감현황.xls Chart 5_부실채권관리현황(1006)_육상용엔진중장기계획(20050212)" xfId="5223" xr:uid="{00000000-0005-0000-0000-000065130000}"/>
    <cellStyle name="원_200109마감현황.xls Chart 5_사장업무보고(050113)" xfId="5224" xr:uid="{00000000-0005-0000-0000-000066130000}"/>
    <cellStyle name="원_200109마감현황.xls Chart 5_선박엔진CAPITAL업무FLOW" xfId="5225" xr:uid="{00000000-0005-0000-0000-000067130000}"/>
    <cellStyle name="원_200109마감현황.xls Chart 5_소재자료" xfId="5226" xr:uid="{00000000-0005-0000-0000-000068130000}"/>
    <cellStyle name="원_200109마감현황.xls Chart 5_육상용엔진중장기계획(20050212 V2)" xfId="5227" xr:uid="{00000000-0005-0000-0000-000069130000}"/>
    <cellStyle name="원_200109마감현황.xls Chart 5_육상용엔진중장기계획(20050212)" xfId="5228" xr:uid="{00000000-0005-0000-0000-00006A130000}"/>
    <cellStyle name="원_200109마감현황.xls Chart 5_Book2" xfId="5203" xr:uid="{00000000-0005-0000-0000-000051130000}"/>
    <cellStyle name="원_200109마감현황.xls Chart 5_Book5" xfId="5204" xr:uid="{00000000-0005-0000-0000-000052130000}"/>
    <cellStyle name="원_200109마감현황.xls Chart 5_INVESTOR ANSWER" xfId="5205" xr:uid="{00000000-0005-0000-0000-000053130000}"/>
    <cellStyle name="원_2005년 사업계획 본부장님보고(국영2팀기초자료)" xfId="5229" xr:uid="{00000000-0005-0000-0000-00006B130000}"/>
    <cellStyle name="원_2005년 사업계획(8)-041220-매출22.5억,판매가2.4억 추가(총괄)" xfId="5230" xr:uid="{00000000-0005-0000-0000-00006C130000}"/>
    <cellStyle name="원_2005사업계획4차보고1214" xfId="5231" xr:uid="{00000000-0005-0000-0000-00006D130000}"/>
    <cellStyle name="원_3월sfm" xfId="5232" xr:uid="{00000000-0005-0000-0000-00006E130000}"/>
    <cellStyle name="원_경쟁사분석" xfId="5236" xr:uid="{00000000-0005-0000-0000-000072130000}"/>
    <cellStyle name="원_년간매출예상(4.30)" xfId="5237" xr:uid="{00000000-0005-0000-0000-000073130000}"/>
    <cellStyle name="원_담보관리채권현황04년말" xfId="5238" xr:uid="{00000000-0005-0000-0000-000074130000}"/>
    <cellStyle name="원_두산 매각실사자료(050218 v4)" xfId="5239" xr:uid="{00000000-0005-0000-0000-000075130000}"/>
    <cellStyle name="원_딜러대손관련 타당성검토" xfId="5240" xr:uid="{00000000-0005-0000-0000-000076130000}"/>
    <cellStyle name="원_매각실사자료(국내영업총괄)" xfId="5241" xr:uid="{00000000-0005-0000-0000-000077130000}"/>
    <cellStyle name="원_매각실사자료(국영2)" xfId="5242" xr:uid="{00000000-0005-0000-0000-000078130000}"/>
    <cellStyle name="원_매각실사자료(엔진 경쟁력 비교)" xfId="5243" xr:uid="{00000000-0005-0000-0000-000079130000}"/>
    <cellStyle name="원_매각실사자료제출(040728)" xfId="5244" xr:uid="{00000000-0005-0000-0000-00007A130000}"/>
    <cellStyle name="원_매출채권회전율해상엔진" xfId="5245" xr:uid="{00000000-0005-0000-0000-00007B130000}"/>
    <cellStyle name="원_매출채권회전율해상엔진_~0005857" xfId="5246" xr:uid="{00000000-0005-0000-0000-00007C130000}"/>
    <cellStyle name="원_매출채권회전율해상엔진_~0017991" xfId="5247" xr:uid="{00000000-0005-0000-0000-00007D130000}"/>
    <cellStyle name="원_매출채권회전율해상엔진_~0042931" xfId="5248" xr:uid="{00000000-0005-0000-0000-00007E130000}"/>
    <cellStyle name="원_매출채권회전율해상엔진_~0052038" xfId="5249" xr:uid="{00000000-0005-0000-0000-00007F130000}"/>
    <cellStyle name="원_매출채권회전율해상엔진_~0054085" xfId="5250" xr:uid="{00000000-0005-0000-0000-000080130000}"/>
    <cellStyle name="원_매출채권회전율해상엔진_■ 중장기계획(물량)2005.02.11 (국영2)" xfId="5251" xr:uid="{00000000-0005-0000-0000-000081130000}"/>
    <cellStyle name="원_매출채권회전율해상엔진_◈ 국내영업총괄" xfId="5252" xr:uid="{00000000-0005-0000-0000-000082130000}"/>
    <cellStyle name="원_매출채권회전율해상엔진_2005년 사업계획 본부장님보고(국영2팀기초자료)" xfId="5253" xr:uid="{00000000-0005-0000-0000-000083130000}"/>
    <cellStyle name="원_매출채권회전율해상엔진_2005년 사업계획(8)-041220-매출22.5억,판매가2.4억 추가(총괄)" xfId="5254" xr:uid="{00000000-0005-0000-0000-000084130000}"/>
    <cellStyle name="원_매출채권회전율해상엔진_2005사업계획4차보고1214" xfId="5255" xr:uid="{00000000-0005-0000-0000-000085130000}"/>
    <cellStyle name="원_매출채권회전율해상엔진_3월sfm" xfId="5256" xr:uid="{00000000-0005-0000-0000-000086130000}"/>
    <cellStyle name="원_매출채권회전율해상엔진_경쟁사분석" xfId="5260" xr:uid="{00000000-0005-0000-0000-00008A130000}"/>
    <cellStyle name="원_매출채권회전율해상엔진_년간매출예상(4.30)" xfId="5261" xr:uid="{00000000-0005-0000-0000-00008B130000}"/>
    <cellStyle name="원_매출채권회전율해상엔진_담보관리채권현황04년말" xfId="5262" xr:uid="{00000000-0005-0000-0000-00008C130000}"/>
    <cellStyle name="원_매출채권회전율해상엔진_두산 매각실사자료(050218 v4)" xfId="5263" xr:uid="{00000000-0005-0000-0000-00008D130000}"/>
    <cellStyle name="원_매출채권회전율해상엔진_딜러대손관련 타당성검토" xfId="5264" xr:uid="{00000000-0005-0000-0000-00008E130000}"/>
    <cellStyle name="원_매출채권회전율해상엔진_매각실사자료(국내영업총괄)" xfId="5265" xr:uid="{00000000-0005-0000-0000-00008F130000}"/>
    <cellStyle name="원_매출채권회전율해상엔진_매각실사자료(국영2)" xfId="5266" xr:uid="{00000000-0005-0000-0000-000090130000}"/>
    <cellStyle name="원_매출채권회전율해상엔진_매각실사자료(엔진 경쟁력 비교)" xfId="5267" xr:uid="{00000000-0005-0000-0000-000091130000}"/>
    <cellStyle name="원_매출채권회전율해상엔진_매각실사자료제출(040728)" xfId="5268" xr:uid="{00000000-0005-0000-0000-000092130000}"/>
    <cellStyle name="원_매출채권회전율해상엔진_부실채권관리현황(1006)" xfId="5269" xr:uid="{00000000-0005-0000-0000-000093130000}"/>
    <cellStyle name="원_매출채권회전율해상엔진_부실채권관리현황(1006)_~0017991" xfId="5270" xr:uid="{00000000-0005-0000-0000-000094130000}"/>
    <cellStyle name="원_매출채권회전율해상엔진_부실채권관리현황(1006)_~0032981" xfId="5271" xr:uid="{00000000-0005-0000-0000-000095130000}"/>
    <cellStyle name="원_매출채권회전율해상엔진_부실채권관리현황(1006)_◈ 국내영업총괄" xfId="5272" xr:uid="{00000000-0005-0000-0000-000096130000}"/>
    <cellStyle name="원_매출채권회전율해상엔진_부실채권관리현황(1006)_2005년 사업계획 본부장님보고(국영2팀기초자료)" xfId="5273" xr:uid="{00000000-0005-0000-0000-000097130000}"/>
    <cellStyle name="원_매출채권회전율해상엔진_부실채권관리현황(1006)_2005년 사업계획(8)-041220-매출22.5억,판매가2.4억 추가(총괄)" xfId="5274" xr:uid="{00000000-0005-0000-0000-000098130000}"/>
    <cellStyle name="원_매출채권회전율해상엔진_부실채권관리현황(1006)_소재자료" xfId="5275" xr:uid="{00000000-0005-0000-0000-000099130000}"/>
    <cellStyle name="원_매출채권회전율해상엔진_부실채권관리현황(1006)_육상용엔진중장기계획(20050212 V2)" xfId="5276" xr:uid="{00000000-0005-0000-0000-00009A130000}"/>
    <cellStyle name="원_매출채권회전율해상엔진_부실채권관리현황(1006)_육상용엔진중장기계획(20050212)" xfId="5277" xr:uid="{00000000-0005-0000-0000-00009B130000}"/>
    <cellStyle name="원_매출채권회전율해상엔진_사장업무보고(050113)" xfId="5278" xr:uid="{00000000-0005-0000-0000-00009C130000}"/>
    <cellStyle name="원_매출채권회전율해상엔진_선박엔진CAPITAL업무FLOW" xfId="5279" xr:uid="{00000000-0005-0000-0000-00009D130000}"/>
    <cellStyle name="원_매출채권회전율해상엔진_소재자료" xfId="5280" xr:uid="{00000000-0005-0000-0000-00009E130000}"/>
    <cellStyle name="원_매출채권회전율해상엔진_육상용엔진중장기계획(20050212 V2)" xfId="5281" xr:uid="{00000000-0005-0000-0000-00009F130000}"/>
    <cellStyle name="원_매출채권회전율해상엔진_육상용엔진중장기계획(20050212)" xfId="5282" xr:uid="{00000000-0005-0000-0000-0000A0130000}"/>
    <cellStyle name="원_매출채권회전율해상엔진_Book2" xfId="5257" xr:uid="{00000000-0005-0000-0000-000087130000}"/>
    <cellStyle name="원_매출채권회전율해상엔진_Book5" xfId="5258" xr:uid="{00000000-0005-0000-0000-000088130000}"/>
    <cellStyle name="원_매출채권회전율해상엔진_INVESTOR ANSWER" xfId="5259" xr:uid="{00000000-0005-0000-0000-000089130000}"/>
    <cellStyle name="원_부실채권관리현황(1006)" xfId="5283" xr:uid="{00000000-0005-0000-0000-0000A1130000}"/>
    <cellStyle name="원_부실채권관리현황(1006)_~0017991" xfId="5284" xr:uid="{00000000-0005-0000-0000-0000A2130000}"/>
    <cellStyle name="원_부실채권관리현황(1006)_~0032981" xfId="5285" xr:uid="{00000000-0005-0000-0000-0000A3130000}"/>
    <cellStyle name="원_부실채권관리현황(1006)_◈ 국내영업총괄" xfId="5286" xr:uid="{00000000-0005-0000-0000-0000A4130000}"/>
    <cellStyle name="원_부실채권관리현황(1006)_2005년 사업계획 본부장님보고(국영2팀기초자료)" xfId="5287" xr:uid="{00000000-0005-0000-0000-0000A5130000}"/>
    <cellStyle name="원_부실채권관리현황(1006)_2005년 사업계획(8)-041220-매출22.5억,판매가2.4억 추가(총괄)" xfId="5288" xr:uid="{00000000-0005-0000-0000-0000A6130000}"/>
    <cellStyle name="원_부실채권관리현황(1006)_소재자료" xfId="5289" xr:uid="{00000000-0005-0000-0000-0000A7130000}"/>
    <cellStyle name="원_부실채권관리현황(1006)_육상용엔진중장기계획(20050212 V2)" xfId="5290" xr:uid="{00000000-0005-0000-0000-0000A8130000}"/>
    <cellStyle name="원_부실채권관리현황(1006)_육상용엔진중장기계획(20050212)" xfId="5291" xr:uid="{00000000-0005-0000-0000-0000A9130000}"/>
    <cellStyle name="원_사장업무보고(050113)" xfId="5292" xr:uid="{00000000-0005-0000-0000-0000AA130000}"/>
    <cellStyle name="원_선박엔진CAPITAL업무FLOW" xfId="5293" xr:uid="{00000000-0005-0000-0000-0000AB130000}"/>
    <cellStyle name="원_소재자료" xfId="5294" xr:uid="{00000000-0005-0000-0000-0000AC130000}"/>
    <cellStyle name="원_육상용엔진중장기계획(20050212 V2)" xfId="5295" xr:uid="{00000000-0005-0000-0000-0000AD130000}"/>
    <cellStyle name="원_육상용엔진중장기계획(20050212)" xfId="5296" xr:uid="{00000000-0005-0000-0000-0000AE130000}"/>
    <cellStyle name="원_Book2" xfId="5233" xr:uid="{00000000-0005-0000-0000-00006F130000}"/>
    <cellStyle name="원_Book5" xfId="5234" xr:uid="{00000000-0005-0000-0000-000070130000}"/>
    <cellStyle name="원_INVESTOR ANSWER" xfId="5235" xr:uid="{00000000-0005-0000-0000-000071130000}"/>
    <cellStyle name="원통화" xfId="5297" xr:uid="{00000000-0005-0000-0000-0000AF130000}"/>
    <cellStyle name="一般_INDUSTRY" xfId="5298" xr:uid="{00000000-0005-0000-0000-0000B0130000}"/>
    <cellStyle name="입력" xfId="10" builtinId="20" customBuiltin="1"/>
    <cellStyle name="입력 2" xfId="375" xr:uid="{00000000-0005-0000-0000-0000B2130000}"/>
    <cellStyle name="입력 2 2" xfId="3209" xr:uid="{00000000-0005-0000-0000-0000B3130000}"/>
    <cellStyle name="입력 3" xfId="3210" xr:uid="{00000000-0005-0000-0000-0000B4130000}"/>
    <cellStyle name="입력 3 2" xfId="3211" xr:uid="{00000000-0005-0000-0000-0000B5130000}"/>
    <cellStyle name="입력 4" xfId="3212" xr:uid="{00000000-0005-0000-0000-0000B6130000}"/>
    <cellStyle name="자리수" xfId="5299" xr:uid="{00000000-0005-0000-0000-0000B7130000}"/>
    <cellStyle name="자리수0" xfId="5300" xr:uid="{00000000-0005-0000-0000-0000B8130000}"/>
    <cellStyle name="제목" xfId="2" builtinId="15" customBuiltin="1"/>
    <cellStyle name="제목 1" xfId="3" builtinId="16" customBuiltin="1"/>
    <cellStyle name="제목 1 2" xfId="377" xr:uid="{00000000-0005-0000-0000-0000BB130000}"/>
    <cellStyle name="제목 1 2 2" xfId="3633" xr:uid="{00000000-0005-0000-0000-0000BC130000}"/>
    <cellStyle name="제목 1 3" xfId="3213" xr:uid="{00000000-0005-0000-0000-0000BD130000}"/>
    <cellStyle name="제목 2" xfId="4" builtinId="17" customBuiltin="1"/>
    <cellStyle name="제목 2 2" xfId="378" xr:uid="{00000000-0005-0000-0000-0000BF130000}"/>
    <cellStyle name="제목 2 2 2" xfId="3634" xr:uid="{00000000-0005-0000-0000-0000C0130000}"/>
    <cellStyle name="제목 2 3" xfId="3214" xr:uid="{00000000-0005-0000-0000-0000C1130000}"/>
    <cellStyle name="제목 3" xfId="5" builtinId="18" customBuiltin="1"/>
    <cellStyle name="제목 3 2" xfId="379" xr:uid="{00000000-0005-0000-0000-0000C3130000}"/>
    <cellStyle name="제목 3 2 2" xfId="3635" xr:uid="{00000000-0005-0000-0000-0000C4130000}"/>
    <cellStyle name="제목 3 3" xfId="3215" xr:uid="{00000000-0005-0000-0000-0000C5130000}"/>
    <cellStyle name="제목 4" xfId="6" builtinId="19" customBuiltin="1"/>
    <cellStyle name="제목 4 2" xfId="380" xr:uid="{00000000-0005-0000-0000-0000C7130000}"/>
    <cellStyle name="제목 4 2 2" xfId="3636" xr:uid="{00000000-0005-0000-0000-0000C8130000}"/>
    <cellStyle name="제목 4 3" xfId="3216" xr:uid="{00000000-0005-0000-0000-0000C9130000}"/>
    <cellStyle name="제목 5" xfId="376" xr:uid="{00000000-0005-0000-0000-0000CA130000}"/>
    <cellStyle name="제목 5 2" xfId="3637" xr:uid="{00000000-0005-0000-0000-0000CB130000}"/>
    <cellStyle name="제목 6" xfId="3217" xr:uid="{00000000-0005-0000-0000-0000CC130000}"/>
    <cellStyle name="제목2" xfId="5301" xr:uid="{00000000-0005-0000-0000-0000CD130000}"/>
    <cellStyle name="제목3" xfId="5302" xr:uid="{00000000-0005-0000-0000-0000CE130000}"/>
    <cellStyle name="좋음" xfId="7" builtinId="26" customBuiltin="1"/>
    <cellStyle name="좋음 2" xfId="381" xr:uid="{00000000-0005-0000-0000-0000D0130000}"/>
    <cellStyle name="좋음 2 2" xfId="3638" xr:uid="{00000000-0005-0000-0000-0000D1130000}"/>
    <cellStyle name="좋음 3" xfId="3218" xr:uid="{00000000-0005-0000-0000-0000D2130000}"/>
    <cellStyle name="주민번호" xfId="5303" xr:uid="{00000000-0005-0000-0000-0000D3130000}"/>
    <cellStyle name="줡" xfId="5304" xr:uid="{00000000-0005-0000-0000-0000D4130000}"/>
    <cellStyle name="지정되지 않음" xfId="5305" xr:uid="{00000000-0005-0000-0000-0000D5130000}"/>
    <cellStyle name="千位分隔 2" xfId="5306" xr:uid="{00000000-0005-0000-0000-0000D6130000}"/>
    <cellStyle name="千位分隔 2 2" xfId="5307" xr:uid="{00000000-0005-0000-0000-0000D7130000}"/>
    <cellStyle name="千位分隔 2 3" xfId="5308" xr:uid="{00000000-0005-0000-0000-0000D8130000}"/>
    <cellStyle name="千位分隔 3" xfId="5309" xr:uid="{00000000-0005-0000-0000-0000D9130000}"/>
    <cellStyle name="千位分隔 3 2" xfId="5310" xr:uid="{00000000-0005-0000-0000-0000DA130000}"/>
    <cellStyle name="千位分隔 3 3" xfId="5311" xr:uid="{00000000-0005-0000-0000-0000DB130000}"/>
    <cellStyle name="千位分隔 4" xfId="5312" xr:uid="{00000000-0005-0000-0000-0000DC130000}"/>
    <cellStyle name="千位分隔 4 2" xfId="5313" xr:uid="{00000000-0005-0000-0000-0000DD130000}"/>
    <cellStyle name="千位分隔 4 3" xfId="5314" xr:uid="{00000000-0005-0000-0000-0000DE130000}"/>
    <cellStyle name="千位分隔 5" xfId="5315" xr:uid="{00000000-0005-0000-0000-0000DF130000}"/>
    <cellStyle name="千位分隔 6" xfId="5316" xr:uid="{00000000-0005-0000-0000-0000E0130000}"/>
    <cellStyle name="千位分隔 7" xfId="5317" xr:uid="{00000000-0005-0000-0000-0000E1130000}"/>
    <cellStyle name="千位分隔_2004Q.4(企业计划,A-Mando,20040417)" xfId="5327" xr:uid="{00000000-0005-0000-0000-0000EB130000}"/>
    <cellStyle name="千位分隔[0] 2" xfId="5318" xr:uid="{00000000-0005-0000-0000-0000E2130000}"/>
    <cellStyle name="千位分隔[0] 2 2" xfId="5319" xr:uid="{00000000-0005-0000-0000-0000E3130000}"/>
    <cellStyle name="千位分隔[0] 2 3" xfId="5320" xr:uid="{00000000-0005-0000-0000-0000E4130000}"/>
    <cellStyle name="千位分隔[0] 3" xfId="5321" xr:uid="{00000000-0005-0000-0000-0000E5130000}"/>
    <cellStyle name="千位分隔[0] 3 2" xfId="5322" xr:uid="{00000000-0005-0000-0000-0000E6130000}"/>
    <cellStyle name="千位分隔[0] 3 3" xfId="5323" xr:uid="{00000000-0005-0000-0000-0000E7130000}"/>
    <cellStyle name="千位分隔[0] 4" xfId="5324" xr:uid="{00000000-0005-0000-0000-0000E8130000}"/>
    <cellStyle name="千位分隔[0] 5" xfId="5325" xr:uid="{00000000-0005-0000-0000-0000E9130000}"/>
    <cellStyle name="千位分隔[0]_04资本预算년자본예산(공장요청031206)" xfId="5326" xr:uid="{00000000-0005-0000-0000-0000EA130000}"/>
    <cellStyle name="출력" xfId="11" builtinId="21" customBuiltin="1"/>
    <cellStyle name="출력 2" xfId="382" xr:uid="{00000000-0005-0000-0000-0000ED130000}"/>
    <cellStyle name="출력 2 2" xfId="3219" xr:uid="{00000000-0005-0000-0000-0000EE130000}"/>
    <cellStyle name="출력 3" xfId="3220" xr:uid="{00000000-0005-0000-0000-0000EF130000}"/>
    <cellStyle name="출력 3 2" xfId="3221" xr:uid="{00000000-0005-0000-0000-0000F0130000}"/>
    <cellStyle name="출력 4" xfId="3222" xr:uid="{00000000-0005-0000-0000-0000F1130000}"/>
    <cellStyle name="콤_연휴 및 신구정 공사보고 " xfId="5328" xr:uid="{00000000-0005-0000-0000-0000F2130000}"/>
    <cellStyle name="콤_정이사님 보고용 1226 " xfId="5329" xr:uid="{00000000-0005-0000-0000-0000F3130000}"/>
    <cellStyle name="콤냡?&lt;_x000f_$??:_x0009_`1_1" xfId="5330" xr:uid="{00000000-0005-0000-0000-0000F4130000}"/>
    <cellStyle name="콤마 " xfId="5331" xr:uid="{00000000-0005-0000-0000-0000F5130000}"/>
    <cellStyle name="콤마 [0]_ " xfId="5332" xr:uid="{00000000-0005-0000-0000-0000F6130000}"/>
    <cellStyle name="콤마 [3]" xfId="5333" xr:uid="{00000000-0005-0000-0000-0000F7130000}"/>
    <cellStyle name="콤마_ " xfId="5335" xr:uid="{00000000-0005-0000-0000-0000F9130000}"/>
    <cellStyle name="콤마,_x0005__x0014_" xfId="5334" xr:uid="{00000000-0005-0000-0000-0000F8130000}"/>
    <cellStyle name="콤마숫자" xfId="5336" xr:uid="{00000000-0005-0000-0000-0000FA130000}"/>
    <cellStyle name="타이틀" xfId="5337" xr:uid="{00000000-0005-0000-0000-0000FB130000}"/>
    <cellStyle name="통_연휴 및 신구정 공사보고 " xfId="5338" xr:uid="{00000000-0005-0000-0000-0000FC130000}"/>
    <cellStyle name="통_정이사님 보고용 1226 " xfId="5339" xr:uid="{00000000-0005-0000-0000-0000FD130000}"/>
    <cellStyle name="통화 [0]" xfId="1" builtinId="7" customBuiltin="1"/>
    <cellStyle name="튡" xfId="5340" xr:uid="{00000000-0005-0000-0000-0000FF130000}"/>
    <cellStyle name="트럭" xfId="5341" xr:uid="{00000000-0005-0000-0000-000000140000}"/>
    <cellStyle name="팒" xfId="5342" xr:uid="{00000000-0005-0000-0000-000001140000}"/>
    <cellStyle name="퍼센트" xfId="5343" xr:uid="{00000000-0005-0000-0000-000002140000}"/>
    <cellStyle name="평" xfId="5344" xr:uid="{00000000-0005-0000-0000-000003140000}"/>
    <cellStyle name="평_'09년 재무계획 점검결과보고_Template" xfId="5345" xr:uid="{00000000-0005-0000-0000-000004140000}"/>
    <cellStyle name="평_모델제세공과금(0424)-1100원" xfId="5354" xr:uid="{00000000-0005-0000-0000-00000D140000}"/>
    <cellStyle name="평_모델제세공과금(0424)-1100원_'09년 재무계획 점검결과보고_Template" xfId="5355" xr:uid="{00000000-0005-0000-0000-00000E140000}"/>
    <cellStyle name="평_모델제세공과금(0424)-1100원_재무계획점검결과보고(1205)_r0" xfId="5364" xr:uid="{00000000-0005-0000-0000-000017140000}"/>
    <cellStyle name="평_모델제세공과금(0424)-1100원_재무계획점검결과보고(1205)_r0_'09년 재무계획 점검결과보고_Template" xfId="5365" xr:uid="{00000000-0005-0000-0000-000018140000}"/>
    <cellStyle name="평_모델제세공과금(0424)-1100원_출자Ceiling" xfId="5366" xr:uid="{00000000-0005-0000-0000-000019140000}"/>
    <cellStyle name="평_모델제세공과금(0424)-1100원_출자Ceiling_'09년 재무계획 점검결과보고_Template" xfId="5367" xr:uid="{00000000-0005-0000-0000-00001A140000}"/>
    <cellStyle name="평_모델제세공과금(0424)-1100원_출자Ceiling_재무계획점검결과보고(1205)_r0" xfId="5376" xr:uid="{00000000-0005-0000-0000-000023140000}"/>
    <cellStyle name="평_모델제세공과금(0424)-1100원_출자Ceiling_재무계획점검결과보고(1205)_r0_'09년 재무계획 점검결과보고_Template" xfId="5377" xr:uid="{00000000-0005-0000-0000-000024140000}"/>
    <cellStyle name="평_모델제세공과금(0424)-1100원_출자Ceiling_CFO Session Wrap_up_중공업 엔진_1204" xfId="5368" xr:uid="{00000000-0005-0000-0000-00001B140000}"/>
    <cellStyle name="평_모델제세공과금(0424)-1100원_출자Ceiling_CFO Session Wrap_up_중공업 엔진_1204_'09년 재무계획 점검결과보고_Template" xfId="5369" xr:uid="{00000000-0005-0000-0000-00001C140000}"/>
    <cellStyle name="평_모델제세공과금(0424)-1100원_출자Ceiling_CFO Session Wrap_up_중공업 엔진_1204_재무계획점검결과보고(1205)_r0" xfId="5370" xr:uid="{00000000-0005-0000-0000-00001D140000}"/>
    <cellStyle name="평_모델제세공과금(0424)-1100원_출자Ceiling_CFO Session Wrap_up_중공업 엔진_1204_재무계획점검결과보고(1205)_r0_'09년 재무계획 점검결과보고_Template" xfId="5371" xr:uid="{00000000-0005-0000-0000-00001E140000}"/>
    <cellStyle name="평_모델제세공과금(0424)-1100원_출자Ceiling_CFO Session Wrap_up_중공업 엔진_1205" xfId="5372" xr:uid="{00000000-0005-0000-0000-00001F140000}"/>
    <cellStyle name="평_모델제세공과금(0424)-1100원_출자Ceiling_CFO Session Wrap_up_중공업 엔진_1205_'09년 재무계획 점검결과보고_Template" xfId="5373" xr:uid="{00000000-0005-0000-0000-000020140000}"/>
    <cellStyle name="평_모델제세공과금(0424)-1100원_출자Ceiling_CFO Session Wrap_up_중공업 엔진_1205_재무계획점검결과보고(1205)_r0" xfId="5374" xr:uid="{00000000-0005-0000-0000-000021140000}"/>
    <cellStyle name="평_모델제세공과금(0424)-1100원_출자Ceiling_CFO Session Wrap_up_중공업 엔진_1205_재무계획점검결과보고(1205)_r0_'09년 재무계획 점검결과보고_Template" xfId="5375" xr:uid="{00000000-0005-0000-0000-000022140000}"/>
    <cellStyle name="평_모델제세공과금(0424)-1100원_CFO Session Wrap_up_중공업 엔진_1204" xfId="5356" xr:uid="{00000000-0005-0000-0000-00000F140000}"/>
    <cellStyle name="평_모델제세공과금(0424)-1100원_CFO Session Wrap_up_중공업 엔진_1204_'09년 재무계획 점검결과보고_Template" xfId="5357" xr:uid="{00000000-0005-0000-0000-000010140000}"/>
    <cellStyle name="평_모델제세공과금(0424)-1100원_CFO Session Wrap_up_중공업 엔진_1204_재무계획점검결과보고(1205)_r0" xfId="5358" xr:uid="{00000000-0005-0000-0000-000011140000}"/>
    <cellStyle name="평_모델제세공과금(0424)-1100원_CFO Session Wrap_up_중공업 엔진_1204_재무계획점검결과보고(1205)_r0_'09년 재무계획 점검결과보고_Template" xfId="5359" xr:uid="{00000000-0005-0000-0000-000012140000}"/>
    <cellStyle name="평_모델제세공과금(0424)-1100원_CFO Session Wrap_up_중공업 엔진_1205" xfId="5360" xr:uid="{00000000-0005-0000-0000-000013140000}"/>
    <cellStyle name="평_모델제세공과금(0424)-1100원_CFO Session Wrap_up_중공업 엔진_1205_'09년 재무계획 점검결과보고_Template" xfId="5361" xr:uid="{00000000-0005-0000-0000-000014140000}"/>
    <cellStyle name="평_모델제세공과금(0424)-1100원_CFO Session Wrap_up_중공업 엔진_1205_재무계획점검결과보고(1205)_r0" xfId="5362" xr:uid="{00000000-0005-0000-0000-000015140000}"/>
    <cellStyle name="평_모델제세공과금(0424)-1100원_CFO Session Wrap_up_중공업 엔진_1205_재무계획점검결과보고(1205)_r0_'09년 재무계획 점검결과보고_Template" xfId="5363" xr:uid="{00000000-0005-0000-0000-000016140000}"/>
    <cellStyle name="평_재무계획점검결과보고(1205)_r0" xfId="5378" xr:uid="{00000000-0005-0000-0000-000025140000}"/>
    <cellStyle name="평_재무계획점검결과보고(1205)_r0_'09년 재무계획 점검결과보고_Template" xfId="5379" xr:uid="{00000000-0005-0000-0000-000026140000}"/>
    <cellStyle name="평_출자Ceiling" xfId="5380" xr:uid="{00000000-0005-0000-0000-000027140000}"/>
    <cellStyle name="평_출자Ceiling_'09년 재무계획 점검결과보고_Template" xfId="5381" xr:uid="{00000000-0005-0000-0000-000028140000}"/>
    <cellStyle name="평_출자Ceiling_재무계획점검결과보고(1205)_r0" xfId="5390" xr:uid="{00000000-0005-0000-0000-000031140000}"/>
    <cellStyle name="평_출자Ceiling_재무계획점검결과보고(1205)_r0_'09년 재무계획 점검결과보고_Template" xfId="5391" xr:uid="{00000000-0005-0000-0000-000032140000}"/>
    <cellStyle name="평_출자Ceiling_CFO Session Wrap_up_중공업 엔진_1204" xfId="5382" xr:uid="{00000000-0005-0000-0000-000029140000}"/>
    <cellStyle name="평_출자Ceiling_CFO Session Wrap_up_중공업 엔진_1204_'09년 재무계획 점검결과보고_Template" xfId="5383" xr:uid="{00000000-0005-0000-0000-00002A140000}"/>
    <cellStyle name="평_출자Ceiling_CFO Session Wrap_up_중공업 엔진_1204_재무계획점검결과보고(1205)_r0" xfId="5384" xr:uid="{00000000-0005-0000-0000-00002B140000}"/>
    <cellStyle name="평_출자Ceiling_CFO Session Wrap_up_중공업 엔진_1204_재무계획점검결과보고(1205)_r0_'09년 재무계획 점검결과보고_Template" xfId="5385" xr:uid="{00000000-0005-0000-0000-00002C140000}"/>
    <cellStyle name="평_출자Ceiling_CFO Session Wrap_up_중공업 엔진_1205" xfId="5386" xr:uid="{00000000-0005-0000-0000-00002D140000}"/>
    <cellStyle name="평_출자Ceiling_CFO Session Wrap_up_중공업 엔진_1205_'09년 재무계획 점검결과보고_Template" xfId="5387" xr:uid="{00000000-0005-0000-0000-00002E140000}"/>
    <cellStyle name="평_출자Ceiling_CFO Session Wrap_up_중공업 엔진_1205_재무계획점검결과보고(1205)_r0" xfId="5388" xr:uid="{00000000-0005-0000-0000-00002F140000}"/>
    <cellStyle name="평_출자Ceiling_CFO Session Wrap_up_중공업 엔진_1205_재무계획점검결과보고(1205)_r0_'09년 재무계획 점검결과보고_Template" xfId="5389" xr:uid="{00000000-0005-0000-0000-000030140000}"/>
    <cellStyle name="평_CFO Session Wrap_up_중공업 엔진_1204" xfId="5346" xr:uid="{00000000-0005-0000-0000-000005140000}"/>
    <cellStyle name="평_CFO Session Wrap_up_중공업 엔진_1204_'09년 재무계획 점검결과보고_Template" xfId="5347" xr:uid="{00000000-0005-0000-0000-000006140000}"/>
    <cellStyle name="평_CFO Session Wrap_up_중공업 엔진_1204_재무계획점검결과보고(1205)_r0" xfId="5348" xr:uid="{00000000-0005-0000-0000-000007140000}"/>
    <cellStyle name="평_CFO Session Wrap_up_중공업 엔진_1204_재무계획점검결과보고(1205)_r0_'09년 재무계획 점검결과보고_Template" xfId="5349" xr:uid="{00000000-0005-0000-0000-000008140000}"/>
    <cellStyle name="평_CFO Session Wrap_up_중공업 엔진_1205" xfId="5350" xr:uid="{00000000-0005-0000-0000-000009140000}"/>
    <cellStyle name="평_CFO Session Wrap_up_중공업 엔진_1205_'09년 재무계획 점검결과보고_Template" xfId="5351" xr:uid="{00000000-0005-0000-0000-00000A140000}"/>
    <cellStyle name="평_CFO Session Wrap_up_중공업 엔진_1205_재무계획점검결과보고(1205)_r0" xfId="5352" xr:uid="{00000000-0005-0000-0000-00000B140000}"/>
    <cellStyle name="평_CFO Session Wrap_up_중공업 엔진_1205_재무계획점검결과보고(1205)_r0_'09년 재무계획 점검결과보고_Template" xfId="5353" xr:uid="{00000000-0005-0000-0000-00000C140000}"/>
    <cellStyle name="표_연휴 및 신구정 공사보고 " xfId="5392" xr:uid="{00000000-0005-0000-0000-000033140000}"/>
    <cellStyle name="표_정이사님 보고용 1226 " xfId="5393" xr:uid="{00000000-0005-0000-0000-000034140000}"/>
    <cellStyle name="표준" xfId="0" builtinId="0"/>
    <cellStyle name="표준 10" xfId="3697" xr:uid="{00000000-0005-0000-0000-000036140000}"/>
    <cellStyle name="표준 10 10" xfId="3223" xr:uid="{00000000-0005-0000-0000-000037140000}"/>
    <cellStyle name="표준 10 11" xfId="3224" xr:uid="{00000000-0005-0000-0000-000038140000}"/>
    <cellStyle name="표준 10 12" xfId="3225" xr:uid="{00000000-0005-0000-0000-000039140000}"/>
    <cellStyle name="표준 10 13" xfId="3226" xr:uid="{00000000-0005-0000-0000-00003A140000}"/>
    <cellStyle name="표준 10 14" xfId="3227" xr:uid="{00000000-0005-0000-0000-00003B140000}"/>
    <cellStyle name="표준 10 15" xfId="3228" xr:uid="{00000000-0005-0000-0000-00003C140000}"/>
    <cellStyle name="표준 10 16" xfId="3229" xr:uid="{00000000-0005-0000-0000-00003D140000}"/>
    <cellStyle name="표준 10 17" xfId="3230" xr:uid="{00000000-0005-0000-0000-00003E140000}"/>
    <cellStyle name="표준 10 18" xfId="3231" xr:uid="{00000000-0005-0000-0000-00003F140000}"/>
    <cellStyle name="표준 10 19" xfId="3232" xr:uid="{00000000-0005-0000-0000-000040140000}"/>
    <cellStyle name="표준 10 2" xfId="3233" xr:uid="{00000000-0005-0000-0000-000041140000}"/>
    <cellStyle name="표준 10 2 2" xfId="5438" xr:uid="{00000000-0005-0000-0000-000042140000}"/>
    <cellStyle name="표준 10 2 6" xfId="5452" xr:uid="{00000000-0005-0000-0000-000043140000}"/>
    <cellStyle name="표준 10 2 6 2" xfId="5457" xr:uid="{00000000-0005-0000-0000-000044140000}"/>
    <cellStyle name="표준 10 3" xfId="3234" xr:uid="{00000000-0005-0000-0000-000045140000}"/>
    <cellStyle name="표준 10 4" xfId="3235" xr:uid="{00000000-0005-0000-0000-000046140000}"/>
    <cellStyle name="표준 10 5" xfId="3236" xr:uid="{00000000-0005-0000-0000-000047140000}"/>
    <cellStyle name="표준 10 6" xfId="3237" xr:uid="{00000000-0005-0000-0000-000048140000}"/>
    <cellStyle name="표준 10 7" xfId="3238" xr:uid="{00000000-0005-0000-0000-000049140000}"/>
    <cellStyle name="표준 10 8" xfId="3239" xr:uid="{00000000-0005-0000-0000-00004A140000}"/>
    <cellStyle name="표준 10 9" xfId="3240" xr:uid="{00000000-0005-0000-0000-00004B140000}"/>
    <cellStyle name="표준 102 2" xfId="3714" xr:uid="{00000000-0005-0000-0000-00004C140000}"/>
    <cellStyle name="표준 102 2 2" xfId="5439" xr:uid="{00000000-0005-0000-0000-00004D140000}"/>
    <cellStyle name="표준 102 2 3" xfId="5459" xr:uid="{00000000-0005-0000-0000-00004E140000}"/>
    <cellStyle name="표준 11" xfId="3711" xr:uid="{00000000-0005-0000-0000-00004F140000}"/>
    <cellStyle name="표준 11 2" xfId="3241" xr:uid="{00000000-0005-0000-0000-000050140000}"/>
    <cellStyle name="표준 11 2 2" xfId="5434" xr:uid="{00000000-0005-0000-0000-000051140000}"/>
    <cellStyle name="표준 11 2 2 2" xfId="5453" xr:uid="{00000000-0005-0000-0000-000052140000}"/>
    <cellStyle name="표준 11 2 2 2 2" xfId="5442" xr:uid="{00000000-0005-0000-0000-000053140000}"/>
    <cellStyle name="표준 11 2 2 2 2 2" xfId="5454" xr:uid="{00000000-0005-0000-0000-000054140000}"/>
    <cellStyle name="표준 11 2 2 3" xfId="5451" xr:uid="{00000000-0005-0000-0000-000055140000}"/>
    <cellStyle name="표준 11 2 2 3 2" xfId="5455" xr:uid="{00000000-0005-0000-0000-000056140000}"/>
    <cellStyle name="표준 11 2 5" xfId="5435" xr:uid="{00000000-0005-0000-0000-000057140000}"/>
    <cellStyle name="표준 12" xfId="5409" xr:uid="{00000000-0005-0000-0000-000058140000}"/>
    <cellStyle name="표준 12 2" xfId="3242" xr:uid="{00000000-0005-0000-0000-000059140000}"/>
    <cellStyle name="표준 12 3" xfId="5436" xr:uid="{00000000-0005-0000-0000-00005A140000}"/>
    <cellStyle name="표준 13" xfId="5426" xr:uid="{00000000-0005-0000-0000-00005B140000}"/>
    <cellStyle name="표준 13 2" xfId="3243" xr:uid="{00000000-0005-0000-0000-00005C140000}"/>
    <cellStyle name="표준 14" xfId="5428" xr:uid="{00000000-0005-0000-0000-00005D140000}"/>
    <cellStyle name="표준 14 2" xfId="3244" xr:uid="{00000000-0005-0000-0000-00005E140000}"/>
    <cellStyle name="표준 14 2 2 2" xfId="5448" xr:uid="{00000000-0005-0000-0000-00005F140000}"/>
    <cellStyle name="표준 14 2 2 2 2" xfId="5463" xr:uid="{00000000-0005-0000-0000-000060140000}"/>
    <cellStyle name="표준 14 2 3" xfId="5447" xr:uid="{00000000-0005-0000-0000-000061140000}"/>
    <cellStyle name="표준 14 2 3 2" xfId="5462" xr:uid="{00000000-0005-0000-0000-000062140000}"/>
    <cellStyle name="표준 15" xfId="5446" xr:uid="{00000000-0005-0000-0000-000063140000}"/>
    <cellStyle name="표준 2" xfId="44" xr:uid="{00000000-0005-0000-0000-000064140000}"/>
    <cellStyle name="표준 2 10" xfId="3245" xr:uid="{00000000-0005-0000-0000-000065140000}"/>
    <cellStyle name="표준 2 11" xfId="3246" xr:uid="{00000000-0005-0000-0000-000066140000}"/>
    <cellStyle name="표준 2 12" xfId="3247" xr:uid="{00000000-0005-0000-0000-000067140000}"/>
    <cellStyle name="표준 2 13" xfId="3248" xr:uid="{00000000-0005-0000-0000-000068140000}"/>
    <cellStyle name="표준 2 14" xfId="3249" xr:uid="{00000000-0005-0000-0000-000069140000}"/>
    <cellStyle name="표준 2 15" xfId="3250" xr:uid="{00000000-0005-0000-0000-00006A140000}"/>
    <cellStyle name="표준 2 16" xfId="3251" xr:uid="{00000000-0005-0000-0000-00006B140000}"/>
    <cellStyle name="표준 2 17" xfId="3252" xr:uid="{00000000-0005-0000-0000-00006C140000}"/>
    <cellStyle name="표준 2 18" xfId="3253" xr:uid="{00000000-0005-0000-0000-00006D140000}"/>
    <cellStyle name="표준 2 19" xfId="3254" xr:uid="{00000000-0005-0000-0000-00006E140000}"/>
    <cellStyle name="표준 2 2" xfId="178" xr:uid="{00000000-0005-0000-0000-00006F140000}"/>
    <cellStyle name="표준 2 2 17" xfId="3255" xr:uid="{00000000-0005-0000-0000-000070140000}"/>
    <cellStyle name="표준 2 2 2" xfId="3639" xr:uid="{00000000-0005-0000-0000-000071140000}"/>
    <cellStyle name="표준 2 2 3" xfId="5394" xr:uid="{00000000-0005-0000-0000-000072140000}"/>
    <cellStyle name="표준 2 2_은행정리(종합)-기업은행" xfId="5395" xr:uid="{00000000-0005-0000-0000-000073140000}"/>
    <cellStyle name="표준 2 20" xfId="3256" xr:uid="{00000000-0005-0000-0000-000074140000}"/>
    <cellStyle name="표준 2 21" xfId="3257" xr:uid="{00000000-0005-0000-0000-000075140000}"/>
    <cellStyle name="표준 2 22" xfId="3258" xr:uid="{00000000-0005-0000-0000-000076140000}"/>
    <cellStyle name="표준 2 23" xfId="3259" xr:uid="{00000000-0005-0000-0000-000077140000}"/>
    <cellStyle name="표준 2 24" xfId="3260" xr:uid="{00000000-0005-0000-0000-000078140000}"/>
    <cellStyle name="표준 2 25" xfId="3261" xr:uid="{00000000-0005-0000-0000-000079140000}"/>
    <cellStyle name="표준 2 26" xfId="3262" xr:uid="{00000000-0005-0000-0000-00007A140000}"/>
    <cellStyle name="표준 2 27" xfId="3544" xr:uid="{00000000-0005-0000-0000-00007B140000}"/>
    <cellStyle name="표준 2 28" xfId="5440" xr:uid="{00000000-0005-0000-0000-00007C140000}"/>
    <cellStyle name="표준 2 29" xfId="5458" xr:uid="{00000000-0005-0000-0000-00007D140000}"/>
    <cellStyle name="표준 2 3" xfId="272" xr:uid="{00000000-0005-0000-0000-00007E140000}"/>
    <cellStyle name="표준 2 3 2" xfId="3263" xr:uid="{00000000-0005-0000-0000-00007F140000}"/>
    <cellStyle name="표준 2 3 2 2" xfId="3264" xr:uid="{00000000-0005-0000-0000-000080140000}"/>
    <cellStyle name="표준 2 4" xfId="327" xr:uid="{00000000-0005-0000-0000-000081140000}"/>
    <cellStyle name="표준 2 4 2" xfId="3640" xr:uid="{00000000-0005-0000-0000-000082140000}"/>
    <cellStyle name="표준 2 5" xfId="3265" xr:uid="{00000000-0005-0000-0000-000083140000}"/>
    <cellStyle name="표준 2 5 2 2" xfId="5443" xr:uid="{00000000-0005-0000-0000-000084140000}"/>
    <cellStyle name="표준 2 6" xfId="3266" xr:uid="{00000000-0005-0000-0000-000085140000}"/>
    <cellStyle name="표준 2 7" xfId="3267" xr:uid="{00000000-0005-0000-0000-000086140000}"/>
    <cellStyle name="표준 2 8" xfId="3268" xr:uid="{00000000-0005-0000-0000-000087140000}"/>
    <cellStyle name="표준 2 9" xfId="3269" xr:uid="{00000000-0005-0000-0000-000088140000}"/>
    <cellStyle name="표준 2_만도정리" xfId="5396" xr:uid="{00000000-0005-0000-0000-000089140000}"/>
    <cellStyle name="표준 22 2" xfId="3270" xr:uid="{00000000-0005-0000-0000-00008A140000}"/>
    <cellStyle name="표준 27 2" xfId="3271" xr:uid="{00000000-0005-0000-0000-00008B140000}"/>
    <cellStyle name="표준 3" xfId="72" xr:uid="{00000000-0005-0000-0000-00008C140000}"/>
    <cellStyle name="표준 3 10" xfId="3272" xr:uid="{00000000-0005-0000-0000-00008D140000}"/>
    <cellStyle name="표준 3 100" xfId="3273" xr:uid="{00000000-0005-0000-0000-00008E140000}"/>
    <cellStyle name="표준 3 101" xfId="3274" xr:uid="{00000000-0005-0000-0000-00008F140000}"/>
    <cellStyle name="표준 3 102" xfId="3275" xr:uid="{00000000-0005-0000-0000-000090140000}"/>
    <cellStyle name="표준 3 103" xfId="3276" xr:uid="{00000000-0005-0000-0000-000091140000}"/>
    <cellStyle name="표준 3 104" xfId="3277" xr:uid="{00000000-0005-0000-0000-000092140000}"/>
    <cellStyle name="표준 3 105" xfId="3278" xr:uid="{00000000-0005-0000-0000-000093140000}"/>
    <cellStyle name="표준 3 106" xfId="3279" xr:uid="{00000000-0005-0000-0000-000094140000}"/>
    <cellStyle name="표준 3 107" xfId="3280" xr:uid="{00000000-0005-0000-0000-000095140000}"/>
    <cellStyle name="표준 3 108" xfId="3281" xr:uid="{00000000-0005-0000-0000-000096140000}"/>
    <cellStyle name="표준 3 109" xfId="3282" xr:uid="{00000000-0005-0000-0000-000097140000}"/>
    <cellStyle name="표준 3 11" xfId="3283" xr:uid="{00000000-0005-0000-0000-000098140000}"/>
    <cellStyle name="표준 3 110" xfId="3284" xr:uid="{00000000-0005-0000-0000-000099140000}"/>
    <cellStyle name="표준 3 111" xfId="3285" xr:uid="{00000000-0005-0000-0000-00009A140000}"/>
    <cellStyle name="표준 3 112" xfId="3286" xr:uid="{00000000-0005-0000-0000-00009B140000}"/>
    <cellStyle name="표준 3 113" xfId="3287" xr:uid="{00000000-0005-0000-0000-00009C140000}"/>
    <cellStyle name="표준 3 114" xfId="3288" xr:uid="{00000000-0005-0000-0000-00009D140000}"/>
    <cellStyle name="표준 3 115" xfId="3289" xr:uid="{00000000-0005-0000-0000-00009E140000}"/>
    <cellStyle name="표준 3 116" xfId="3290" xr:uid="{00000000-0005-0000-0000-00009F140000}"/>
    <cellStyle name="표준 3 117" xfId="3291" xr:uid="{00000000-0005-0000-0000-0000A0140000}"/>
    <cellStyle name="표준 3 118" xfId="3292" xr:uid="{00000000-0005-0000-0000-0000A1140000}"/>
    <cellStyle name="표준 3 119" xfId="3293" xr:uid="{00000000-0005-0000-0000-0000A2140000}"/>
    <cellStyle name="표준 3 12" xfId="3294" xr:uid="{00000000-0005-0000-0000-0000A3140000}"/>
    <cellStyle name="표준 3 120" xfId="3295" xr:uid="{00000000-0005-0000-0000-0000A4140000}"/>
    <cellStyle name="표준 3 121" xfId="3296" xr:uid="{00000000-0005-0000-0000-0000A5140000}"/>
    <cellStyle name="표준 3 122" xfId="3297" xr:uid="{00000000-0005-0000-0000-0000A6140000}"/>
    <cellStyle name="표준 3 123" xfId="3298" xr:uid="{00000000-0005-0000-0000-0000A7140000}"/>
    <cellStyle name="표준 3 124" xfId="3299" xr:uid="{00000000-0005-0000-0000-0000A8140000}"/>
    <cellStyle name="표준 3 125" xfId="3300" xr:uid="{00000000-0005-0000-0000-0000A9140000}"/>
    <cellStyle name="표준 3 126" xfId="3301" xr:uid="{00000000-0005-0000-0000-0000AA140000}"/>
    <cellStyle name="표준 3 127" xfId="3302" xr:uid="{00000000-0005-0000-0000-0000AB140000}"/>
    <cellStyle name="표준 3 128" xfId="3303" xr:uid="{00000000-0005-0000-0000-0000AC140000}"/>
    <cellStyle name="표준 3 129" xfId="3304" xr:uid="{00000000-0005-0000-0000-0000AD140000}"/>
    <cellStyle name="표준 3 13" xfId="3305" xr:uid="{00000000-0005-0000-0000-0000AE140000}"/>
    <cellStyle name="표준 3 130" xfId="3306" xr:uid="{00000000-0005-0000-0000-0000AF140000}"/>
    <cellStyle name="표준 3 131" xfId="3307" xr:uid="{00000000-0005-0000-0000-0000B0140000}"/>
    <cellStyle name="표준 3 132" xfId="3308" xr:uid="{00000000-0005-0000-0000-0000B1140000}"/>
    <cellStyle name="표준 3 133" xfId="3309" xr:uid="{00000000-0005-0000-0000-0000B2140000}"/>
    <cellStyle name="표준 3 134" xfId="3310" xr:uid="{00000000-0005-0000-0000-0000B3140000}"/>
    <cellStyle name="표준 3 135" xfId="3311" xr:uid="{00000000-0005-0000-0000-0000B4140000}"/>
    <cellStyle name="표준 3 136" xfId="3312" xr:uid="{00000000-0005-0000-0000-0000B5140000}"/>
    <cellStyle name="표준 3 137" xfId="3313" xr:uid="{00000000-0005-0000-0000-0000B6140000}"/>
    <cellStyle name="표준 3 138" xfId="3314" xr:uid="{00000000-0005-0000-0000-0000B7140000}"/>
    <cellStyle name="표준 3 139" xfId="3315" xr:uid="{00000000-0005-0000-0000-0000B8140000}"/>
    <cellStyle name="표준 3 14" xfId="3316" xr:uid="{00000000-0005-0000-0000-0000B9140000}"/>
    <cellStyle name="표준 3 140" xfId="3317" xr:uid="{00000000-0005-0000-0000-0000BA140000}"/>
    <cellStyle name="표준 3 141" xfId="3318" xr:uid="{00000000-0005-0000-0000-0000BB140000}"/>
    <cellStyle name="표준 3 142" xfId="3319" xr:uid="{00000000-0005-0000-0000-0000BC140000}"/>
    <cellStyle name="표준 3 143" xfId="3320" xr:uid="{00000000-0005-0000-0000-0000BD140000}"/>
    <cellStyle name="표준 3 144" xfId="3321" xr:uid="{00000000-0005-0000-0000-0000BE140000}"/>
    <cellStyle name="표준 3 145" xfId="3322" xr:uid="{00000000-0005-0000-0000-0000BF140000}"/>
    <cellStyle name="표준 3 146" xfId="3323" xr:uid="{00000000-0005-0000-0000-0000C0140000}"/>
    <cellStyle name="표준 3 147" xfId="3324" xr:uid="{00000000-0005-0000-0000-0000C1140000}"/>
    <cellStyle name="표준 3 148" xfId="3325" xr:uid="{00000000-0005-0000-0000-0000C2140000}"/>
    <cellStyle name="표준 3 149" xfId="3326" xr:uid="{00000000-0005-0000-0000-0000C3140000}"/>
    <cellStyle name="표준 3 15" xfId="3327" xr:uid="{00000000-0005-0000-0000-0000C4140000}"/>
    <cellStyle name="표준 3 150" xfId="3328" xr:uid="{00000000-0005-0000-0000-0000C5140000}"/>
    <cellStyle name="표준 3 151" xfId="3329" xr:uid="{00000000-0005-0000-0000-0000C6140000}"/>
    <cellStyle name="표준 3 152" xfId="3330" xr:uid="{00000000-0005-0000-0000-0000C7140000}"/>
    <cellStyle name="표준 3 153" xfId="3331" xr:uid="{00000000-0005-0000-0000-0000C8140000}"/>
    <cellStyle name="표준 3 154" xfId="3332" xr:uid="{00000000-0005-0000-0000-0000C9140000}"/>
    <cellStyle name="표준 3 155" xfId="3333" xr:uid="{00000000-0005-0000-0000-0000CA140000}"/>
    <cellStyle name="표준 3 156" xfId="3334" xr:uid="{00000000-0005-0000-0000-0000CB140000}"/>
    <cellStyle name="표준 3 157" xfId="3335" xr:uid="{00000000-0005-0000-0000-0000CC140000}"/>
    <cellStyle name="표준 3 158" xfId="3336" xr:uid="{00000000-0005-0000-0000-0000CD140000}"/>
    <cellStyle name="표준 3 159" xfId="3337" xr:uid="{00000000-0005-0000-0000-0000CE140000}"/>
    <cellStyle name="표준 3 16" xfId="3338" xr:uid="{00000000-0005-0000-0000-0000CF140000}"/>
    <cellStyle name="표준 3 160" xfId="3339" xr:uid="{00000000-0005-0000-0000-0000D0140000}"/>
    <cellStyle name="표준 3 161" xfId="3340" xr:uid="{00000000-0005-0000-0000-0000D1140000}"/>
    <cellStyle name="표준 3 162" xfId="3341" xr:uid="{00000000-0005-0000-0000-0000D2140000}"/>
    <cellStyle name="표준 3 163" xfId="3342" xr:uid="{00000000-0005-0000-0000-0000D3140000}"/>
    <cellStyle name="표준 3 164" xfId="3343" xr:uid="{00000000-0005-0000-0000-0000D4140000}"/>
    <cellStyle name="표준 3 165" xfId="3344" xr:uid="{00000000-0005-0000-0000-0000D5140000}"/>
    <cellStyle name="표준 3 166" xfId="3345" xr:uid="{00000000-0005-0000-0000-0000D6140000}"/>
    <cellStyle name="표준 3 167" xfId="3346" xr:uid="{00000000-0005-0000-0000-0000D7140000}"/>
    <cellStyle name="표준 3 168" xfId="3347" xr:uid="{00000000-0005-0000-0000-0000D8140000}"/>
    <cellStyle name="표준 3 169" xfId="3348" xr:uid="{00000000-0005-0000-0000-0000D9140000}"/>
    <cellStyle name="표준 3 17" xfId="3349" xr:uid="{00000000-0005-0000-0000-0000DA140000}"/>
    <cellStyle name="표준 3 170" xfId="3350" xr:uid="{00000000-0005-0000-0000-0000DB140000}"/>
    <cellStyle name="표준 3 171" xfId="3351" xr:uid="{00000000-0005-0000-0000-0000DC140000}"/>
    <cellStyle name="표준 3 172" xfId="3352" xr:uid="{00000000-0005-0000-0000-0000DD140000}"/>
    <cellStyle name="표준 3 173" xfId="3353" xr:uid="{00000000-0005-0000-0000-0000DE140000}"/>
    <cellStyle name="표준 3 174" xfId="3354" xr:uid="{00000000-0005-0000-0000-0000DF140000}"/>
    <cellStyle name="표준 3 175" xfId="3355" xr:uid="{00000000-0005-0000-0000-0000E0140000}"/>
    <cellStyle name="표준 3 176" xfId="3356" xr:uid="{00000000-0005-0000-0000-0000E1140000}"/>
    <cellStyle name="표준 3 177" xfId="3357" xr:uid="{00000000-0005-0000-0000-0000E2140000}"/>
    <cellStyle name="표준 3 178" xfId="3358" xr:uid="{00000000-0005-0000-0000-0000E3140000}"/>
    <cellStyle name="표준 3 179" xfId="3359" xr:uid="{00000000-0005-0000-0000-0000E4140000}"/>
    <cellStyle name="표준 3 18" xfId="3360" xr:uid="{00000000-0005-0000-0000-0000E5140000}"/>
    <cellStyle name="표준 3 180" xfId="3361" xr:uid="{00000000-0005-0000-0000-0000E6140000}"/>
    <cellStyle name="표준 3 181" xfId="3362" xr:uid="{00000000-0005-0000-0000-0000E7140000}"/>
    <cellStyle name="표준 3 182" xfId="3363" xr:uid="{00000000-0005-0000-0000-0000E8140000}"/>
    <cellStyle name="표준 3 183" xfId="3364" xr:uid="{00000000-0005-0000-0000-0000E9140000}"/>
    <cellStyle name="표준 3 184" xfId="3365" xr:uid="{00000000-0005-0000-0000-0000EA140000}"/>
    <cellStyle name="표준 3 185" xfId="3366" xr:uid="{00000000-0005-0000-0000-0000EB140000}"/>
    <cellStyle name="표준 3 186" xfId="3367" xr:uid="{00000000-0005-0000-0000-0000EC140000}"/>
    <cellStyle name="표준 3 187" xfId="3368" xr:uid="{00000000-0005-0000-0000-0000ED140000}"/>
    <cellStyle name="표준 3 188" xfId="3369" xr:uid="{00000000-0005-0000-0000-0000EE140000}"/>
    <cellStyle name="표준 3 189" xfId="3370" xr:uid="{00000000-0005-0000-0000-0000EF140000}"/>
    <cellStyle name="표준 3 19" xfId="3371" xr:uid="{00000000-0005-0000-0000-0000F0140000}"/>
    <cellStyle name="표준 3 190" xfId="3372" xr:uid="{00000000-0005-0000-0000-0000F1140000}"/>
    <cellStyle name="표준 3 191" xfId="3373" xr:uid="{00000000-0005-0000-0000-0000F2140000}"/>
    <cellStyle name="표준 3 192" xfId="3374" xr:uid="{00000000-0005-0000-0000-0000F3140000}"/>
    <cellStyle name="표준 3 193" xfId="3375" xr:uid="{00000000-0005-0000-0000-0000F4140000}"/>
    <cellStyle name="표준 3 194" xfId="3376" xr:uid="{00000000-0005-0000-0000-0000F5140000}"/>
    <cellStyle name="표준 3 195" xfId="3377" xr:uid="{00000000-0005-0000-0000-0000F6140000}"/>
    <cellStyle name="표준 3 196" xfId="3378" xr:uid="{00000000-0005-0000-0000-0000F7140000}"/>
    <cellStyle name="표준 3 197" xfId="3379" xr:uid="{00000000-0005-0000-0000-0000F8140000}"/>
    <cellStyle name="표준 3 198" xfId="3380" xr:uid="{00000000-0005-0000-0000-0000F9140000}"/>
    <cellStyle name="표준 3 199" xfId="3381" xr:uid="{00000000-0005-0000-0000-0000FA140000}"/>
    <cellStyle name="표준 3 2" xfId="179" xr:uid="{00000000-0005-0000-0000-0000FB140000}"/>
    <cellStyle name="표준 3 2 2" xfId="3382" xr:uid="{00000000-0005-0000-0000-0000FC140000}"/>
    <cellStyle name="표준 3 2 2 2" xfId="3383" xr:uid="{00000000-0005-0000-0000-0000FD140000}"/>
    <cellStyle name="표준 3 2 2 2 2" xfId="3384" xr:uid="{00000000-0005-0000-0000-0000FE140000}"/>
    <cellStyle name="표준 3 2 2 2 5" xfId="5444" xr:uid="{00000000-0005-0000-0000-0000FF140000}"/>
    <cellStyle name="표준 3 2 3" xfId="3385" xr:uid="{00000000-0005-0000-0000-000000150000}"/>
    <cellStyle name="표준 3 20" xfId="3386" xr:uid="{00000000-0005-0000-0000-000001150000}"/>
    <cellStyle name="표준 3 200" xfId="3387" xr:uid="{00000000-0005-0000-0000-000002150000}"/>
    <cellStyle name="표준 3 201" xfId="3388" xr:uid="{00000000-0005-0000-0000-000003150000}"/>
    <cellStyle name="표준 3 202" xfId="3389" xr:uid="{00000000-0005-0000-0000-000004150000}"/>
    <cellStyle name="표준 3 203" xfId="3390" xr:uid="{00000000-0005-0000-0000-000005150000}"/>
    <cellStyle name="표준 3 204" xfId="3391" xr:uid="{00000000-0005-0000-0000-000006150000}"/>
    <cellStyle name="표준 3 205" xfId="3392" xr:uid="{00000000-0005-0000-0000-000007150000}"/>
    <cellStyle name="표준 3 206" xfId="3393" xr:uid="{00000000-0005-0000-0000-000008150000}"/>
    <cellStyle name="표준 3 207" xfId="3394" xr:uid="{00000000-0005-0000-0000-000009150000}"/>
    <cellStyle name="표준 3 208" xfId="3395" xr:uid="{00000000-0005-0000-0000-00000A150000}"/>
    <cellStyle name="표준 3 209" xfId="3396" xr:uid="{00000000-0005-0000-0000-00000B150000}"/>
    <cellStyle name="표준 3 21" xfId="3397" xr:uid="{00000000-0005-0000-0000-00000C150000}"/>
    <cellStyle name="표준 3 210" xfId="3398" xr:uid="{00000000-0005-0000-0000-00000D150000}"/>
    <cellStyle name="표준 3 211" xfId="3399" xr:uid="{00000000-0005-0000-0000-00000E150000}"/>
    <cellStyle name="표준 3 212" xfId="3400" xr:uid="{00000000-0005-0000-0000-00000F150000}"/>
    <cellStyle name="표준 3 213" xfId="3401" xr:uid="{00000000-0005-0000-0000-000010150000}"/>
    <cellStyle name="표준 3 214" xfId="3402" xr:uid="{00000000-0005-0000-0000-000011150000}"/>
    <cellStyle name="표준 3 215" xfId="3403" xr:uid="{00000000-0005-0000-0000-000012150000}"/>
    <cellStyle name="표준 3 216" xfId="3404" xr:uid="{00000000-0005-0000-0000-000013150000}"/>
    <cellStyle name="표준 3 217" xfId="3405" xr:uid="{00000000-0005-0000-0000-000014150000}"/>
    <cellStyle name="표준 3 218" xfId="3406" xr:uid="{00000000-0005-0000-0000-000015150000}"/>
    <cellStyle name="표준 3 219" xfId="3571" xr:uid="{00000000-0005-0000-0000-000016150000}"/>
    <cellStyle name="표준 3 22" xfId="3407" xr:uid="{00000000-0005-0000-0000-000017150000}"/>
    <cellStyle name="표준 3 23" xfId="3408" xr:uid="{00000000-0005-0000-0000-000018150000}"/>
    <cellStyle name="표준 3 24" xfId="3409" xr:uid="{00000000-0005-0000-0000-000019150000}"/>
    <cellStyle name="표준 3 25" xfId="3410" xr:uid="{00000000-0005-0000-0000-00001A150000}"/>
    <cellStyle name="표준 3 26" xfId="3411" xr:uid="{00000000-0005-0000-0000-00001B150000}"/>
    <cellStyle name="표준 3 27" xfId="3412" xr:uid="{00000000-0005-0000-0000-00001C150000}"/>
    <cellStyle name="표준 3 28" xfId="3413" xr:uid="{00000000-0005-0000-0000-00001D150000}"/>
    <cellStyle name="표준 3 29" xfId="3414" xr:uid="{00000000-0005-0000-0000-00001E150000}"/>
    <cellStyle name="표준 3 3" xfId="286" xr:uid="{00000000-0005-0000-0000-00001F150000}"/>
    <cellStyle name="표준 3 3 2" xfId="3415" xr:uid="{00000000-0005-0000-0000-000020150000}"/>
    <cellStyle name="표준 3 3 2 2" xfId="3416" xr:uid="{00000000-0005-0000-0000-000021150000}"/>
    <cellStyle name="표준 3 3 2 2 2" xfId="3417" xr:uid="{00000000-0005-0000-0000-000022150000}"/>
    <cellStyle name="표준 3 3 3" xfId="3418" xr:uid="{00000000-0005-0000-0000-000023150000}"/>
    <cellStyle name="표준 3 30" xfId="3419" xr:uid="{00000000-0005-0000-0000-000024150000}"/>
    <cellStyle name="표준 3 31" xfId="3420" xr:uid="{00000000-0005-0000-0000-000025150000}"/>
    <cellStyle name="표준 3 32" xfId="3421" xr:uid="{00000000-0005-0000-0000-000026150000}"/>
    <cellStyle name="표준 3 33" xfId="3422" xr:uid="{00000000-0005-0000-0000-000027150000}"/>
    <cellStyle name="표준 3 34" xfId="3423" xr:uid="{00000000-0005-0000-0000-000028150000}"/>
    <cellStyle name="표준 3 35" xfId="3424" xr:uid="{00000000-0005-0000-0000-000029150000}"/>
    <cellStyle name="표준 3 36" xfId="3425" xr:uid="{00000000-0005-0000-0000-00002A150000}"/>
    <cellStyle name="표준 3 37" xfId="3426" xr:uid="{00000000-0005-0000-0000-00002B150000}"/>
    <cellStyle name="표준 3 38" xfId="3427" xr:uid="{00000000-0005-0000-0000-00002C150000}"/>
    <cellStyle name="표준 3 39" xfId="3428" xr:uid="{00000000-0005-0000-0000-00002D150000}"/>
    <cellStyle name="표준 3 4" xfId="341" xr:uid="{00000000-0005-0000-0000-00002E150000}"/>
    <cellStyle name="표준 3 4 2" xfId="3429" xr:uid="{00000000-0005-0000-0000-00002F150000}"/>
    <cellStyle name="표준 3 4 2 2" xfId="3430" xr:uid="{00000000-0005-0000-0000-000030150000}"/>
    <cellStyle name="표준 3 4 2 2 2" xfId="3431" xr:uid="{00000000-0005-0000-0000-000031150000}"/>
    <cellStyle name="표준 3 4 3" xfId="3432" xr:uid="{00000000-0005-0000-0000-000032150000}"/>
    <cellStyle name="표준 3 40" xfId="3433" xr:uid="{00000000-0005-0000-0000-000033150000}"/>
    <cellStyle name="표준 3 41" xfId="3434" xr:uid="{00000000-0005-0000-0000-000034150000}"/>
    <cellStyle name="표준 3 42" xfId="3435" xr:uid="{00000000-0005-0000-0000-000035150000}"/>
    <cellStyle name="표준 3 43" xfId="3436" xr:uid="{00000000-0005-0000-0000-000036150000}"/>
    <cellStyle name="표준 3 44" xfId="3437" xr:uid="{00000000-0005-0000-0000-000037150000}"/>
    <cellStyle name="표준 3 45" xfId="3438" xr:uid="{00000000-0005-0000-0000-000038150000}"/>
    <cellStyle name="표준 3 46" xfId="3439" xr:uid="{00000000-0005-0000-0000-000039150000}"/>
    <cellStyle name="표준 3 47" xfId="3440" xr:uid="{00000000-0005-0000-0000-00003A150000}"/>
    <cellStyle name="표준 3 48" xfId="3441" xr:uid="{00000000-0005-0000-0000-00003B150000}"/>
    <cellStyle name="표준 3 49" xfId="3442" xr:uid="{00000000-0005-0000-0000-00003C150000}"/>
    <cellStyle name="표준 3 5" xfId="3443" xr:uid="{00000000-0005-0000-0000-00003D150000}"/>
    <cellStyle name="표준 3 50" xfId="3444" xr:uid="{00000000-0005-0000-0000-00003E150000}"/>
    <cellStyle name="표준 3 51" xfId="3445" xr:uid="{00000000-0005-0000-0000-00003F150000}"/>
    <cellStyle name="표준 3 52" xfId="3446" xr:uid="{00000000-0005-0000-0000-000040150000}"/>
    <cellStyle name="표준 3 53" xfId="3447" xr:uid="{00000000-0005-0000-0000-000041150000}"/>
    <cellStyle name="표준 3 54" xfId="3448" xr:uid="{00000000-0005-0000-0000-000042150000}"/>
    <cellStyle name="표준 3 55" xfId="3449" xr:uid="{00000000-0005-0000-0000-000043150000}"/>
    <cellStyle name="표준 3 56" xfId="3450" xr:uid="{00000000-0005-0000-0000-000044150000}"/>
    <cellStyle name="표준 3 57" xfId="3451" xr:uid="{00000000-0005-0000-0000-000045150000}"/>
    <cellStyle name="표준 3 58" xfId="3452" xr:uid="{00000000-0005-0000-0000-000046150000}"/>
    <cellStyle name="표준 3 59" xfId="3453" xr:uid="{00000000-0005-0000-0000-000047150000}"/>
    <cellStyle name="표준 3 6" xfId="3454" xr:uid="{00000000-0005-0000-0000-000048150000}"/>
    <cellStyle name="표준 3 60" xfId="3455" xr:uid="{00000000-0005-0000-0000-000049150000}"/>
    <cellStyle name="표준 3 61" xfId="3456" xr:uid="{00000000-0005-0000-0000-00004A150000}"/>
    <cellStyle name="표준 3 62" xfId="3457" xr:uid="{00000000-0005-0000-0000-00004B150000}"/>
    <cellStyle name="표준 3 63" xfId="3458" xr:uid="{00000000-0005-0000-0000-00004C150000}"/>
    <cellStyle name="표준 3 64" xfId="3459" xr:uid="{00000000-0005-0000-0000-00004D150000}"/>
    <cellStyle name="표준 3 65" xfId="3460" xr:uid="{00000000-0005-0000-0000-00004E150000}"/>
    <cellStyle name="표준 3 66" xfId="3461" xr:uid="{00000000-0005-0000-0000-00004F150000}"/>
    <cellStyle name="표준 3 67" xfId="3462" xr:uid="{00000000-0005-0000-0000-000050150000}"/>
    <cellStyle name="표준 3 68" xfId="3463" xr:uid="{00000000-0005-0000-0000-000051150000}"/>
    <cellStyle name="표준 3 69" xfId="3464" xr:uid="{00000000-0005-0000-0000-000052150000}"/>
    <cellStyle name="표준 3 7" xfId="3465" xr:uid="{00000000-0005-0000-0000-000053150000}"/>
    <cellStyle name="표준 3 70" xfId="3466" xr:uid="{00000000-0005-0000-0000-000054150000}"/>
    <cellStyle name="표준 3 71" xfId="3467" xr:uid="{00000000-0005-0000-0000-000055150000}"/>
    <cellStyle name="표준 3 72" xfId="3468" xr:uid="{00000000-0005-0000-0000-000056150000}"/>
    <cellStyle name="표준 3 73" xfId="3469" xr:uid="{00000000-0005-0000-0000-000057150000}"/>
    <cellStyle name="표준 3 74" xfId="3470" xr:uid="{00000000-0005-0000-0000-000058150000}"/>
    <cellStyle name="표준 3 75" xfId="3471" xr:uid="{00000000-0005-0000-0000-000059150000}"/>
    <cellStyle name="표준 3 76" xfId="3472" xr:uid="{00000000-0005-0000-0000-00005A150000}"/>
    <cellStyle name="표준 3 77" xfId="3473" xr:uid="{00000000-0005-0000-0000-00005B150000}"/>
    <cellStyle name="표준 3 78" xfId="3474" xr:uid="{00000000-0005-0000-0000-00005C150000}"/>
    <cellStyle name="표준 3 79" xfId="3475" xr:uid="{00000000-0005-0000-0000-00005D150000}"/>
    <cellStyle name="표준 3 8" xfId="3476" xr:uid="{00000000-0005-0000-0000-00005E150000}"/>
    <cellStyle name="표준 3 80" xfId="3477" xr:uid="{00000000-0005-0000-0000-00005F150000}"/>
    <cellStyle name="표준 3 81" xfId="3478" xr:uid="{00000000-0005-0000-0000-000060150000}"/>
    <cellStyle name="표준 3 82" xfId="3479" xr:uid="{00000000-0005-0000-0000-000061150000}"/>
    <cellStyle name="표준 3 83" xfId="3480" xr:uid="{00000000-0005-0000-0000-000062150000}"/>
    <cellStyle name="표준 3 84" xfId="3481" xr:uid="{00000000-0005-0000-0000-000063150000}"/>
    <cellStyle name="표준 3 85" xfId="3482" xr:uid="{00000000-0005-0000-0000-000064150000}"/>
    <cellStyle name="표준 3 86" xfId="3483" xr:uid="{00000000-0005-0000-0000-000065150000}"/>
    <cellStyle name="표준 3 87" xfId="3484" xr:uid="{00000000-0005-0000-0000-000066150000}"/>
    <cellStyle name="표준 3 88" xfId="3485" xr:uid="{00000000-0005-0000-0000-000067150000}"/>
    <cellStyle name="표준 3 89" xfId="3486" xr:uid="{00000000-0005-0000-0000-000068150000}"/>
    <cellStyle name="표준 3 9" xfId="3487" xr:uid="{00000000-0005-0000-0000-000069150000}"/>
    <cellStyle name="표준 3 90" xfId="3488" xr:uid="{00000000-0005-0000-0000-00006A150000}"/>
    <cellStyle name="표준 3 91" xfId="3489" xr:uid="{00000000-0005-0000-0000-00006B150000}"/>
    <cellStyle name="표준 3 92" xfId="3490" xr:uid="{00000000-0005-0000-0000-00006C150000}"/>
    <cellStyle name="표준 3 93" xfId="3491" xr:uid="{00000000-0005-0000-0000-00006D150000}"/>
    <cellStyle name="표준 3 94" xfId="3492" xr:uid="{00000000-0005-0000-0000-00006E150000}"/>
    <cellStyle name="표준 3 95" xfId="3493" xr:uid="{00000000-0005-0000-0000-00006F150000}"/>
    <cellStyle name="표준 3 96" xfId="3494" xr:uid="{00000000-0005-0000-0000-000070150000}"/>
    <cellStyle name="표준 3 97" xfId="3495" xr:uid="{00000000-0005-0000-0000-000071150000}"/>
    <cellStyle name="표준 3 98" xfId="3496" xr:uid="{00000000-0005-0000-0000-000072150000}"/>
    <cellStyle name="표준 3 99" xfId="3497" xr:uid="{00000000-0005-0000-0000-000073150000}"/>
    <cellStyle name="표준 4" xfId="86" xr:uid="{00000000-0005-0000-0000-000074150000}"/>
    <cellStyle name="표준 4 2" xfId="180" xr:uid="{00000000-0005-0000-0000-000075150000}"/>
    <cellStyle name="표준 4 2 2" xfId="5397" xr:uid="{00000000-0005-0000-0000-000076150000}"/>
    <cellStyle name="표준 4 3" xfId="300" xr:uid="{00000000-0005-0000-0000-000077150000}"/>
    <cellStyle name="표준 4 4" xfId="3585" xr:uid="{00000000-0005-0000-0000-000078150000}"/>
    <cellStyle name="표준 5" xfId="383" xr:uid="{00000000-0005-0000-0000-000079150000}"/>
    <cellStyle name="표준 5 2" xfId="5398" xr:uid="{00000000-0005-0000-0000-00007A150000}"/>
    <cellStyle name="표준 6" xfId="397" xr:uid="{00000000-0005-0000-0000-00007B150000}"/>
    <cellStyle name="표준 6 11" xfId="3498" xr:uid="{00000000-0005-0000-0000-00007C150000}"/>
    <cellStyle name="표준 6 13" xfId="3499" xr:uid="{00000000-0005-0000-0000-00007D150000}"/>
    <cellStyle name="표준 6 14" xfId="3500" xr:uid="{00000000-0005-0000-0000-00007E150000}"/>
    <cellStyle name="표준 6 15" xfId="3501" xr:uid="{00000000-0005-0000-0000-00007F150000}"/>
    <cellStyle name="표준 6 2" xfId="3502" xr:uid="{00000000-0005-0000-0000-000080150000}"/>
    <cellStyle name="표준 6 2 41" xfId="3503" xr:uid="{00000000-0005-0000-0000-000081150000}"/>
    <cellStyle name="표준 6 23" xfId="3504" xr:uid="{00000000-0005-0000-0000-000082150000}"/>
    <cellStyle name="표준 6 3" xfId="3505" xr:uid="{00000000-0005-0000-0000-000083150000}"/>
    <cellStyle name="표준 6 3 3" xfId="3506" xr:uid="{00000000-0005-0000-0000-000084150000}"/>
    <cellStyle name="표준 6 4" xfId="3641" xr:uid="{00000000-0005-0000-0000-000085150000}"/>
    <cellStyle name="표준 6 5" xfId="3507" xr:uid="{00000000-0005-0000-0000-000086150000}"/>
    <cellStyle name="표준 6 7" xfId="3508" xr:uid="{00000000-0005-0000-0000-000087150000}"/>
    <cellStyle name="표준 6 8" xfId="3509" xr:uid="{00000000-0005-0000-0000-000088150000}"/>
    <cellStyle name="표준 6 9" xfId="3510" xr:uid="{00000000-0005-0000-0000-000089150000}"/>
    <cellStyle name="표준 7" xfId="3655" xr:uid="{00000000-0005-0000-0000-00008A150000}"/>
    <cellStyle name="표준 8" xfId="3669" xr:uid="{00000000-0005-0000-0000-00008B150000}"/>
    <cellStyle name="표준 9" xfId="3683" xr:uid="{00000000-0005-0000-0000-00008C150000}"/>
    <cellStyle name="표준 9 10" xfId="3511" xr:uid="{00000000-0005-0000-0000-00008D150000}"/>
    <cellStyle name="표준 9 11" xfId="3512" xr:uid="{00000000-0005-0000-0000-00008E150000}"/>
    <cellStyle name="표준 9 12" xfId="3513" xr:uid="{00000000-0005-0000-0000-00008F150000}"/>
    <cellStyle name="표준 9 13" xfId="3514" xr:uid="{00000000-0005-0000-0000-000090150000}"/>
    <cellStyle name="표준 9 14" xfId="3515" xr:uid="{00000000-0005-0000-0000-000091150000}"/>
    <cellStyle name="표준 9 15" xfId="3516" xr:uid="{00000000-0005-0000-0000-000092150000}"/>
    <cellStyle name="표준 9 16" xfId="3517" xr:uid="{00000000-0005-0000-0000-000093150000}"/>
    <cellStyle name="표준 9 17" xfId="3518" xr:uid="{00000000-0005-0000-0000-000094150000}"/>
    <cellStyle name="표준 9 18" xfId="3519" xr:uid="{00000000-0005-0000-0000-000095150000}"/>
    <cellStyle name="표준 9 19" xfId="3520" xr:uid="{00000000-0005-0000-0000-000096150000}"/>
    <cellStyle name="표준 9 2" xfId="3521" xr:uid="{00000000-0005-0000-0000-000097150000}"/>
    <cellStyle name="표준 9 2 2" xfId="3522" xr:uid="{00000000-0005-0000-0000-000098150000}"/>
    <cellStyle name="표준 9 2 2 2" xfId="3523" xr:uid="{00000000-0005-0000-0000-000099150000}"/>
    <cellStyle name="표준 9 2 3" xfId="5433" xr:uid="{00000000-0005-0000-0000-00009A150000}"/>
    <cellStyle name="표준 9 20" xfId="5432" xr:uid="{00000000-0005-0000-0000-00009B150000}"/>
    <cellStyle name="표준 9 3" xfId="3524" xr:uid="{00000000-0005-0000-0000-00009C150000}"/>
    <cellStyle name="표준 9 4" xfId="3525" xr:uid="{00000000-0005-0000-0000-00009D150000}"/>
    <cellStyle name="표준 9 5" xfId="3526" xr:uid="{00000000-0005-0000-0000-00009E150000}"/>
    <cellStyle name="표준 9 6" xfId="3527" xr:uid="{00000000-0005-0000-0000-00009F150000}"/>
    <cellStyle name="표준 9 7" xfId="3528" xr:uid="{00000000-0005-0000-0000-0000A0150000}"/>
    <cellStyle name="표준 9 8" xfId="3529" xr:uid="{00000000-0005-0000-0000-0000A1150000}"/>
    <cellStyle name="표준 9 9" xfId="3530" xr:uid="{00000000-0005-0000-0000-0000A2150000}"/>
    <cellStyle name="표준_대한항공_YHD - 변경" xfId="5423" xr:uid="{00000000-0005-0000-0000-0000A4150000}"/>
    <cellStyle name="표준_부표(출력용)" xfId="5425" xr:uid="{00000000-0005-0000-0000-0000A5150000}"/>
    <cellStyle name="표준_코리아오토글라스_평정자료" xfId="3712" xr:uid="{00000000-0005-0000-0000-0000A6150000}"/>
    <cellStyle name="標準_Akia(F）-8" xfId="5399" xr:uid="{00000000-0005-0000-0000-0000A3150000}"/>
    <cellStyle name="표준천임간1 (2)_정재호결산" xfId="5400" xr:uid="{00000000-0005-0000-0000-0000A7150000}"/>
    <cellStyle name="퓭닉_ㅶA??絡 " xfId="5401" xr:uid="{00000000-0005-0000-0000-0000A8150000}"/>
    <cellStyle name="하이퍼링크 2" xfId="5402" xr:uid="{00000000-0005-0000-0000-0000A9150000}"/>
    <cellStyle name="하이퍼링크 3" xfId="5424" xr:uid="{00000000-0005-0000-0000-0000AA150000}"/>
    <cellStyle name="합산" xfId="5403" xr:uid="{00000000-0005-0000-0000-0000AB150000}"/>
    <cellStyle name="화폐기호" xfId="5406" xr:uid="{00000000-0005-0000-0000-0000AE150000}"/>
    <cellStyle name="화폐기호0" xfId="5407" xr:uid="{00000000-0005-0000-0000-0000AF150000}"/>
    <cellStyle name="회비" xfId="5408" xr:uid="{00000000-0005-0000-0000-0000B0150000}"/>
    <cellStyle name="㿘준_수입부품 _견적가 _XD설원견" xfId="5182" xr:uid="{00000000-0005-0000-0000-000036130000}"/>
    <cellStyle name="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䅀Āŀŀ䅀Ā݀ŀ䅀Ā݀ŀ䅀Ā݀ŀ䅀Ā݀ŀ䅀Āŀŀ䅀Ā݀ŀ䅀Ā݀ŀ䅀Ā݀ŀ䅀Ā" xfId="5064" xr:uid="{00000000-0005-0000-0000-0000D1070000}"/>
    <cellStyle name="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" xfId="5065" xr:uid="{00000000-0005-0000-0000-0000D2070000}"/>
    <cellStyle name="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" xfId="5063" xr:uid="{00000000-0005-0000-0000-0000D0070000}"/>
    <cellStyle name="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" xfId="5062" xr:uid="{00000000-0005-0000-0000-0000CF070000}"/>
    <cellStyle name="货币_GTHMSNZ" xfId="5405" xr:uid="{00000000-0005-0000-0000-0000AD150000}"/>
    <cellStyle name="货币[0]_GTHMSNZ" xfId="5404" xr:uid="{00000000-0005-0000-0000-0000AC150000}"/>
    <cellStyle name="A" xfId="4072" xr:uid="{00000000-0005-0000-0000-000057030000}"/>
    <cellStyle name="a [0]_OTD thru NOR " xfId="4073" xr:uid="{00000000-0005-0000-0000-000058030000}"/>
    <cellStyle name="A¡§¡ⓒ¡E¡þ¡EO [0]_96¡§u¡§￠R¡§oOBD " xfId="4084" xr:uid="{00000000-0005-0000-0000-000063030000}"/>
    <cellStyle name="A¡§¡ⓒ¡E¡þ¡EO_96¡§u¡§￠R¡§oOBD " xfId="4085" xr:uid="{00000000-0005-0000-0000-000064030000}"/>
    <cellStyle name="A???[0]_97 ?? " xfId="4074" xr:uid="{00000000-0005-0000-0000-000059030000}"/>
    <cellStyle name="A???97 ?? " xfId="4075" xr:uid="{00000000-0005-0000-0000-00005A030000}"/>
    <cellStyle name="A???97?a?u? " xfId="4076" xr:uid="{00000000-0005-0000-0000-00005B030000}"/>
    <cellStyle name="A???97Ae?A? " xfId="4077" xr:uid="{00000000-0005-0000-0000-00005C030000}"/>
    <cellStyle name="A???98Ae?A? " xfId="4078" xr:uid="{00000000-0005-0000-0000-00005D030000}"/>
    <cellStyle name="A???AoAUAy캿C? " xfId="4079" xr:uid="{00000000-0005-0000-0000-00005E030000}"/>
    <cellStyle name="A???C?Ao_AoAUAy캿C? " xfId="4080" xr:uid="{00000000-0005-0000-0000-00005F030000}"/>
    <cellStyle name="A???CASH FLOW " xfId="4081" xr:uid="{00000000-0005-0000-0000-000060030000}"/>
    <cellStyle name="A??[0]_CASH FLOW " xfId="4082" xr:uid="{00000000-0005-0000-0000-000061030000}"/>
    <cellStyle name="A??CASH FLOW " xfId="4083" xr:uid="{00000000-0005-0000-0000-000062030000}"/>
    <cellStyle name="A¨­￠￢￠O [0]_¨uoAOCaA￠´¨oA¡io " xfId="4086" xr:uid="{00000000-0005-0000-0000-000065030000}"/>
    <cellStyle name="A¨­￠￢￠O_¨uoAOCaA￠´¨oA¡io " xfId="4087" xr:uid="{00000000-0005-0000-0000-000066030000}"/>
    <cellStyle name="A￠R¡×￠R¨I￠RE￠Rⓒ­￠REO [0]_¡ER¡§￠R¡§I¡ERAi¡ERicAc¡ER¡§￠Ri " xfId="4088" xr:uid="{00000000-0005-0000-0000-000067030000}"/>
    <cellStyle name="A￠R¡×￠R¨I￠RE￠Rⓒ­￠REO_¡ER¡§￠R¡§I¡ERAi¡ERicAc¡ER¡§￠Ri " xfId="4089" xr:uid="{00000000-0005-0000-0000-000068030000}"/>
    <cellStyle name="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" xfId="4533" xr:uid="{00000000-0005-0000-0000-000074050000}"/>
    <cellStyle name="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" xfId="4532" xr:uid="{00000000-0005-0000-0000-000073050000}"/>
    <cellStyle name="Ā݀݀䅀Āŀ݀䅀Ā݀݀䅀Ā݀݀䅀Ā݀݀䅀Ā݀݀䅀Āŀ݀䅀Ā฀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" xfId="4530" xr:uid="{00000000-0005-0000-0000-000071050000}"/>
    <cellStyle name="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" xfId="4531" xr:uid="{00000000-0005-0000-0000-000072050000}"/>
    <cellStyle name="Accent1" xfId="4090" xr:uid="{00000000-0005-0000-0000-000069030000}"/>
    <cellStyle name="Accent1 2" xfId="436" xr:uid="{00000000-0005-0000-0000-00006A030000}"/>
    <cellStyle name="Accent2" xfId="4091" xr:uid="{00000000-0005-0000-0000-00006B030000}"/>
    <cellStyle name="Accent2 2" xfId="437" xr:uid="{00000000-0005-0000-0000-00006C030000}"/>
    <cellStyle name="Accent3" xfId="4092" xr:uid="{00000000-0005-0000-0000-00006D030000}"/>
    <cellStyle name="Accent3 2" xfId="438" xr:uid="{00000000-0005-0000-0000-00006E030000}"/>
    <cellStyle name="Accent4" xfId="4093" xr:uid="{00000000-0005-0000-0000-00006F030000}"/>
    <cellStyle name="Accent4 2" xfId="439" xr:uid="{00000000-0005-0000-0000-000070030000}"/>
    <cellStyle name="Accent5" xfId="4094" xr:uid="{00000000-0005-0000-0000-000071030000}"/>
    <cellStyle name="Accent5 2" xfId="440" xr:uid="{00000000-0005-0000-0000-000072030000}"/>
    <cellStyle name="Accent6" xfId="4095" xr:uid="{00000000-0005-0000-0000-000073030000}"/>
    <cellStyle name="Accent6 2" xfId="441" xr:uid="{00000000-0005-0000-0000-000074030000}"/>
    <cellStyle name="AeE­ [0]_¡U¾EU￢ A¾COºn±³ " xfId="4096" xr:uid="{00000000-0005-0000-0000-000075030000}"/>
    <cellStyle name="ÅëÈ­ [0]_¡Ú¾ÈÜ¬ Á¾ÇÕºñ±³ " xfId="4097" xr:uid="{00000000-0005-0000-0000-000076030000}"/>
    <cellStyle name="AeE­ [0]_¸AAa¸AAa¿ø°¡ " xfId="4098" xr:uid="{00000000-0005-0000-0000-000077030000}"/>
    <cellStyle name="ÅëÈ­ [0]_½ÂÀÎ¾÷Ã¼" xfId="4100" xr:uid="{00000000-0005-0000-0000-00007C030000}"/>
    <cellStyle name="AeE­ [0]_¼oAOCaA¤½A≫o " xfId="4099" xr:uid="{00000000-0005-0000-0000-00007B030000}"/>
    <cellStyle name="ÅëÈ­ [0]_6-3°æÀï·Â " xfId="4101" xr:uid="{00000000-0005-0000-0000-00007E030000}"/>
    <cellStyle name="AeE­ [0]_6-3°æAi·A _±¸¸A½CAu " xfId="4102" xr:uid="{00000000-0005-0000-0000-00007F030000}"/>
    <cellStyle name="ÅëÈ­ [0]_95³âÃÑ°ý¼ö·® " xfId="4103" xr:uid="{00000000-0005-0000-0000-000080030000}"/>
    <cellStyle name="AeE­ [0]_95³aAN°y¼o·R " xfId="4104" xr:uid="{00000000-0005-0000-0000-000081030000}"/>
    <cellStyle name="ÅëÈ­ [0]_96°èÈ¹ " xfId="4105" xr:uid="{00000000-0005-0000-0000-000082030000}"/>
    <cellStyle name="AeE­ [0]_96¾Æ½OBD " xfId="4106" xr:uid="{00000000-0005-0000-0000-000083030000}"/>
    <cellStyle name="ÅëÈ­ [0]_À¯Çüº°ÀüÃ¼(¿ï»ê°øÀå)  " xfId="4107" xr:uid="{00000000-0005-0000-0000-000084030000}"/>
    <cellStyle name="AeE­ [0]_A÷·E_CO¸RE­¾E " xfId="4108" xr:uid="{00000000-0005-0000-0000-000085030000}"/>
    <cellStyle name="ÅëÈ­ [0]_Àç°í1 " xfId="4109" xr:uid="{00000000-0005-0000-0000-000086030000}"/>
    <cellStyle name="AeE­ [0]_Ac°i2 " xfId="4110" xr:uid="{00000000-0005-0000-0000-000087030000}"/>
    <cellStyle name="ÅëÈ­ [0]_Àç°í2 " xfId="4111" xr:uid="{00000000-0005-0000-0000-000088030000}"/>
    <cellStyle name="AeE­ [0]_Æo±a¹° " xfId="4112" xr:uid="{00000000-0005-0000-0000-000089030000}"/>
    <cellStyle name="ÅëÈ­ [0]_Æó±â¹° " xfId="4113" xr:uid="{00000000-0005-0000-0000-00008A030000}"/>
    <cellStyle name="AeE­ [0]_AI¿ø¹× A¶A÷(96.5.2.) _±¸¸A½CAu " xfId="4114" xr:uid="{00000000-0005-0000-0000-00008B030000}"/>
    <cellStyle name="ÅëÈ­ [0]_ÃÑ°ýÇ¥ " xfId="4115" xr:uid="{00000000-0005-0000-0000-00008C030000}"/>
    <cellStyle name="AeE­ [0]_AN°yº¸°i-Aß°¡Ay°¨ " xfId="4116" xr:uid="{00000000-0005-0000-0000-00008D030000}"/>
    <cellStyle name="ÅëÈ­ [0]_È¯°æÅõÀÚºñ " xfId="4117" xr:uid="{00000000-0005-0000-0000-00008E030000}"/>
    <cellStyle name="AeE­ [0]_INQUIRY ¿μ¾÷AßAø " xfId="4118" xr:uid="{00000000-0005-0000-0000-00008F030000}"/>
    <cellStyle name="ÅëÈ­ [0]_laroux_1_MEMOº¸°í " xfId="4119" xr:uid="{00000000-0005-0000-0000-000090030000}"/>
    <cellStyle name="AeE­ [0]_lx-taxi _±¸¸A½CAu " xfId="4120" xr:uid="{00000000-0005-0000-0000-000091030000}"/>
    <cellStyle name="ÅëÈ­ [0]_MHPORTER " xfId="4121" xr:uid="{00000000-0005-0000-0000-000092030000}"/>
    <cellStyle name="AeE­ [0]_μðAⓒAIA¤ " xfId="4122" xr:uid="{00000000-0005-0000-0000-000093030000}"/>
    <cellStyle name="AeE­_¡U¾EU￢ A¾COºn±³ " xfId="4308" xr:uid="{00000000-0005-0000-0000-00004D040000}"/>
    <cellStyle name="ÅëÈ­_¡Ú¾ÈÜ¬ Á¾ÇÕºñ±³ " xfId="4309" xr:uid="{00000000-0005-0000-0000-00004E040000}"/>
    <cellStyle name="AeE­_¸AAa¸AAa¿ø°¡ " xfId="4310" xr:uid="{00000000-0005-0000-0000-00004F040000}"/>
    <cellStyle name="ÅëÈ­_½ÂÀÎ¾÷Ã¼" xfId="4312" xr:uid="{00000000-0005-0000-0000-000054040000}"/>
    <cellStyle name="AeE­_¼oAOCaA¤½A≫o " xfId="4311" xr:uid="{00000000-0005-0000-0000-000053040000}"/>
    <cellStyle name="ÅëÈ­_6-3°æÀï·Â " xfId="4313" xr:uid="{00000000-0005-0000-0000-000056040000}"/>
    <cellStyle name="AeE­_6-3°æAi·A _±¸¸A½CAu " xfId="4314" xr:uid="{00000000-0005-0000-0000-000057040000}"/>
    <cellStyle name="ÅëÈ­_95³âÃÑ°ý¼ö·® " xfId="4315" xr:uid="{00000000-0005-0000-0000-000058040000}"/>
    <cellStyle name="AeE­_95³aAN°y¼o·R " xfId="4316" xr:uid="{00000000-0005-0000-0000-000059040000}"/>
    <cellStyle name="ÅëÈ­_96°èÈ¹ " xfId="4317" xr:uid="{00000000-0005-0000-0000-00005A040000}"/>
    <cellStyle name="AeE­_96¾Æ½OBD " xfId="4318" xr:uid="{00000000-0005-0000-0000-00005B040000}"/>
    <cellStyle name="ÅëÈ­_À¯Çüº°ÀüÃ¼(¿ï»ê°øÀå)  " xfId="4319" xr:uid="{00000000-0005-0000-0000-00005C040000}"/>
    <cellStyle name="AeE­_A÷·E_CO¸RE­¾E " xfId="4320" xr:uid="{00000000-0005-0000-0000-00005D040000}"/>
    <cellStyle name="ÅëÈ­_Àç°í1 " xfId="4321" xr:uid="{00000000-0005-0000-0000-00005E040000}"/>
    <cellStyle name="AeE­_Ac°i2 " xfId="4322" xr:uid="{00000000-0005-0000-0000-00005F040000}"/>
    <cellStyle name="ÅëÈ­_Àç°í2 " xfId="4323" xr:uid="{00000000-0005-0000-0000-000060040000}"/>
    <cellStyle name="AeE­_Æo±a¹° " xfId="4324" xr:uid="{00000000-0005-0000-0000-000061040000}"/>
    <cellStyle name="ÅëÈ­_Æó±â¹° " xfId="4325" xr:uid="{00000000-0005-0000-0000-000062040000}"/>
    <cellStyle name="AeE­_AI¿ø¹× A¶A÷(96.5.2.) _±¸¸A½CAu " xfId="4326" xr:uid="{00000000-0005-0000-0000-000063040000}"/>
    <cellStyle name="ÅëÈ­_ÃÑ°ýÇ¥ " xfId="4327" xr:uid="{00000000-0005-0000-0000-000064040000}"/>
    <cellStyle name="AeE­_AN°yº¸°i-Aß°¡Ay°¨ " xfId="4328" xr:uid="{00000000-0005-0000-0000-000065040000}"/>
    <cellStyle name="ÅëÈ­_È¯°æÅõÀÚºñ " xfId="4329" xr:uid="{00000000-0005-0000-0000-000066040000}"/>
    <cellStyle name="AeE­_INQUIRY ¿μ¾÷AßAø " xfId="4330" xr:uid="{00000000-0005-0000-0000-000067040000}"/>
    <cellStyle name="ÅëÈ­_laroux_1_MEMOº¸°í " xfId="4331" xr:uid="{00000000-0005-0000-0000-000068040000}"/>
    <cellStyle name="AeE­_lx-taxi _±¸¸A½CAu " xfId="4332" xr:uid="{00000000-0005-0000-0000-000069040000}"/>
    <cellStyle name="ÅëÈ­_MHPORTER " xfId="4333" xr:uid="{00000000-0005-0000-0000-00006A040000}"/>
    <cellStyle name="AeE­_XG¿ø´UA§ " xfId="4334" xr:uid="{00000000-0005-0000-0000-00006B040000}"/>
    <cellStyle name="ÅëÈ­_XG¿ø´ÜÀ§ " xfId="4335" xr:uid="{00000000-0005-0000-0000-00006C040000}"/>
    <cellStyle name="AeE­_μðAⓒAIA¤ " xfId="4336" xr:uid="{00000000-0005-0000-0000-00006D040000}"/>
    <cellStyle name="AeE¡ⓒ [0]_¨uoAOCaA￠´¨oA¡io " xfId="4337" xr:uid="{00000000-0005-0000-0000-00006E040000}"/>
    <cellStyle name="AeE¡ⓒ_¨uoAOCaA￠´¨oA¡io " xfId="4338" xr:uid="{00000000-0005-0000-0000-00006F040000}"/>
    <cellStyle name="AeE¡ER¡§I [0]_¡ER¡§￠R¡§I¡ERAi¡ERicAc¡ER¡§￠Ri " xfId="4339" xr:uid="{00000000-0005-0000-0000-000070040000}"/>
    <cellStyle name="AeE¡ER¡§I_¡ER¡§￠R¡§I¡ERAi¡ERicAc¡ER¡§￠Ri " xfId="4340" xr:uid="{00000000-0005-0000-0000-000071040000}"/>
    <cellStyle name="AeE?»o¹Y±a(HYPA) (2)_»o¹Y±a(HYPA) (2)_¼OAI1¿u (ÆC¸A) (3)_x0016_" xfId="4130" xr:uid="{00000000-0005-0000-0000-00009B030000}"/>
    <cellStyle name="AeE?»o¹Y±a(HYPA) (2))PA)" xfId="4129" xr:uid="{00000000-0005-0000-0000-00009A030000}"/>
    <cellStyle name="AeE?»y»e½CAuYPA)" xfId="4131" xr:uid="{00000000-0005-0000-0000-00009C030000}"/>
    <cellStyle name="AeE?[0]_´eA÷´eA¶C?(HYPA)?s####" xfId="4123" xr:uid="{00000000-0005-0000-0000-000094030000}"/>
    <cellStyle name="AeE?´eA÷´eA¶C?(HYPA))PA) (" xfId="4124" xr:uid="{00000000-0005-0000-0000-000095030000}"/>
    <cellStyle name="AeE?´U°¡´eA " xfId="4125" xr:uid="{00000000-0005-0000-0000-000096030000}"/>
    <cellStyle name="AeE?¸¸±aµµ·¡C?(HYPA)" xfId="4126" xr:uid="{00000000-0005-0000-0000-000097030000}"/>
    <cellStyle name="AeE?¸nA÷µµ·" xfId="4127" xr:uid="{00000000-0005-0000-0000-000098030000}"/>
    <cellStyle name="AeE?°¡µ¿A²AuYPA)" xfId="4132" xr:uid="{00000000-0005-0000-0000-00009D030000}"/>
    <cellStyle name="AeE?°æºn7¿uÐ¸R))" xfId="4133" xr:uid="{00000000-0005-0000-0000-00009E030000}"/>
    <cellStyle name="AeE?°æºnA?¤¸R)) (" xfId="4134" xr:uid="{00000000-0005-0000-0000-00009F030000}"/>
    <cellStyle name="AeE?°ø¹R (3)YPA)" xfId="4135" xr:uid="{00000000-0005-0000-0000-0000A0030000}"/>
    <cellStyle name="AeE?°ø¹R (ºÐ¸R)) (2)_P" xfId="4136" xr:uid="{00000000-0005-0000-0000-0000A1030000}"/>
    <cellStyle name="AeE?°ø¹R ²AuY" xfId="4137" xr:uid="{00000000-0005-0000-0000-0000A2030000}"/>
    <cellStyle name="AeE?±Y¾×µµ·¡" xfId="4128" xr:uid="{00000000-0005-0000-0000-000099030000}"/>
    <cellStyle name="AeE?01.06 " xfId="4138" xr:uid="{00000000-0005-0000-0000-0000A3030000}"/>
    <cellStyle name="AeE?04.01 " xfId="4139" xr:uid="{00000000-0005-0000-0000-0000A4030000}"/>
    <cellStyle name="AeE?05.01 " xfId="4140" xr:uid="{00000000-0005-0000-0000-0000A5030000}"/>
    <cellStyle name="AeE?05.30 " xfId="4141" xr:uid="{00000000-0005-0000-0000-0000A6030000}"/>
    <cellStyle name="AeE?06.27 " xfId="4142" xr:uid="{00000000-0005-0000-0000-0000A7030000}"/>
    <cellStyle name="AeE?1¿u_1AN" xfId="4159" xr:uid="{00000000-0005-0000-0000-0000B8030000}"/>
    <cellStyle name="AeE?1¿uIJ" xfId="4160" xr:uid="{00000000-0005-0000-0000-0000B9030000}"/>
    <cellStyle name="AeE?¼OAI(»y»e1-3)(2)_" xfId="4143" xr:uid="{00000000-0005-0000-0000-0000A8030000}"/>
    <cellStyle name="AeE?¼OAI(ÆC¸A1-3) 2)_P" xfId="4144" xr:uid="{00000000-0005-0000-0000-0000A9030000}"/>
    <cellStyle name="AeE?¼OAI(FEB»y»e) 2)_" xfId="4145" xr:uid="{00000000-0005-0000-0000-0000AA030000}"/>
    <cellStyle name="AeE?¼OAI(FEBÆC¸A) 2)_P" xfId="4146" xr:uid="{00000000-0005-0000-0000-0000AB030000}"/>
    <cellStyle name="AeE?¼OAI(MAR»y»e) 2)_" xfId="4147" xr:uid="{00000000-0005-0000-0000-0000AC030000}"/>
    <cellStyle name="AeE?¼OAI(MARÆC¸A) 2)_" xfId="4148" xr:uid="{00000000-0005-0000-0000-0000AD030000}"/>
    <cellStyle name="AeE?¼OAI1¿u (2)A) " xfId="4149" xr:uid="{00000000-0005-0000-0000-0000AE030000}"/>
    <cellStyle name="AeE?¼OAI1¿u (ÆC¸A)2)_PR" xfId="4150" xr:uid="{00000000-0005-0000-0000-0000AF030000}"/>
    <cellStyle name="AeE?¼OAI1¿uRÆC" xfId="4151" xr:uid="{00000000-0005-0000-0000-0000B0030000}"/>
    <cellStyle name="AeE?¼OAIA?¤»cC " xfId="4152" xr:uid="{00000000-0005-0000-0000-0000B1030000}"/>
    <cellStyle name="AeE?¼OAIA?I.95¸A)" xfId="4153" xr:uid="{00000000-0005-0000-0000-0000B2030000}"/>
    <cellStyle name="AeE?¼OAIA?I.9972)2)" xfId="4154" xr:uid="{00000000-0005-0000-0000-0000B3030000}"/>
    <cellStyle name="AeE?¼OAIAO¿a»cC?)2)_" xfId="4155" xr:uid="{00000000-0005-0000-0000-0000B4030000}"/>
    <cellStyle name="AeE?¼OAIJAN(»y»e?°æAu)OD.SEPT" xfId="4156" xr:uid="{00000000-0005-0000-0000-0000B5030000}"/>
    <cellStyle name="AeE?¼OAIJAN(»y»e?°æEA) D.SEPTI" xfId="4157" xr:uid="{00000000-0005-0000-0000-0000B6030000}"/>
    <cellStyle name="AeE?¼OAIJAN(ÆC¸A)?°æE" xfId="4158" xr:uid="{00000000-0005-0000-0000-0000B7030000}"/>
    <cellStyle name="AeE?10¿u1A" xfId="4161" xr:uid="{00000000-0005-0000-0000-0000BA030000}"/>
    <cellStyle name="AeE?11¿u1A" xfId="4163" xr:uid="{00000000-0005-0000-0000-0000BC030000}"/>
    <cellStyle name="AeE?11.41" xfId="4162" xr:uid="{00000000-0005-0000-0000-0000BB030000}"/>
    <cellStyle name="AeE?12¿u1A" xfId="4164" xr:uid="{00000000-0005-0000-0000-0000BD030000}"/>
    <cellStyle name="AeE?2¿u_1AN" xfId="4166" xr:uid="{00000000-0005-0000-0000-0000BF030000}"/>
    <cellStyle name="AeE?2¿uu1" xfId="4167" xr:uid="{00000000-0005-0000-0000-0000C0030000}"/>
    <cellStyle name="AeE?2.3u" xfId="4165" xr:uid="{00000000-0005-0000-0000-0000BE030000}"/>
    <cellStyle name="AeE?3¿u 1A" xfId="4169" xr:uid="{00000000-0005-0000-0000-0000C2030000}"/>
    <cellStyle name="AeE?3.3_" xfId="4168" xr:uid="{00000000-0005-0000-0000-0000C1030000}"/>
    <cellStyle name="AeE?³a?A?¤ÆC¸A)?" xfId="4170" xr:uid="{00000000-0005-0000-0000-0000C3030000}"/>
    <cellStyle name="AeE?4¿u  ?" xfId="4171" xr:uid="{00000000-0005-0000-0000-0000C4030000}"/>
    <cellStyle name="AeE?5¿u  ?" xfId="4172" xr:uid="{00000000-0005-0000-0000-0000C5030000}"/>
    <cellStyle name="AeE?9¿u  " xfId="4173" xr:uid="{00000000-0005-0000-0000-0000C6030000}"/>
    <cellStyle name="AeE?95³aAc°iÆC¸A)?°æE" xfId="4174" xr:uid="{00000000-0005-0000-0000-0000C7030000}"/>
    <cellStyle name="AeE?96 Factory Overhead " xfId="4175" xr:uid="{00000000-0005-0000-0000-0000C8030000}"/>
    <cellStyle name="AeE?96(ÆC°uºn) (2)rhea" xfId="4176" xr:uid="{00000000-0005-0000-0000-0000C9030000}"/>
    <cellStyle name="AeE?96(ÆC°uºn) (3)rhea" xfId="4177" xr:uid="{00000000-0005-0000-0000-0000CA030000}"/>
    <cellStyle name="AeE?96³a¹IÆC¸A¼OAI»o¼¼d D.SEPTI" xfId="4178" xr:uid="{00000000-0005-0000-0000-0000CB030000}"/>
    <cellStyle name="AeE?97 " xfId="4179" xr:uid="{00000000-0005-0000-0000-0000CC030000}"/>
    <cellStyle name="AeE?97 ?? " xfId="4180" xr:uid="{00000000-0005-0000-0000-0000CD030000}"/>
    <cellStyle name="AeE?97?a?u? " xfId="4181" xr:uid="{00000000-0005-0000-0000-0000CE030000}"/>
    <cellStyle name="AeE?97Ae?A? " xfId="4182" xr:uid="{00000000-0005-0000-0000-0000CF030000}"/>
    <cellStyle name="AeE?97PORTIONA" xfId="4183" xr:uid="{00000000-0005-0000-0000-0000D0030000}"/>
    <cellStyle name="AeE?98Ae?A? " xfId="4184" xr:uid="{00000000-0005-0000-0000-0000D1030000}"/>
    <cellStyle name="AeE?Ac°i?°¡°¨¼OAI»o " xfId="4185" xr:uid="{00000000-0005-0000-0000-0000D2030000}"/>
    <cellStyle name="AeE?Ac°iº¸A?¹RA|AI»o " xfId="4186" xr:uid="{00000000-0005-0000-0000-0000D3030000}"/>
    <cellStyle name="AeE?ALLOCATIONA" xfId="4187" xr:uid="{00000000-0005-0000-0000-0000D4030000}"/>
    <cellStyle name="AeE?Ao±ÞAIAU¹eºI±aA?(4¿u)SEPTINGA" xfId="4188" xr:uid="{00000000-0005-0000-0000-0000D5030000}"/>
    <cellStyle name="AeE?Ao±ÞAIAU¹eºI±aA?(5¿u)SEPTINGA" xfId="4189" xr:uid="{00000000-0005-0000-0000-0000D6030000}"/>
    <cellStyle name="AeE?Ao±ÞAIAUONA" xfId="4190" xr:uid="{00000000-0005-0000-0000-0000D7030000}"/>
    <cellStyle name="AeE?AoAUA" xfId="4191" xr:uid="{00000000-0005-0000-0000-0000D8030000}"/>
    <cellStyle name="AeE?AoAUAy캿C? " xfId="4192" xr:uid="{00000000-0005-0000-0000-0000D9030000}"/>
    <cellStyle name="AeE?AprilI" xfId="4193" xr:uid="{00000000-0005-0000-0000-0000DA030000}"/>
    <cellStyle name="AeE?APRU" xfId="4194" xr:uid="{00000000-0005-0000-0000-0000DB030000}"/>
    <cellStyle name="AeE?AS400 A" xfId="4195" xr:uid="{00000000-0005-0000-0000-0000DC030000}"/>
    <cellStyle name="AeE?AU±Y¼oAo (2)±aA" xfId="4196" xr:uid="{00000000-0005-0000-0000-0000DD030000}"/>
    <cellStyle name="AeE?AU¾÷AI¼o (2)" xfId="4197" xr:uid="{00000000-0005-0000-0000-0000DE030000}"/>
    <cellStyle name="AeE?Book2I" xfId="4198" xr:uid="{00000000-0005-0000-0000-0000DF030000}"/>
    <cellStyle name="AeE?BOXk" xfId="4199" xr:uid="{00000000-0005-0000-0000-0000E0030000}"/>
    <cellStyle name="AeE?C?Ao (2) (" xfId="4200" xr:uid="{00000000-0005-0000-0000-0000E1030000}"/>
    <cellStyle name="AeE?C?Ao_AoAUAy캿C? " xfId="4201" xr:uid="{00000000-0005-0000-0000-0000E2030000}"/>
    <cellStyle name="AeE?CASH FLOW " xfId="4202" xr:uid="{00000000-0005-0000-0000-0000E3030000}"/>
    <cellStyle name="AeE?CI¹Y±a(HYPA) (3) (5" xfId="4203" xr:uid="{00000000-0005-0000-0000-0000E4030000}"/>
    <cellStyle name="AeE?CI¹Y±a2) " xfId="4204" xr:uid="{00000000-0005-0000-0000-0000E5030000}"/>
    <cellStyle name="AeE?CIAU¿øAIYPA" xfId="4205" xr:uid="{00000000-0005-0000-0000-0000E6030000}"/>
    <cellStyle name="AeE?CIAU±Y¾×A??(3) (" xfId="4206" xr:uid="{00000000-0005-0000-0000-0000E7030000}"/>
    <cellStyle name="AeE?CoE?(2)A " xfId="4207" xr:uid="{00000000-0005-0000-0000-0000E8030000}"/>
    <cellStyle name="AeE?CoE²±Y" xfId="4208" xr:uid="{00000000-0005-0000-0000-0000E9030000}"/>
    <cellStyle name="AeE?COGS " xfId="4209" xr:uid="{00000000-0005-0000-0000-0000EA030000}"/>
    <cellStyle name="AeE?CONSOL(CLOSING))" xfId="4210" xr:uid="{00000000-0005-0000-0000-0000EB030000}"/>
    <cellStyle name="AeE?cover (2)O" xfId="4211" xr:uid="{00000000-0005-0000-0000-0000EC030000}"/>
    <cellStyle name="AeE?cover_¸¸±aµµ·¡)) (5¿u)" xfId="4212" xr:uid="{00000000-0005-0000-0000-0000ED030000}"/>
    <cellStyle name="AeE?COVERL" xfId="4213" xr:uid="{00000000-0005-0000-0000-0000EE030000}"/>
    <cellStyle name="AeE?DOMe" xfId="4214" xr:uid="{00000000-0005-0000-0000-0000EF030000}"/>
    <cellStyle name="AeE?FAC.OVERHEAD(" xfId="4215" xr:uid="{00000000-0005-0000-0000-0000F0030000}"/>
    <cellStyle name="AeE?Factory O.H.(°a»eeA)u)S" xfId="4216" xr:uid="{00000000-0005-0000-0000-0000F1030000}"/>
    <cellStyle name="AeE?Factory O.H.(allo)(DEC)E" xfId="4217" xr:uid="{00000000-0005-0000-0000-0000F2030000}"/>
    <cellStyle name="AeE?Factory O.H.Vr.Fix.AnalysisN" xfId="4218" xr:uid="{00000000-0005-0000-0000-0000F3030000}"/>
    <cellStyle name="AeE?FACTORY OH. &amp; MISC. INC.EXPN" xfId="4219" xr:uid="{00000000-0005-0000-0000-0000F4030000}"/>
    <cellStyle name="AeE?FACTORY OH.&amp; MISC.EXP.(JAN)N" xfId="4220" xr:uid="{00000000-0005-0000-0000-0000F5030000}"/>
    <cellStyle name="AeE?FACTORY OVERHEAD &amp; MISC INC.EXP_¸¸±aµµ·¡EPTINGA)" xfId="4221" xr:uid="{00000000-0005-0000-0000-0000F6030000}"/>
    <cellStyle name="AeE?FACTORY OVERHEAD &amp; MISC INC.EXP2" xfId="4222" xr:uid="{00000000-0005-0000-0000-0000F7030000}"/>
    <cellStyle name="AeE?FACTORY OVERHEAD FOR DEC.N" xfId="4223" xr:uid="{00000000-0005-0000-0000-0000F8030000}"/>
    <cellStyle name="AeE?FACTORY OVERHEAD FOR NOV." xfId="4224" xr:uid="{00000000-0005-0000-0000-0000F9030000}"/>
    <cellStyle name="AeE?FACTORY OVERHEAD.EXPe" xfId="4227" xr:uid="{00000000-0005-0000-0000-0000FC030000}"/>
    <cellStyle name="AeE?FACTORY OVERHEAD(june)_¸¸±aµµ·¡_cover (" xfId="4225" xr:uid="{00000000-0005-0000-0000-0000FA030000}"/>
    <cellStyle name="AeE?FACTORY OVERHEAD(june)O" xfId="4226" xr:uid="{00000000-0005-0000-0000-0000FB030000}"/>
    <cellStyle name="AeE?FACTORY OVERHEADC" xfId="4228" xr:uid="{00000000-0005-0000-0000-0000FD030000}"/>
    <cellStyle name="AeE?FebruaryO" xfId="4229" xr:uid="{00000000-0005-0000-0000-0000FE030000}"/>
    <cellStyle name="AeE?FEBT" xfId="4230" xr:uid="{00000000-0005-0000-0000-0000FF030000}"/>
    <cellStyle name="AeE?Gen.Exp.Analysis(DEC))" xfId="4232" xr:uid="{00000000-0005-0000-0000-000001040000}"/>
    <cellStyle name="AeE?GEN(1-5)O" xfId="4231" xr:uid="{00000000-0005-0000-0000-000000040000}"/>
    <cellStyle name="AeE?GEN12  _1n" xfId="4234" xr:uid="{00000000-0005-0000-0000-000003040000}"/>
    <cellStyle name="AeE?GEN12  ." xfId="4233" xr:uid="{00000000-0005-0000-0000-000002040000}"/>
    <cellStyle name="AeE?GEN4  " xfId="4235" xr:uid="{00000000-0005-0000-0000-000004040000}"/>
    <cellStyle name="AeE?GEN4 _¸¸±aµµ·¡is(DEC))" xfId="4236" xr:uid="{00000000-0005-0000-0000-000005040000}"/>
    <cellStyle name="AeE?General Exp.Vr.Fix Analysis_1(" xfId="4237" xr:uid="{00000000-0005-0000-0000-000006040000}"/>
    <cellStyle name="AeE?General Exp.Vr.Fix Analysisr" xfId="4238" xr:uid="{00000000-0005-0000-0000-000007040000}"/>
    <cellStyle name="AeE?GRPe" xfId="4239" xr:uid="{00000000-0005-0000-0000-000008040000}"/>
    <cellStyle name="AeE?HPA1298 " xfId="4240" xr:uid="{00000000-0005-0000-0000-000009040000}"/>
    <cellStyle name="AeE?HPA9812 " xfId="4241" xr:uid="{00000000-0005-0000-0000-00000A040000}"/>
    <cellStyle name="AeE?INV. QTY.x" xfId="4242" xr:uid="{00000000-0005-0000-0000-00000B040000}"/>
    <cellStyle name="AeE?inv.finishedV" xfId="4243" xr:uid="{00000000-0005-0000-0000-00000C040000}"/>
    <cellStyle name="AeE?itemº°nis" xfId="4244" xr:uid="{00000000-0005-0000-0000-00000D040000}"/>
    <cellStyle name="AeE?JAN98 " xfId="4245" xr:uid="{00000000-0005-0000-0000-00000E040000}"/>
    <cellStyle name="AeE?JANm" xfId="4246" xr:uid="{00000000-0005-0000-0000-00000F040000}"/>
    <cellStyle name="AeE?Januaryi" xfId="4247" xr:uid="{00000000-0005-0000-0000-000010040000}"/>
    <cellStyle name="AeE?Julya" xfId="4248" xr:uid="{00000000-0005-0000-0000-000011040000}"/>
    <cellStyle name="AeE?Junea" xfId="4249" xr:uid="{00000000-0005-0000-0000-000012040000}"/>
    <cellStyle name="AeE?LABOR.FAC.EXPr" xfId="4250" xr:uid="{00000000-0005-0000-0000-000013040000}"/>
    <cellStyle name="AeE?LEADR" xfId="4251" xr:uid="{00000000-0005-0000-0000-000014040000}"/>
    <cellStyle name="AeE?LINE¿i¿µ (2)Pr.F" xfId="4252" xr:uid="{00000000-0005-0000-0000-000015040000}"/>
    <cellStyle name="AeE?LINE¿i¿µC.EX" xfId="4253" xr:uid="{00000000-0005-0000-0000-000016040000}"/>
    <cellStyle name="AeE?MANUF. COSTSP" xfId="4254" xr:uid="{00000000-0005-0000-0000-000017040000}"/>
    <cellStyle name="AeE?March." xfId="4255" xr:uid="{00000000-0005-0000-0000-000018040000}"/>
    <cellStyle name="AeE?MARU" xfId="4256" xr:uid="{00000000-0005-0000-0000-000019040000}"/>
    <cellStyle name="AeE?MATERIALO" xfId="4257" xr:uid="{00000000-0005-0000-0000-00001A040000}"/>
    <cellStyle name="AeE?MAYE" xfId="4258" xr:uid="{00000000-0005-0000-0000-00001B040000}"/>
    <cellStyle name="AeE?MEX.PRL_¸¸±aµµ·¡ix Analy" xfId="4259" xr:uid="{00000000-0005-0000-0000-00001C040000}"/>
    <cellStyle name="AeE?MEX.PRLL" xfId="4260" xr:uid="{00000000-0005-0000-0000-00001D040000}"/>
    <cellStyle name="AeE?MEX1P" xfId="4261" xr:uid="{00000000-0005-0000-0000-00001E040000}"/>
    <cellStyle name="AeE?mex3P" xfId="4262" xr:uid="{00000000-0005-0000-0000-00001F040000}"/>
    <cellStyle name="AeE?MEXICAN PAYROLL(JAN) " xfId="4263" xr:uid="{00000000-0005-0000-0000-000020040000}"/>
    <cellStyle name="AeE?MHX" xfId="4264" xr:uid="{00000000-0005-0000-0000-000021040000}"/>
    <cellStyle name="AeE?MONTHLY PRODO" xfId="4265" xr:uid="{00000000-0005-0000-0000-000022040000}"/>
    <cellStyle name="AeE?ºI¼­º° (2)ODOLL(" xfId="4266" xr:uid="{00000000-0005-0000-0000-000023040000}"/>
    <cellStyle name="AeE?ºI¼­º°Y PROD" xfId="4267" xr:uid="{00000000-0005-0000-0000-000024040000}"/>
    <cellStyle name="AeE?P&amp;L~ADV. PRODL" xfId="4268" xr:uid="{00000000-0005-0000-0000-000025040000}"/>
    <cellStyle name="AeE?PLAN`98(6.15)L" xfId="4269" xr:uid="{00000000-0005-0000-0000-000026040000}"/>
    <cellStyle name="AeE?PRD_¸¸±aµµ·¡)LL(JAN)" xfId="4271" xr:uid="{00000000-0005-0000-0000-000028040000}"/>
    <cellStyle name="AeE?PRD(12)(" xfId="4270" xr:uid="{00000000-0005-0000-0000-000027040000}"/>
    <cellStyle name="AeE?PRDN" xfId="4272" xr:uid="{00000000-0005-0000-0000-000029040000}"/>
    <cellStyle name="AeE?PROD REPORT2" xfId="4273" xr:uid="{00000000-0005-0000-0000-00002A040000}"/>
    <cellStyle name="AeE?PROD REPORT3)" xfId="4274" xr:uid="{00000000-0005-0000-0000-00002B040000}"/>
    <cellStyle name="AeE?PROD.COSTING)" xfId="4277" xr:uid="{00000000-0005-0000-0000-00002E040000}"/>
    <cellStyle name="AeE?PROD.MAYT" xfId="4278" xr:uid="{00000000-0005-0000-0000-00002F040000}"/>
    <cellStyle name="AeE?PROD(FEB)R" xfId="4275" xr:uid="{00000000-0005-0000-0000-00002C040000}"/>
    <cellStyle name="AeE?PROD(JAN)R" xfId="4276" xr:uid="{00000000-0005-0000-0000-00002D040000}"/>
    <cellStyle name="AeE?REEFERA" xfId="4279" xr:uid="{00000000-0005-0000-0000-000030040000}"/>
    <cellStyle name="AeE?Sheet1 (2)_¸¸±aµµ·¡) (3)sis" xfId="4280" xr:uid="{00000000-0005-0000-0000-000031040000}"/>
    <cellStyle name="AeE?Sheet1 (2)N" xfId="4281" xr:uid="{00000000-0005-0000-0000-000032040000}"/>
    <cellStyle name="AeE?Sheet1_12" xfId="4282" xr:uid="{00000000-0005-0000-0000-000033040000}"/>
    <cellStyle name="AeE?Sheet1A" xfId="4283" xr:uid="{00000000-0005-0000-0000-000034040000}"/>
    <cellStyle name="AeE?Sheet3_" xfId="4284" xr:uid="{00000000-0005-0000-0000-000035040000}"/>
    <cellStyle name="AeE?Sheet4_" xfId="4285" xr:uid="{00000000-0005-0000-0000-000036040000}"/>
    <cellStyle name="AeE?SUBCONTRACTOR COSTS " xfId="4286" xr:uid="{00000000-0005-0000-0000-000037040000}"/>
    <cellStyle name="AeE?SUBCONTRACTOR COSTS_¸¸±aµµ·¡1(2)PA) " xfId="4287" xr:uid="{00000000-0005-0000-0000-000038040000}"/>
    <cellStyle name="AeE?SUMMARYR" xfId="4288" xr:uid="{00000000-0005-0000-0000-000039040000}"/>
    <cellStyle name="AeE?TCM" xfId="4289" xr:uid="{00000000-0005-0000-0000-00003A040000}"/>
    <cellStyle name="AeE?US PAYROLL(JAN)O" xfId="4290" xr:uid="{00000000-0005-0000-0000-00003B040000}"/>
    <cellStyle name="AeE?US.PRL_¸¸±aµµ·¡OSTS_cov" xfId="4291" xr:uid="{00000000-0005-0000-0000-00003C040000}"/>
    <cellStyle name="AeE?US.PRLR" xfId="4292" xr:uid="{00000000-0005-0000-0000-00003D040000}"/>
    <cellStyle name="AeE?V.8.(2)¿µ¾÷¿UAU±YA) (3)e" xfId="4293" xr:uid="{00000000-0005-0000-0000-00003E040000}"/>
    <cellStyle name="AeE?V.8.(3)ºIA·AU±YA¶´Þ¹æ¾Eer (2)PA) " xfId="4294" xr:uid="{00000000-0005-0000-0000-00003F040000}"/>
    <cellStyle name="AeE?V.8.(4)¿µ¾÷¿Uºn¿eA?¤¾Eer (2)PA" xfId="4295" xr:uid="{00000000-0005-0000-0000-000040040000}"/>
    <cellStyle name="AeE?V.8.AU±Y¿i¿e(1.¿µ¾÷»o)Eer (2)PA" xfId="4296" xr:uid="{00000000-0005-0000-0000-000041040000}"/>
    <cellStyle name="AeE?VT8" xfId="4297" xr:uid="{00000000-0005-0000-0000-000042040000}"/>
    <cellStyle name="AeE?VT95³aAc°iÆC¸A»o¼¼÷»o)Eer " xfId="4298" xr:uid="{00000000-0005-0000-0000-000043040000}"/>
    <cellStyle name="AeE?WARRANTY " xfId="4299" xr:uid="{00000000-0005-0000-0000-000044040000}"/>
    <cellStyle name="AeE?WARRANTY_¸¸±aµµ·¡¼÷»o)Eer" xfId="4300" xr:uid="{00000000-0005-0000-0000-000045040000}"/>
    <cellStyle name="AeE?warrantyA?¤A?I (2)) (3" xfId="4301" xr:uid="{00000000-0005-0000-0000-000046040000}"/>
    <cellStyle name="AeE?warrantyA?¤A?I2)PA" xfId="4302" xr:uid="{00000000-0005-0000-0000-000047040000}"/>
    <cellStyle name="AeE?WK1_¸¸±aµµ·¡A?I (2)" xfId="4303" xr:uid="{00000000-0005-0000-0000-000048040000}"/>
    <cellStyle name="AeE?WK1r" xfId="4304" xr:uid="{00000000-0005-0000-0000-000049040000}"/>
    <cellStyle name="AeE?WK2_" xfId="4305" xr:uid="{00000000-0005-0000-0000-00004A040000}"/>
    <cellStyle name="AeE?WK3_" xfId="4306" xr:uid="{00000000-0005-0000-0000-00004B040000}"/>
    <cellStyle name="AeE?WK4_" xfId="4307" xr:uid="{00000000-0005-0000-0000-00004C040000}"/>
    <cellStyle name="AeE￠R¨I [0]_96¡§u¡§￠R¡§oOBD " xfId="4341" xr:uid="{00000000-0005-0000-0000-000072040000}"/>
    <cellStyle name="AeE￠R¨I_96¡§u¡§￠R¡§oOBD " xfId="4342" xr:uid="{00000000-0005-0000-0000-000073040000}"/>
    <cellStyle name="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" xfId="4344" xr:uid="{00000000-0005-0000-0000-000075040000}"/>
    <cellStyle name="ALIGNMENT" xfId="4343" xr:uid="{00000000-0005-0000-0000-000074040000}"/>
    <cellStyle name="AutoFormat-Optionen" xfId="4529" xr:uid="{00000000-0005-0000-0000-000070050000}"/>
    <cellStyle name="ÄÞ¸¶ [0]_¡Ú¾ÈÜ¬ Á¾ÇÕºñ±³ " xfId="4526" xr:uid="{00000000-0005-0000-0000-00002B050000}"/>
    <cellStyle name="ÄÞ¸¶_¡Ú¾ÈÜ¬ Á¾ÇÕºñ±³ " xfId="4528" xr:uid="{00000000-0005-0000-0000-00004E050000}"/>
    <cellStyle name="AÞ¸?»o¹Y±a(HYPA) (2)_»o¹Y±a(HYPA) (2)_¼OAI1¿u (ÆC¸A) (3)_x0016_" xfId="4352" xr:uid="{00000000-0005-0000-0000-00007D040000}"/>
    <cellStyle name="AÞ¸?»o¹Y±a(HYPA) (2))PA) (" xfId="4351" xr:uid="{00000000-0005-0000-0000-00007C040000}"/>
    <cellStyle name="AÞ¸?»y»e½CAuYPA) (" xfId="4353" xr:uid="{00000000-0005-0000-0000-00007E040000}"/>
    <cellStyle name="AÞ¸?[0]_´eA÷´eA¶C?(HYPA)) (3) (2" xfId="4345" xr:uid="{00000000-0005-0000-0000-000076040000}"/>
    <cellStyle name="AÞ¸?´eA÷´eA¶C?(HYPA))PA) (3)" xfId="4346" xr:uid="{00000000-0005-0000-0000-000077040000}"/>
    <cellStyle name="AÞ¸?´U°¡´eA¶C?" xfId="4347" xr:uid="{00000000-0005-0000-0000-000078040000}"/>
    <cellStyle name="AÞ¸?¸¸±aµµ·¡C?(HYPA))P" xfId="4348" xr:uid="{00000000-0005-0000-0000-000079040000}"/>
    <cellStyle name="AÞ¸?¸nA÷µµ·¡C" xfId="4349" xr:uid="{00000000-0005-0000-0000-00007A040000}"/>
    <cellStyle name="AÞ¸?°¡µ¿A²AuYPA) (" xfId="4354" xr:uid="{00000000-0005-0000-0000-00007F040000}"/>
    <cellStyle name="AÞ¸?°æºn7¿uÐ¸R)) (" xfId="4355" xr:uid="{00000000-0005-0000-0000-000080040000}"/>
    <cellStyle name="AÞ¸?°æºnA?¤¸R)) (2)" xfId="4356" xr:uid="{00000000-0005-0000-0000-000081040000}"/>
    <cellStyle name="AÞ¸?°ø¹R (3)YPA) (" xfId="4357" xr:uid="{00000000-0005-0000-0000-000082040000}"/>
    <cellStyle name="AÞ¸?°ø¹R (ºÐ¸R)) (2)_PRO" xfId="4358" xr:uid="{00000000-0005-0000-0000-000083040000}"/>
    <cellStyle name="AÞ¸?°ø¹R ²AuYPA" xfId="4359" xr:uid="{00000000-0005-0000-0000-000084040000}"/>
    <cellStyle name="AÞ¸?±Y¾×µµ·¡C?" xfId="4350" xr:uid="{00000000-0005-0000-0000-00007B040000}"/>
    <cellStyle name="AÞ¸?01.06? " xfId="4360" xr:uid="{00000000-0005-0000-0000-000085040000}"/>
    <cellStyle name="AÞ¸?04.01? " xfId="4361" xr:uid="{00000000-0005-0000-0000-000086040000}"/>
    <cellStyle name="AÞ¸?05.01? " xfId="4362" xr:uid="{00000000-0005-0000-0000-000087040000}"/>
    <cellStyle name="AÞ¸?05.30? " xfId="4363" xr:uid="{00000000-0005-0000-0000-000088040000}"/>
    <cellStyle name="AÞ¸?06.27? " xfId="4364" xr:uid="{00000000-0005-0000-0000-000089040000}"/>
    <cellStyle name="AÞ¸?1¿u_1AN( " xfId="4381" xr:uid="{00000000-0005-0000-0000-00009A040000}"/>
    <cellStyle name="AÞ¸?1¿uIJAN" xfId="4382" xr:uid="{00000000-0005-0000-0000-00009B040000}"/>
    <cellStyle name="AÞ¸?¼OAI(»y»e1-3)(2)_PR" xfId="4365" xr:uid="{00000000-0005-0000-0000-00008A040000}"/>
    <cellStyle name="AÞ¸?¼OAI(ÆC¸A1-3) 2)_PRO" xfId="4366" xr:uid="{00000000-0005-0000-0000-00008B040000}"/>
    <cellStyle name="AÞ¸?¼OAI(FEB»y»e) 2)_PR" xfId="4367" xr:uid="{00000000-0005-0000-0000-00008C040000}"/>
    <cellStyle name="AÞ¸?¼OAI(FEBÆC¸A) 2)_PRO" xfId="4368" xr:uid="{00000000-0005-0000-0000-00008D040000}"/>
    <cellStyle name="AÞ¸?¼OAI(MAR»y»e) 2)_PR" xfId="4369" xr:uid="{00000000-0005-0000-0000-00008E040000}"/>
    <cellStyle name="AÞ¸?¼OAI(MARÆC¸A) 2)_PR" xfId="4370" xr:uid="{00000000-0005-0000-0000-00008F040000}"/>
    <cellStyle name="AÞ¸?¼OAI1¿u (2)A) 2)" xfId="4371" xr:uid="{00000000-0005-0000-0000-000090040000}"/>
    <cellStyle name="AÞ¸?¼OAI1¿u (ÆC¸A)2)_PROD" xfId="4372" xr:uid="{00000000-0005-0000-0000-000091040000}"/>
    <cellStyle name="AÞ¸?¼OAI1¿uRÆC¸A" xfId="4373" xr:uid="{00000000-0005-0000-0000-000092040000}"/>
    <cellStyle name="AÞ¸?¼OAIA?¤»cC?)" xfId="4374" xr:uid="{00000000-0005-0000-0000-000093040000}"/>
    <cellStyle name="AÞ¸?¼OAIA?I.95¸A)2)" xfId="4375" xr:uid="{00000000-0005-0000-0000-000094040000}"/>
    <cellStyle name="AÞ¸?¼OAIA?I.9972)2)_P" xfId="4376" xr:uid="{00000000-0005-0000-0000-000095040000}"/>
    <cellStyle name="AÞ¸?¼OAIAO¿a»cC?)2)_PR" xfId="4377" xr:uid="{00000000-0005-0000-0000-000096040000}"/>
    <cellStyle name="AÞ¸?¼OAIJAN(»y»e?°æAu)OD.SEPTIN" xfId="4378" xr:uid="{00000000-0005-0000-0000-000097040000}"/>
    <cellStyle name="AÞ¸?¼OAIJAN(»y»e?°æEA) D.SEPTING" xfId="4379" xr:uid="{00000000-0005-0000-0000-000098040000}"/>
    <cellStyle name="AÞ¸?¼OAIJAN(ÆC¸A)?°æEA)" xfId="4380" xr:uid="{00000000-0005-0000-0000-000099040000}"/>
    <cellStyle name="AÞ¸?10¿u1AN(" xfId="4383" xr:uid="{00000000-0005-0000-0000-00009C040000}"/>
    <cellStyle name="AÞ¸?11¿u1AN(" xfId="4385" xr:uid="{00000000-0005-0000-0000-00009E040000}"/>
    <cellStyle name="AÞ¸?11.41AN" xfId="4384" xr:uid="{00000000-0005-0000-0000-00009D040000}"/>
    <cellStyle name="AÞ¸?12¿u1AN(" xfId="4386" xr:uid="{00000000-0005-0000-0000-00009F040000}"/>
    <cellStyle name="AÞ¸?2¿u_1AN( " xfId="4388" xr:uid="{00000000-0005-0000-0000-0000A1040000}"/>
    <cellStyle name="AÞ¸?2¿uu1AN" xfId="4389" xr:uid="{00000000-0005-0000-0000-0000A2040000}"/>
    <cellStyle name="AÞ¸?2.3u1A" xfId="4387" xr:uid="{00000000-0005-0000-0000-0000A0040000}"/>
    <cellStyle name="AÞ¸?3¿u 1AN(" xfId="4391" xr:uid="{00000000-0005-0000-0000-0000A4040000}"/>
    <cellStyle name="AÞ¸?3.3_1A" xfId="4390" xr:uid="{00000000-0005-0000-0000-0000A3040000}"/>
    <cellStyle name="AÞ¸?³a?A?¤ÆC¸A)?°æ" xfId="4392" xr:uid="{00000000-0005-0000-0000-0000A5040000}"/>
    <cellStyle name="AÞ¸?4¿u  ?¤Æ" xfId="4393" xr:uid="{00000000-0005-0000-0000-0000A6040000}"/>
    <cellStyle name="AÞ¸?5¿u  ?¤Æ" xfId="4394" xr:uid="{00000000-0005-0000-0000-0000A7040000}"/>
    <cellStyle name="AÞ¸?9¿u  ?" xfId="4395" xr:uid="{00000000-0005-0000-0000-0000A8040000}"/>
    <cellStyle name="AÞ¸?95³aAc°iÆC¸A)?°æEA)" xfId="4396" xr:uid="{00000000-0005-0000-0000-0000A9040000}"/>
    <cellStyle name="AÞ¸?96 Factory Overhead D." xfId="4397" xr:uid="{00000000-0005-0000-0000-0000AA040000}"/>
    <cellStyle name="AÞ¸?96(ÆC°uºn) (2)rhead " xfId="4398" xr:uid="{00000000-0005-0000-0000-0000AB040000}"/>
    <cellStyle name="AÞ¸?96(ÆC°uºn) (3)rhead " xfId="4399" xr:uid="{00000000-0005-0000-0000-0000AC040000}"/>
    <cellStyle name="AÞ¸?96³a¹IÆC¸A¼OAI»o¼¼d D.SEPTING" xfId="4400" xr:uid="{00000000-0005-0000-0000-0000AD040000}"/>
    <cellStyle name="AÞ¸?97³a " xfId="4401" xr:uid="{00000000-0005-0000-0000-0000AE040000}"/>
    <cellStyle name="AÞ¸?97PORTIONA¼O" xfId="4402" xr:uid="{00000000-0005-0000-0000-0000AF040000}"/>
    <cellStyle name="AÞ¸?Ac°i?°¡°¨¼OAI»o¼¼d" xfId="4403" xr:uid="{00000000-0005-0000-0000-0000B0040000}"/>
    <cellStyle name="AÞ¸?Ac°iº¸A?¹RA|AI»o¼¼d" xfId="4404" xr:uid="{00000000-0005-0000-0000-0000B1040000}"/>
    <cellStyle name="AÞ¸?ALLOCATIONA|A" xfId="4405" xr:uid="{00000000-0005-0000-0000-0000B2040000}"/>
    <cellStyle name="AÞ¸?Ao±ÞAIAU¹eºI±aA?(4¿u)SEPTINGNG2" xfId="4406" xr:uid="{00000000-0005-0000-0000-0000B3040000}"/>
    <cellStyle name="AÞ¸?Ao±ÞAIAU¹eºI±aA?(5¿u)SEPTINGNG2" xfId="4407" xr:uid="{00000000-0005-0000-0000-0000B4040000}"/>
    <cellStyle name="AÞ¸?Ao±ÞAIAUONA|A" xfId="4408" xr:uid="{00000000-0005-0000-0000-0000B5040000}"/>
    <cellStyle name="AÞ¸?AoAUAIA" xfId="4409" xr:uid="{00000000-0005-0000-0000-0000B6040000}"/>
    <cellStyle name="AÞ¸?AprilIAU" xfId="4410" xr:uid="{00000000-0005-0000-0000-0000B7040000}"/>
    <cellStyle name="AÞ¸?APRUAI" xfId="4411" xr:uid="{00000000-0005-0000-0000-0000B8040000}"/>
    <cellStyle name="AÞ¸?AS400 AU " xfId="4412" xr:uid="{00000000-0005-0000-0000-0000B9040000}"/>
    <cellStyle name="AÞ¸?AU±Y¼oAo (2)±aA?" xfId="4413" xr:uid="{00000000-0005-0000-0000-0000BA040000}"/>
    <cellStyle name="AÞ¸?AU¾÷AI¼o (2)±a" xfId="4414" xr:uid="{00000000-0005-0000-0000-0000BB040000}"/>
    <cellStyle name="AÞ¸?Book2I¼o" xfId="4415" xr:uid="{00000000-0005-0000-0000-0000BC040000}"/>
    <cellStyle name="AÞ¸?BOXk2I" xfId="4416" xr:uid="{00000000-0005-0000-0000-0000BD040000}"/>
    <cellStyle name="AÞ¸?C?Ao (2) (2)" xfId="4417" xr:uid="{00000000-0005-0000-0000-0000BE040000}"/>
    <cellStyle name="AÞ¸?CI¹Y±a(HYPA) (3) (5¿u" xfId="4418" xr:uid="{00000000-0005-0000-0000-0000BF040000}"/>
    <cellStyle name="AÞ¸?CI¹Y±a2) (2" xfId="4419" xr:uid="{00000000-0005-0000-0000-0000C0040000}"/>
    <cellStyle name="AÞ¸?CIAU¿øAIYPA) " xfId="4420" xr:uid="{00000000-0005-0000-0000-0000C1040000}"/>
    <cellStyle name="AÞ¸?CIAU±Y¾×A??(3) (5 " xfId="4421" xr:uid="{00000000-0005-0000-0000-0000C2040000}"/>
    <cellStyle name="AÞ¸?CoE?(2)A? " xfId="4422" xr:uid="{00000000-0005-0000-0000-0000C3040000}"/>
    <cellStyle name="AÞ¸?CoE²±Y¾×" xfId="4423" xr:uid="{00000000-0005-0000-0000-0000C4040000}"/>
    <cellStyle name="AÞ¸?COGS (2" xfId="4424" xr:uid="{00000000-0005-0000-0000-0000C5040000}"/>
    <cellStyle name="AÞ¸?CONSOL(CLOSING)) (" xfId="4425" xr:uid="{00000000-0005-0000-0000-0000C6040000}"/>
    <cellStyle name="AÞ¸?cover (2)_ALLOCATIONu)S" xfId="4426" xr:uid="{00000000-0005-0000-0000-0000C7040000}"/>
    <cellStyle name="AÞ¸?cover (2)OSI" xfId="4427" xr:uid="{00000000-0005-0000-0000-0000C8040000}"/>
    <cellStyle name="AÞ¸?cover_¸¸±aµµ·¡.SEPTINGSE" xfId="4428" xr:uid="{00000000-0005-0000-0000-0000C9040000}"/>
    <cellStyle name="AÞ¸?COVERL(C" xfId="4429" xr:uid="{00000000-0005-0000-0000-0000CA040000}"/>
    <cellStyle name="AÞ¸?DOMer_" xfId="4430" xr:uid="{00000000-0005-0000-0000-0000CB040000}"/>
    <cellStyle name="AÞ¸?FAC.OVERHEAD(2)" xfId="4431" xr:uid="{00000000-0005-0000-0000-0000CC040000}"/>
    <cellStyle name="AÞ¸?Factory O.H.(°a»eeA)NGSEP" xfId="4432" xr:uid="{00000000-0005-0000-0000-0000CD040000}"/>
    <cellStyle name="AÞ¸?Factory O.H.(allo)(DEC)EPT" xfId="4433" xr:uid="{00000000-0005-0000-0000-0000CE040000}"/>
    <cellStyle name="AÞ¸?Factory O.H.Vr.Fix.AnalysisNGN" xfId="4434" xr:uid="{00000000-0005-0000-0000-0000CF040000}"/>
    <cellStyle name="AÞ¸?FACTORY OH. &amp; MISC. INC.EXPNGN" xfId="4435" xr:uid="{00000000-0005-0000-0000-0000D0040000}"/>
    <cellStyle name="AÞ¸?FACTORY OH.&amp; MISC.EXP.(JAN)NGN" xfId="4436" xr:uid="{00000000-0005-0000-0000-0000D1040000}"/>
    <cellStyle name="AÞ¸?FACTORY OVERHEAD &amp; MISC INC.EXP_¸¸±aµµ·¡EPTINGA) (" xfId="4437" xr:uid="{00000000-0005-0000-0000-0000D2040000}"/>
    <cellStyle name="AÞ¸?FACTORY OVERHEAD &amp; MISC INC.EXP2)_" xfId="4438" xr:uid="{00000000-0005-0000-0000-0000D3040000}"/>
    <cellStyle name="AÞ¸?FACTORY OVERHEAD FOR DEC.NC." xfId="4439" xr:uid="{00000000-0005-0000-0000-0000D4040000}"/>
    <cellStyle name="AÞ¸?FACTORY OVERHEAD FOR NOV.NC" xfId="4440" xr:uid="{00000000-0005-0000-0000-0000D5040000}"/>
    <cellStyle name="AÞ¸?FACTORY OVERHEAD.EXPe)_" xfId="4443" xr:uid="{00000000-0005-0000-0000-0000D8040000}"/>
    <cellStyle name="AÞ¸?FACTORY OVERHEAD(june)_¸¸±aµµ·¡_cover (2)" xfId="4441" xr:uid="{00000000-0005-0000-0000-0000D6040000}"/>
    <cellStyle name="AÞ¸?FACTORY OVERHEAD(june)OV." xfId="4442" xr:uid="{00000000-0005-0000-0000-0000D7040000}"/>
    <cellStyle name="AÞ¸?FACTORY OVERHEADC.E" xfId="4444" xr:uid="{00000000-0005-0000-0000-0000D9040000}"/>
    <cellStyle name="AÞ¸?FebruaryOVE" xfId="4445" xr:uid="{00000000-0005-0000-0000-0000DA040000}"/>
    <cellStyle name="AÞ¸?FEBTOR" xfId="4446" xr:uid="{00000000-0005-0000-0000-0000DB040000}"/>
    <cellStyle name="AÞ¸?Gen.Exp.Analysis(DEC))_c" xfId="4448" xr:uid="{00000000-0005-0000-0000-0000DD040000}"/>
    <cellStyle name="AÞ¸?GEN(1-5)OVE" xfId="4447" xr:uid="{00000000-0005-0000-0000-0000DC040000}"/>
    <cellStyle name="AÞ¸?GEN12  _1nal" xfId="4450" xr:uid="{00000000-0005-0000-0000-0000DF040000}"/>
    <cellStyle name="AÞ¸?GEN12  .An" xfId="4449" xr:uid="{00000000-0005-0000-0000-0000DE040000}"/>
    <cellStyle name="AÞ¸?GEN4   _" xfId="4451" xr:uid="{00000000-0005-0000-0000-0000E0040000}"/>
    <cellStyle name="AÞ¸?GEN4 _¸¸±aµµ·¡is(DEC))_c" xfId="4452" xr:uid="{00000000-0005-0000-0000-0000E1040000}"/>
    <cellStyle name="AÞ¸?General Exp.Vr.Fix Analysis_1EPT" xfId="4453" xr:uid="{00000000-0005-0000-0000-0000E2040000}"/>
    <cellStyle name="AÞ¸?General Exp.Vr.Fix AnalysisGSE" xfId="4454" xr:uid="{00000000-0005-0000-0000-0000E3040000}"/>
    <cellStyle name="AÞ¸?GRPera" xfId="4455" xr:uid="{00000000-0005-0000-0000-0000E4040000}"/>
    <cellStyle name="AÞ¸?HPA1298 Ex" xfId="4456" xr:uid="{00000000-0005-0000-0000-0000E5040000}"/>
    <cellStyle name="AÞ¸?HPA1298_HPAFINAL0699(final)_Hy" xfId="4457" xr:uid="{00000000-0005-0000-0000-0000E6040000}"/>
    <cellStyle name="AÞ¸?HPA9812_Hy" xfId="4458" xr:uid="{00000000-0005-0000-0000-0000E7040000}"/>
    <cellStyle name="AÞ¸?INV. QTY.ypa" xfId="4459" xr:uid="{00000000-0005-0000-0000-0000E8040000}"/>
    <cellStyle name="AÞ¸?inv.finished049" xfId="4460" xr:uid="{00000000-0005-0000-0000-0000E9040000}"/>
    <cellStyle name="AÞ¸?itemº°nishe" xfId="4461" xr:uid="{00000000-0005-0000-0000-0000EA040000}"/>
    <cellStyle name="AÞ¸?JAN98°ni" xfId="4462" xr:uid="{00000000-0005-0000-0000-0000EB040000}"/>
    <cellStyle name="AÞ¸?JANmº°" xfId="4463" xr:uid="{00000000-0005-0000-0000-0000EC040000}"/>
    <cellStyle name="AÞ¸?Januaryish" xfId="4464" xr:uid="{00000000-0005-0000-0000-0000ED040000}"/>
    <cellStyle name="AÞ¸?Julyary" xfId="4465" xr:uid="{00000000-0005-0000-0000-0000EE040000}"/>
    <cellStyle name="AÞ¸?Juneary" xfId="4466" xr:uid="{00000000-0005-0000-0000-0000EF040000}"/>
    <cellStyle name="AÞ¸?LABOR.FAC.EXP499" xfId="4467" xr:uid="{00000000-0005-0000-0000-0000F0040000}"/>
    <cellStyle name="AÞ¸?LEADR.F" xfId="4468" xr:uid="{00000000-0005-0000-0000-0000F1040000}"/>
    <cellStyle name="AÞ¸?LINE¿i¿µ (2)P49906" xfId="4469" xr:uid="{00000000-0005-0000-0000-0000F2040000}"/>
    <cellStyle name="AÞ¸?LINE¿i¿µC.EXP4" xfId="4470" xr:uid="{00000000-0005-0000-0000-0000F3040000}"/>
    <cellStyle name="AÞ¸?MANUF. COSTSP49" xfId="4471" xr:uid="{00000000-0005-0000-0000-0000F4040000}"/>
    <cellStyle name="AÞ¸?March. C" xfId="4472" xr:uid="{00000000-0005-0000-0000-0000F5040000}"/>
    <cellStyle name="AÞ¸?MARUF." xfId="4473" xr:uid="{00000000-0005-0000-0000-0000F6040000}"/>
    <cellStyle name="AÞ¸?MATERIALOST" xfId="4474" xr:uid="{00000000-0005-0000-0000-0000F7040000}"/>
    <cellStyle name="AÞ¸?MAYERI" xfId="4475" xr:uid="{00000000-0005-0000-0000-0000F8040000}"/>
    <cellStyle name="AÞ¸?MEX.PRL_¸¸±aµµ·¡0699(final" xfId="4476" xr:uid="{00000000-0005-0000-0000-0000F9040000}"/>
    <cellStyle name="AÞ¸?MEX.PRLLOS" xfId="4477" xr:uid="{00000000-0005-0000-0000-0000FA040000}"/>
    <cellStyle name="AÞ¸?MEX1PRL" xfId="4478" xr:uid="{00000000-0005-0000-0000-0000FB040000}"/>
    <cellStyle name="AÞ¸?mex3PRL" xfId="4479" xr:uid="{00000000-0005-0000-0000-0000FC040000}"/>
    <cellStyle name="AÞ¸?MEXICAN PAYROLL(JAN)OD." xfId="4480" xr:uid="{00000000-0005-0000-0000-0000FD040000}"/>
    <cellStyle name="AÞ¸?MHXIC" xfId="4481" xr:uid="{00000000-0005-0000-0000-0000FE040000}"/>
    <cellStyle name="AÞ¸?MONTHLY PRODOLL" xfId="4482" xr:uid="{00000000-0005-0000-0000-0000FF040000}"/>
    <cellStyle name="AÞ¸?ºI¼­º° (2)ODOLL(JA" xfId="4483" xr:uid="{00000000-0005-0000-0000-000000050000}"/>
    <cellStyle name="AÞ¸?ºI¼­º°Y PRODOL" xfId="4484" xr:uid="{00000000-0005-0000-0000-000001050000}"/>
    <cellStyle name="AÞ¸?P&amp;L~ADV. PRODLL(" xfId="4485" xr:uid="{00000000-0005-0000-0000-000002050000}"/>
    <cellStyle name="AÞ¸?PLAN`98(6.15)LL(" xfId="4486" xr:uid="{00000000-0005-0000-0000-000003050000}"/>
    <cellStyle name="AÞ¸?PRD_¸¸±aµµ·¡)LL(JAN)OD" xfId="4488" xr:uid="{00000000-0005-0000-0000-000005050000}"/>
    <cellStyle name="AÞ¸?PRD(12)(6." xfId="4487" xr:uid="{00000000-0005-0000-0000-000004050000}"/>
    <cellStyle name="AÞ¸?PRDN`9" xfId="4489" xr:uid="{00000000-0005-0000-0000-000006050000}"/>
    <cellStyle name="AÞ¸?PROD REPORT2)_" xfId="4490" xr:uid="{00000000-0005-0000-0000-000007050000}"/>
    <cellStyle name="AÞ¸?PROD REPORT3)_P" xfId="4491" xr:uid="{00000000-0005-0000-0000-000008050000}"/>
    <cellStyle name="AÞ¸?PROD.COSTING)_P" xfId="4494" xr:uid="{00000000-0005-0000-0000-00000B050000}"/>
    <cellStyle name="AÞ¸?PROD.MAYTIN" xfId="4495" xr:uid="{00000000-0005-0000-0000-00000C050000}"/>
    <cellStyle name="AÞ¸?PROD(FEB)RT3" xfId="4492" xr:uid="{00000000-0005-0000-0000-000009050000}"/>
    <cellStyle name="AÞ¸?PROD(JAN)RT3" xfId="4493" xr:uid="{00000000-0005-0000-0000-00000A050000}"/>
    <cellStyle name="AÞ¸?REEFERAYT" xfId="4496" xr:uid="{00000000-0005-0000-0000-00000D050000}"/>
    <cellStyle name="AÞ¸?Sheet1 (2)_¸¸±aµµ·¡SEPTINGSEP" xfId="4497" xr:uid="{00000000-0005-0000-0000-00000E050000}"/>
    <cellStyle name="AÞ¸?Sheet1 (2)NG)" xfId="4498" xr:uid="{00000000-0005-0000-0000-00000F050000}"/>
    <cellStyle name="AÞ¸?Sheet1_12)_" xfId="4499" xr:uid="{00000000-0005-0000-0000-000010050000}"/>
    <cellStyle name="AÞ¸?Sheet1AYT" xfId="4500" xr:uid="{00000000-0005-0000-0000-000011050000}"/>
    <cellStyle name="AÞ¸?Sheet3_12" xfId="4501" xr:uid="{00000000-0005-0000-0000-000012050000}"/>
    <cellStyle name="AÞ¸?Sheet4_12" xfId="4502" xr:uid="{00000000-0005-0000-0000-000013050000}"/>
    <cellStyle name="AÞ¸?SUBCONTRACTOR COSTS (2" xfId="4503" xr:uid="{00000000-0005-0000-0000-000014050000}"/>
    <cellStyle name="AÞ¸?SUBCONTRACTOR COSTS_¸¸±aµµ·¡PTINGTING." xfId="4504" xr:uid="{00000000-0005-0000-0000-000015050000}"/>
    <cellStyle name="AÞ¸?SUMMARYRAC" xfId="4505" xr:uid="{00000000-0005-0000-0000-000016050000}"/>
    <cellStyle name="AÞ¸?TCMMA" xfId="4506" xr:uid="{00000000-0005-0000-0000-000017050000}"/>
    <cellStyle name="AÞ¸?US PAYROLL(JAN)OST" xfId="4507" xr:uid="{00000000-0005-0000-0000-000018050000}"/>
    <cellStyle name="AÞ¸?US.PRL_¸¸±aµµ·¡OSTS_cover" xfId="4508" xr:uid="{00000000-0005-0000-0000-000019050000}"/>
    <cellStyle name="AÞ¸?US.PRLROL" xfId="4509" xr:uid="{00000000-0005-0000-0000-00001A050000}"/>
    <cellStyle name="AÞ¸?V.8.(2)¿µ¾÷¿UAU±YPROD.SEPT" xfId="4510" xr:uid="{00000000-0005-0000-0000-00001B050000}"/>
    <cellStyle name="AÞ¸?V.8.(3)ºIA·AU±YA¶´Þ¹æ¾EEPTINGSEPTIN" xfId="4511" xr:uid="{00000000-0005-0000-0000-00001C050000}"/>
    <cellStyle name="AÞ¸?V.8.(4)¿µ¾÷¿Uºn¿eA?¤¾EEPTINGSEPT" xfId="4512" xr:uid="{00000000-0005-0000-0000-00001D050000}"/>
    <cellStyle name="AÞ¸?V.8.AU±Y¿i¿e(1.¿µ¾÷»o)EEPTINGSEPT" xfId="4513" xr:uid="{00000000-0005-0000-0000-00001E050000}"/>
    <cellStyle name="AÞ¸?VT8.A" xfId="4514" xr:uid="{00000000-0005-0000-0000-00001F050000}"/>
    <cellStyle name="AÞ¸?VT95³aAc°iÆC¸A»o¼¼÷»o)EEPTIN" xfId="4515" xr:uid="{00000000-0005-0000-0000-000020050000}"/>
    <cellStyle name="AÞ¸?WARRANTY_¸¸±aµµ·¡¼÷»o)EEPTI" xfId="4516" xr:uid="{00000000-0005-0000-0000-000021050000}"/>
    <cellStyle name="AÞ¸?WARRANTY°i " xfId="4517" xr:uid="{00000000-0005-0000-0000-000022050000}"/>
    <cellStyle name="AÞ¸?warrantyA?¤A?I (2)ROD.SE" xfId="4518" xr:uid="{00000000-0005-0000-0000-000023050000}"/>
    <cellStyle name="AÞ¸?warrantyA?¤A?I2)_PRO" xfId="4519" xr:uid="{00000000-0005-0000-0000-000024050000}"/>
    <cellStyle name="AÞ¸?WK1_¸¸±aµµ·¡A?I (2)RO" xfId="4520" xr:uid="{00000000-0005-0000-0000-000025050000}"/>
    <cellStyle name="AÞ¸?WK1ran" xfId="4521" xr:uid="{00000000-0005-0000-0000-000026050000}"/>
    <cellStyle name="AÞ¸?WK2_¸¸±aµµ·¡)_PROD.SEP" xfId="4522" xr:uid="{00000000-0005-0000-0000-000027050000}"/>
    <cellStyle name="AÞ¸?WK3_¸¸±aµµ·¡)_PROD.SEP" xfId="4523" xr:uid="{00000000-0005-0000-0000-000028050000}"/>
    <cellStyle name="AÞ¸?WK4_¸¸±aµµ·¡)_PROD.SEP" xfId="4524" xr:uid="{00000000-0005-0000-0000-000029050000}"/>
    <cellStyle name="AÞ¸¶ [0]_¡U¾EU￢ A¾COºn±³ " xfId="4525" xr:uid="{00000000-0005-0000-0000-00002A050000}"/>
    <cellStyle name="AÞ¸¶_¡U¾EU￢ A¾COºn±³ " xfId="4527" xr:uid="{00000000-0005-0000-0000-00004D050000}"/>
    <cellStyle name="Bad" xfId="4534" xr:uid="{00000000-0005-0000-0000-000075050000}"/>
    <cellStyle name="Bad 2" xfId="442" xr:uid="{00000000-0005-0000-0000-000076050000}"/>
    <cellStyle name="Body" xfId="4535" xr:uid="{00000000-0005-0000-0000-000077050000}"/>
    <cellStyle name="Bridge " xfId="4537" xr:uid="{00000000-0005-0000-0000-000079050000}"/>
    <cellStyle name="bࢄɼ_x0009_통" xfId="4536" xr:uid="{00000000-0005-0000-0000-000078050000}"/>
    <cellStyle name="C¡ERIA￠R¡×¡§¡I_¡ER¡§￠R¡§I¡ERAi¡ERicAc¡ER¡§￠Ri " xfId="4775" xr:uid="{00000000-0005-0000-0000-000067060000}"/>
    <cellStyle name="C¡IA¨ª_¡Æⓒøⓒoⓒ￢AIA￠´ " xfId="4776" xr:uid="{00000000-0005-0000-0000-000068060000}"/>
    <cellStyle name="C¡ÍA¨ª_¨ùOAI(RIO)" xfId="4777" xr:uid="{00000000-0005-0000-0000-000069060000}"/>
    <cellStyle name="C¡IA¨ª_¨uoAOCaA￠´¨oA¡io " xfId="4778" xr:uid="{00000000-0005-0000-0000-00006A060000}"/>
    <cellStyle name="C?A??½ACNµµ (7¿u)PROD.SEP" xfId="4538" xr:uid="{00000000-0005-0000-0000-00007A050000}"/>
    <cellStyle name="C?A?¿uº° (4) (7¿u" xfId="4543" xr:uid="{00000000-0005-0000-0000-00007F050000}"/>
    <cellStyle name="C?A?»o¹Y±a(HYPA) (2)OD.SE" xfId="4545" xr:uid="{00000000-0005-0000-0000-000081050000}"/>
    <cellStyle name="C?A?»y»e½CAuYPA) " xfId="4546" xr:uid="{00000000-0005-0000-0000-000082050000}"/>
    <cellStyle name="C?A?´U°¡cover" xfId="4539" xr:uid="{00000000-0005-0000-0000-00007B050000}"/>
    <cellStyle name="C?A?¸¸±aµµ·¡ (2))_PROD.SE" xfId="4540" xr:uid="{00000000-0005-0000-0000-00007C050000}"/>
    <cellStyle name="C?A?¸¸±aµµ·¡r (2)_PRO" xfId="4541" xr:uid="{00000000-0005-0000-0000-00007D050000}"/>
    <cellStyle name="C?A?¸nA÷µµ· " xfId="4542" xr:uid="{00000000-0005-0000-0000-00007E050000}"/>
    <cellStyle name="C?A?°¡µ¿A²AuYPA) " xfId="4547" xr:uid="{00000000-0005-0000-0000-000083050000}"/>
    <cellStyle name="C?A?°æºn7¿uÐ¸R)) " xfId="4548" xr:uid="{00000000-0005-0000-0000-000084050000}"/>
    <cellStyle name="C?A?°ø¹R (ºÐ¸R)) (2)OD." xfId="4549" xr:uid="{00000000-0005-0000-0000-000085050000}"/>
    <cellStyle name="C?A?°ø¹R ²AuYP" xfId="4550" xr:uid="{00000000-0005-0000-0000-000086050000}"/>
    <cellStyle name="C?A?±Y¾× (4) " xfId="4544" xr:uid="{00000000-0005-0000-0000-000080050000}"/>
    <cellStyle name="C?A?1¿u_1AN(" xfId="4591" xr:uid="{00000000-0005-0000-0000-0000AF050000}"/>
    <cellStyle name="C?A?1¿uIJA" xfId="4592" xr:uid="{00000000-0005-0000-0000-0000B0050000}"/>
    <cellStyle name="C?A?¼OAI(»y»e1-3)(2)OD" xfId="4551" xr:uid="{00000000-0005-0000-0000-000087050000}"/>
    <cellStyle name="C?A?¼OAI(ÆC¸A1-3) 2)OD." xfId="4552" xr:uid="{00000000-0005-0000-0000-000088050000}"/>
    <cellStyle name="C?A?¼OAI(FEB»y»e) 2)OD" xfId="4553" xr:uid="{00000000-0005-0000-0000-000089050000}"/>
    <cellStyle name="C?A?¼OAI(FEBÆC¸A) 2)OD." xfId="4554" xr:uid="{00000000-0005-0000-0000-00008A050000}"/>
    <cellStyle name="C?A?¼OAI(MAR»y»e) 2)OD" xfId="4555" xr:uid="{00000000-0005-0000-0000-00008B050000}"/>
    <cellStyle name="C?A?¼OAI(MARÆC¸A) 2)OD" xfId="4556" xr:uid="{00000000-0005-0000-0000-00008C050000}"/>
    <cellStyle name="C?A?¼OAI(RIO)C¸A" xfId="4557" xr:uid="{00000000-0005-0000-0000-00008D050000}"/>
    <cellStyle name="C?A?¼OAI°e»e(¿uº°)2)OD.SEP" xfId="4558" xr:uid="{00000000-0005-0000-0000-00008E050000}"/>
    <cellStyle name="C?A?¼OAI°e»e¼­uº°)2)O" xfId="4559" xr:uid="{00000000-0005-0000-0000-00008F050000}"/>
    <cellStyle name="C?A?¼OAI1-12¿u  (»y)  (3)PTING" xfId="4563" xr:uid="{00000000-0005-0000-0000-000093050000}"/>
    <cellStyle name="C?A?¼OAI1-12¿u  (ÆC)  (4)PTING" xfId="4564" xr:uid="{00000000-0005-0000-0000-000094050000}"/>
    <cellStyle name="C?A?¼OAI1-5¿u  (»y)  (2))PTIN" xfId="4565" xr:uid="{00000000-0005-0000-0000-000095050000}"/>
    <cellStyle name="C?A?¼OAI1-6¿u  (ÆC¸A±aA?PTINGSEP" xfId="4566" xr:uid="{00000000-0005-0000-0000-000096050000}"/>
    <cellStyle name="C?A?¼OAI1¿u (2)º°)2" xfId="4560" xr:uid="{00000000-0005-0000-0000-000090050000}"/>
    <cellStyle name="C?A?¼OAI1¿u (ÆC¸A)2)OD.S" xfId="4561" xr:uid="{00000000-0005-0000-0000-000091050000}"/>
    <cellStyle name="C?A?¼OAI1¿ue¼­u" xfId="4562" xr:uid="{00000000-0005-0000-0000-000092050000}"/>
    <cellStyle name="C?A?¼OAIA?¤»cC?" xfId="4567" xr:uid="{00000000-0005-0000-0000-000097050000}"/>
    <cellStyle name="C?A?¼OAIA?I.95 (2)A±aA" xfId="4568" xr:uid="{00000000-0005-0000-0000-000098050000}"/>
    <cellStyle name="C?A?¼OAIA?I.95(ÆC " xfId="4569" xr:uid="{00000000-0005-0000-0000-000099050000}"/>
    <cellStyle name="C?A?¼OAIA?I.9972_¼OAI(AUG»y»e) (2)NGPTING" xfId="4570" xr:uid="{00000000-0005-0000-0000-00009A050000}"/>
    <cellStyle name="C?A?¼OAIA?I.99722)A " xfId="4571" xr:uid="{00000000-0005-0000-0000-00009B050000}"/>
    <cellStyle name="C?A?¼OAIAO¿a»cC?_PROD" xfId="4572" xr:uid="{00000000-0005-0000-0000-00009C050000}"/>
    <cellStyle name="C?A?¼OAIAO¿a»cC?¼OAI(AUG»y»e) (2)(JUN) (2)" xfId="4573" xr:uid="{00000000-0005-0000-0000-00009D050000}"/>
    <cellStyle name="C?A?¼OAIAO¿a»cC?¼OAI(JUL»y»e) (2)(JUN) (2)" xfId="4574" xr:uid="{00000000-0005-0000-0000-00009E050000}"/>
    <cellStyle name="C?A?¼OAIAO¿a»cC?BOOK25UL»y»e" xfId="4575" xr:uid="{00000000-0005-0000-0000-00009F050000}"/>
    <cellStyle name="C?A?¼OAIAO¿a»cC?BOOK26UL»y»e" xfId="4576" xr:uid="{00000000-0005-0000-0000-0000A0050000}"/>
    <cellStyle name="C?A?¼OAIAO¿a»cC?BOOK2JUL»y " xfId="4577" xr:uid="{00000000-0005-0000-0000-0000A1050000}"/>
    <cellStyle name="C?A?¼OAIAO¿a»cC?Gen.Exp.Analysis(AUG) (2))INGSE" xfId="4578" xr:uid="{00000000-0005-0000-0000-0000A2050000}"/>
    <cellStyle name="C?A?¼OAIAO¿a»cC?Gen.Exp.Analysis(JUL) (2))INGSE" xfId="4579" xr:uid="{00000000-0005-0000-0000-0000A3050000}"/>
    <cellStyle name="C?A?¼OAIAO¿a»cC?Gen.Exp.Analysis(JUN) (2))INGSE" xfId="4580" xr:uid="{00000000-0005-0000-0000-0000A4050000}"/>
    <cellStyle name="C?A?¼OAIAO¿a»cC?HYPA9810Analys" xfId="4581" xr:uid="{00000000-0005-0000-0000-0000A5050000}"/>
    <cellStyle name="C?A?¼OAIAO¿a»cC?HYPA9870Analy" xfId="4582" xr:uid="{00000000-0005-0000-0000-0000A6050000}"/>
    <cellStyle name="C?A?¼OAIAO¿a»cC?HYPA9880Analy" xfId="4583" xr:uid="{00000000-0005-0000-0000-0000A7050000}"/>
    <cellStyle name="C?A?¼OAIAO¿a»cC?HYPA9890Analy" xfId="4584" xr:uid="{00000000-0005-0000-0000-0000A8050000}"/>
    <cellStyle name="C?A?¼OAIAO¿a»cC?MEX19890An" xfId="4585" xr:uid="{00000000-0005-0000-0000-0000A9050000}"/>
    <cellStyle name="C?A?¼OAIAO¿a»cC?PROD REPORT3ysis(J" xfId="4586" xr:uid="{00000000-0005-0000-0000-0000AA050000}"/>
    <cellStyle name="C?A?¼OAIAO¿a»cC?PROD REPORTlysis(" xfId="4587" xr:uid="{00000000-0005-0000-0000-0000AB050000}"/>
    <cellStyle name="C?A?¼OAIJAN(»y»e?°æAu)EPORT3ys" xfId="4588" xr:uid="{00000000-0005-0000-0000-0000AC050000}"/>
    <cellStyle name="C?A?¼OAIJAN(»y»e?°æEA) PORT3ysi" xfId="4589" xr:uid="{00000000-0005-0000-0000-0000AD050000}"/>
    <cellStyle name="C?A?¼OAIJAN(ÆC¸A)?°æEA" xfId="4590" xr:uid="{00000000-0005-0000-0000-0000AE050000}"/>
    <cellStyle name="C?A?10¿u1AN" xfId="4593" xr:uid="{00000000-0005-0000-0000-0000B1050000}"/>
    <cellStyle name="C?A?11¿u1AN" xfId="4594" xr:uid="{00000000-0005-0000-0000-0000B2050000}"/>
    <cellStyle name="C?A?12¿u1AN" xfId="4595" xr:uid="{00000000-0005-0000-0000-0000B3050000}"/>
    <cellStyle name="C?A?2¿u_1AN(" xfId="4596" xr:uid="{00000000-0005-0000-0000-0000B4050000}"/>
    <cellStyle name="C?A?2¿uu1A" xfId="4597" xr:uid="{00000000-0005-0000-0000-0000B5050000}"/>
    <cellStyle name="C?A?3¿u 1AN" xfId="4598" xr:uid="{00000000-0005-0000-0000-0000B6050000}"/>
    <cellStyle name="C?A?4¿u  AN(" xfId="4599" xr:uid="{00000000-0005-0000-0000-0000B7050000}"/>
    <cellStyle name="C?A?5¿u  AN(" xfId="4600" xr:uid="{00000000-0005-0000-0000-0000B8050000}"/>
    <cellStyle name="C?A?9¿u  A" xfId="4601" xr:uid="{00000000-0005-0000-0000-0000B9050000}"/>
    <cellStyle name="C?A?96 Factory Overhead P" xfId="4602" xr:uid="{00000000-0005-0000-0000-0000BA050000}"/>
    <cellStyle name="C?A?96 Profit Projection (RC)ys" xfId="4603" xr:uid="{00000000-0005-0000-0000-0000BB050000}"/>
    <cellStyle name="C?A?96 Profit Projection (TC)ys" xfId="4604" xr:uid="{00000000-0005-0000-0000-0000BC050000}"/>
    <cellStyle name="C?A?96 Profit Projection (VT)ys" xfId="4605" xr:uid="{00000000-0005-0000-0000-0000BD050000}"/>
    <cellStyle name="C?A?96 Profit ProjectionPO" xfId="4606" xr:uid="{00000000-0005-0000-0000-0000BE050000}"/>
    <cellStyle name="C?A?97 INVENTORY COSTio" xfId="4607" xr:uid="{00000000-0005-0000-0000-0000BF050000}"/>
    <cellStyle name="C?A?97 P" xfId="4608" xr:uid="{00000000-0005-0000-0000-0000C0050000}"/>
    <cellStyle name="C?A?97 UNIT COST C" xfId="4609" xr:uid="{00000000-0005-0000-0000-0000C1050000}"/>
    <cellStyle name="C?A?97(ÆC°uºn) (2)OSTio" xfId="4610" xr:uid="{00000000-0005-0000-0000-0000C2050000}"/>
    <cellStyle name="C?A?97(ÆC°uºn) (3)OSTio" xfId="4611" xr:uid="{00000000-0005-0000-0000-0000C3050000}"/>
    <cellStyle name="C?A?97PORTION) " xfId="4612" xr:uid="{00000000-0005-0000-0000-0000C4050000}"/>
    <cellStyle name="C?A?A7P" xfId="4613" xr:uid="{00000000-0005-0000-0000-0000C5050000}"/>
    <cellStyle name="C?A?Ac°i?°¡°¨ (3)OSTi" xfId="4614" xr:uid="{00000000-0005-0000-0000-0000C6050000}"/>
    <cellStyle name="C?A?Ac°i?°¡°¨_¼OAI(AUG»y»e) (2)s(JUN) (2))" xfId="4615" xr:uid="{00000000-0005-0000-0000-0000C7050000}"/>
    <cellStyle name="C?A?Ac°iº¸A?¹RA|_¼OAI(AUG»y»e) (2)N) (2)2))" xfId="4616" xr:uid="{00000000-0005-0000-0000-0000C8050000}"/>
    <cellStyle name="C?A?Ac°iº¸A?¹RA|ROD RE" xfId="4617" xr:uid="{00000000-0005-0000-0000-0000C9050000}"/>
    <cellStyle name="C?A?ADJUSTA?" xfId="4618" xr:uid="{00000000-0005-0000-0000-0000CA050000}"/>
    <cellStyle name="C?A?ADJUSTED TOTALRO" xfId="4619" xr:uid="{00000000-0005-0000-0000-0000CB050000}"/>
    <cellStyle name="C?A?ALLOCATION_1AL" xfId="4620" xr:uid="{00000000-0005-0000-0000-0000CC050000}"/>
    <cellStyle name="C?A?ALLOCATIONOT" xfId="4621" xr:uid="{00000000-0005-0000-0000-0000CD050000}"/>
    <cellStyle name="C?A?Ao±ÞAIAU¹eºI±aA?(4¿u)3T3ysis(J" xfId="4622" xr:uid="{00000000-0005-0000-0000-0000CE050000}"/>
    <cellStyle name="C?A?Ao±ÞAIAU¹eºI±aA?(5¿u)3T3ysis(J" xfId="4623" xr:uid="{00000000-0005-0000-0000-0000CF050000}"/>
    <cellStyle name="C?A?APR?" xfId="4624" xr:uid="{00000000-0005-0000-0000-0000D0050000}"/>
    <cellStyle name="C?A?AprilIA" xfId="4625" xr:uid="{00000000-0005-0000-0000-0000D1050000}"/>
    <cellStyle name="C?A?AS400 AU" xfId="4626" xr:uid="{00000000-0005-0000-0000-0000D2050000}"/>
    <cellStyle name="C?A?AU±Y¼oAo (2)±aA " xfId="4628" xr:uid="{00000000-0005-0000-0000-0000D4050000}"/>
    <cellStyle name="C?A?AU±Yµ¿Ca (3)±aA?" xfId="4627" xr:uid="{00000000-0005-0000-0000-0000D3050000}"/>
    <cellStyle name="C?A?BOOK2_PROD REPORT35 " xfId="4629" xr:uid="{00000000-0005-0000-0000-0000D5050000}"/>
    <cellStyle name="C?A?Book2¿C" xfId="4630" xr:uid="{00000000-0005-0000-0000-0000D6050000}"/>
    <cellStyle name="C?A?BOOK25PR" xfId="4631" xr:uid="{00000000-0005-0000-0000-0000D7050000}"/>
    <cellStyle name="C?A?BOOK26PR" xfId="4632" xr:uid="{00000000-0005-0000-0000-0000D8050000}"/>
    <cellStyle name="C?A?BOXK2" xfId="4633" xr:uid="{00000000-0005-0000-0000-0000D9050000}"/>
    <cellStyle name="C?A?BREAK6P" xfId="4634" xr:uid="{00000000-0005-0000-0000-0000DA050000}"/>
    <cellStyle name="C?A?C?AoK6P" xfId="4635" xr:uid="{00000000-0005-0000-0000-0000DB050000}"/>
    <cellStyle name="C?A?CI¹Y±a(HYPA) (3)T35 " xfId="4636" xr:uid="{00000000-0005-0000-0000-0000DC050000}"/>
    <cellStyle name="C?A?CIAU¿øAI_¼OAI(AUG»y»e) (2)sis(JUN" xfId="4637" xr:uid="{00000000-0005-0000-0000-0000DD050000}"/>
    <cellStyle name="C?A?CIAU¿øAIYPA)" xfId="4638" xr:uid="{00000000-0005-0000-0000-0000DE050000}"/>
    <cellStyle name="C?A?CIAU±Y¾×A??¼OAI(AUG»y»e) (2) (2) (2))I" xfId="4639" xr:uid="{00000000-0005-0000-0000-0000DF050000}"/>
    <cellStyle name="C?A?CIAU±Y¾×A??¼OAI(JUL»y»e) (2) (2) (2))I" xfId="4640" xr:uid="{00000000-0005-0000-0000-0000E0050000}"/>
    <cellStyle name="C?A?CIAU±Y¾×A??BOOK25UL»y»e)" xfId="4641" xr:uid="{00000000-0005-0000-0000-0000E1050000}"/>
    <cellStyle name="C?A?CIAU±Y¾×A??BOOK26UL»y»e)" xfId="4642" xr:uid="{00000000-0005-0000-0000-0000E2050000}"/>
    <cellStyle name="C?A?CIAU±Y¾×A??BOOK2JUL»y»e" xfId="4643" xr:uid="{00000000-0005-0000-0000-0000E3050000}"/>
    <cellStyle name="C?A?CIAU±Y¾×A??Gen.Exp.Analysis(AUG) (2))INGSEP" xfId="4644" xr:uid="{00000000-0005-0000-0000-0000E4050000}"/>
    <cellStyle name="C?A?CIAU±Y¾×A??Gen.Exp.Analysis(JUL) (2))INGSEP" xfId="4645" xr:uid="{00000000-0005-0000-0000-0000E5050000}"/>
    <cellStyle name="C?A?CIAU±Y¾×A??Gen.Exp.Analysis(JUN) (2))INGSEP" xfId="4646" xr:uid="{00000000-0005-0000-0000-0000E6050000}"/>
    <cellStyle name="C?A?CIAU±Y¾×A??HYPA9810Analysi" xfId="4647" xr:uid="{00000000-0005-0000-0000-0000E7050000}"/>
    <cellStyle name="C?A?CIAU±Y¾×A??HYPA9870Analys" xfId="4648" xr:uid="{00000000-0005-0000-0000-0000E8050000}"/>
    <cellStyle name="C?A?CIAU±Y¾×A??HYPA9880Analys" xfId="4649" xr:uid="{00000000-0005-0000-0000-0000E9050000}"/>
    <cellStyle name="C?A?CIAU±Y¾×A??HYPA9890Analys" xfId="4650" xr:uid="{00000000-0005-0000-0000-0000EA050000}"/>
    <cellStyle name="C?A?CIAU±Y¾×A??MEX19890Ana" xfId="4651" xr:uid="{00000000-0005-0000-0000-0000EB050000}"/>
    <cellStyle name="C?A?CIAU±Y¾×A??PROD REPORT3ysis(JU" xfId="4652" xr:uid="{00000000-0005-0000-0000-0000EC050000}"/>
    <cellStyle name="C?A?CIAU±Y¾×A??PROD REPORTlysis(J" xfId="4653" xr:uid="{00000000-0005-0000-0000-0000ED050000}"/>
    <cellStyle name="C?A?CIAU±Y¾×A?¤D REPOR" xfId="4654" xr:uid="{00000000-0005-0000-0000-0000EE050000}"/>
    <cellStyle name="C?A?CoE?(2)_¸¸±aµµ·¡ REPORT3ys" xfId="4655" xr:uid="{00000000-0005-0000-0000-0000EF050000}"/>
    <cellStyle name="C?A?CoE?(2)A?" xfId="4656" xr:uid="{00000000-0005-0000-0000-0000F0050000}"/>
    <cellStyle name="C?A?CoE²±Y " xfId="4657" xr:uid="{00000000-0005-0000-0000-0000F1050000}"/>
    <cellStyle name="C?A?COGS (" xfId="4658" xr:uid="{00000000-0005-0000-0000-0000F2050000}"/>
    <cellStyle name="C?A?CONSOL(CLOSING)Ao" xfId="4659" xr:uid="{00000000-0005-0000-0000-0000F3050000}"/>
    <cellStyle name="C?A?cover (2)OS" xfId="4660" xr:uid="{00000000-0005-0000-0000-0000F4050000}"/>
    <cellStyle name="C?A?cover_¸¸±aµµ·¡)Ao (2)A)" xfId="4661" xr:uid="{00000000-0005-0000-0000-0000F5050000}"/>
    <cellStyle name="C?A?COVERL(" xfId="4662" xr:uid="{00000000-0005-0000-0000-0000F6050000}"/>
    <cellStyle name="C?A?DEDUCT.PLANoA" xfId="4663" xr:uid="{00000000-0005-0000-0000-0000F7050000}"/>
    <cellStyle name="C?A?Domcn&amp;ReeferAo" xfId="4664" xr:uid="{00000000-0005-0000-0000-0000F8050000}"/>
    <cellStyle name="C?A?DOMUC" xfId="4665" xr:uid="{00000000-0005-0000-0000-0000F9050000}"/>
    <cellStyle name="C?A?FAC.EXP.ALLO_¼OAI(AUG»y»e) (2)JUN) " xfId="4666" xr:uid="{00000000-0005-0000-0000-0000FA050000}"/>
    <cellStyle name="C?A?FAC.EXP.ALLOAo" xfId="4667" xr:uid="{00000000-0005-0000-0000-0000FB050000}"/>
    <cellStyle name="C?A?FAC.OVERHEAD_P" xfId="4668" xr:uid="{00000000-0005-0000-0000-0000FC050000}"/>
    <cellStyle name="C?A?Factory O.H.(°a»eeA)_¼OAI(AUG»y»e) (2))INGSEP" xfId="4669" xr:uid="{00000000-0005-0000-0000-0000FD050000}"/>
    <cellStyle name="C?A?Factory O.H.(°a»eeA)PORT" xfId="4670" xr:uid="{00000000-0005-0000-0000-0000FE050000}"/>
    <cellStyle name="C?A?Factory O.H.(allo)(DEC)OD" xfId="4671" xr:uid="{00000000-0005-0000-0000-0000FF050000}"/>
    <cellStyle name="C?A?Factory O.H.Vr.Fix.AnalysisEP" xfId="4672" xr:uid="{00000000-0005-0000-0000-000000060000}"/>
    <cellStyle name="C?A?FACTORY OH. &amp; MISC. INC.EXPEP" xfId="4673" xr:uid="{00000000-0005-0000-0000-000001060000}"/>
    <cellStyle name="C?A?FACTORY OH.&amp; MISC.EXP.(JAN)EP" xfId="4674" xr:uid="{00000000-0005-0000-0000-000002060000}"/>
    <cellStyle name="C?A?FACTORY OVERHEAD &amp; MISC INC.EXP_1ys" xfId="4675" xr:uid="{00000000-0005-0000-0000-000003060000}"/>
    <cellStyle name="C?A?FACTORY OVERHEAD &amp; MISC INC.EXPT3" xfId="4676" xr:uid="{00000000-0005-0000-0000-000004060000}"/>
    <cellStyle name="C?A?FACTORY OVERHEAD FOR DEC.NC" xfId="4677" xr:uid="{00000000-0005-0000-0000-000005060000}"/>
    <cellStyle name="C?A?FACTORY OVERHEAD FOR NOV.N" xfId="4678" xr:uid="{00000000-0005-0000-0000-000006060000}"/>
    <cellStyle name="C?A?FACTORY OVERHEAD.EXPe)" xfId="4680" xr:uid="{00000000-0005-0000-0000-000008060000}"/>
    <cellStyle name="C?A?FACTORY OVERHEAD(june)OV" xfId="4679" xr:uid="{00000000-0005-0000-0000-000007060000}"/>
    <cellStyle name="C?A?FACTORY OVERHEADC." xfId="4681" xr:uid="{00000000-0005-0000-0000-000009060000}"/>
    <cellStyle name="C?A?FebruaryOV" xfId="4682" xr:uid="{00000000-0005-0000-0000-00000A060000}"/>
    <cellStyle name="C?A?FEBTO" xfId="4683" xr:uid="{00000000-0005-0000-0000-00000B060000}"/>
    <cellStyle name="C?A?Gen.Exp.Analysis(DEC))O" xfId="4685" xr:uid="{00000000-0005-0000-0000-00000D060000}"/>
    <cellStyle name="C?A?GEN(1-5)OV" xfId="4684" xr:uid="{00000000-0005-0000-0000-00000C060000}"/>
    <cellStyle name="C?A?GEN12  _1na" xfId="4687" xr:uid="{00000000-0005-0000-0000-00000F060000}"/>
    <cellStyle name="C?A?GEN12  .A" xfId="4686" xr:uid="{00000000-0005-0000-0000-00000E060000}"/>
    <cellStyle name="C?A?GEN4   " xfId="4688" xr:uid="{00000000-0005-0000-0000-000010060000}"/>
    <cellStyle name="C?A?GEN4 _Hypa0499is" xfId="4689" xr:uid="{00000000-0005-0000-0000-000011060000}"/>
    <cellStyle name="C?A?General Exp.Vr.Fix Analysis_1_¼OAI(AUG»y»e) (2)NGING" xfId="4691" xr:uid="{00000000-0005-0000-0000-000013060000}"/>
    <cellStyle name="C?A?General Exp.Vr.Fix Analysis.E" xfId="4690" xr:uid="{00000000-0005-0000-0000-000012060000}"/>
    <cellStyle name="C?A?GRPer" xfId="4692" xr:uid="{00000000-0005-0000-0000-000014060000}"/>
    <cellStyle name="C?A?HPA1298 E" xfId="4693" xr:uid="{00000000-0005-0000-0000-000015060000}"/>
    <cellStyle name="C?A?HPA9812 E" xfId="4694" xr:uid="{00000000-0005-0000-0000-000016060000}"/>
    <cellStyle name="C?A?HYPA Jan - JuneFi" xfId="4695" xr:uid="{00000000-0005-0000-0000-000017060000}"/>
    <cellStyle name="C?A?Hypa81" xfId="4696" xr:uid="{00000000-0005-0000-0000-000018060000}"/>
    <cellStyle name="C?A?INV. QTY.- " xfId="4697" xr:uid="{00000000-0005-0000-0000-000019060000}"/>
    <cellStyle name="C?A?inv.finishedun" xfId="4698" xr:uid="{00000000-0005-0000-0000-00001A060000}"/>
    <cellStyle name="C?A?ISSUE.SUMhe" xfId="4699" xr:uid="{00000000-0005-0000-0000-00001B060000}"/>
    <cellStyle name="C?A?itemº°SUMh" xfId="4700" xr:uid="{00000000-0005-0000-0000-00001C060000}"/>
    <cellStyle name="C?A?JAN98°S" xfId="4701" xr:uid="{00000000-0005-0000-0000-00001D060000}"/>
    <cellStyle name="C?A?JANm " xfId="4702" xr:uid="{00000000-0005-0000-0000-00001E060000}"/>
    <cellStyle name="C?A?JanuaryUM" xfId="4703" xr:uid="{00000000-0005-0000-0000-00001F060000}"/>
    <cellStyle name="C?A?Julyar" xfId="4704" xr:uid="{00000000-0005-0000-0000-000020060000}"/>
    <cellStyle name="C?A?june (2)Mh" xfId="4705" xr:uid="{00000000-0005-0000-0000-000021060000}"/>
    <cellStyle name="C?A?Junear" xfId="4706" xr:uid="{00000000-0005-0000-0000-000022060000}"/>
    <cellStyle name="C?A?LABOR COST ALLOCATIONal" xfId="4707" xr:uid="{00000000-0005-0000-0000-000023060000}"/>
    <cellStyle name="C?A?LABOR.ALLO A" xfId="4708" xr:uid="{00000000-0005-0000-0000-000024060000}"/>
    <cellStyle name="C?A?LABOR.ALLO_¼OAI(AUG»y»e) (2)1_PRO" xfId="4709" xr:uid="{00000000-0005-0000-0000-000025060000}"/>
    <cellStyle name="C?A?LABOR.FAC.EXPOD" xfId="4710" xr:uid="{00000000-0005-0000-0000-000026060000}"/>
    <cellStyle name="C?A?LEADR." xfId="4711" xr:uid="{00000000-0005-0000-0000-000027060000}"/>
    <cellStyle name="C?A?LOANR." xfId="4712" xr:uid="{00000000-0005-0000-0000-000028060000}"/>
    <cellStyle name="C?A?MANUF. COSTS_MEX1EP" xfId="4713" xr:uid="{00000000-0005-0000-0000-000029060000}"/>
    <cellStyle name="C?A?MANUF. COSTSPO" xfId="4714" xr:uid="{00000000-0005-0000-0000-00002A060000}"/>
    <cellStyle name="C?A?march_1CO" xfId="4716" xr:uid="{00000000-0005-0000-0000-00002C060000}"/>
    <cellStyle name="C?A?March. " xfId="4715" xr:uid="{00000000-0005-0000-0000-00002B060000}"/>
    <cellStyle name="C?A?MARUF" xfId="4717" xr:uid="{00000000-0005-0000-0000-00002D060000}"/>
    <cellStyle name="C?A?MATERIALOS" xfId="4718" xr:uid="{00000000-0005-0000-0000-00002E060000}"/>
    <cellStyle name="C?A?may (2)LO" xfId="4719" xr:uid="{00000000-0005-0000-0000-00002F060000}"/>
    <cellStyle name="C?A?MAYER" xfId="4720" xr:uid="{00000000-0005-0000-0000-000030060000}"/>
    <cellStyle name="C?A?MEX.PRLLO" xfId="4721" xr:uid="{00000000-0005-0000-0000-000031060000}"/>
    <cellStyle name="C?A?MEX1PR" xfId="4722" xr:uid="{00000000-0005-0000-0000-000032060000}"/>
    <cellStyle name="C?A?mex3PR" xfId="4723" xr:uid="{00000000-0005-0000-0000-000033060000}"/>
    <cellStyle name="C?A?MEXICAN PAYROLL(JAN)PO" xfId="4724" xr:uid="{00000000-0005-0000-0000-000034060000}"/>
    <cellStyle name="C?A?MHXI" xfId="4725" xr:uid="{00000000-0005-0000-0000-000035060000}"/>
    <cellStyle name="C?A?MONTHLY PRODOL" xfId="4726" xr:uid="{00000000-0005-0000-0000-000036060000}"/>
    <cellStyle name="C?A?OCT98LY" xfId="4727" xr:uid="{00000000-0005-0000-0000-000037060000}"/>
    <cellStyle name="C?A?OVERHEAD. MISCL(" xfId="4728" xr:uid="{00000000-0005-0000-0000-000038060000}"/>
    <cellStyle name="C?A?P&amp;L~ADV. PRODCL" xfId="4729" xr:uid="{00000000-0005-0000-0000-000039060000}"/>
    <cellStyle name="C?A?PLAN`98(6.15)CL" xfId="4730" xr:uid="{00000000-0005-0000-0000-00003A060000}"/>
    <cellStyle name="C?A?PRD(12)(6" xfId="4731" xr:uid="{00000000-0005-0000-0000-00003B060000}"/>
    <cellStyle name="C?A?PRDN`" xfId="4732" xr:uid="{00000000-0005-0000-0000-00003C060000}"/>
    <cellStyle name="C?A?PRO.SALE.INV._1(J" xfId="4733" xr:uid="{00000000-0005-0000-0000-00003D060000}"/>
    <cellStyle name="C?A?PRO.SALE.INV.CL" xfId="4734" xr:uid="{00000000-0005-0000-0000-00003E060000}"/>
    <cellStyle name="C?A?PROD REPORT3._" xfId="4735" xr:uid="{00000000-0005-0000-0000-00003F060000}"/>
    <cellStyle name="C?A?PROD REPORTV." xfId="4736" xr:uid="{00000000-0005-0000-0000-000040060000}"/>
    <cellStyle name="C?A?PROD.COSTING._" xfId="4739" xr:uid="{00000000-0005-0000-0000-000043060000}"/>
    <cellStyle name="C?A?PROD.COSTRT" xfId="4740" xr:uid="{00000000-0005-0000-0000-000044060000}"/>
    <cellStyle name="C?A?PROD.JA" xfId="4741" xr:uid="{00000000-0005-0000-0000-000045060000}"/>
    <cellStyle name="C?A?PROD.MAYTI" xfId="4742" xr:uid="{00000000-0005-0000-0000-000046060000}"/>
    <cellStyle name="C?A?PROD.SALEIN" xfId="4743" xr:uid="{00000000-0005-0000-0000-000047060000}"/>
    <cellStyle name="C?A?PROD(FEB)RT" xfId="4737" xr:uid="{00000000-0005-0000-0000-000041060000}"/>
    <cellStyle name="C?A?PROD(JAN)RT" xfId="4738" xr:uid="{00000000-0005-0000-0000-000042060000}"/>
    <cellStyle name="C?A?REEFERAL" xfId="4744" xr:uid="{00000000-0005-0000-0000-000048060000}"/>
    <cellStyle name="C?A?Sheet1 (2)_1._" xfId="4745" xr:uid="{00000000-0005-0000-0000-000049060000}"/>
    <cellStyle name="C?A?Sheet1 (2)NG" xfId="4746" xr:uid="{00000000-0005-0000-0000-00004A060000}"/>
    <cellStyle name="C?A?Sheet1_¸¸±aµµ·¡ONTHLY PR" xfId="4747" xr:uid="{00000000-0005-0000-0000-00004B060000}"/>
    <cellStyle name="C?A?Sheet1AL" xfId="4748" xr:uid="{00000000-0005-0000-0000-00004C060000}"/>
    <cellStyle name="C?A?Sheet3_w" xfId="4749" xr:uid="{00000000-0005-0000-0000-00004D060000}"/>
    <cellStyle name="C?A?Sheet4_w" xfId="4750" xr:uid="{00000000-0005-0000-0000-00004E060000}"/>
    <cellStyle name="C?A?Sheet5 (2)ra" xfId="4751" xr:uid="{00000000-0005-0000-0000-00004F060000}"/>
    <cellStyle name="C?A?Sheet5_w" xfId="4752" xr:uid="{00000000-0005-0000-0000-000050060000}"/>
    <cellStyle name="C?A?SUBCONTRACTOR COSTS1-" xfId="4753" xr:uid="{00000000-0005-0000-0000-000051060000}"/>
    <cellStyle name="C?A?SUMMARYRA" xfId="4754" xr:uid="{00000000-0005-0000-0000-000052060000}"/>
    <cellStyle name="C?A?TCMM" xfId="4755" xr:uid="{00000000-0005-0000-0000-000053060000}"/>
    <cellStyle name="C?A?Tgt97-Chassis C" xfId="4756" xr:uid="{00000000-0005-0000-0000-000054060000}"/>
    <cellStyle name="C?A?TRANSACTION (2)OS" xfId="4757" xr:uid="{00000000-0005-0000-0000-000055060000}"/>
    <cellStyle name="C?A?TRANSACTIONis" xfId="4758" xr:uid="{00000000-0005-0000-0000-000056060000}"/>
    <cellStyle name="C?A?US PAYROLL(JAN)OS" xfId="4759" xr:uid="{00000000-0005-0000-0000-000057060000}"/>
    <cellStyle name="C?A?US.PRLRO" xfId="4760" xr:uid="{00000000-0005-0000-0000-000058060000}"/>
    <cellStyle name="C?A?VT.P" xfId="4761" xr:uid="{00000000-0005-0000-0000-000059060000}"/>
    <cellStyle name="C?A?warrantyA?¤A?I (2)_¼OAI(AUG»y»e) (2)3ysis(JU" xfId="4762" xr:uid="{00000000-0005-0000-0000-00005A060000}"/>
    <cellStyle name="C?A?warrantyA?¤A?I (2)-3))O" xfId="4763" xr:uid="{00000000-0005-0000-0000-00005B060000}"/>
    <cellStyle name="C?A?warrantyA?¤A?I_¼OAI(AUG»y»e) (2)sis(JUN)" xfId="4764" xr:uid="{00000000-0005-0000-0000-00005C060000}"/>
    <cellStyle name="C?A?warrantyA?¤A?ISTS1-" xfId="4765" xr:uid="{00000000-0005-0000-0000-00005D060000}"/>
    <cellStyle name="C?A?WARRANTYLL" xfId="4766" xr:uid="{00000000-0005-0000-0000-00005E060000}"/>
    <cellStyle name="C?A?WIP.DETAIL_¼OAI(AUG»y»e) (2)3ysis" xfId="4767" xr:uid="{00000000-0005-0000-0000-00005F060000}"/>
    <cellStyle name="C?A?WIP.DETAILA " xfId="4768" xr:uid="{00000000-0005-0000-0000-000060060000}"/>
    <cellStyle name="C?A?wipra" xfId="4769" xr:uid="{00000000-0005-0000-0000-000061060000}"/>
    <cellStyle name="C?A?WK1.D" xfId="4770" xr:uid="{00000000-0005-0000-0000-000062060000}"/>
    <cellStyle name="C?A?WK2.D" xfId="4771" xr:uid="{00000000-0005-0000-0000-000063060000}"/>
    <cellStyle name="C?A?WK3.D" xfId="4772" xr:uid="{00000000-0005-0000-0000-000064060000}"/>
    <cellStyle name="C?A?WK4.D" xfId="4773" xr:uid="{00000000-0005-0000-0000-000065060000}"/>
    <cellStyle name="C?AO_?? " xfId="4774" xr:uid="{00000000-0005-0000-0000-000066060000}"/>
    <cellStyle name="C￠RIA¡§¨￡_96¡§u¡§￠R¡§oOBD " xfId="4779" xr:uid="{00000000-0005-0000-0000-00006B060000}"/>
    <cellStyle name="C￥AØ_ °¡°øAu¿e±a AuAa¿ø°¡ " xfId="4780" xr:uid="{00000000-0005-0000-0000-00006C060000}"/>
    <cellStyle name="Ç¥ÁØ_ °¡°øÀü¿ë±â ÀüÀå¿ø°¡ " xfId="4781" xr:uid="{00000000-0005-0000-0000-00006D060000}"/>
    <cellStyle name="C￥AØ_ 10AE " xfId="4782" xr:uid="{00000000-0005-0000-0000-00006E060000}"/>
    <cellStyle name="Ç¥ÁØ_¿µ¾÷ÇöÈ² " xfId="4784" xr:uid="{00000000-0005-0000-0000-000071060000}"/>
    <cellStyle name="C￥AØ_¸nA÷ _±¸¸A½CAu " xfId="4783" xr:uid="{00000000-0005-0000-0000-000070060000}"/>
    <cellStyle name="Ç¥ÁØ_°³¹ßÀÏÁ¤ " xfId="4789" xr:uid="{00000000-0005-0000-0000-000077060000}"/>
    <cellStyle name="C￥AØ_°³¹ßAIA¤  (2)_°³¹ßAIA¤ " xfId="4790" xr:uid="{00000000-0005-0000-0000-000078060000}"/>
    <cellStyle name="Ç¥ÁØ_°³¹ßÀÏÁ¤  (2)_°³¹ßÀÏÁ¤ " xfId="4791" xr:uid="{00000000-0005-0000-0000-000079060000}"/>
    <cellStyle name="C￥AØ_°³¹ßAIA¤  (2)_°³¹ßAIA¤ _선투자 합의자료(최종)" xfId="4792" xr:uid="{00000000-0005-0000-0000-00007A060000}"/>
    <cellStyle name="Ç¥ÁØ_°³¹ßÀÏÁ¤  (2)_°³¹ßÀÏÁ¤ _선투자 합의자료(최종)" xfId="4793" xr:uid="{00000000-0005-0000-0000-00007B060000}"/>
    <cellStyle name="C￥AØ_°æAi≫cAc°i " xfId="4794" xr:uid="{00000000-0005-0000-0000-00007C060000}"/>
    <cellStyle name="Ç¥ÁØ_±â¾È " xfId="4785" xr:uid="{00000000-0005-0000-0000-000073060000}"/>
    <cellStyle name="C￥AØ_±aAØ " xfId="4786" xr:uid="{00000000-0005-0000-0000-000074060000}"/>
    <cellStyle name="Ç¥ÁØ_±âÁØ " xfId="4787" xr:uid="{00000000-0005-0000-0000-000075060000}"/>
    <cellStyle name="C￥AØ_≫c¾÷°³¹ßÆA_10¿u2WA¸ºI " xfId="4788" xr:uid="{00000000-0005-0000-0000-000076060000}"/>
    <cellStyle name="Ç¥ÁØ_031599" xfId="4795" xr:uid="{00000000-0005-0000-0000-00007D060000}"/>
    <cellStyle name="C￥AØ_½CA÷A¶°C _±¸¸A½CAu " xfId="4796" xr:uid="{00000000-0005-0000-0000-000080060000}"/>
    <cellStyle name="Ç¥ÁØ_10+10 " xfId="4797" xr:uid="{00000000-0005-0000-0000-000081060000}"/>
    <cellStyle name="C￥AØ_1112_10¿u2WA¸ºI " xfId="4798" xr:uid="{00000000-0005-0000-0000-000082060000}"/>
    <cellStyle name="Ç¥ÁØ_12¿ù " xfId="4799" xr:uid="{00000000-0005-0000-0000-000083060000}"/>
    <cellStyle name="C￥AØ_12b" xfId="4800" xr:uid="{00000000-0005-0000-0000-000084060000}"/>
    <cellStyle name="Ç¥ÁØ_2.0GLS_¿ø´ÜÀ§ " xfId="4801" xr:uid="{00000000-0005-0000-0000-000087060000}"/>
    <cellStyle name="C￥AØ_2.5GLS_¿ø´UA§ " xfId="4802" xr:uid="{00000000-0005-0000-0000-000088060000}"/>
    <cellStyle name="Ç¥ÁØ_2.5GLS_¿ø´ÜÀ§ " xfId="4803" xr:uid="{00000000-0005-0000-0000-000089060000}"/>
    <cellStyle name="C￥AØ_5-3-3-1-1.≫y≫e±¸A¶ºÐ¼R-MAT'L¡­ " xfId="4804" xr:uid="{00000000-0005-0000-0000-00008C060000}"/>
    <cellStyle name="Ç¥ÁØ_6-3°æÀï·Â " xfId="4805" xr:uid="{00000000-0005-0000-0000-00008D060000}"/>
    <cellStyle name="C￥AØ_6-3°æAi·A _±¸¸A½CAu " xfId="4806" xr:uid="{00000000-0005-0000-0000-00008E060000}"/>
    <cellStyle name="Ç¥ÁØ_8HR " xfId="4807" xr:uid="{00000000-0005-0000-0000-00008F060000}"/>
    <cellStyle name="C￥AØ_95³aAN°y¼o·R " xfId="4808" xr:uid="{00000000-0005-0000-0000-000090060000}"/>
    <cellStyle name="Ç¥ÁØ_Ã¢¿ø1°øÀå " xfId="4809" xr:uid="{00000000-0005-0000-0000-000091060000}"/>
    <cellStyle name="C￥AØ_A1A¤A¡ " xfId="4811" xr:uid="{00000000-0005-0000-0000-000094060000}"/>
    <cellStyle name="Ç¥ÁØ_Á¾ÇÕ1 " xfId="4810" xr:uid="{00000000-0005-0000-0000-000093060000}"/>
    <cellStyle name="C￥AØ_Æo±a¹° " xfId="4812" xr:uid="{00000000-0005-0000-0000-000096060000}"/>
    <cellStyle name="Ç¥ÁØ_Æó±â¹° " xfId="4813" xr:uid="{00000000-0005-0000-0000-000097060000}"/>
    <cellStyle name="C￥AØ_AI¿ø¹× A¶A÷(96.5.2.) _±¸¸A½CAu " xfId="4814" xr:uid="{00000000-0005-0000-0000-000098060000}"/>
    <cellStyle name="Ç¥ÁØ_ÀÏ¹Ý»çÇ×check list " xfId="4815" xr:uid="{00000000-0005-0000-0000-000099060000}"/>
    <cellStyle name="C￥AØ_AIAμ°øAa(´ⓒ°e) " xfId="4816" xr:uid="{00000000-0005-0000-0000-00009A060000}"/>
    <cellStyle name="Ç¥ÁØ_ÁÖ¿äITEMÂ÷ÀÌºñ±³-2_ÀüÈÄ Â÷ÀÌºñ±³ " xfId="4817" xr:uid="{00000000-0005-0000-0000-00009B060000}"/>
    <cellStyle name="C￥AØ_Ao¿øCoE² " xfId="4818" xr:uid="{00000000-0005-0000-0000-00009C060000}"/>
    <cellStyle name="Ç¥ÁØ_ÀüÈÄ Â÷ÀÌºñ±³ " xfId="4819" xr:uid="{00000000-0005-0000-0000-00009D060000}"/>
    <cellStyle name="C￥AØ_AuEAITEMA÷AIºn±³-1 " xfId="4820" xr:uid="{00000000-0005-0000-0000-00009E060000}"/>
    <cellStyle name="Ç¥ÁØ_ÀüÈÄITEMÂ÷ÀÌºñ±³-1 " xfId="4821" xr:uid="{00000000-0005-0000-0000-00009F060000}"/>
    <cellStyle name="C￥AØ_AuEAITEMA÷AIºn±³-2 " xfId="4822" xr:uid="{00000000-0005-0000-0000-0000A0060000}"/>
    <cellStyle name="Ç¥ÁØ_ÀüÈÄITEMÂ÷ÀÌºñ±³-2 " xfId="4823" xr:uid="{00000000-0005-0000-0000-0000A1060000}"/>
    <cellStyle name="C￥AØ_Ay°eC￥(2¿u) " xfId="4824" xr:uid="{00000000-0005-0000-0000-0000A2060000}"/>
    <cellStyle name="Ç¥ÁØ_Áý°èÇ¥(2¿ù) " xfId="4825" xr:uid="{00000000-0005-0000-0000-0000A3060000}"/>
    <cellStyle name="C￥AØ_C￥1_¿ø´UA§ " xfId="4826" xr:uid="{00000000-0005-0000-0000-0000A4060000}"/>
    <cellStyle name="Ç¥ÁØ_Ç¥1_¿ø´ÜÀ§ " xfId="4827" xr:uid="{00000000-0005-0000-0000-0000A5060000}"/>
    <cellStyle name="C￥AØ_C￥2_¿ø´UA§ " xfId="4828" xr:uid="{00000000-0005-0000-0000-0000A6060000}"/>
    <cellStyle name="Ç¥ÁØ_Ç¥2_¿ø´ÜÀ§ " xfId="4829" xr:uid="{00000000-0005-0000-0000-0000A7060000}"/>
    <cellStyle name="C￥AØ_C￥3_¿ø´UA§ " xfId="4830" xr:uid="{00000000-0005-0000-0000-0000A8060000}"/>
    <cellStyle name="Ç¥ÁØ_Ç¥3_¿ø´ÜÀ§ " xfId="4831" xr:uid="{00000000-0005-0000-0000-0000A9060000}"/>
    <cellStyle name="C￥AØ_C￥4_¿ø´UA§ " xfId="4832" xr:uid="{00000000-0005-0000-0000-0000AA060000}"/>
    <cellStyle name="Ç¥ÁØ_Ç¥4_¿ø´ÜÀ§ " xfId="4833" xr:uid="{00000000-0005-0000-0000-0000AB060000}"/>
    <cellStyle name="C￥AØ_C￥Ao " xfId="4834" xr:uid="{00000000-0005-0000-0000-0000AC060000}"/>
    <cellStyle name="Ç¥ÁØ_CON¿ø´Ü.XLS " xfId="4835" xr:uid="{00000000-0005-0000-0000-0000AD060000}"/>
    <cellStyle name="C￥AØ_CuA¶Au_1_10¿u2WA¸ºI " xfId="4836" xr:uid="{00000000-0005-0000-0000-0000AE060000}"/>
    <cellStyle name="Ç¥ÁØ_ÇùÁ¶Àü_96°èÈ¹ " xfId="4837" xr:uid="{00000000-0005-0000-0000-0000AF060000}"/>
    <cellStyle name="C￥AØ_CuA¶Au_AoAO°eE¹ " xfId="4838" xr:uid="{00000000-0005-0000-0000-0000B0060000}"/>
    <cellStyle name="Ç¥ÁØ_È¯°æÅõÀÚºñ " xfId="4839" xr:uid="{00000000-0005-0000-0000-0000B1060000}"/>
    <cellStyle name="C￥AØ_EBICA " xfId="4840" xr:uid="{00000000-0005-0000-0000-0000B2060000}"/>
    <cellStyle name="Ç¥ÁØ_EFÀüÈÄÃßÁ¤¿ø´ÜÀ§ " xfId="4841" xr:uid="{00000000-0005-0000-0000-0000B3060000}"/>
    <cellStyle name="C￥AØ_F006-1A÷ " xfId="4842" xr:uid="{00000000-0005-0000-0000-0000B4060000}"/>
    <cellStyle name="Ç¥ÁØ_H1 ´ë XG ¿ø´ÜÀ§ " xfId="4843" xr:uid="{00000000-0005-0000-0000-0000B5060000}"/>
    <cellStyle name="C￥AØ_H1VSXGAßA¤¿ø´UA§_¿ø´UA§ " xfId="4844" xr:uid="{00000000-0005-0000-0000-0000B6060000}"/>
    <cellStyle name="Ç¥ÁØ_H1VSXGÃßÁ¤¿ø´ÜÀ§_¿ø´ÜÀ§ " xfId="4845" xr:uid="{00000000-0005-0000-0000-0000B7060000}"/>
    <cellStyle name="C￥AØ_KD LIST_¿ø´UA§ " xfId="4846" xr:uid="{00000000-0005-0000-0000-0000B8060000}"/>
    <cellStyle name="Ç¥ÁØ_KD LIST_¿ø´ÜÀ§ " xfId="4847" xr:uid="{00000000-0005-0000-0000-0000B9060000}"/>
    <cellStyle name="C￥AØ_KD LIST_AuEA A÷AIºn±³ " xfId="4848" xr:uid="{00000000-0005-0000-0000-0000BA060000}"/>
    <cellStyle name="Ç¥ÁØ_KD LIST_ÀüÈÄ Â÷ÀÌºñ±³ " xfId="4849" xr:uid="{00000000-0005-0000-0000-0000BB060000}"/>
    <cellStyle name="C￥AØ_KPI¾÷A¼ " xfId="4850" xr:uid="{00000000-0005-0000-0000-0000BC060000}"/>
    <cellStyle name="Ç¥ÁØ_laroux_°³¹ßÀÏÁ¤ " xfId="4851" xr:uid="{00000000-0005-0000-0000-0000BD060000}"/>
    <cellStyle name="C￥AØ_LX A÷AIºn±³_AuEA A÷AIºn±³ " xfId="4852" xr:uid="{00000000-0005-0000-0000-0000BE060000}"/>
    <cellStyle name="Ç¥ÁØ_LX Â÷ÀÌºñ±³_ÀüÈÄ Â÷ÀÌºñ±³ " xfId="4853" xr:uid="{00000000-0005-0000-0000-0000BF060000}"/>
    <cellStyle name="C￥AØ_lx-taxi " xfId="4861" xr:uid="{00000000-0005-0000-0000-0000C8060000}"/>
    <cellStyle name="Ç¥ÁØ_lx-taxi " xfId="4862" xr:uid="{00000000-0005-0000-0000-0000C9060000}"/>
    <cellStyle name="C￥AØ_lx-taxi _±¸¸A½CAu " xfId="4863" xr:uid="{00000000-0005-0000-0000-0000CA060000}"/>
    <cellStyle name="Ç¥ÁØ_LXLZ3.0 " xfId="4854" xr:uid="{00000000-0005-0000-0000-0000C1060000}"/>
    <cellStyle name="C￥AØ_LXLZ3.5 " xfId="4855" xr:uid="{00000000-0005-0000-0000-0000C2060000}"/>
    <cellStyle name="Ç¥ÁØ_LXLZ3.5 " xfId="4856" xr:uid="{00000000-0005-0000-0000-0000C3060000}"/>
    <cellStyle name="C￥AØ_LXLZ4.5 " xfId="4857" xr:uid="{00000000-0005-0000-0000-0000C4060000}"/>
    <cellStyle name="Ç¥ÁØ_LXLZ4.5 " xfId="4858" xr:uid="{00000000-0005-0000-0000-0000C5060000}"/>
    <cellStyle name="C￥AØ_LXLZEXH_AuEA A÷AIºn±³ " xfId="4859" xr:uid="{00000000-0005-0000-0000-0000C6060000}"/>
    <cellStyle name="Ç¥ÁØ_LXLZEXH_ÀüÈÄ Â÷ÀÌºñ±³ " xfId="4860" xr:uid="{00000000-0005-0000-0000-0000C7060000}"/>
    <cellStyle name="C￥AØ_M105CDT " xfId="4864" xr:uid="{00000000-0005-0000-0000-0000CC060000}"/>
    <cellStyle name="Ç¥ÁØ_MHPORTER " xfId="4865" xr:uid="{00000000-0005-0000-0000-0000CD060000}"/>
    <cellStyle name="C￥AØ_MKN-M1.1 " xfId="4866" xr:uid="{00000000-0005-0000-0000-0000CE060000}"/>
    <cellStyle name="Ç¥ÁØ_º¯°æ¿¹»ê(8¿ù) " xfId="4867" xr:uid="{00000000-0005-0000-0000-0000CF060000}"/>
    <cellStyle name="C￥AØ_º¸°i_KDº?μ¿ " xfId="4868" xr:uid="{00000000-0005-0000-0000-0000D0060000}"/>
    <cellStyle name="Ç¥ÁØ_º¸°í_KDº¯µ¿ " xfId="4869" xr:uid="{00000000-0005-0000-0000-0000D1060000}"/>
    <cellStyle name="C￥AØ_º¸¼oºI¹R(´ⓒ°e) " xfId="4870" xr:uid="{00000000-0005-0000-0000-0000D2060000}"/>
    <cellStyle name="Ç¥ÁØ_ºñ±³    " xfId="4871" xr:uid="{00000000-0005-0000-0000-0000D3060000}"/>
    <cellStyle name="C￥AØ_ORDER (I)_PRINT_0404_10¿u2WA¸ºI " xfId="4872" xr:uid="{00000000-0005-0000-0000-0000D4060000}"/>
    <cellStyle name="Ç¥ÁØ_Sheet1_¿ø´ÜÀ§ " xfId="4873" xr:uid="{00000000-0005-0000-0000-0000D7060000}"/>
    <cellStyle name="C￥AØ_Sheet1_¿μ¾÷CoE² " xfId="4874" xr:uid="{00000000-0005-0000-0000-0000D8060000}"/>
    <cellStyle name="Ç¥ÁØ_Sheet1_0N-HANDLING " xfId="4875" xr:uid="{00000000-0005-0000-0000-0000D9060000}"/>
    <cellStyle name="C￥AØ_Sheet1_A¾CO1 " xfId="4876" xr:uid="{00000000-0005-0000-0000-0000DA060000}"/>
    <cellStyle name="Ç¥ÁØ_Sheet1_Á¾ÇÕ1 " xfId="4877" xr:uid="{00000000-0005-0000-0000-0000DB060000}"/>
    <cellStyle name="C￥AØ_Sheet1_Ay°eC￥(2¿u) " xfId="4878" xr:uid="{00000000-0005-0000-0000-0000DC060000}"/>
    <cellStyle name="Ç¥ÁØ_Sheet1_Áý°èÇ¥(2¿ù) " xfId="4879" xr:uid="{00000000-0005-0000-0000-0000DD060000}"/>
    <cellStyle name="C￥AØ_Sheet1_BRK¿ø´U.XLS " xfId="4880" xr:uid="{00000000-0005-0000-0000-0000DE060000}"/>
    <cellStyle name="Ç¥ÁØ_Sheet1_BRK¿ø´Ü.XLS " xfId="4881" xr:uid="{00000000-0005-0000-0000-0000DF060000}"/>
    <cellStyle name="C￥AØ_Sheet1_CON¿ø´U.XLS " xfId="4882" xr:uid="{00000000-0005-0000-0000-0000E0060000}"/>
    <cellStyle name="Ç¥ÁØ_Sheet1_CON¿ø´Ü.XLS " xfId="4883" xr:uid="{00000000-0005-0000-0000-0000E1060000}"/>
    <cellStyle name="C￥AØ_SMG-CKD-d1.1 " xfId="4884" xr:uid="{00000000-0005-0000-0000-0000E2060000}"/>
    <cellStyle name="Ç¥ÁØ_USAGL_¿ø´ÜÀ§ " xfId="4885" xr:uid="{00000000-0005-0000-0000-0000E3060000}"/>
    <cellStyle name="C￥AØ_V10 VARIATION MODEL SOP TIMING " xfId="4886" xr:uid="{00000000-0005-0000-0000-0000E4060000}"/>
    <cellStyle name="Ç¥ÁØ_WIRING " xfId="4887" xr:uid="{00000000-0005-0000-0000-0000E5060000}"/>
    <cellStyle name="C￥AØ_WIRING _±¸¸A½CAu " xfId="4888" xr:uid="{00000000-0005-0000-0000-0000E6060000}"/>
    <cellStyle name="Ç¥ÁØ_x3pl_1" xfId="4889" xr:uid="{00000000-0005-0000-0000-0000E7060000}"/>
    <cellStyle name="C￥AØ_XG¿ø´UA§ " xfId="4890" xr:uid="{00000000-0005-0000-0000-0000E8060000}"/>
    <cellStyle name="Ç¥ÁØ_XG¿ø´ÜÀ§ " xfId="4891" xr:uid="{00000000-0005-0000-0000-0000E9060000}"/>
    <cellStyle name="C￥AØ_XG¿ø´UA§(2A÷°e≫e) " xfId="4892" xr:uid="{00000000-0005-0000-0000-0000EA060000}"/>
    <cellStyle name="Ç¥ÁØ_XG3Â÷°è»ê¿ø´ÜÀ§ " xfId="4893" xr:uid="{00000000-0005-0000-0000-0000EB060000}"/>
    <cellStyle name="C￥AØ_XG3A÷°e≫e¿ø´UA§ " xfId="4894" xr:uid="{00000000-0005-0000-0000-0000EC060000}"/>
    <cellStyle name="Calc Currency (0)" xfId="4895" xr:uid="{00000000-0005-0000-0000-0000ED060000}"/>
    <cellStyle name="Calculation" xfId="4896" xr:uid="{00000000-0005-0000-0000-0000EE060000}"/>
    <cellStyle name="Calculation 2" xfId="443" xr:uid="{00000000-0005-0000-0000-0000EF060000}"/>
    <cellStyle name="Calculation 2 2" xfId="444" xr:uid="{00000000-0005-0000-0000-0000F0060000}"/>
    <cellStyle name="category" xfId="4897" xr:uid="{00000000-0005-0000-0000-0000F1060000}"/>
    <cellStyle name="Check Cell" xfId="4898" xr:uid="{00000000-0005-0000-0000-0000F2060000}"/>
    <cellStyle name="Check Cell 2" xfId="445" xr:uid="{00000000-0005-0000-0000-0000F3060000}"/>
    <cellStyle name="Code" xfId="4899" xr:uid="{00000000-0005-0000-0000-0000F4060000}"/>
    <cellStyle name="Code Section" xfId="4900" xr:uid="{00000000-0005-0000-0000-0000F5060000}"/>
    <cellStyle name="Comma" xfId="4901" xr:uid="{00000000-0005-0000-0000-0000F6060000}"/>
    <cellStyle name="Comma  - Style1" xfId="4902" xr:uid="{00000000-0005-0000-0000-0000F7060000}"/>
    <cellStyle name="Comma [0]" xfId="4903" xr:uid="{00000000-0005-0000-0000-0000F8060000}"/>
    <cellStyle name="Comma [1]" xfId="4904" xr:uid="{00000000-0005-0000-0000-0000F9060000}"/>
    <cellStyle name="comma zerodec" xfId="4905" xr:uid="{00000000-0005-0000-0000-0000FA060000}"/>
    <cellStyle name="Comma_ SG&amp;A Bridge " xfId="4906" xr:uid="{00000000-0005-0000-0000-0000FB060000}"/>
    <cellStyle name="Copied" xfId="4907" xr:uid="{00000000-0005-0000-0000-0000FC060000}"/>
    <cellStyle name="Curren - Style2" xfId="4908" xr:uid="{00000000-0005-0000-0000-0000FD060000}"/>
    <cellStyle name="Curren?_x0012_퐀_x0017_?" xfId="4909" xr:uid="{00000000-0005-0000-0000-0000FE060000}"/>
    <cellStyle name="Curren堼y_9월경비_1월회비내역 (2)_1" xfId="4916" xr:uid="{00000000-0005-0000-0000-000005070000}"/>
    <cellStyle name="Currency" xfId="4910" xr:uid="{00000000-0005-0000-0000-0000FF060000}"/>
    <cellStyle name="Currency [0]" xfId="4912" xr:uid="{00000000-0005-0000-0000-000001070000}"/>
    <cellStyle name="Currency [1]" xfId="4913" xr:uid="{00000000-0005-0000-0000-000002070000}"/>
    <cellStyle name="Currency $" xfId="4911" xr:uid="{00000000-0005-0000-0000-000000070000}"/>
    <cellStyle name="Currency_ SG&amp;A Bridge " xfId="4914" xr:uid="{00000000-0005-0000-0000-000003070000}"/>
    <cellStyle name="Currency1" xfId="4915" xr:uid="{00000000-0005-0000-0000-000004070000}"/>
    <cellStyle name="Date" xfId="4917" xr:uid="{00000000-0005-0000-0000-000006070000}"/>
    <cellStyle name="Dezimal [0]_DataSheet" xfId="4918" xr:uid="{00000000-0005-0000-0000-000007070000}"/>
    <cellStyle name="Dezimal_DataSheet" xfId="4919" xr:uid="{00000000-0005-0000-0000-000008070000}"/>
    <cellStyle name="Dollar (zero dec)" xfId="4920" xr:uid="{00000000-0005-0000-0000-000009070000}"/>
    <cellStyle name="Dollars" xfId="4921" xr:uid="{00000000-0005-0000-0000-00000A070000}"/>
    <cellStyle name="eet1_Q1" xfId="4923" xr:uid="{00000000-0005-0000-0000-00000C070000}"/>
    <cellStyle name="Entered" xfId="4924" xr:uid="{00000000-0005-0000-0000-00000D070000}"/>
    <cellStyle name="Euro" xfId="4925" xr:uid="{00000000-0005-0000-0000-00000E070000}"/>
    <cellStyle name="evision Log" xfId="4926" xr:uid="{00000000-0005-0000-0000-00000F070000}"/>
    <cellStyle name="Explanatory Text" xfId="4927" xr:uid="{00000000-0005-0000-0000-000010070000}"/>
    <cellStyle name="Explanatory Text 2" xfId="446" xr:uid="{00000000-0005-0000-0000-000011070000}"/>
    <cellStyle name="Feld_1" xfId="4928" xr:uid="{00000000-0005-0000-0000-000012070000}"/>
    <cellStyle name="Fixed" xfId="4929" xr:uid="{00000000-0005-0000-0000-000013070000}"/>
    <cellStyle name="Followed Hyperlink" xfId="4930" xr:uid="{00000000-0005-0000-0000-000014070000}"/>
    <cellStyle name="Good" xfId="4931" xr:uid="{00000000-0005-0000-0000-000015070000}"/>
    <cellStyle name="Good 2" xfId="447" xr:uid="{00000000-0005-0000-0000-000016070000}"/>
    <cellStyle name="Grey" xfId="4932" xr:uid="{00000000-0005-0000-0000-000017070000}"/>
    <cellStyle name="HEADER" xfId="4933" xr:uid="{00000000-0005-0000-0000-000018070000}"/>
    <cellStyle name="Header1" xfId="4934" xr:uid="{00000000-0005-0000-0000-000019070000}"/>
    <cellStyle name="Header2" xfId="4935" xr:uid="{00000000-0005-0000-0000-00001A070000}"/>
    <cellStyle name="Heading 1" xfId="4936" xr:uid="{00000000-0005-0000-0000-00001B070000}"/>
    <cellStyle name="Heading 1 2" xfId="448" xr:uid="{00000000-0005-0000-0000-00001C070000}"/>
    <cellStyle name="Heading 2" xfId="4937" xr:uid="{00000000-0005-0000-0000-00001D070000}"/>
    <cellStyle name="Heading 2 2" xfId="449" xr:uid="{00000000-0005-0000-0000-00001E070000}"/>
    <cellStyle name="Heading 3" xfId="4938" xr:uid="{00000000-0005-0000-0000-00001F070000}"/>
    <cellStyle name="Heading 3 2" xfId="450" xr:uid="{00000000-0005-0000-0000-000020070000}"/>
    <cellStyle name="Heading 4" xfId="4939" xr:uid="{00000000-0005-0000-0000-000021070000}"/>
    <cellStyle name="Heading 4 2" xfId="451" xr:uid="{00000000-0005-0000-0000-000022070000}"/>
    <cellStyle name="Heading1" xfId="4940" xr:uid="{00000000-0005-0000-0000-000023070000}"/>
    <cellStyle name="Heading2" xfId="4941" xr:uid="{00000000-0005-0000-0000-000024070000}"/>
    <cellStyle name="Heading3" xfId="4942" xr:uid="{00000000-0005-0000-0000-000025070000}"/>
    <cellStyle name="Heading4" xfId="4943" xr:uid="{00000000-0005-0000-0000-000026070000}"/>
    <cellStyle name="Hyperlink" xfId="4944" xr:uid="{00000000-0005-0000-0000-000027070000}"/>
    <cellStyle name="Identification requete" xfId="4945" xr:uid="{00000000-0005-0000-0000-000028070000}"/>
    <cellStyle name="ⅠⅡⅢⅣ" xfId="4071" xr:uid="{00000000-0005-0000-0000-000056030000}"/>
    <cellStyle name="Input" xfId="4946" xr:uid="{00000000-0005-0000-0000-000029070000}"/>
    <cellStyle name="Input [yellow]" xfId="4947" xr:uid="{00000000-0005-0000-0000-00002A070000}"/>
    <cellStyle name="Input 2" xfId="452" xr:uid="{00000000-0005-0000-0000-00002B070000}"/>
    <cellStyle name="Input 2 2" xfId="453" xr:uid="{00000000-0005-0000-0000-00002C070000}"/>
    <cellStyle name="Input_3.Global 투자계획" xfId="4948" xr:uid="{00000000-0005-0000-0000-00002D070000}"/>
    <cellStyle name="Item_Description" xfId="4949" xr:uid="{00000000-0005-0000-0000-00002E070000}"/>
    <cellStyle name="_x0010_j" xfId="4950" xr:uid="{00000000-0005-0000-0000-00002F070000}"/>
    <cellStyle name="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" xfId="4957" xr:uid="{00000000-0005-0000-0000-000037070000}"/>
    <cellStyle name="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" xfId="4956" xr:uid="{00000000-0005-0000-0000-000036070000}"/>
    <cellStyle name="ŀ䅀Ā݀ŀ䅀Ā݀ŀ䅀Ā݀ŀ䅀Ā݀ŀ䅀Āŀŀ䅀Ā݀ŀ䅀Ā݀ŀ䅀Ā݀ŀ䅀Ā݀ŀ䅀Āŀŀ䅀Ā฀฀䅀ऀŀ฀䅀Āŀ݀䅀Āŀ݀䅀Ā݀݀䅀Ā݀" xfId="4954" xr:uid="{00000000-0005-0000-0000-000034070000}"/>
    <cellStyle name="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" xfId="4955" xr:uid="{00000000-0005-0000-0000-000035070000}"/>
    <cellStyle name="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" xfId="4953" xr:uid="{00000000-0005-0000-0000-000033070000}"/>
    <cellStyle name="Ligne détail" xfId="4951" xr:uid="{00000000-0005-0000-0000-000030070000}"/>
    <cellStyle name="Linked Cell" xfId="4952" xr:uid="{00000000-0005-0000-0000-000031070000}"/>
    <cellStyle name="Linked Cell 2" xfId="454" xr:uid="{00000000-0005-0000-0000-000032070000}"/>
    <cellStyle name="MEV1" xfId="4958" xr:uid="{00000000-0005-0000-0000-000038070000}"/>
    <cellStyle name="Migliaia (0)" xfId="4959" xr:uid="{00000000-0005-0000-0000-000039070000}"/>
    <cellStyle name="Migliaia_S10" xfId="4960" xr:uid="{00000000-0005-0000-0000-00003A070000}"/>
    <cellStyle name="Milliers [0]_Feuil1" xfId="4961" xr:uid="{00000000-0005-0000-0000-00003B070000}"/>
    <cellStyle name="Milliers_Feuil1" xfId="4962" xr:uid="{00000000-0005-0000-0000-00003C070000}"/>
    <cellStyle name="mmaryInformation" xfId="4963" xr:uid="{00000000-0005-0000-0000-00003D070000}"/>
    <cellStyle name="Model" xfId="4964" xr:uid="{00000000-0005-0000-0000-00003E070000}"/>
    <cellStyle name="Moeda [0]_aola" xfId="4965" xr:uid="{00000000-0005-0000-0000-00003F070000}"/>
    <cellStyle name="Moeda_aola" xfId="4966" xr:uid="{00000000-0005-0000-0000-000040070000}"/>
    <cellStyle name="Monetaire [0]_Feuil1" xfId="4967" xr:uid="{00000000-0005-0000-0000-000041070000}"/>
    <cellStyle name="Monetaire_Feuil1" xfId="4968" xr:uid="{00000000-0005-0000-0000-000042070000}"/>
    <cellStyle name="Multiple" xfId="4969" xr:uid="{00000000-0005-0000-0000-000043070000}"/>
    <cellStyle name="Multiple [0]" xfId="4970" xr:uid="{00000000-0005-0000-0000-000044070000}"/>
    <cellStyle name="Multiple [1]" xfId="4971" xr:uid="{00000000-0005-0000-0000-000045070000}"/>
    <cellStyle name="Multiple_(최종)5개년 총량(북경연구소-0516)" xfId="4972" xr:uid="{00000000-0005-0000-0000-000046070000}"/>
    <cellStyle name="Neutral" xfId="4973" xr:uid="{00000000-0005-0000-0000-000047070000}"/>
    <cellStyle name="Neutral 2" xfId="455" xr:uid="{00000000-0005-0000-0000-000048070000}"/>
    <cellStyle name="no dec" xfId="4974" xr:uid="{00000000-0005-0000-0000-000049070000}"/>
    <cellStyle name="Normal - Style1" xfId="4975" xr:uid="{00000000-0005-0000-0000-00004A070000}"/>
    <cellStyle name="Normal - Style2" xfId="4976" xr:uid="{00000000-0005-0000-0000-00004B070000}"/>
    <cellStyle name="Normal - Style3" xfId="4977" xr:uid="{00000000-0005-0000-0000-00004C070000}"/>
    <cellStyle name="Normal - Style4" xfId="4978" xr:uid="{00000000-0005-0000-0000-00004D070000}"/>
    <cellStyle name="Normal - Style5" xfId="4979" xr:uid="{00000000-0005-0000-0000-00004E070000}"/>
    <cellStyle name="Normal - Style6" xfId="4980" xr:uid="{00000000-0005-0000-0000-00004F070000}"/>
    <cellStyle name="Normal - Style7" xfId="4981" xr:uid="{00000000-0005-0000-0000-000050070000}"/>
    <cellStyle name="Normal - Style8" xfId="4982" xr:uid="{00000000-0005-0000-0000-000051070000}"/>
    <cellStyle name="Normal_        " xfId="4983" xr:uid="{00000000-0005-0000-0000-000052070000}"/>
    <cellStyle name="Normal1" xfId="4984" xr:uid="{00000000-0005-0000-0000-000053070000}"/>
    <cellStyle name="Normal2" xfId="4985" xr:uid="{00000000-0005-0000-0000-000054070000}"/>
    <cellStyle name="Normal3" xfId="4986" xr:uid="{00000000-0005-0000-0000-000055070000}"/>
    <cellStyle name="Normal4" xfId="4987" xr:uid="{00000000-0005-0000-0000-000056070000}"/>
    <cellStyle name="Normale_Entry" xfId="4988" xr:uid="{00000000-0005-0000-0000-000057070000}"/>
    <cellStyle name="Note" xfId="4989" xr:uid="{00000000-0005-0000-0000-000058070000}"/>
    <cellStyle name="Note 2" xfId="456" xr:uid="{00000000-0005-0000-0000-000059070000}"/>
    <cellStyle name="Note 2 2" xfId="457" xr:uid="{00000000-0005-0000-0000-00005A070000}"/>
    <cellStyle name="Number" xfId="4990" xr:uid="{00000000-0005-0000-0000-00005B070000}"/>
    <cellStyle name="o??귟 [0.00]_PRODUCT DETAIL Q1" xfId="4991" xr:uid="{00000000-0005-0000-0000-00005C070000}"/>
    <cellStyle name="Output" xfId="4992" xr:uid="{00000000-0005-0000-0000-00005D070000}"/>
    <cellStyle name="Output 2" xfId="458" xr:uid="{00000000-0005-0000-0000-00005E070000}"/>
    <cellStyle name="Output 2 2" xfId="459" xr:uid="{00000000-0005-0000-0000-00005F070000}"/>
    <cellStyle name="Percent" xfId="4993" xr:uid="{00000000-0005-0000-0000-000060070000}"/>
    <cellStyle name="Percent [0]" xfId="4994" xr:uid="{00000000-0005-0000-0000-000061070000}"/>
    <cellStyle name="Percent [1]" xfId="4995" xr:uid="{00000000-0005-0000-0000-000062070000}"/>
    <cellStyle name="Percent [2]" xfId="4996" xr:uid="{00000000-0005-0000-0000-000063070000}"/>
    <cellStyle name="Percent_(주)두산 설비투자 내역_10년&amp;amp;중장기" xfId="4997" xr:uid="{00000000-0005-0000-0000-000064070000}"/>
    <cellStyle name="Ref Numbers" xfId="4998" xr:uid="{00000000-0005-0000-0000-000065070000}"/>
    <cellStyle name="RevList" xfId="4999" xr:uid="{00000000-0005-0000-0000-000066070000}"/>
    <cellStyle name="rld Wide" xfId="5000" xr:uid="{00000000-0005-0000-0000-000067070000}"/>
    <cellStyle name="S" xfId="5001" xr:uid="{00000000-0005-0000-0000-000068070000}"/>
    <cellStyle name="Separador de milhares [0]_Person" xfId="5002" xr:uid="{00000000-0005-0000-0000-000069070000}"/>
    <cellStyle name="Separador de milhares_Person" xfId="5003" xr:uid="{00000000-0005-0000-0000-00006A070000}"/>
    <cellStyle name="Source Line" xfId="5004" xr:uid="{00000000-0005-0000-0000-00006B070000}"/>
    <cellStyle name="Standard_Anlagevermögen Werner Ettwein" xfId="5005" xr:uid="{00000000-0005-0000-0000-00006C070000}"/>
    <cellStyle name="subhead" xfId="5006" xr:uid="{00000000-0005-0000-0000-00006D070000}"/>
    <cellStyle name="Subtotal" xfId="5007" xr:uid="{00000000-0005-0000-0000-00006E070000}"/>
    <cellStyle name="Table Heading" xfId="5008" xr:uid="{00000000-0005-0000-0000-00006F070000}"/>
    <cellStyle name="tion" xfId="5010" xr:uid="{00000000-0005-0000-0000-000071070000}"/>
    <cellStyle name="Title" xfId="5011" xr:uid="{00000000-0005-0000-0000-000072070000}"/>
    <cellStyle name="Title 2" xfId="460" xr:uid="{00000000-0005-0000-0000-000073070000}"/>
    <cellStyle name="Title Line" xfId="5012" xr:uid="{00000000-0005-0000-0000-000074070000}"/>
    <cellStyle name="Titre colonne" xfId="5013" xr:uid="{00000000-0005-0000-0000-000075070000}"/>
    <cellStyle name="Titre general" xfId="5014" xr:uid="{00000000-0005-0000-0000-000076070000}"/>
    <cellStyle name="Titre lignes" xfId="5015" xr:uid="{00000000-0005-0000-0000-000077070000}"/>
    <cellStyle name="Titre tableau" xfId="5016" xr:uid="{00000000-0005-0000-0000-000078070000}"/>
    <cellStyle name="Top Row" xfId="5017" xr:uid="{00000000-0005-0000-0000-000079070000}"/>
    <cellStyle name="Total" xfId="5018" xr:uid="{00000000-0005-0000-0000-00007A070000}"/>
    <cellStyle name="Total 2" xfId="461" xr:uid="{00000000-0005-0000-0000-00007B070000}"/>
    <cellStyle name="Total 2 2" xfId="462" xr:uid="{00000000-0005-0000-0000-00007C070000}"/>
    <cellStyle name="Total Row" xfId="5019" xr:uid="{00000000-0005-0000-0000-00007D070000}"/>
    <cellStyle name="Total_(주)두산 설비투자 내역_10년&amp;amp;중장기" xfId="5020" xr:uid="{00000000-0005-0000-0000-00007E070000}"/>
    <cellStyle name="Tusental (0)_Blad1" xfId="5021" xr:uid="{00000000-0005-0000-0000-00007F070000}"/>
    <cellStyle name="Tusental_Blad1" xfId="5022" xr:uid="{00000000-0005-0000-0000-000080070000}"/>
    <cellStyle name="UR" xfId="5023" xr:uid="{00000000-0005-0000-0000-000081070000}"/>
    <cellStyle name="Valuta (0)" xfId="5024" xr:uid="{00000000-0005-0000-0000-000082070000}"/>
    <cellStyle name="Valuta_Blad1" xfId="5025" xr:uid="{00000000-0005-0000-0000-000083070000}"/>
    <cellStyle name="Vehicle_Benchmark" xfId="5026" xr:uid="{00000000-0005-0000-0000-000084070000}"/>
    <cellStyle name="Version_Header" xfId="5027" xr:uid="{00000000-0005-0000-0000-000085070000}"/>
    <cellStyle name="W_BOOKSHIP_MEMOº¸°í " xfId="4041" xr:uid="{00000000-0005-0000-0000-000046010000}"/>
    <cellStyle name="W?rung [0]_DataSheet" xfId="5028" xr:uid="{00000000-0005-0000-0000-000086070000}"/>
    <cellStyle name="W?rung_DataSheet" xfId="5029" xr:uid="{00000000-0005-0000-0000-000087070000}"/>
    <cellStyle name="Währung [0]_DataSheet" xfId="5030" xr:uid="{00000000-0005-0000-0000-000088070000}"/>
    <cellStyle name="Währung_DataSheet" xfId="5031" xr:uid="{00000000-0005-0000-0000-000089070000}"/>
    <cellStyle name="Warning Text" xfId="5032" xr:uid="{00000000-0005-0000-0000-00008A070000}"/>
    <cellStyle name="Warning Text 2" xfId="463" xr:uid="{00000000-0005-0000-0000-00008B070000}"/>
    <cellStyle name="þ_x001d_ð'&amp;Oy?Hy9_x0008__x000f__x0007_æ_x0007__x0007__x0001__x0001_" xfId="5009" xr:uid="{00000000-0005-0000-0000-000070070000}"/>
    <cellStyle name="ᲲéᴲéᶲéḲéẲéἲéᾲé′é₲éℲé↲é" xfId="4922" xr:uid="{00000000-0005-0000-0000-00000B070000}"/>
    <cellStyle name="ન࿿ઇ૆૞૩૴ાઝુ૥઻ઢઓહ઩ૣોિૐ૭ઊૅ૶૮૯ઁમભ૵૎࿿૬૒_VBA_PROJECT_CUR" xfId="5034" xr:uid="{00000000-0005-0000-0000-00008D070000}"/>
    <cellStyle name="パーセント_QTBLNEW" xfId="5033" xr:uid="{00000000-0005-0000-0000-00008C070000}"/>
    <cellStyle name="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" xfId="5066" xr:uid="{00000000-0005-0000-0000-0000D3070000}"/>
    <cellStyle name="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" xfId="5067" xr:uid="{00000000-0005-0000-0000-0000D4070000}"/>
    <cellStyle name=" 坪 l_Sheet1_Q4 (2)" xfId="5035" xr:uid="{00000000-0005-0000-0000-00008E070000}"/>
  </cellStyles>
  <dxfs count="6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1EAF7"/>
      <color rgb="FFB2B2B2"/>
      <color rgb="FFDDDDDD"/>
      <color rgb="FF4383D1"/>
      <color rgb="FF0066FF"/>
      <color rgb="FF0000FF"/>
      <color rgb="FF99CCFF"/>
      <color rgb="FF33CCCC"/>
      <color rgb="FF66FF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9" Type="http://schemas.openxmlformats.org/officeDocument/2006/relationships/externalLink" Target="externalLinks/externalLink26.xml"/><Relationship Id="rId21" Type="http://schemas.openxmlformats.org/officeDocument/2006/relationships/externalLink" Target="externalLinks/externalLink8.xml"/><Relationship Id="rId34" Type="http://schemas.openxmlformats.org/officeDocument/2006/relationships/externalLink" Target="externalLinks/externalLink21.xml"/><Relationship Id="rId42" Type="http://schemas.openxmlformats.org/officeDocument/2006/relationships/externalLink" Target="externalLinks/externalLink29.xml"/><Relationship Id="rId47" Type="http://schemas.openxmlformats.org/officeDocument/2006/relationships/externalLink" Target="externalLinks/externalLink34.xml"/><Relationship Id="rId50" Type="http://schemas.openxmlformats.org/officeDocument/2006/relationships/externalLink" Target="externalLinks/externalLink3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9" Type="http://schemas.openxmlformats.org/officeDocument/2006/relationships/externalLink" Target="externalLinks/externalLink1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externalLink" Target="externalLinks/externalLink19.xml"/><Relationship Id="rId37" Type="http://schemas.openxmlformats.org/officeDocument/2006/relationships/externalLink" Target="externalLinks/externalLink24.xml"/><Relationship Id="rId40" Type="http://schemas.openxmlformats.org/officeDocument/2006/relationships/externalLink" Target="externalLinks/externalLink27.xml"/><Relationship Id="rId45" Type="http://schemas.openxmlformats.org/officeDocument/2006/relationships/externalLink" Target="externalLinks/externalLink32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externalLink" Target="externalLinks/externalLink22.xml"/><Relationship Id="rId43" Type="http://schemas.openxmlformats.org/officeDocument/2006/relationships/externalLink" Target="externalLinks/externalLink30.xml"/><Relationship Id="rId48" Type="http://schemas.openxmlformats.org/officeDocument/2006/relationships/externalLink" Target="externalLinks/externalLink35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externalLink" Target="externalLinks/externalLink20.xml"/><Relationship Id="rId38" Type="http://schemas.openxmlformats.org/officeDocument/2006/relationships/externalLink" Target="externalLinks/externalLink25.xml"/><Relationship Id="rId46" Type="http://schemas.openxmlformats.org/officeDocument/2006/relationships/externalLink" Target="externalLinks/externalLink33.xml"/><Relationship Id="rId20" Type="http://schemas.openxmlformats.org/officeDocument/2006/relationships/externalLink" Target="externalLinks/externalLink7.xml"/><Relationship Id="rId41" Type="http://schemas.openxmlformats.org/officeDocument/2006/relationships/externalLink" Target="externalLinks/externalLink2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externalLink" Target="externalLinks/externalLink23.xml"/><Relationship Id="rId49" Type="http://schemas.openxmlformats.org/officeDocument/2006/relationships/externalLink" Target="externalLinks/externalLink36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8.xml"/><Relationship Id="rId44" Type="http://schemas.openxmlformats.org/officeDocument/2006/relationships/externalLink" Target="externalLinks/externalLink31.xml"/><Relationship Id="rId52" Type="http://schemas.openxmlformats.org/officeDocument/2006/relationships/externalLink" Target="externalLinks/externalLink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추정표!$C$30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추정표!$C$31:$C$38</c:f>
              <c:numCache>
                <c:formatCode>#,##0.00_ </c:formatCode>
                <c:ptCount val="8"/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A-4D49-9DE2-6664A4817686}"/>
            </c:ext>
          </c:extLst>
        </c:ser>
        <c:ser>
          <c:idx val="2"/>
          <c:order val="1"/>
          <c:tx>
            <c:strRef>
              <c:f>추정표!$D$30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추정표!$D$31:$D$38</c:f>
              <c:numCache>
                <c:formatCode>#,##0.00_ </c:formatCode>
                <c:ptCount val="8"/>
                <c:pt idx="5">
                  <c:v>0.4273625309474216</c:v>
                </c:pt>
                <c:pt idx="6">
                  <c:v>0.33493195527163244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8288"/>
        <c:axId val="497423976"/>
      </c:barChart>
      <c:lineChart>
        <c:grouping val="standard"/>
        <c:varyColors val="0"/>
        <c:ser>
          <c:idx val="3"/>
          <c:order val="2"/>
          <c:tx>
            <c:strRef>
              <c:f>추정표!$E$30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추정표!$E$31:$E$38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A-4D49-9DE2-6664A4817686}"/>
            </c:ext>
          </c:extLst>
        </c:ser>
        <c:ser>
          <c:idx val="4"/>
          <c:order val="3"/>
          <c:tx>
            <c:strRef>
              <c:f>추정표!$F$30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추정표!$F$31:$F$38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A-4D49-9DE2-6664A4817686}"/>
            </c:ext>
          </c:extLst>
        </c:ser>
        <c:ser>
          <c:idx val="5"/>
          <c:order val="4"/>
          <c:tx>
            <c:strRef>
              <c:f>추정표!$G$30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AA-4D49-9DE2-6664A48176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AA-4D49-9DE2-6664A481768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AA-4D49-9DE2-6664A481768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AA-4D49-9DE2-6664A4817686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AA-4D49-9DE2-6664A4817686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추정표!$G$31:$G$38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AA-4D49-9DE2-6664A4817686}"/>
            </c:ext>
          </c:extLst>
        </c:ser>
        <c:ser>
          <c:idx val="6"/>
          <c:order val="5"/>
          <c:tx>
            <c:strRef>
              <c:f>추정표!$H$30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AA-4D49-9DE2-6664A4817686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AA-4D49-9DE2-6664A4817686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AA-4D49-9DE2-6664A4817686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AA-4D49-9DE2-6664A4817686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AA-4D49-9DE2-6664A4817686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추정표!$H$31:$H$38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1.282087592842265</c:v>
                </c:pt>
                <c:pt idx="6">
                  <c:v>1.0047958658148977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7AA-4D49-9DE2-6664A4817686}"/>
            </c:ext>
          </c:extLst>
        </c:ser>
        <c:ser>
          <c:idx val="0"/>
          <c:order val="6"/>
          <c:tx>
            <c:strRef>
              <c:f>추정표!$B$30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추정표!$B$31:$B$38</c:f>
              <c:numCache>
                <c:formatCode>0.0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8288"/>
        <c:axId val="497423976"/>
      </c:lineChart>
      <c:catAx>
        <c:axId val="49742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3976"/>
        <c:crossesAt val="0"/>
        <c:auto val="0"/>
        <c:lblAlgn val="ctr"/>
        <c:lblOffset val="100"/>
        <c:tickMarkSkip val="1"/>
        <c:noMultiLvlLbl val="0"/>
      </c:catAx>
      <c:valAx>
        <c:axId val="497423976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추정표!$C$58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추정표!$C$59:$C$66</c:f>
              <c:numCache>
                <c:formatCode>_-[$€-2]* #,##0.00_-;\-[$€-2]* #,##0.00_-;_-[$€-2]* "-"??_-</c:formatCode>
                <c:ptCount val="8"/>
                <c:pt idx="5">
                  <c:v>83</c:v>
                </c:pt>
                <c:pt idx="6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5-4652-8591-D0FC7036988A}"/>
            </c:ext>
          </c:extLst>
        </c:ser>
        <c:ser>
          <c:idx val="2"/>
          <c:order val="1"/>
          <c:tx>
            <c:strRef>
              <c:f>추정표!$D$58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추정표!$D$59:$D$66</c:f>
              <c:numCache>
                <c:formatCode>_-[$€-2]* #,##0.00_-;\-[$€-2]* #,##0.00_-;_-[$€-2]* "-"??_-</c:formatCode>
                <c:ptCount val="8"/>
                <c:pt idx="5">
                  <c:v>8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9072"/>
        <c:axId val="497424368"/>
      </c:barChart>
      <c:lineChart>
        <c:grouping val="standard"/>
        <c:varyColors val="0"/>
        <c:ser>
          <c:idx val="3"/>
          <c:order val="2"/>
          <c:tx>
            <c:strRef>
              <c:f>추정표!$E$58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추정표!$E$59:$E$66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5-4652-8591-D0FC7036988A}"/>
            </c:ext>
          </c:extLst>
        </c:ser>
        <c:ser>
          <c:idx val="4"/>
          <c:order val="3"/>
          <c:tx>
            <c:strRef>
              <c:f>추정표!$F$58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추정표!$F$59:$F$66</c:f>
              <c:numCache>
                <c:formatCode>#,##0.0_ 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45-4652-8591-D0FC7036988A}"/>
            </c:ext>
          </c:extLst>
        </c:ser>
        <c:ser>
          <c:idx val="5"/>
          <c:order val="4"/>
          <c:tx>
            <c:strRef>
              <c:f>추정표!$G$58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45-4652-8591-D0FC7036988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45-4652-8591-D0FC7036988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45-4652-8591-D0FC703698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45-4652-8591-D0FC7036988A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45-4652-8591-D0FC7036988A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추정표!$G$59:$G$66</c:f>
              <c:numCache>
                <c:formatCode>#,##0.0_ 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>
                  <c:v>83</c:v>
                </c:pt>
                <c:pt idx="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45-4652-8591-D0FC7036988A}"/>
            </c:ext>
          </c:extLst>
        </c:ser>
        <c:ser>
          <c:idx val="6"/>
          <c:order val="5"/>
          <c:tx>
            <c:strRef>
              <c:f>추정표!$H$58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45-4652-8591-D0FC7036988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45-4652-8591-D0FC7036988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45-4652-8591-D0FC7036988A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445-4652-8591-D0FC7036988A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45-4652-8591-D0FC7036988A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445-4652-8591-D0FC7036988A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445-4652-8591-D0FC7036988A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445-4652-8591-D0FC7036988A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추정표!$H$59:$H$66</c:f>
              <c:numCache>
                <c:formatCode>_-[$€-2]* #,##0.00_-;\-[$€-2]* #,##0.00_-;_-[$€-2]* "-"??_-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 formatCode="#,##0.0">
                  <c:v>91</c:v>
                </c:pt>
                <c:pt idx="6" formatCode="#,##0.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45-4652-8591-D0FC7036988A}"/>
            </c:ext>
          </c:extLst>
        </c:ser>
        <c:ser>
          <c:idx val="0"/>
          <c:order val="6"/>
          <c:tx>
            <c:strRef>
              <c:f>추정표!$A$56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추정표!$B$59:$B$66</c:f>
              <c:numCache>
                <c:formatCode>0.00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9072"/>
        <c:axId val="497424368"/>
      </c:lineChart>
      <c:catAx>
        <c:axId val="49742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4368"/>
        <c:crosses val="autoZero"/>
        <c:auto val="0"/>
        <c:lblAlgn val="ctr"/>
        <c:lblOffset val="100"/>
        <c:tickMarkSkip val="1"/>
        <c:noMultiLvlLbl val="0"/>
      </c:catAx>
      <c:valAx>
        <c:axId val="497424368"/>
        <c:scaling>
          <c:orientation val="minMax"/>
          <c:max val="130"/>
          <c:min val="7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907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추정_master!$C$121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추정_master!$C$122:$C$129</c:f>
              <c:numCache>
                <c:formatCode>#,##0.00_ </c:formatCode>
                <c:ptCount val="8"/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추정_master!$D$121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추정_master!$D$122:$D$129</c:f>
              <c:numCache>
                <c:formatCode>#,##0.00_ </c:formatCode>
                <c:ptCount val="8"/>
                <c:pt idx="5">
                  <c:v>0.20503034569231926</c:v>
                </c:pt>
                <c:pt idx="6">
                  <c:v>0.20403364418863479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7504"/>
        <c:axId val="497426720"/>
      </c:barChart>
      <c:lineChart>
        <c:grouping val="standard"/>
        <c:varyColors val="0"/>
        <c:ser>
          <c:idx val="3"/>
          <c:order val="2"/>
          <c:tx>
            <c:strRef>
              <c:f>추정_master!$E$121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추정_master!$E$122:$E$129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추정_master!$F$121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추정_master!$F$122:$F$129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추정_master!$G$121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7E-42B5-AC85-6209E10E922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추정_master!$G$122:$G$129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추정_master!$H$121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7E-42B5-AC85-6209E10E922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7E-42B5-AC85-6209E10E922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7E-42B5-AC85-6209E10E922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7E-42B5-AC85-6209E10E922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7E-42B5-AC85-6209E10E922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추정_master!$H$122:$H$129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1.1076628868812648</c:v>
                </c:pt>
                <c:pt idx="6">
                  <c:v>0.89647150157269651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추정_master!$B$121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추정_master!$B$122:$B$129</c:f>
              <c:numCache>
                <c:formatCode>0.0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7504"/>
        <c:axId val="497426720"/>
      </c:lineChart>
      <c:catAx>
        <c:axId val="49742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6720"/>
        <c:crossesAt val="0"/>
        <c:auto val="0"/>
        <c:lblAlgn val="ctr"/>
        <c:lblOffset val="100"/>
        <c:tickMarkSkip val="1"/>
        <c:noMultiLvlLbl val="0"/>
      </c:catAx>
      <c:valAx>
        <c:axId val="497426720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추정_master!$C$212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추정_master!$C$213:$C$220</c:f>
              <c:numCache>
                <c:formatCode>_-[$€-2]* #,##0.00_-;\-[$€-2]* #,##0.00_-;_-[$€-2]* "-"??_-</c:formatCode>
                <c:ptCount val="8"/>
                <c:pt idx="5">
                  <c:v>226.3</c:v>
                </c:pt>
                <c:pt idx="6">
                  <c:v>181.8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추정_master!$D$213:$D$220</c:f>
              <c:numCache>
                <c:formatCode>_-[$€-2]* #,##0.00_-;\-[$€-2]* #,##0.00_-;_-[$€-2]* "-"??_-</c:formatCode>
                <c:ptCount val="8"/>
                <c:pt idx="5">
                  <c:v>25.799999999999983</c:v>
                </c:pt>
                <c:pt idx="6">
                  <c:v>50.699999999999989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3112"/>
        <c:axId val="499077232"/>
      </c:barChart>
      <c:lineChart>
        <c:grouping val="standard"/>
        <c:varyColors val="0"/>
        <c:ser>
          <c:idx val="3"/>
          <c:order val="2"/>
          <c:tx>
            <c:strRef>
              <c:f>추정_master!$E$212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추정_master!$E$213:$E$220</c:f>
              <c:numCache>
                <c:formatCode>_-[$€-2]* #,##0.00_-;\-[$€-2]* #,##0.00_-;_-[$€-2]* "-"??_-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추정_master!$F$213:$F$220</c:f>
              <c:numCache>
                <c:formatCode>_-[$€-2]* #,##0.00_-;\-[$€-2]* #,##0.00_-;_-[$€-2]* "-"??_-</c:formatCode>
                <c:ptCount val="8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33-49A3-9CCF-307405EBE8A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추정_master!$G$213:$G$220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226.3</c:v>
                </c:pt>
                <c:pt idx="6">
                  <c:v>181.8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33-49A3-9CCF-307405EBE8A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33-49A3-9CCF-307405EBE8A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33-49A3-9CCF-307405EBE8A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33-49A3-9CCF-307405EBE8A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33-49A3-9CCF-307405EBE8A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추정_master!$H$213:$H$220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252.1</c:v>
                </c:pt>
                <c:pt idx="6">
                  <c:v>232.5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추정_master!$B$212</c:f>
              <c:strCache>
                <c:ptCount val="1"/>
                <c:pt idx="0">
                  <c:v>충당금 등/고정이하자산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추정_master!$B$213:$B$220</c:f>
              <c:numCache>
                <c:formatCode>0.0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3112"/>
        <c:axId val="499077232"/>
      </c:lineChart>
      <c:catAx>
        <c:axId val="49908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7232"/>
        <c:crossesAt val="0"/>
        <c:auto val="0"/>
        <c:lblAlgn val="ctr"/>
        <c:lblOffset val="100"/>
        <c:tickMarkSkip val="1"/>
        <c:noMultiLvlLbl val="0"/>
      </c:catAx>
      <c:valAx>
        <c:axId val="499077232"/>
        <c:scaling>
          <c:orientation val="minMax"/>
          <c:max val="120"/>
          <c:min val="5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11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추정_master!$M$213:$M$220</c:f>
              <c:numCache>
                <c:formatCode>_-[$€-2]* #,##0.00_-;\-[$€-2]* #,##0.00_-;_-[$€-2]* "-"??_-</c:formatCode>
                <c:ptCount val="8"/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추정_master!$N$213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추정_master!$N$213:$N$220</c:f>
              <c:numCache>
                <c:formatCode>_-[$€-2]* #,##0.00_-;\-[$€-2]* #,##0.00_-;_-[$€-2]* "-"??_-</c:formatCode>
                <c:ptCount val="8"/>
                <c:pt idx="5">
                  <c:v>251.9783903374389</c:v>
                </c:pt>
                <c:pt idx="6">
                  <c:v>263.86904041884327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4680"/>
        <c:axId val="499083504"/>
      </c:barChart>
      <c:lineChart>
        <c:grouping val="standard"/>
        <c:varyColors val="0"/>
        <c:ser>
          <c:idx val="3"/>
          <c:order val="2"/>
          <c:tx>
            <c:strRef>
              <c:f>추정_master!$O$212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추정_master!$O$213:$O$220</c:f>
              <c:numCache>
                <c:formatCode>#,##0.0_ </c:formatCode>
                <c:ptCount val="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추정_master!$P$212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추정_master!$P$213:$P$220</c:f>
              <c:numCache>
                <c:formatCode>#,##0.0_ </c:formatCode>
                <c:ptCount val="8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추정_master!$Q$212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F9-457C-A3C8-0B18C52E713A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추정_master!$Q$213:$Q$220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추정_master!$R$212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noFill/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F9-457C-A3C8-0B18C52E713A}"/>
              </c:ext>
            </c:extLst>
          </c:dPt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F9-457C-A3C8-0B18C52E713A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F9-457C-A3C8-0B18C52E713A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F9-457C-A3C8-0B18C52E713A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F9-457C-A3C8-0B18C52E713A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F9-457C-A3C8-0B18C52E713A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추정_master!$R$213:$R$220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1384.4806296669572</c:v>
                </c:pt>
                <c:pt idx="6">
                  <c:v>1423.1858903924362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추정_master!$L$212</c:f>
              <c:strCache>
                <c:ptCount val="1"/>
                <c:pt idx="0">
                  <c:v>신NCR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추정_master!$L$213:$L$220</c:f>
              <c:numCache>
                <c:formatCode>0.0</c:formatCode>
                <c:ptCount val="8"/>
                <c:pt idx="4">
                  <c:v>1479.2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80"/>
        <c:axId val="499083504"/>
      </c:lineChart>
      <c:catAx>
        <c:axId val="49908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504"/>
        <c:crossesAt val="0"/>
        <c:auto val="0"/>
        <c:lblAlgn val="ctr"/>
        <c:lblOffset val="100"/>
        <c:tickMarkSkip val="1"/>
        <c:noMultiLvlLbl val="0"/>
      </c:catAx>
      <c:valAx>
        <c:axId val="499083504"/>
        <c:scaling>
          <c:orientation val="minMax"/>
          <c:max val="600"/>
          <c:min val="3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468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추정_master!$C$238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추정_master!$C$239:$C$246</c:f>
              <c:numCache>
                <c:formatCode>_-[$€-2]* #,##0.00_-;\-[$€-2]* #,##0.00_-;_-[$€-2]* "-"??_-</c:formatCode>
                <c:ptCount val="8"/>
                <c:pt idx="5">
                  <c:v>185.32998685797034</c:v>
                </c:pt>
                <c:pt idx="6">
                  <c:v>162.39095040304778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추정_master!$D$238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추정_master!$D$239:$D$246</c:f>
              <c:numCache>
                <c:formatCode>_-[$€-2]* #,##0.00_-;\-[$€-2]* #,##0.00_-;_-[$€-2]* "-"??_-</c:formatCode>
                <c:ptCount val="8"/>
                <c:pt idx="5">
                  <c:v>18.648097010917212</c:v>
                </c:pt>
                <c:pt idx="6">
                  <c:v>19.444364366108914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9976"/>
        <c:axId val="499081936"/>
      </c:barChart>
      <c:lineChart>
        <c:grouping val="standard"/>
        <c:varyColors val="0"/>
        <c:ser>
          <c:idx val="3"/>
          <c:order val="2"/>
          <c:tx>
            <c:strRef>
              <c:f>추정_master!$E$238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추정_master!$E$239:$E$246</c:f>
              <c:numCache>
                <c:formatCode>_-[$€-2]* #,##0.00_-;\-[$€-2]* #,##0.00_-;_-[$€-2]* "-"??_-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추정_master!$F$238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추정_master!$F$239:$F$246</c:f>
              <c:numCache>
                <c:formatCode>_-[$€-2]* #,##0.00_-;\-[$€-2]* #,##0.00_-;_-[$€-2]* "-"??_-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추정_master!$G$238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C7-4467-9187-7E396CC918A1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추정_master!$G$239:$G$246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185.32998685797034</c:v>
                </c:pt>
                <c:pt idx="6" formatCode="#,##0.0">
                  <c:v>162.39095040304778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추정_master!$H$238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7-4467-9187-7E396CC918A1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7-4467-9187-7E396CC918A1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FC7-4467-9187-7E396CC918A1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C7-4467-9187-7E396CC918A1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C7-4467-9187-7E396CC918A1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C7-4467-9187-7E396CC918A1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C7-4467-9187-7E396CC918A1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FC7-4467-9187-7E396CC918A1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추정_master!$H$239:$H$246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203.97808386888755</c:v>
                </c:pt>
                <c:pt idx="6" formatCode="#,##0.0">
                  <c:v>181.8353147691567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추정_master!$A$236</c:f>
              <c:strCache>
                <c:ptCount val="1"/>
                <c:pt idx="0">
                  <c:v>[순영업수익/판관비]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추정_master!$B$239:$B$246</c:f>
              <c:numCache>
                <c:formatCode>0.00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9976"/>
        <c:axId val="499081936"/>
      </c:lineChart>
      <c:catAx>
        <c:axId val="499079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936"/>
        <c:crosses val="autoZero"/>
        <c:auto val="0"/>
        <c:lblAlgn val="ctr"/>
        <c:lblOffset val="100"/>
        <c:tickMarkSkip val="1"/>
        <c:noMultiLvlLbl val="0"/>
      </c:catAx>
      <c:valAx>
        <c:axId val="499081936"/>
        <c:scaling>
          <c:orientation val="minMax"/>
          <c:min val="6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추정_master!$C$265:$C$272</c:f>
              <c:numCache>
                <c:formatCode>_-[$€-2]* #,##0.00_-;\-[$€-2]* #,##0.00_-;_-[$€-2]* "-"??_-</c:formatCode>
                <c:ptCount val="8"/>
                <c:pt idx="5">
                  <c:v>129.58857930893581</c:v>
                </c:pt>
                <c:pt idx="6">
                  <c:v>129.58868495372633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추정_master!$D$265:$D$272</c:f>
              <c:numCache>
                <c:formatCode>_-[$€-2]* #,##0.00_-;\-[$€-2]* #,##0.00_-;_-[$€-2]* "-"??_-</c:formatCode>
                <c:ptCount val="8"/>
                <c:pt idx="5">
                  <c:v>4.7553344525559567</c:v>
                </c:pt>
                <c:pt idx="6">
                  <c:v>9.6850357365253217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8408"/>
        <c:axId val="499078016"/>
      </c:barChart>
      <c:lineChart>
        <c:grouping val="standard"/>
        <c:varyColors val="0"/>
        <c:ser>
          <c:idx val="3"/>
          <c:order val="2"/>
          <c:tx>
            <c:strRef>
              <c:f>추정_master!$E$264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추정_master!$E$265:$E$272</c:f>
              <c:numCache>
                <c:formatCode>_-[$€-2]* #,##0.00_-;\-[$€-2]* #,##0.00_-;_-[$€-2]* "-"??_-</c:formatCode>
                <c:ptCount val="8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추정_master!$F$266:$F$272</c:f>
              <c:numCache>
                <c:formatCode>_-[$€-2]* #,##0.00_-;\-[$€-2]* #,##0.00_-;_-[$€-2]* "-"??_-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4-4722-A7AF-089F93B9A277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추정_master!$G$265:$G$272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129.58857930893581</c:v>
                </c:pt>
                <c:pt idx="6" formatCode="#,##0.0">
                  <c:v>129.58868495372633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A4-4722-A7AF-089F93B9A277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A4-4722-A7AF-089F93B9A277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A4-4722-A7AF-089F93B9A277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4-4722-A7AF-089F93B9A277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4-4722-A7AF-089F93B9A277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A4-4722-A7AF-089F93B9A277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4-4722-A7AF-089F93B9A277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A4-4722-A7AF-089F93B9A277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추정_master!$H$265:$H$272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134.34391376149176</c:v>
                </c:pt>
                <c:pt idx="6" formatCode="#,##0.0">
                  <c:v>139.27372069025165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추정_master!$A$262</c:f>
              <c:strCache>
                <c:ptCount val="1"/>
                <c:pt idx="0">
                  <c:v>[유동성비율]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추정_master!$B$265:$B$272</c:f>
              <c:numCache>
                <c:formatCode>0.00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8408"/>
        <c:axId val="499078016"/>
      </c:lineChart>
      <c:catAx>
        <c:axId val="49907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016"/>
        <c:crosses val="autoZero"/>
        <c:auto val="0"/>
        <c:lblAlgn val="ctr"/>
        <c:lblOffset val="100"/>
        <c:tickMarkSkip val="1"/>
        <c:noMultiLvlLbl val="0"/>
      </c:catAx>
      <c:valAx>
        <c:axId val="499078016"/>
        <c:scaling>
          <c:orientation val="minMax"/>
          <c:max val="150"/>
          <c:min val="11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408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추정_master!$M$265:$M$272</c:f>
              <c:numCache>
                <c:formatCode>_-[$€-2]* #,##0.00_-;\-[$€-2]* #,##0.00_-;_-[$€-2]* "-"??_-</c:formatCode>
                <c:ptCount val="8"/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추정_master!$N$264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추정_master!$N$265:$N$272</c:f>
              <c:numCache>
                <c:formatCode>_-[$€-2]* #,##0.00_-;\-[$€-2]* #,##0.00_-;_-[$€-2]* "-"??_-</c:formatCode>
                <c:ptCount val="8"/>
                <c:pt idx="5">
                  <c:v>4.2371581147901054</c:v>
                </c:pt>
                <c:pt idx="6">
                  <c:v>8.8729662745137148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1152"/>
        <c:axId val="499078800"/>
      </c:barChart>
      <c:lineChart>
        <c:grouping val="standard"/>
        <c:varyColors val="0"/>
        <c:ser>
          <c:idx val="3"/>
          <c:order val="2"/>
          <c:tx>
            <c:strRef>
              <c:f>추정_master!$O$264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추정_master!$O$265:$O$272</c:f>
              <c:numCache>
                <c:formatCode>#,##0.0_ </c:formatCode>
                <c:ptCount val="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추정_master!$P$264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추정_master!$P$265:$P$272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추정_master!$Q$264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F0-442A-B6BC-BC67B26A04E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추정_master!$Q$265:$Q$272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추정_master!$R$264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F0-442A-B6BC-BC67B26A04E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F0-442A-B6BC-BC67B26A04E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F0-442A-B6BC-BC67B26A04E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F0-442A-B6BC-BC67B26A04E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F0-442A-B6BC-BC67B26A04E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F0-442A-B6BC-BC67B26A04E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F0-442A-B6BC-BC67B26A04E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F0-442A-B6BC-BC67B26A04E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추정_master!$R$265:$R$272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">
                  <c:v>109.66346638644313</c:v>
                </c:pt>
                <c:pt idx="6" formatCode="#,##0.0">
                  <c:v>116.83838651728125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추정_master!$K$262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추정_master!$L$265:$L$272</c:f>
              <c:numCache>
                <c:formatCode>0.00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1152"/>
        <c:axId val="499078800"/>
      </c:lineChart>
      <c:catAx>
        <c:axId val="49908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800"/>
        <c:crosses val="autoZero"/>
        <c:auto val="0"/>
        <c:lblAlgn val="ctr"/>
        <c:lblOffset val="100"/>
        <c:tickMarkSkip val="1"/>
        <c:noMultiLvlLbl val="0"/>
      </c:catAx>
      <c:valAx>
        <c:axId val="499078800"/>
        <c:scaling>
          <c:orientation val="minMax"/>
          <c:max val="140"/>
          <c:min val="9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15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0760"/>
        <c:axId val="499081544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00-4977-AD49-C76B0266E623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00-4977-AD49-C76B0266E623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00-4977-AD49-C76B0266E623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00-4977-AD49-C76B0266E623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00-4977-AD49-C76B0266E623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00-4977-AD49-C76B0266E623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00-4977-AD49-C76B0266E623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00-4977-AD49-C76B0266E623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00-4977-AD49-C76B0266E623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0760"/>
        <c:axId val="499081544"/>
      </c:lineChart>
      <c:catAx>
        <c:axId val="49908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544"/>
        <c:crosses val="autoZero"/>
        <c:auto val="0"/>
        <c:lblAlgn val="ctr"/>
        <c:lblOffset val="100"/>
        <c:tickMarkSkip val="1"/>
        <c:noMultiLvlLbl val="0"/>
      </c:catAx>
      <c:valAx>
        <c:axId val="499081544"/>
        <c:scaling>
          <c:orientation val="minMax"/>
          <c:min val="6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추정_master!$C$178:$C$185</c:f>
              <c:numCache>
                <c:formatCode>_-[$€-2]* #,##0.00_-;\-[$€-2]* #,##0.00_-;_-[$€-2]* "-"??_-</c:formatCode>
                <c:ptCount val="8"/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추정_master!$D$177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추정_master!$D$178:$D$185</c:f>
              <c:numCache>
                <c:formatCode>_-[$€-2]* #,##0.00_-;\-[$€-2]* #,##0.00_-;_-[$€-2]* "-"??_-</c:formatCode>
                <c:ptCount val="8"/>
                <c:pt idx="5">
                  <c:v>0.49412902301047978</c:v>
                </c:pt>
                <c:pt idx="6">
                  <c:v>0.22588984827689806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1008"/>
        <c:axId val="491667480"/>
      </c:barChart>
      <c:lineChart>
        <c:grouping val="standard"/>
        <c:varyColors val="0"/>
        <c:ser>
          <c:idx val="3"/>
          <c:order val="2"/>
          <c:tx>
            <c:strRef>
              <c:f>추정_master!$E$177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추정_master!$E$178:$E$185</c:f>
              <c:numCache>
                <c:formatCode>#,##0.0_ 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추정_master!$F$177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추정_master!$F$178:$F$185</c:f>
              <c:numCache>
                <c:formatCode>#,##0.0_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추정_master!$G$177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89-4719-8659-B11FB00C191C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추정_master!$G$178:$G$185</c:f>
              <c:numCache>
                <c:formatCode>#,##0.0_ 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추정_master!$H$177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9-4719-8659-B11FB00C191C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9-4719-8659-B11FB00C191C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89-4719-8659-B11FB00C191C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89-4719-8659-B11FB00C191C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89-4719-8659-B11FB00C191C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추정_master!$H$178:$H$185</c:f>
              <c:numCache>
                <c:formatCode>_-[$€-2]* #,##0.00_-;\-[$€-2]* #,##0.00_-;_-[$€-2]* "-"??_-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10.23532008211002</c:v>
                </c:pt>
                <c:pt idx="6">
                  <c:v>10.055464206756591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추정_master!$A$175</c:f>
              <c:strCache>
                <c:ptCount val="1"/>
                <c:pt idx="0">
                  <c:v>[순영업수익MS]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추정_master!$B$178:$B$185</c:f>
              <c:numCache>
                <c:formatCode>0.00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1008"/>
        <c:axId val="491667480"/>
      </c:lineChart>
      <c:catAx>
        <c:axId val="49167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480"/>
        <c:crosses val="autoZero"/>
        <c:auto val="0"/>
        <c:lblAlgn val="ctr"/>
        <c:lblOffset val="100"/>
        <c:tickMarkSkip val="1"/>
        <c:noMultiLvlLbl val="0"/>
      </c:catAx>
      <c:valAx>
        <c:axId val="491667480"/>
        <c:scaling>
          <c:orientation val="minMax"/>
          <c:max val="2.5"/>
          <c:min val="0.5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100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6696"/>
        <c:axId val="49166787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A4-42DB-80D4-302E695C0568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A4-42DB-80D4-302E695C056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A4-42DB-80D4-302E695C056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A4-42DB-80D4-302E695C0568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A4-42DB-80D4-302E695C0568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A4-42DB-80D4-302E695C0568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A4-42DB-80D4-302E695C0568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A4-42DB-80D4-302E695C0568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A4-42DB-80D4-302E695C0568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6696"/>
        <c:axId val="491667872"/>
      </c:lineChart>
      <c:catAx>
        <c:axId val="49166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872"/>
        <c:crosses val="autoZero"/>
        <c:auto val="0"/>
        <c:lblAlgn val="ctr"/>
        <c:lblOffset val="100"/>
        <c:tickMarkSkip val="1"/>
        <c:noMultiLvlLbl val="0"/>
      </c:catAx>
      <c:valAx>
        <c:axId val="491667872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8264"/>
        <c:axId val="49166591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B-41FE-AAC4-783A9B0D43B9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6B-41FE-AAC4-783A9B0D43B9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6B-41FE-AAC4-783A9B0D43B9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6B-41FE-AAC4-783A9B0D43B9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6B-41FE-AAC4-783A9B0D43B9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6B-41FE-AAC4-783A9B0D43B9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6B-41FE-AAC4-783A9B0D43B9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6B-41FE-AAC4-783A9B0D43B9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6B-41FE-AAC4-783A9B0D43B9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8264"/>
        <c:axId val="491665912"/>
      </c:lineChart>
      <c:catAx>
        <c:axId val="491668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65912"/>
        <c:crosses val="autoZero"/>
        <c:auto val="0"/>
        <c:lblAlgn val="ctr"/>
        <c:lblOffset val="100"/>
        <c:tickMarkSkip val="1"/>
        <c:noMultiLvlLbl val="0"/>
      </c:catAx>
      <c:valAx>
        <c:axId val="491665912"/>
        <c:scaling>
          <c:orientation val="minMax"/>
          <c:max val="930"/>
          <c:min val="84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8264"/>
        <c:crosses val="autoZero"/>
        <c:crossBetween val="midCat"/>
        <c:majorUnit val="2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0224"/>
        <c:axId val="491669048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89-48B4-BC85-270AF5F5A31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9-48B4-BC85-270AF5F5A31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9-48B4-BC85-270AF5F5A31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9-48B4-BC85-270AF5F5A31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89-48B4-BC85-270AF5F5A31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89-48B4-BC85-270AF5F5A31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89-48B4-BC85-270AF5F5A31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89-48B4-BC85-270AF5F5A31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89-48B4-BC85-270AF5F5A31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0224"/>
        <c:axId val="491669048"/>
      </c:lineChart>
      <c:catAx>
        <c:axId val="49167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9048"/>
        <c:crosses val="autoZero"/>
        <c:auto val="0"/>
        <c:lblAlgn val="ctr"/>
        <c:lblOffset val="100"/>
        <c:tickMarkSkip val="1"/>
        <c:noMultiLvlLbl val="0"/>
      </c:catAx>
      <c:valAx>
        <c:axId val="491669048"/>
        <c:scaling>
          <c:orientation val="minMax"/>
          <c:max val="720"/>
          <c:min val="68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0224"/>
        <c:crosses val="autoZero"/>
        <c:crossBetween val="midCat"/>
        <c:majorUnit val="20"/>
        <c:min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36</xdr:row>
      <xdr:rowOff>133350</xdr:rowOff>
    </xdr:from>
    <xdr:to>
      <xdr:col>4</xdr:col>
      <xdr:colOff>286144</xdr:colOff>
      <xdr:row>37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537681-264B-4847-919D-9B0E9C1C2451}"/>
            </a:ext>
          </a:extLst>
        </xdr:cNvPr>
        <xdr:cNvSpPr txBox="1"/>
      </xdr:nvSpPr>
      <xdr:spPr>
        <a:xfrm>
          <a:off x="3524250" y="20078700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15</xdr:row>
      <xdr:rowOff>60324</xdr:rowOff>
    </xdr:from>
    <xdr:to>
      <xdr:col>3</xdr:col>
      <xdr:colOff>273326</xdr:colOff>
      <xdr:row>26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72E6EDC6-188B-4CCB-886C-B67903624A22}"/>
            </a:ext>
          </a:extLst>
        </xdr:cNvPr>
        <xdr:cNvGrpSpPr/>
      </xdr:nvGrpSpPr>
      <xdr:grpSpPr>
        <a:xfrm>
          <a:off x="66674" y="2447924"/>
          <a:ext cx="3711852" cy="2038350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F17208B2-5F08-4055-95E9-21ABA74E5542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64F54A2E-D1B2-4A31-9BD2-5CC99E8E4355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5E3D3597-F8DC-4B6C-A816-6177077F1761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162891</xdr:colOff>
      <xdr:row>41</xdr:row>
      <xdr:rowOff>41408</xdr:rowOff>
    </xdr:from>
    <xdr:to>
      <xdr:col>4</xdr:col>
      <xdr:colOff>588063</xdr:colOff>
      <xdr:row>50</xdr:row>
      <xdr:rowOff>60044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143A8064-EEBB-42C9-A0F1-A0CE8722F18F}"/>
            </a:ext>
          </a:extLst>
        </xdr:cNvPr>
        <xdr:cNvGrpSpPr/>
      </xdr:nvGrpSpPr>
      <xdr:grpSpPr>
        <a:xfrm>
          <a:off x="162891" y="7204208"/>
          <a:ext cx="4666972" cy="1618836"/>
          <a:chOff x="4999935" y="38041325"/>
          <a:chExt cx="4135781" cy="1766956"/>
        </a:xfrm>
      </xdr:grpSpPr>
      <xdr:graphicFrame macro="">
        <xdr:nvGraphicFramePr>
          <xdr:cNvPr id="27" name="차트 26">
            <a:extLst>
              <a:ext uri="{FF2B5EF4-FFF2-40B4-BE49-F238E27FC236}">
                <a16:creationId xmlns:a16="http://schemas.microsoft.com/office/drawing/2014/main" id="{60EBD701-65D4-46EB-AAA5-2B2411BE087D}"/>
              </a:ext>
            </a:extLst>
          </xdr:cNvPr>
          <xdr:cNvGraphicFramePr>
            <a:graphicFrameLocks/>
          </xdr:cNvGraphicFramePr>
        </xdr:nvGraphicFramePr>
        <xdr:xfrm>
          <a:off x="4999935" y="38041325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1E4FAC82-1254-4E10-BFBF-25A5C6BCF8C8}"/>
              </a:ext>
            </a:extLst>
          </xdr:cNvPr>
          <xdr:cNvSpPr txBox="1"/>
        </xdr:nvSpPr>
        <xdr:spPr>
          <a:xfrm>
            <a:off x="8323727" y="38448675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3B0A262A-276F-47D1-A28C-2F38E2583561}"/>
              </a:ext>
            </a:extLst>
          </xdr:cNvPr>
          <xdr:cNvSpPr txBox="1"/>
        </xdr:nvSpPr>
        <xdr:spPr>
          <a:xfrm>
            <a:off x="8243471" y="38880108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217833</xdr:colOff>
      <xdr:row>53</xdr:row>
      <xdr:rowOff>45141</xdr:rowOff>
    </xdr:from>
    <xdr:to>
      <xdr:col>14</xdr:col>
      <xdr:colOff>11241</xdr:colOff>
      <xdr:row>54</xdr:row>
      <xdr:rowOff>64491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6208" y="10265466"/>
          <a:ext cx="726858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66261</xdr:colOff>
      <xdr:row>109</xdr:row>
      <xdr:rowOff>49697</xdr:rowOff>
    </xdr:from>
    <xdr:to>
      <xdr:col>13</xdr:col>
      <xdr:colOff>41887</xdr:colOff>
      <xdr:row>110</xdr:row>
      <xdr:rowOff>69047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4636" y="20833247"/>
          <a:ext cx="728101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215350</xdr:colOff>
      <xdr:row>111</xdr:row>
      <xdr:rowOff>0</xdr:rowOff>
    </xdr:from>
    <xdr:to>
      <xdr:col>14</xdr:col>
      <xdr:colOff>8758</xdr:colOff>
      <xdr:row>111</xdr:row>
      <xdr:rowOff>190144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3725" y="31160832"/>
          <a:ext cx="726858" cy="190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127</xdr:row>
      <xdr:rowOff>133350</xdr:rowOff>
    </xdr:from>
    <xdr:to>
      <xdr:col>4</xdr:col>
      <xdr:colOff>286144</xdr:colOff>
      <xdr:row>128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62325" y="197643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106</xdr:row>
      <xdr:rowOff>60324</xdr:rowOff>
    </xdr:from>
    <xdr:to>
      <xdr:col>3</xdr:col>
      <xdr:colOff>273326</xdr:colOff>
      <xdr:row>117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66674" y="17464846"/>
          <a:ext cx="3707435" cy="2026202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10</xdr:col>
      <xdr:colOff>101600</xdr:colOff>
      <xdr:row>222</xdr:row>
      <xdr:rowOff>71438</xdr:rowOff>
    </xdr:from>
    <xdr:ext cx="657225" cy="29187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397750" y="24636413"/>
          <a:ext cx="657225" cy="291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:%)</a:t>
          </a:r>
          <a:endParaRPr lang="ko-KR" altLang="en-US" sz="900"/>
        </a:p>
      </xdr:txBody>
    </xdr:sp>
    <xdr:clientData/>
  </xdr:oneCellAnchor>
  <xdr:twoCellAnchor>
    <xdr:from>
      <xdr:col>0</xdr:col>
      <xdr:colOff>90488</xdr:colOff>
      <xdr:row>195</xdr:row>
      <xdr:rowOff>52387</xdr:rowOff>
    </xdr:from>
    <xdr:to>
      <xdr:col>3</xdr:col>
      <xdr:colOff>349250</xdr:colOff>
      <xdr:row>207</xdr:row>
      <xdr:rowOff>95250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90488" y="33580387"/>
          <a:ext cx="3759545" cy="2163211"/>
          <a:chOff x="9525" y="8162925"/>
          <a:chExt cx="3625049" cy="2133600"/>
        </a:xfrm>
      </xdr:grpSpPr>
      <xdr:graphicFrame macro="">
        <xdr:nvGraphicFramePr>
          <xdr:cNvPr id="13" name="차트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3096872" y="8931700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3018828" y="9626192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3</xdr:col>
      <xdr:colOff>457200</xdr:colOff>
      <xdr:row>218</xdr:row>
      <xdr:rowOff>133350</xdr:rowOff>
    </xdr:from>
    <xdr:to>
      <xdr:col>4</xdr:col>
      <xdr:colOff>286144</xdr:colOff>
      <xdr:row>219</xdr:row>
      <xdr:rowOff>183964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362325" y="240315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195</xdr:row>
      <xdr:rowOff>4762</xdr:rowOff>
    </xdr:from>
    <xdr:to>
      <xdr:col>11</xdr:col>
      <xdr:colOff>269875</xdr:colOff>
      <xdr:row>207</xdr:row>
      <xdr:rowOff>47625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5720936" y="33532762"/>
          <a:ext cx="3803374" cy="2163211"/>
          <a:chOff x="9525" y="8162925"/>
          <a:chExt cx="3545869" cy="2133600"/>
        </a:xfrm>
      </xdr:grpSpPr>
      <xdr:graphicFrame macro="">
        <xdr:nvGraphicFramePr>
          <xdr:cNvPr id="18" name="차트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125665" y="8255237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939648" y="939765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13</xdr:col>
      <xdr:colOff>457200</xdr:colOff>
      <xdr:row>218</xdr:row>
      <xdr:rowOff>133350</xdr:rowOff>
    </xdr:from>
    <xdr:to>
      <xdr:col>14</xdr:col>
      <xdr:colOff>286144</xdr:colOff>
      <xdr:row>219</xdr:row>
      <xdr:rowOff>183964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9696450" y="24031575"/>
          <a:ext cx="4385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222</xdr:row>
      <xdr:rowOff>47625</xdr:rowOff>
    </xdr:from>
    <xdr:to>
      <xdr:col>3</xdr:col>
      <xdr:colOff>187670</xdr:colOff>
      <xdr:row>233</xdr:row>
      <xdr:rowOff>134939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0" y="38478929"/>
          <a:ext cx="3688453" cy="2030967"/>
          <a:chOff x="-660998" y="16422312"/>
          <a:chExt cx="3600450" cy="2247900"/>
        </a:xfrm>
      </xdr:grpSpPr>
      <xdr:graphicFrame macro="">
        <xdr:nvGraphicFramePr>
          <xdr:cNvPr id="23" name="차트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2506805" y="16944837"/>
            <a:ext cx="372730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2236217" y="17582840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63500</xdr:colOff>
      <xdr:row>248</xdr:row>
      <xdr:rowOff>15875</xdr:rowOff>
    </xdr:from>
    <xdr:to>
      <xdr:col>3</xdr:col>
      <xdr:colOff>528638</xdr:colOff>
      <xdr:row>259</xdr:row>
      <xdr:rowOff>142875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63500" y="43173788"/>
          <a:ext cx="3965921" cy="2070652"/>
          <a:chOff x="-660998" y="16422312"/>
          <a:chExt cx="3907236" cy="2247900"/>
        </a:xfrm>
      </xdr:grpSpPr>
      <xdr:graphicFrame macro="">
        <xdr:nvGraphicFramePr>
          <xdr:cNvPr id="31" name="차트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2671921" y="16686248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2630492" y="17075668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63500</xdr:colOff>
      <xdr:row>244</xdr:row>
      <xdr:rowOff>106984</xdr:rowOff>
    </xdr:from>
    <xdr:to>
      <xdr:col>12</xdr:col>
      <xdr:colOff>397564</xdr:colOff>
      <xdr:row>256</xdr:row>
      <xdr:rowOff>18636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DCF2EABE-9679-4F2E-BFC2-4B8106E4E591}"/>
            </a:ext>
          </a:extLst>
        </xdr:cNvPr>
        <xdr:cNvGrpSpPr/>
      </xdr:nvGrpSpPr>
      <xdr:grpSpPr>
        <a:xfrm>
          <a:off x="5717761" y="42513941"/>
          <a:ext cx="4674151" cy="2076173"/>
          <a:chOff x="4999935" y="38041332"/>
          <a:chExt cx="4135781" cy="1766956"/>
        </a:xfrm>
      </xdr:grpSpPr>
      <xdr:graphicFrame macro="">
        <xdr:nvGraphicFramePr>
          <xdr:cNvPr id="35" name="차트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aphicFramePr>
            <a:graphicFrameLocks/>
          </xdr:cNvGraphicFramePr>
        </xdr:nvGraphicFramePr>
        <xdr:xfrm>
          <a:off x="4999935" y="38041332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8315445" y="38610043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8243471" y="38955411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472109</xdr:colOff>
      <xdr:row>132</xdr:row>
      <xdr:rowOff>57978</xdr:rowOff>
    </xdr:from>
    <xdr:to>
      <xdr:col>4</xdr:col>
      <xdr:colOff>183875</xdr:colOff>
      <xdr:row>143</xdr:row>
      <xdr:rowOff>145292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472109" y="22189108"/>
          <a:ext cx="3952462" cy="2030967"/>
          <a:chOff x="-660998" y="16422312"/>
          <a:chExt cx="3953139" cy="2247900"/>
        </a:xfrm>
      </xdr:grpSpPr>
      <xdr:graphicFrame macro="">
        <xdr:nvGraphicFramePr>
          <xdr:cNvPr id="47" name="차트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347869</xdr:colOff>
      <xdr:row>161</xdr:row>
      <xdr:rowOff>107675</xdr:rowOff>
    </xdr:from>
    <xdr:to>
      <xdr:col>3</xdr:col>
      <xdr:colOff>461686</xdr:colOff>
      <xdr:row>173</xdr:row>
      <xdr:rowOff>21052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347869" y="27495501"/>
          <a:ext cx="3614600" cy="2033725"/>
          <a:chOff x="0" y="16544924"/>
          <a:chExt cx="3678781" cy="2247900"/>
        </a:xfrm>
      </xdr:grpSpPr>
      <xdr:graphicFrame macro="">
        <xdr:nvGraphicFramePr>
          <xdr:cNvPr id="55" name="차트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GraphicFramePr>
            <a:graphicFrameLocks/>
          </xdr:cNvGraphicFramePr>
        </xdr:nvGraphicFramePr>
        <xdr:xfrm>
          <a:off x="0" y="16544924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3150774" y="16828734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3063035" y="1803828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0</xdr:colOff>
      <xdr:row>132</xdr:row>
      <xdr:rowOff>0</xdr:rowOff>
    </xdr:from>
    <xdr:to>
      <xdr:col>11</xdr:col>
      <xdr:colOff>266701</xdr:colOff>
      <xdr:row>143</xdr:row>
      <xdr:rowOff>87314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5654261" y="22131130"/>
          <a:ext cx="3866875" cy="2030967"/>
          <a:chOff x="-660998" y="16422312"/>
          <a:chExt cx="3953139" cy="2247900"/>
        </a:xfrm>
      </xdr:grpSpPr>
      <xdr:graphicFrame macro="">
        <xdr:nvGraphicFramePr>
          <xdr:cNvPr id="59" name="차트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12</xdr:col>
      <xdr:colOff>24847</xdr:colOff>
      <xdr:row>130</xdr:row>
      <xdr:rowOff>16562</xdr:rowOff>
    </xdr:from>
    <xdr:to>
      <xdr:col>17</xdr:col>
      <xdr:colOff>182218</xdr:colOff>
      <xdr:row>141</xdr:row>
      <xdr:rowOff>103876</xdr:rowOff>
    </xdr:to>
    <xdr:graphicFrame macro="">
      <xdr:nvGraphicFramePr>
        <xdr:cNvPr id="63" name="차트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33131</xdr:colOff>
      <xdr:row>140</xdr:row>
      <xdr:rowOff>57977</xdr:rowOff>
    </xdr:from>
    <xdr:to>
      <xdr:col>17</xdr:col>
      <xdr:colOff>198783</xdr:colOff>
      <xdr:row>145</xdr:row>
      <xdr:rowOff>124237</xdr:rowOff>
    </xdr:to>
    <xdr:graphicFrame macro="">
      <xdr:nvGraphicFramePr>
        <xdr:cNvPr id="66" name="차트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371387</xdr:colOff>
      <xdr:row>133</xdr:row>
      <xdr:rowOff>54684</xdr:rowOff>
    </xdr:from>
    <xdr:to>
      <xdr:col>17</xdr:col>
      <xdr:colOff>291548</xdr:colOff>
      <xdr:row>134</xdr:row>
      <xdr:rowOff>101147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11677148" y="20562423"/>
          <a:ext cx="533074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DOWN</a:t>
          </a:r>
          <a:endParaRPr lang="ko-KR" altLang="en-US" sz="1100" b="1" i="1">
            <a:solidFill>
              <a:schemeClr val="tx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646035</xdr:colOff>
      <xdr:row>140</xdr:row>
      <xdr:rowOff>5</xdr:rowOff>
    </xdr:from>
    <xdr:to>
      <xdr:col>17</xdr:col>
      <xdr:colOff>331303</xdr:colOff>
      <xdr:row>141</xdr:row>
      <xdr:rowOff>57977</xdr:rowOff>
    </xdr:to>
    <xdr:sp macro="" textlink="">
      <xdr:nvSpPr>
        <xdr:cNvPr id="70" name="직사각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8738144" y="21551353"/>
          <a:ext cx="3511833" cy="20705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502380</xdr:colOff>
      <xdr:row>141</xdr:row>
      <xdr:rowOff>75124</xdr:rowOff>
    </xdr:from>
    <xdr:to>
      <xdr:col>17</xdr:col>
      <xdr:colOff>212154</xdr:colOff>
      <xdr:row>142</xdr:row>
      <xdr:rowOff>121587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11808141" y="21775559"/>
          <a:ext cx="322687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UP</a:t>
          </a:r>
          <a:endParaRPr lang="ko-KR" altLang="en-US" sz="11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ocuments%20and%20Settings/jeongsukhan/Desktop/Co/&#54788;&#45824;&#49828;&#54252;&#52768;/2002&#44592;&#47568;/FS/Co/&#49888;&#54620;&#49888;&#50857;&#51221;&#48372;/My%20Documents/&#44221;&#46041;&#44508;/&#49352;%20&#54260;&#45908;/&#44208;&#49328;/&#51088;&#44552;/&#44208;&#49328;&#49436;/2000&#44208;&#49328;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54620;&#49888;&#51221;&#54217;&#44032;/Rating/&#44552;&#50997;&#54217;&#44032;&#48376;&#48512;/&#50629;&#52404;&#54217;&#44032;/&#51008;&#54665;/&#45453;&#54801;&#51008;&#54665;/2017.6/&#52628;&#51221;_&#45453;&#54801;&#51008;&#54665;(2017040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:/Ray/Work/00.%202012/00.%20&#44552;&#50997;/03%20&#51008;&#54665;/02%20&#49884;&#51473;&#51008;&#54665;/&#54620;&#44397;SC&#51008;&#54665;/SC%20Global/2016.03/04%20&#52628;&#51221;%20SC%20Global%2016.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2384;&#49688;/&#54016;&#51109;/My%20Documents/&#45432;&#48512;(&#49888;)/&#44552;&#50997;&#48708;&#50857;/&#54788;&#45824;&#51221;&#44277;/MSOFFICE/EXCEL/&#50900;&#44036;&#51088;&#44552;/&#51088;&#44552;&#49892;&#51201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2285;&#49437;/C/My%20Documents/&#49892;&#51201;&#50896;&#44032;/1999/99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E:/FORM/96&#44208;&#49328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FI2/FI2F/AAA97/&#49345;&#48152;&#44592;/&#44277;&#52292;/&#48176;&#52824;&#44277;&#47928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AAA97/&#49345;&#48152;&#44592;/&#44277;&#52292;/&#48176;&#52824;&#44277;&#47928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8149;&#51652;&#44397;/2001&#45380;/CP/&#50724;&#54536;&#48288;&#51060;&#49828;/(&#51452;)&#50724;&#54536;&#48288;&#51060;&#49828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8149;&#51652;&#44397;/2001&#45380;/CP/&#50724;&#54536;&#48288;&#51060;&#49828;/(&#51452;)&#50724;&#54536;&#48288;&#51060;&#49828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Sabc204/gggg/WORK/My%20Documents/&#51088;&#44552;&#50868;&#50689;&#44228;&#54925;(97)/975&#51116;&#47924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:/Documents%20and%20Settings/&#44053;&#51221;&#44396;/My%20Documents/NICE%20Rating/&#49888;&#50857;&#54217;&#44032;&#50629;&#47924;/&#44277;&#44277;&#44592;&#44288;%20&#50629;&#47924;/&#49688;&#54801;&#51473;&#50521;&#54924;(&#51648;&#46020;&#44221;&#51228;&#49324;&#50629;)/2010.12/&#54217;&#51221;&#51088;&#47308;_&#49688;&#54801;&#51473;&#50521;&#54924;(&#44221;&#51228;&#49324;&#50629;&#48512;)(2010.12.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1008;&#55148;/DATA/KSW/work/PM/REPORT/&#44277;&#51221;&#44032;&#51473;&#52824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4184.$$$/&#44277;&#51221;&#44032;&#51473;&#52824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1&#54217;&#44032;/&#50836;&#51652;&#49328;&#50629;/0907/2002&#45380;/&#54633;&#49328;/&#54620;&#54868;&#44536;&#47353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&#54217;&#44032;/&#44148;&#49444;&#50629;&#54217;&#44032;/&#44148;&#49444;&#50629;&#52404;/&#49340;&#48512;&#53664;&#44148;/2004%20&#44592;&#50629;&#50612;&#51020;%20&#51221;&#54217;/&#49340;&#48512;&#53664;&#44148;(&#51452;)%2004&#45380;%209&#50900;%201(&#52628;&#51221;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432;&#49849;&#54364;/C/&#45432;&#49849;&#54364;/MSOFFICE/EXCEL/&#50900;&#44036;&#51088;&#44552;/&#51088;&#44552;&#49892;&#51201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G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280.$$$/&#44277;&#51221;&#44032;&#51473;&#52824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7928;&#52384;&#49688;/IR&#49888;&#44508;(9908)/OWARE/CACHE/&#49688;&#51221;&#50577;&#49885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7928;&#52384;&#49688;/IR&#49888;&#44508;(9908)/OWARE/CACHE/&#49688;&#51221;&#50577;&#49885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E:/98&#50629;&#47924;/97&#44208;&#49328;/&#44397;&#45236;/97&#50577;&#49885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03%20&#54620;&#44397;&#53804;&#51088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12%20&#54620;&#44397;&#53804;&#51088;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4.12%20&#54620;&#44397;&#53804;&#51088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5.12%20&#54620;&#44397;&#53804;&#51088;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6.12%20&#54620;&#44397;&#53804;&#51088;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7.12%20&#54620;&#44397;&#53804;&#51088;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3%20&#54620;&#44397;&#53804;&#51088;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6%20&#54620;&#44397;&#53804;&#51088;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9%20&#54620;&#44397;&#53804;&#51088;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12%20&#54620;&#44397;&#53804;&#51088;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3%20&#54620;&#44397;&#53804;&#51088;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6%20&#54620;&#44397;&#53804;&#51088;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9%20&#54620;&#44397;&#53804;&#51088;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8.12/&#51613;&#44428;&#49324;%20&#52628;&#51221;&#50857;%20&#49688;&#53441;&#44144;&#47000;%20&#51648;&#48516;&#51613;&#44428;%20&#44144;&#47000;&#44552;&#50529;%20&#48143;%20&#49688;&#49688;&#47308;%20&#52628;&#51060;%2018.12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9.06/Quanti/Data-&#54620;&#53804;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48120;&#47000;&#50640;&#49483;&#45824;&#50864;/WT1%2001%20&#51613;&#44428;%20&#48120;&#47000;&#50640;&#49483;&#45824;&#50864;%20&#48372;&#44256;&#49436;%2019.09/00%20Data%2019.06%20&#48120;&#47000;&#50640;&#49483;&#45824;&#50864;%2019.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00'미수"/>
      <sheetName val="00'적금미수"/>
      <sheetName val="미지급(00.12.31)"/>
      <sheetName val="01'6월적금미수"/>
      <sheetName val="01'미수결산"/>
      <sheetName val="미수(01,1-6)"/>
      <sheetName val="미수수익(01)"/>
      <sheetName val="이자수익(01)"/>
      <sheetName val="01'3월적금미수"/>
      <sheetName val="적금미수임시"/>
      <sheetName val="부문별이자수익(01)"/>
      <sheetName val="미지급임시"/>
      <sheetName val="미지급(01년3월)"/>
      <sheetName val="미지급(01)"/>
      <sheetName val="선급(01)"/>
      <sheetName val="미수수익명세"/>
      <sheetName val="은행별단기차입"/>
      <sheetName val="단기차입"/>
      <sheetName val="부문별이자비용(01)"/>
      <sheetName val="명세2"/>
      <sheetName val="Sheet1"/>
      <sheetName val="외환차익(01)"/>
      <sheetName val="외환차손(01)"/>
      <sheetName val="외환차손(01-6)"/>
      <sheetName val="외환차익(01-6)"/>
      <sheetName val="이자비용(01)"/>
      <sheetName val="건설이자(01)"/>
      <sheetName val="사채이자"/>
      <sheetName val="시산표"/>
      <sheetName val="SUMMARY"/>
      <sheetName val="CJE집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추정 (2)"/>
      <sheetName val="추정_농협은행(20170401)"/>
    </sheetNames>
    <definedNames>
      <definedName name="_a1Z"/>
      <definedName name="_a2Z"/>
      <definedName name="BULYANGPNTR"/>
      <definedName name="신규업체" refersTo="#REF!"/>
    </defined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추정"/>
      <sheetName val="04 추정 SC Global 16.03"/>
    </sheetNames>
    <definedNames>
      <definedName name="_a1Z"/>
      <definedName name="_a2Z"/>
      <definedName name="BULYANGPNTR"/>
    </definedNames>
    <sheetDataSet>
      <sheetData sheetId="0">
        <row r="6">
          <cell r="L6">
            <v>11.690543742071901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MAIN"/>
      <sheetName val="표지"/>
      <sheetName val="제조원가명세서"/>
      <sheetName val="원재료∼재공품투입"/>
      <sheetName val="SLITTING,조관통계표"/>
      <sheetName val="재공품기초자료"/>
      <sheetName val="원재료비"/>
      <sheetName val="부재료비"/>
      <sheetName val="노무비배부"/>
      <sheetName val="제조경비"/>
      <sheetName val="공정별가공비"/>
      <sheetName val="제품타AC"/>
      <sheetName val="상품타AC"/>
      <sheetName val="재공품수불부"/>
      <sheetName val="타공정"/>
      <sheetName val="제품입고"/>
      <sheetName val="임가공"/>
      <sheetName val="제품수불부"/>
      <sheetName val="상품수불부"/>
      <sheetName val="상품구입"/>
      <sheetName val="원재료수불부"/>
      <sheetName val="부재료저장품수불부"/>
      <sheetName val="저장품타AC"/>
      <sheetName val="급여내역"/>
      <sheetName val="하치장수불부"/>
      <sheetName val="부산물수불부"/>
      <sheetName val="표지 (2)"/>
      <sheetName val="요약표"/>
      <sheetName val="재고자산분석(1)"/>
      <sheetName val="매출원가률"/>
      <sheetName val="재고자산분석(2)"/>
      <sheetName val="매출명세서"/>
      <sheetName val="제조경비 분석"/>
      <sheetName val="수불"/>
      <sheetName val="전표작성"/>
      <sheetName val="손익대실적"/>
      <sheetName val="통계청"/>
      <sheetName val="회수율"/>
      <sheetName val="제조경비기초"/>
      <sheetName val="목차(월)"/>
      <sheetName val="목차 (수)"/>
      <sheetName val="Sheet1"/>
      <sheetName val="Sheet2"/>
      <sheetName val="Sheet3"/>
      <sheetName val="9903"/>
      <sheetName val="외환"/>
      <sheetName val="항목(1)"/>
      <sheetName val="가정"/>
      <sheetName val="론패스사고리스트"/>
      <sheetName val="분당임차변경"/>
      <sheetName val="Master (2)"/>
      <sheetName val="COMBINED"/>
      <sheetName val="VALSTAT"/>
      <sheetName val="1999"/>
      <sheetName val="1998"/>
      <sheetName val="2000"/>
      <sheetName val="폼관조직"/>
      <sheetName val="9-1차이내역"/>
      <sheetName val="A-LINE"/>
      <sheetName val="대외공문"/>
      <sheetName val="24.보증금(전신전화가입권)"/>
      <sheetName val="단가"/>
      <sheetName val="cv"/>
      <sheetName val="274"/>
      <sheetName val="전체실적"/>
      <sheetName val="FAB별"/>
      <sheetName val="200205(1)"/>
      <sheetName val="200302(10)"/>
      <sheetName val="200303(11)"/>
      <sheetName val="200305(13)"/>
      <sheetName val="200306(14)"/>
      <sheetName val="200206(2)"/>
      <sheetName val="200207(3)"/>
      <sheetName val="200208(4)"/>
      <sheetName val="200209(5)"/>
      <sheetName val="200210(6)"/>
      <sheetName val="200211(7)"/>
      <sheetName val="200212(8)"/>
      <sheetName val="200301(9)"/>
      <sheetName val="200304(12)"/>
      <sheetName val="RD제품개발투자비(매가)"/>
      <sheetName val="소경1,2,4호 "/>
      <sheetName val="소경5,7호"/>
      <sheetName val="중,대경"/>
      <sheetName val="#REF"/>
      <sheetName val="주간기성"/>
      <sheetName val="남양시작동010313100%"/>
      <sheetName val="출금실적"/>
      <sheetName val="시산표"/>
      <sheetName val="2.대외공문"/>
      <sheetName val="차수"/>
      <sheetName val="원효펌프교체020812"/>
      <sheetName val="사업소계"/>
      <sheetName val="91"/>
      <sheetName val="Segments"/>
      <sheetName val="수입"/>
      <sheetName val="1월"/>
      <sheetName val="CoA map"/>
      <sheetName val="회_x0002__x0000_"/>
      <sheetName val="97년 SEACO예산"/>
      <sheetName val="MX628EX"/>
      <sheetName val="p2-1"/>
      <sheetName val="표지★"/>
      <sheetName val="BASE"/>
      <sheetName val="현재"/>
      <sheetName val="천안IP공장자100노100물량110할증"/>
      <sheetName val="가공"/>
      <sheetName val="AC216 재분류_별도"/>
      <sheetName val="XREF"/>
      <sheetName val="신규DEP"/>
      <sheetName val="CAUDIT"/>
      <sheetName val="기타기술개발비_특허"/>
      <sheetName val="전문용역비_특허"/>
      <sheetName val="평가포상비_특허"/>
      <sheetName val="11월대출건"/>
      <sheetName val="총괄 (2)"/>
      <sheetName val="COVER"/>
      <sheetName val="수선비"/>
      <sheetName val="보증금(전신전화가입권)"/>
      <sheetName val="보증금(임차보증금외)"/>
      <sheetName val="22.보증금(전신전화가입권)"/>
      <sheetName val="계실"/>
      <sheetName val="자체실적1Q"/>
      <sheetName val="분석"/>
      <sheetName val="payroll"/>
      <sheetName val="ZY100"/>
      <sheetName val="공통속성"/>
      <sheetName val="소기"/>
      <sheetName val="PPC기"/>
      <sheetName val="대기"/>
      <sheetName val="합기"/>
      <sheetName val="상정안건"/>
      <sheetName val="표지_(2)"/>
      <sheetName val="제조경비_분석"/>
      <sheetName val="목차_(수)"/>
      <sheetName val="표지_(2)1"/>
      <sheetName val="제조경비_분석1"/>
      <sheetName val="목차_(수)1"/>
      <sheetName val="표지_(2)2"/>
      <sheetName val="제조경비_분석2"/>
      <sheetName val="목차_(수)2"/>
      <sheetName val="제품상품(DL)"/>
      <sheetName val="5월DL"/>
      <sheetName val="3월"/>
      <sheetName val="_REF"/>
      <sheetName val="회_x005f_x0002__x005f_x0000_"/>
      <sheetName val="SENSOR LIST"/>
      <sheetName val="하나모듈옥외소화전이설"/>
      <sheetName val="금액내역서"/>
      <sheetName val="카렌스센터계량기설치공사"/>
      <sheetName val="STAND98"/>
      <sheetName val="STAND20"/>
      <sheetName val="Master_(2)"/>
      <sheetName val="24_보증금(전신전화가입권)"/>
      <sheetName val="소경1,2,4호_"/>
      <sheetName val="2_대외공문"/>
      <sheetName val="CoA_map"/>
      <sheetName val="회"/>
      <sheetName val="97년_SEACO예산"/>
      <sheetName val="Master_(2)1"/>
      <sheetName val="24_보증금(전신전화가입권)1"/>
      <sheetName val="소경1,2,4호_1"/>
      <sheetName val="2_대외공문1"/>
      <sheetName val="CoA_map1"/>
      <sheetName val="97년_SEACO예산1"/>
      <sheetName val="Master_(2)2"/>
      <sheetName val="24_보증금(전신전화가입권)2"/>
      <sheetName val="소경1,2,4호_2"/>
      <sheetName val="2_대외공문2"/>
      <sheetName val="CoA_map2"/>
      <sheetName val="97년_SEACO예산2"/>
      <sheetName val="표지_(2)3"/>
      <sheetName val="제조경비_분석3"/>
      <sheetName val="목차_(수)3"/>
      <sheetName val="Master_(2)3"/>
      <sheetName val="24_보증금(전신전화가입권)3"/>
      <sheetName val="소경1,2,4호_3"/>
      <sheetName val="2_대외공문3"/>
      <sheetName val="CoA_map3"/>
      <sheetName val="97년_SEACO예산3"/>
      <sheetName val="표지_(2)4"/>
      <sheetName val="제조경비_분석4"/>
      <sheetName val="목차_(수)4"/>
      <sheetName val="Master_(2)4"/>
      <sheetName val="24_보증금(전신전화가입권)4"/>
      <sheetName val="소경1,2,4호_4"/>
      <sheetName val="2_대외공문4"/>
      <sheetName val="CoA_map4"/>
      <sheetName val="97년_SEACO예산4"/>
      <sheetName val="부문손익"/>
      <sheetName val="HP1AMLIST"/>
      <sheetName val="Scenario 1 - with HMM"/>
      <sheetName val=" B2BOUT대상_1"/>
      <sheetName val="효율계획(당월)"/>
      <sheetName val="VT원단위"/>
      <sheetName val="업무분장"/>
      <sheetName val="DATE"/>
      <sheetName val="진행 DATA (2)"/>
      <sheetName val="재료비"/>
      <sheetName val="TOEIC기준점수"/>
      <sheetName val="5.WIRE적용LIST"/>
      <sheetName val="판매46"/>
      <sheetName val="data(금리전망)"/>
      <sheetName val="VC2 8.98"/>
      <sheetName val="업무계획1"/>
      <sheetName val="계산내역"/>
      <sheetName val="Key assumption"/>
      <sheetName val="견적990322"/>
      <sheetName val="공통가설"/>
      <sheetName val="카메라2"/>
      <sheetName val="대공종"/>
      <sheetName val="주행"/>
      <sheetName val="2"/>
      <sheetName val="단가조사"/>
      <sheetName val="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1999년 3월 재공품 기초자료(소경)</v>
          </cell>
        </row>
        <row r="2">
          <cell r="O2" t="str">
            <v>(단위:Kg)</v>
          </cell>
        </row>
        <row r="3">
          <cell r="A3" t="str">
            <v>구분</v>
          </cell>
          <cell r="E3" t="str">
            <v>기초재고</v>
          </cell>
          <cell r="F3" t="str">
            <v>투입</v>
          </cell>
          <cell r="G3" t="str">
            <v>타공정</v>
          </cell>
          <cell r="H3" t="str">
            <v>제품</v>
          </cell>
          <cell r="I3" t="str">
            <v>부산물</v>
          </cell>
          <cell r="L3" t="str">
            <v>타계정</v>
          </cell>
          <cell r="M3" t="str">
            <v>LOSS</v>
          </cell>
          <cell r="N3" t="str">
            <v>기말재고</v>
          </cell>
          <cell r="O3" t="str">
            <v>비고</v>
          </cell>
        </row>
        <row r="4">
          <cell r="I4" t="str">
            <v>1급</v>
          </cell>
          <cell r="J4" t="str">
            <v>불량</v>
          </cell>
          <cell r="K4" t="str">
            <v>계</v>
          </cell>
        </row>
        <row r="5">
          <cell r="B5" t="str">
            <v>원료</v>
          </cell>
          <cell r="C5" t="str">
            <v>SKELP</v>
          </cell>
          <cell r="D5" t="str">
            <v>스릿팅</v>
          </cell>
          <cell r="E5">
            <v>1868892</v>
          </cell>
          <cell r="F5">
            <v>19002730</v>
          </cell>
          <cell r="G5">
            <v>18526528</v>
          </cell>
          <cell r="H5">
            <v>331743</v>
          </cell>
          <cell r="J5">
            <v>234677</v>
          </cell>
          <cell r="K5">
            <v>234677</v>
          </cell>
          <cell r="N5">
            <v>1778674</v>
          </cell>
        </row>
        <row r="6">
          <cell r="B6" t="str">
            <v>투입</v>
          </cell>
          <cell r="C6" t="str">
            <v>흑관</v>
          </cell>
          <cell r="D6" t="str">
            <v>통계표</v>
          </cell>
          <cell r="F6">
            <v>18526528</v>
          </cell>
          <cell r="G6">
            <v>17752220</v>
          </cell>
          <cell r="J6">
            <v>190107</v>
          </cell>
          <cell r="K6">
            <v>190107</v>
          </cell>
          <cell r="M6">
            <v>584201</v>
          </cell>
        </row>
        <row r="7">
          <cell r="B7" t="str">
            <v>조관</v>
          </cell>
          <cell r="C7" t="str">
            <v>B PE</v>
          </cell>
          <cell r="D7" t="str">
            <v>투  입</v>
          </cell>
          <cell r="E7">
            <v>1136821</v>
          </cell>
          <cell r="F7">
            <v>17752220</v>
          </cell>
          <cell r="G7">
            <v>7151585</v>
          </cell>
          <cell r="H7">
            <v>10460173</v>
          </cell>
          <cell r="I7">
            <v>92518</v>
          </cell>
          <cell r="J7">
            <v>31127</v>
          </cell>
          <cell r="K7">
            <v>123645</v>
          </cell>
          <cell r="N7">
            <v>1153638</v>
          </cell>
        </row>
        <row r="8">
          <cell r="D8" t="str">
            <v>재공품</v>
          </cell>
          <cell r="E8">
            <v>41000</v>
          </cell>
          <cell r="F8">
            <v>98109</v>
          </cell>
          <cell r="G8">
            <v>84966</v>
          </cell>
          <cell r="H8">
            <v>52710</v>
          </cell>
          <cell r="I8">
            <v>1133</v>
          </cell>
          <cell r="J8">
            <v>300</v>
          </cell>
          <cell r="K8">
            <v>1433</v>
          </cell>
        </row>
        <row r="9">
          <cell r="C9" t="str">
            <v>B PE</v>
          </cell>
          <cell r="D9" t="str">
            <v>재가공</v>
          </cell>
          <cell r="J9">
            <v>0</v>
          </cell>
          <cell r="K9">
            <v>0</v>
          </cell>
        </row>
        <row r="10">
          <cell r="D10" t="str">
            <v>계</v>
          </cell>
          <cell r="E10">
            <v>41000</v>
          </cell>
          <cell r="F10">
            <v>98109</v>
          </cell>
          <cell r="G10">
            <v>84966</v>
          </cell>
          <cell r="H10">
            <v>52710</v>
          </cell>
          <cell r="I10">
            <v>1133</v>
          </cell>
          <cell r="J10">
            <v>300</v>
          </cell>
          <cell r="K10">
            <v>1433</v>
          </cell>
          <cell r="L10">
            <v>0</v>
          </cell>
          <cell r="M10">
            <v>0</v>
          </cell>
          <cell r="N10">
            <v>0</v>
          </cell>
        </row>
        <row r="11">
          <cell r="D11" t="str">
            <v>재공품</v>
          </cell>
          <cell r="J11">
            <v>0</v>
          </cell>
          <cell r="K11">
            <v>0</v>
          </cell>
        </row>
        <row r="12">
          <cell r="C12" t="str">
            <v>B TC</v>
          </cell>
          <cell r="D12" t="str">
            <v>재가공</v>
          </cell>
          <cell r="J12">
            <v>0</v>
          </cell>
          <cell r="K12">
            <v>0</v>
          </cell>
        </row>
        <row r="13">
          <cell r="B13" t="str">
            <v>절</v>
          </cell>
          <cell r="D13" t="str">
            <v>계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B14" t="str">
            <v>단</v>
          </cell>
          <cell r="D14" t="str">
            <v>재공품</v>
          </cell>
          <cell r="E14">
            <v>270619</v>
          </cell>
          <cell r="F14">
            <v>1102876</v>
          </cell>
          <cell r="G14">
            <v>850763</v>
          </cell>
          <cell r="H14">
            <v>490117</v>
          </cell>
          <cell r="J14">
            <v>2509</v>
          </cell>
          <cell r="K14">
            <v>2509</v>
          </cell>
          <cell r="N14">
            <v>30106</v>
          </cell>
        </row>
        <row r="15">
          <cell r="C15" t="str">
            <v>G PE</v>
          </cell>
          <cell r="D15" t="str">
            <v>재가공</v>
          </cell>
          <cell r="J15">
            <v>0</v>
          </cell>
          <cell r="K15">
            <v>0</v>
          </cell>
        </row>
        <row r="16">
          <cell r="D16" t="str">
            <v>계</v>
          </cell>
          <cell r="E16">
            <v>270619</v>
          </cell>
          <cell r="F16">
            <v>1102876</v>
          </cell>
          <cell r="G16">
            <v>850763</v>
          </cell>
          <cell r="H16">
            <v>490117</v>
          </cell>
          <cell r="I16">
            <v>0</v>
          </cell>
          <cell r="J16">
            <v>2509</v>
          </cell>
          <cell r="K16">
            <v>2509</v>
          </cell>
          <cell r="L16">
            <v>0</v>
          </cell>
          <cell r="M16">
            <v>0</v>
          </cell>
          <cell r="N16">
            <v>30106</v>
          </cell>
        </row>
        <row r="17">
          <cell r="D17" t="str">
            <v>재공품</v>
          </cell>
          <cell r="J17">
            <v>0</v>
          </cell>
          <cell r="K17">
            <v>0</v>
          </cell>
        </row>
        <row r="18">
          <cell r="C18" t="str">
            <v>G TC</v>
          </cell>
          <cell r="D18" t="str">
            <v>재가공</v>
          </cell>
          <cell r="J18">
            <v>0</v>
          </cell>
          <cell r="K18">
            <v>0</v>
          </cell>
        </row>
        <row r="19">
          <cell r="D19" t="str">
            <v>계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D20" t="str">
            <v>합계</v>
          </cell>
          <cell r="E20">
            <v>311619</v>
          </cell>
          <cell r="F20">
            <v>1200985</v>
          </cell>
          <cell r="G20">
            <v>935729</v>
          </cell>
          <cell r="H20">
            <v>542827</v>
          </cell>
          <cell r="I20">
            <v>1133</v>
          </cell>
          <cell r="J20">
            <v>2809</v>
          </cell>
          <cell r="K20">
            <v>3942</v>
          </cell>
          <cell r="L20">
            <v>0</v>
          </cell>
          <cell r="M20">
            <v>0</v>
          </cell>
          <cell r="N20">
            <v>30106</v>
          </cell>
        </row>
        <row r="21">
          <cell r="B21" t="str">
            <v>도</v>
          </cell>
          <cell r="D21" t="str">
            <v>재공품</v>
          </cell>
          <cell r="E21">
            <v>462521</v>
          </cell>
          <cell r="F21">
            <v>5117415</v>
          </cell>
          <cell r="G21">
            <v>2390391</v>
          </cell>
          <cell r="H21">
            <v>2568356</v>
          </cell>
          <cell r="J21">
            <v>1059</v>
          </cell>
          <cell r="K21">
            <v>1059</v>
          </cell>
          <cell r="N21">
            <v>620130</v>
          </cell>
        </row>
        <row r="22">
          <cell r="B22" t="str">
            <v>금</v>
          </cell>
          <cell r="C22" t="str">
            <v>G PE</v>
          </cell>
          <cell r="D22" t="str">
            <v>재가공</v>
          </cell>
          <cell r="J22">
            <v>0</v>
          </cell>
          <cell r="K22">
            <v>0</v>
          </cell>
        </row>
        <row r="23">
          <cell r="A23" t="str">
            <v>스</v>
          </cell>
          <cell r="D23" t="str">
            <v>계</v>
          </cell>
          <cell r="E23">
            <v>462521</v>
          </cell>
          <cell r="F23">
            <v>5117415</v>
          </cell>
          <cell r="G23">
            <v>2390391</v>
          </cell>
          <cell r="H23">
            <v>2568356</v>
          </cell>
          <cell r="I23">
            <v>0</v>
          </cell>
          <cell r="J23">
            <v>1059</v>
          </cell>
          <cell r="K23">
            <v>1059</v>
          </cell>
          <cell r="L23">
            <v>0</v>
          </cell>
          <cell r="M23">
            <v>0</v>
          </cell>
          <cell r="N23">
            <v>620130</v>
          </cell>
        </row>
        <row r="24">
          <cell r="A24" t="str">
            <v>릿</v>
          </cell>
          <cell r="B24" t="str">
            <v>흑</v>
          </cell>
          <cell r="D24" t="str">
            <v>재공품</v>
          </cell>
          <cell r="E24">
            <v>45651</v>
          </cell>
          <cell r="F24">
            <v>579724</v>
          </cell>
          <cell r="G24">
            <v>11981</v>
          </cell>
          <cell r="H24">
            <v>542398</v>
          </cell>
          <cell r="J24">
            <v>-398</v>
          </cell>
          <cell r="K24">
            <v>-398</v>
          </cell>
          <cell r="N24">
            <v>71394</v>
          </cell>
        </row>
        <row r="25">
          <cell r="A25" t="str">
            <v>팅</v>
          </cell>
          <cell r="B25" t="str">
            <v>나</v>
          </cell>
          <cell r="C25" t="str">
            <v>B TC</v>
          </cell>
          <cell r="D25" t="str">
            <v>재가공</v>
          </cell>
          <cell r="J25">
            <v>0</v>
          </cell>
          <cell r="K25">
            <v>0</v>
          </cell>
        </row>
        <row r="26">
          <cell r="B26" t="str">
            <v>사</v>
          </cell>
          <cell r="D26" t="str">
            <v>계</v>
          </cell>
          <cell r="E26">
            <v>45651</v>
          </cell>
          <cell r="F26">
            <v>579724</v>
          </cell>
          <cell r="G26">
            <v>11981</v>
          </cell>
          <cell r="H26">
            <v>542398</v>
          </cell>
          <cell r="I26">
            <v>0</v>
          </cell>
          <cell r="J26">
            <v>-398</v>
          </cell>
          <cell r="K26">
            <v>-398</v>
          </cell>
          <cell r="L26">
            <v>0</v>
          </cell>
          <cell r="M26">
            <v>0</v>
          </cell>
          <cell r="N26">
            <v>71394</v>
          </cell>
        </row>
        <row r="27">
          <cell r="A27" t="str">
            <v>조</v>
          </cell>
          <cell r="B27" t="str">
            <v>백</v>
          </cell>
          <cell r="D27" t="str">
            <v>재공품</v>
          </cell>
          <cell r="E27">
            <v>184880</v>
          </cell>
          <cell r="F27">
            <v>2092757</v>
          </cell>
          <cell r="G27">
            <v>44496</v>
          </cell>
          <cell r="H27">
            <v>2212344</v>
          </cell>
          <cell r="J27">
            <v>-14438</v>
          </cell>
          <cell r="K27">
            <v>-14438</v>
          </cell>
          <cell r="N27">
            <v>35235</v>
          </cell>
        </row>
        <row r="28">
          <cell r="A28" t="str">
            <v>관</v>
          </cell>
          <cell r="B28" t="str">
            <v>나</v>
          </cell>
          <cell r="C28" t="str">
            <v>G TC</v>
          </cell>
          <cell r="D28" t="str">
            <v>재가공</v>
          </cell>
          <cell r="F28">
            <v>31613</v>
          </cell>
          <cell r="G28">
            <v>31613</v>
          </cell>
          <cell r="J28">
            <v>0</v>
          </cell>
          <cell r="K28">
            <v>0</v>
          </cell>
        </row>
        <row r="29">
          <cell r="A29" t="str">
            <v>통</v>
          </cell>
          <cell r="B29" t="str">
            <v>사</v>
          </cell>
          <cell r="D29" t="str">
            <v>계</v>
          </cell>
          <cell r="E29">
            <v>184880</v>
          </cell>
          <cell r="F29">
            <v>2124370</v>
          </cell>
          <cell r="G29">
            <v>76109</v>
          </cell>
          <cell r="H29">
            <v>2212344</v>
          </cell>
          <cell r="I29">
            <v>0</v>
          </cell>
          <cell r="J29">
            <v>-14438</v>
          </cell>
          <cell r="K29">
            <v>-14438</v>
          </cell>
          <cell r="L29">
            <v>0</v>
          </cell>
          <cell r="M29">
            <v>0</v>
          </cell>
          <cell r="N29">
            <v>35235</v>
          </cell>
        </row>
        <row r="30">
          <cell r="A30" t="str">
            <v>계</v>
          </cell>
          <cell r="B30" t="str">
            <v>STBH</v>
          </cell>
          <cell r="D30" t="str">
            <v>재공품</v>
          </cell>
          <cell r="E30">
            <v>396385</v>
          </cell>
          <cell r="F30">
            <v>1324873</v>
          </cell>
          <cell r="G30">
            <v>99790</v>
          </cell>
          <cell r="H30">
            <v>1213931</v>
          </cell>
          <cell r="I30">
            <v>2428</v>
          </cell>
          <cell r="J30">
            <v>870</v>
          </cell>
          <cell r="K30">
            <v>3298</v>
          </cell>
          <cell r="N30">
            <v>404239</v>
          </cell>
        </row>
        <row r="31">
          <cell r="A31" t="str">
            <v>표</v>
          </cell>
          <cell r="B31" t="str">
            <v>코</v>
          </cell>
          <cell r="C31" t="str">
            <v>B BL</v>
          </cell>
          <cell r="D31" t="str">
            <v>〃</v>
          </cell>
          <cell r="J31">
            <v>0</v>
          </cell>
          <cell r="K31">
            <v>0</v>
          </cell>
        </row>
        <row r="32">
          <cell r="B32" t="str">
            <v>팅</v>
          </cell>
          <cell r="C32" t="str">
            <v>C PE</v>
          </cell>
          <cell r="D32" t="str">
            <v>〃</v>
          </cell>
          <cell r="J32">
            <v>0</v>
          </cell>
          <cell r="K32">
            <v>0</v>
          </cell>
        </row>
        <row r="33">
          <cell r="A33" t="str">
            <v>재</v>
          </cell>
          <cell r="C33" t="str">
            <v>F PE</v>
          </cell>
          <cell r="D33" t="str">
            <v>〃</v>
          </cell>
          <cell r="J33">
            <v>0</v>
          </cell>
          <cell r="K33">
            <v>0</v>
          </cell>
        </row>
        <row r="34">
          <cell r="A34" t="str">
            <v>공</v>
          </cell>
          <cell r="D34" t="str">
            <v>재공품</v>
          </cell>
          <cell r="F34">
            <v>216220</v>
          </cell>
          <cell r="H34">
            <v>201429</v>
          </cell>
          <cell r="I34">
            <v>13838</v>
          </cell>
          <cell r="J34">
            <v>953</v>
          </cell>
          <cell r="K34">
            <v>14791</v>
          </cell>
        </row>
        <row r="35">
          <cell r="A35" t="str">
            <v>품</v>
          </cell>
          <cell r="C35" t="str">
            <v>B PE</v>
          </cell>
          <cell r="D35" t="str">
            <v>재가공</v>
          </cell>
          <cell r="J35">
            <v>0</v>
          </cell>
          <cell r="K35">
            <v>0</v>
          </cell>
        </row>
        <row r="36">
          <cell r="A36" t="str">
            <v>월</v>
          </cell>
          <cell r="D36" t="str">
            <v>계</v>
          </cell>
          <cell r="E36">
            <v>0</v>
          </cell>
          <cell r="F36">
            <v>216220</v>
          </cell>
          <cell r="G36">
            <v>0</v>
          </cell>
          <cell r="H36">
            <v>201429</v>
          </cell>
          <cell r="I36">
            <v>13838</v>
          </cell>
          <cell r="J36">
            <v>953</v>
          </cell>
          <cell r="K36">
            <v>14791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보</v>
          </cell>
          <cell r="D37" t="str">
            <v>재공품</v>
          </cell>
          <cell r="F37">
            <v>11981</v>
          </cell>
          <cell r="H37">
            <v>11817</v>
          </cell>
          <cell r="J37">
            <v>164</v>
          </cell>
          <cell r="K37">
            <v>164</v>
          </cell>
        </row>
        <row r="38">
          <cell r="C38" t="str">
            <v>B TC</v>
          </cell>
          <cell r="D38" t="str">
            <v>재가공</v>
          </cell>
          <cell r="J38">
            <v>0</v>
          </cell>
          <cell r="K38">
            <v>0</v>
          </cell>
        </row>
        <row r="39">
          <cell r="D39" t="str">
            <v>계</v>
          </cell>
          <cell r="E39">
            <v>0</v>
          </cell>
          <cell r="F39">
            <v>11981</v>
          </cell>
          <cell r="G39">
            <v>0</v>
          </cell>
          <cell r="H39">
            <v>11817</v>
          </cell>
          <cell r="I39">
            <v>0</v>
          </cell>
          <cell r="J39">
            <v>164</v>
          </cell>
          <cell r="K39">
            <v>164</v>
          </cell>
          <cell r="L39">
            <v>0</v>
          </cell>
          <cell r="M39">
            <v>0</v>
          </cell>
          <cell r="N39">
            <v>0</v>
          </cell>
        </row>
        <row r="40">
          <cell r="D40" t="str">
            <v>재공품</v>
          </cell>
          <cell r="F40">
            <v>45521</v>
          </cell>
          <cell r="H40">
            <v>42836</v>
          </cell>
          <cell r="J40">
            <v>2685</v>
          </cell>
          <cell r="K40">
            <v>2685</v>
          </cell>
        </row>
        <row r="41">
          <cell r="B41" t="str">
            <v>포</v>
          </cell>
          <cell r="C41" t="str">
            <v>G PE</v>
          </cell>
          <cell r="D41" t="str">
            <v>재가공</v>
          </cell>
          <cell r="J41">
            <v>0</v>
          </cell>
          <cell r="K41">
            <v>0</v>
          </cell>
        </row>
        <row r="42">
          <cell r="B42" t="str">
            <v>장</v>
          </cell>
          <cell r="D42" t="str">
            <v>계</v>
          </cell>
          <cell r="E42">
            <v>0</v>
          </cell>
          <cell r="F42">
            <v>45521</v>
          </cell>
          <cell r="G42">
            <v>0</v>
          </cell>
          <cell r="H42">
            <v>42836</v>
          </cell>
          <cell r="I42">
            <v>0</v>
          </cell>
          <cell r="J42">
            <v>2685</v>
          </cell>
          <cell r="K42">
            <v>2685</v>
          </cell>
          <cell r="L42">
            <v>0</v>
          </cell>
          <cell r="M42">
            <v>0</v>
          </cell>
          <cell r="N42">
            <v>0</v>
          </cell>
        </row>
        <row r="43">
          <cell r="D43" t="str">
            <v>재공품</v>
          </cell>
          <cell r="F43">
            <v>44496</v>
          </cell>
          <cell r="H43">
            <v>45117</v>
          </cell>
          <cell r="J43">
            <v>-621</v>
          </cell>
          <cell r="K43">
            <v>-621</v>
          </cell>
        </row>
        <row r="44">
          <cell r="C44" t="str">
            <v>G TC</v>
          </cell>
          <cell r="D44" t="str">
            <v>재가공</v>
          </cell>
          <cell r="F44">
            <v>31613</v>
          </cell>
          <cell r="H44">
            <v>31592</v>
          </cell>
          <cell r="J44">
            <v>21</v>
          </cell>
          <cell r="K44">
            <v>21</v>
          </cell>
        </row>
        <row r="45">
          <cell r="D45" t="str">
            <v>계</v>
          </cell>
          <cell r="E45">
            <v>0</v>
          </cell>
          <cell r="F45">
            <v>76109</v>
          </cell>
          <cell r="G45">
            <v>0</v>
          </cell>
          <cell r="H45">
            <v>76709</v>
          </cell>
          <cell r="I45">
            <v>0</v>
          </cell>
          <cell r="J45">
            <v>-600</v>
          </cell>
          <cell r="K45">
            <v>-600</v>
          </cell>
          <cell r="L45">
            <v>0</v>
          </cell>
          <cell r="M45">
            <v>0</v>
          </cell>
          <cell r="N45">
            <v>0</v>
          </cell>
        </row>
        <row r="46">
          <cell r="C46" t="str">
            <v>STBH</v>
          </cell>
          <cell r="D46" t="str">
            <v>소  둔</v>
          </cell>
          <cell r="J46">
            <v>0</v>
          </cell>
          <cell r="K46">
            <v>0</v>
          </cell>
        </row>
        <row r="47">
          <cell r="C47" t="str">
            <v>B BL</v>
          </cell>
          <cell r="D47" t="str">
            <v>BELL</v>
          </cell>
          <cell r="J47">
            <v>0</v>
          </cell>
          <cell r="K47">
            <v>0</v>
          </cell>
        </row>
        <row r="48">
          <cell r="C48" t="str">
            <v>C PE</v>
          </cell>
          <cell r="D48" t="str">
            <v>COAL</v>
          </cell>
          <cell r="J48">
            <v>0</v>
          </cell>
          <cell r="K48">
            <v>0</v>
          </cell>
        </row>
        <row r="49">
          <cell r="C49" t="str">
            <v>F PE</v>
          </cell>
          <cell r="D49" t="str">
            <v>P  E</v>
          </cell>
          <cell r="J49">
            <v>0</v>
          </cell>
          <cell r="K49">
            <v>0</v>
          </cell>
        </row>
        <row r="50">
          <cell r="D50" t="str">
            <v>합계</v>
          </cell>
          <cell r="E50">
            <v>0</v>
          </cell>
          <cell r="F50">
            <v>349831</v>
          </cell>
          <cell r="G50">
            <v>0</v>
          </cell>
          <cell r="H50">
            <v>332791</v>
          </cell>
          <cell r="I50">
            <v>13838</v>
          </cell>
          <cell r="J50">
            <v>3202</v>
          </cell>
          <cell r="K50">
            <v>17040</v>
          </cell>
          <cell r="L50">
            <v>0</v>
          </cell>
          <cell r="M50">
            <v>0</v>
          </cell>
          <cell r="N50">
            <v>0</v>
          </cell>
        </row>
        <row r="51">
          <cell r="B51" t="str">
            <v>재</v>
          </cell>
          <cell r="C51" t="str">
            <v>B PE</v>
          </cell>
          <cell r="D51" t="str">
            <v>투  입</v>
          </cell>
          <cell r="E51">
            <v>29</v>
          </cell>
          <cell r="F51">
            <v>15011</v>
          </cell>
          <cell r="G51">
            <v>14121</v>
          </cell>
          <cell r="H51">
            <v>916</v>
          </cell>
          <cell r="J51">
            <v>3</v>
          </cell>
          <cell r="K51">
            <v>3</v>
          </cell>
          <cell r="O51">
            <v>0</v>
          </cell>
        </row>
        <row r="52">
          <cell r="B52" t="str">
            <v>가</v>
          </cell>
          <cell r="C52" t="str">
            <v>G PE</v>
          </cell>
          <cell r="D52" t="str">
            <v>〃</v>
          </cell>
          <cell r="E52">
            <v>105413</v>
          </cell>
          <cell r="F52">
            <v>4884</v>
          </cell>
          <cell r="H52">
            <v>3678</v>
          </cell>
          <cell r="J52">
            <v>1206</v>
          </cell>
          <cell r="K52">
            <v>1206</v>
          </cell>
          <cell r="N52">
            <v>105413</v>
          </cell>
        </row>
        <row r="53">
          <cell r="B53" t="str">
            <v>공</v>
          </cell>
          <cell r="D53" t="str">
            <v>계</v>
          </cell>
          <cell r="E53">
            <v>105442</v>
          </cell>
          <cell r="F53">
            <v>19895</v>
          </cell>
          <cell r="G53">
            <v>14121</v>
          </cell>
          <cell r="H53">
            <v>4594</v>
          </cell>
          <cell r="I53">
            <v>0</v>
          </cell>
          <cell r="J53">
            <v>1209</v>
          </cell>
          <cell r="K53">
            <v>1209</v>
          </cell>
          <cell r="L53">
            <v>0</v>
          </cell>
          <cell r="M53">
            <v>0</v>
          </cell>
          <cell r="N53">
            <v>105413</v>
          </cell>
        </row>
        <row r="54">
          <cell r="C54" t="str">
            <v>틀비</v>
          </cell>
          <cell r="D54" t="str">
            <v>재공품</v>
          </cell>
          <cell r="J54">
            <v>0</v>
          </cell>
          <cell r="K54">
            <v>0</v>
          </cell>
        </row>
        <row r="55">
          <cell r="B55" t="str">
            <v>강</v>
          </cell>
          <cell r="C55" t="str">
            <v>단관</v>
          </cell>
          <cell r="D55" t="str">
            <v>소  재</v>
          </cell>
          <cell r="E55">
            <v>3583</v>
          </cell>
          <cell r="J55">
            <v>0</v>
          </cell>
          <cell r="K55">
            <v>0</v>
          </cell>
          <cell r="N55">
            <v>3583</v>
          </cell>
        </row>
        <row r="56">
          <cell r="B56" t="str">
            <v>기</v>
          </cell>
          <cell r="C56" t="str">
            <v>비계</v>
          </cell>
          <cell r="D56" t="str">
            <v>절  단</v>
          </cell>
          <cell r="J56">
            <v>0</v>
          </cell>
          <cell r="K56">
            <v>0</v>
          </cell>
        </row>
        <row r="57">
          <cell r="D57" t="str">
            <v>계</v>
          </cell>
          <cell r="E57">
            <v>3583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3583</v>
          </cell>
        </row>
        <row r="58">
          <cell r="D58" t="str">
            <v>합계</v>
          </cell>
          <cell r="E58">
            <v>3583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3583</v>
          </cell>
        </row>
        <row r="59">
          <cell r="D59" t="str">
            <v>절  단</v>
          </cell>
          <cell r="J59">
            <v>0</v>
          </cell>
          <cell r="K59">
            <v>0</v>
          </cell>
        </row>
        <row r="60">
          <cell r="B60" t="str">
            <v>재</v>
          </cell>
          <cell r="D60" t="str">
            <v>PI P</v>
          </cell>
          <cell r="F60">
            <v>14121</v>
          </cell>
          <cell r="H60">
            <v>14121</v>
          </cell>
          <cell r="J60">
            <v>0</v>
          </cell>
          <cell r="K60">
            <v>0</v>
          </cell>
        </row>
        <row r="61">
          <cell r="B61" t="str">
            <v>가</v>
          </cell>
          <cell r="C61" t="str">
            <v>단열</v>
          </cell>
          <cell r="D61" t="str">
            <v>PI B</v>
          </cell>
          <cell r="J61">
            <v>0</v>
          </cell>
          <cell r="K61">
            <v>0</v>
          </cell>
        </row>
        <row r="62">
          <cell r="B62" t="str">
            <v>공</v>
          </cell>
          <cell r="D62" t="str">
            <v>PI T</v>
          </cell>
          <cell r="J62">
            <v>0</v>
          </cell>
          <cell r="K62">
            <v>0</v>
          </cell>
        </row>
        <row r="63">
          <cell r="D63" t="str">
            <v xml:space="preserve"> PI R(A)</v>
          </cell>
          <cell r="J63">
            <v>0</v>
          </cell>
          <cell r="K63">
            <v>0</v>
          </cell>
        </row>
        <row r="64">
          <cell r="D64" t="str">
            <v>계</v>
          </cell>
          <cell r="E64">
            <v>0</v>
          </cell>
          <cell r="F64">
            <v>14121</v>
          </cell>
          <cell r="G64">
            <v>0</v>
          </cell>
          <cell r="H64">
            <v>14121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 t="str">
            <v>제품 합계</v>
          </cell>
          <cell r="E65">
            <v>4515794</v>
          </cell>
          <cell r="F65">
            <v>66012692</v>
          </cell>
          <cell r="G65">
            <v>46958454</v>
          </cell>
          <cell r="H65">
            <v>18223278</v>
          </cell>
          <cell r="I65">
            <v>109917</v>
          </cell>
          <cell r="J65">
            <v>450224</v>
          </cell>
          <cell r="K65">
            <v>560141</v>
          </cell>
          <cell r="L65">
            <v>0</v>
          </cell>
          <cell r="M65">
            <v>584201</v>
          </cell>
          <cell r="N65">
            <v>4202412</v>
          </cell>
        </row>
        <row r="66">
          <cell r="C66" t="str">
            <v>투  입</v>
          </cell>
          <cell r="D66" t="str">
            <v>B PE</v>
          </cell>
          <cell r="E66">
            <v>727377</v>
          </cell>
          <cell r="F66">
            <v>1230944</v>
          </cell>
          <cell r="G66">
            <v>1892955</v>
          </cell>
          <cell r="H66">
            <v>3670</v>
          </cell>
          <cell r="J66">
            <v>-40</v>
          </cell>
          <cell r="K66">
            <v>-40</v>
          </cell>
          <cell r="N66">
            <v>61736</v>
          </cell>
          <cell r="O66">
            <v>85</v>
          </cell>
        </row>
        <row r="67">
          <cell r="D67" t="str">
            <v>G PE</v>
          </cell>
          <cell r="E67">
            <v>135</v>
          </cell>
          <cell r="J67">
            <v>0</v>
          </cell>
          <cell r="K67">
            <v>0</v>
          </cell>
          <cell r="N67">
            <v>135</v>
          </cell>
          <cell r="O67">
            <v>135</v>
          </cell>
        </row>
        <row r="68">
          <cell r="C68" t="str">
            <v>절  단</v>
          </cell>
          <cell r="D68" t="str">
            <v>B PE</v>
          </cell>
          <cell r="J68">
            <v>0</v>
          </cell>
          <cell r="K68">
            <v>0</v>
          </cell>
        </row>
        <row r="69">
          <cell r="D69" t="str">
            <v>G PE</v>
          </cell>
          <cell r="E69">
            <v>6276</v>
          </cell>
          <cell r="F69">
            <v>216616</v>
          </cell>
          <cell r="G69">
            <v>222898</v>
          </cell>
          <cell r="J69">
            <v>-6</v>
          </cell>
          <cell r="K69">
            <v>-6</v>
          </cell>
        </row>
        <row r="70">
          <cell r="C70" t="str">
            <v>도  금</v>
          </cell>
          <cell r="D70" t="str">
            <v>G PE</v>
          </cell>
          <cell r="E70">
            <v>108475</v>
          </cell>
          <cell r="F70">
            <v>1890515</v>
          </cell>
          <cell r="G70">
            <v>216616</v>
          </cell>
          <cell r="H70">
            <v>1776484</v>
          </cell>
          <cell r="J70">
            <v>5890</v>
          </cell>
          <cell r="K70">
            <v>5890</v>
          </cell>
        </row>
        <row r="71">
          <cell r="C71" t="str">
            <v>흑나사</v>
          </cell>
          <cell r="D71" t="str">
            <v>B TC</v>
          </cell>
          <cell r="J71">
            <v>0</v>
          </cell>
          <cell r="K71">
            <v>0</v>
          </cell>
        </row>
        <row r="72">
          <cell r="A72" t="str">
            <v>상</v>
          </cell>
          <cell r="B72" t="str">
            <v>재</v>
          </cell>
          <cell r="C72" t="str">
            <v>백나사</v>
          </cell>
          <cell r="D72" t="str">
            <v>G TC</v>
          </cell>
          <cell r="E72">
            <v>11</v>
          </cell>
          <cell r="F72">
            <v>222898</v>
          </cell>
          <cell r="H72">
            <v>222658</v>
          </cell>
          <cell r="J72">
            <v>251</v>
          </cell>
          <cell r="K72">
            <v>251</v>
          </cell>
        </row>
        <row r="73">
          <cell r="B73" t="str">
            <v>가</v>
          </cell>
          <cell r="C73" t="str">
            <v>단열관</v>
          </cell>
          <cell r="D73" t="str">
            <v>단열</v>
          </cell>
          <cell r="F73">
            <v>2440</v>
          </cell>
          <cell r="H73">
            <v>2440</v>
          </cell>
          <cell r="J73">
            <v>0</v>
          </cell>
          <cell r="K73">
            <v>0</v>
          </cell>
        </row>
        <row r="74">
          <cell r="A74" t="str">
            <v>품</v>
          </cell>
          <cell r="B74" t="str">
            <v>공</v>
          </cell>
          <cell r="C74" t="str">
            <v>포</v>
          </cell>
          <cell r="D74" t="str">
            <v>G PE</v>
          </cell>
          <cell r="J74">
            <v>0</v>
          </cell>
          <cell r="K74">
            <v>0</v>
          </cell>
        </row>
        <row r="75">
          <cell r="C75" t="str">
            <v>장</v>
          </cell>
          <cell r="D75" t="str">
            <v>G TC</v>
          </cell>
          <cell r="J75">
            <v>0</v>
          </cell>
          <cell r="K75">
            <v>0</v>
          </cell>
        </row>
        <row r="76">
          <cell r="C76" t="str">
            <v>코</v>
          </cell>
          <cell r="D76" t="str">
            <v>C PE</v>
          </cell>
          <cell r="J76">
            <v>0</v>
          </cell>
          <cell r="K76">
            <v>0</v>
          </cell>
        </row>
        <row r="77">
          <cell r="C77" t="str">
            <v>팅</v>
          </cell>
          <cell r="D77" t="str">
            <v>F PE</v>
          </cell>
          <cell r="J77">
            <v>0</v>
          </cell>
          <cell r="K77">
            <v>0</v>
          </cell>
        </row>
        <row r="78">
          <cell r="C78" t="str">
            <v>강</v>
          </cell>
          <cell r="D78" t="str">
            <v>절단</v>
          </cell>
          <cell r="J78">
            <v>0</v>
          </cell>
          <cell r="K78">
            <v>0</v>
          </cell>
        </row>
        <row r="79">
          <cell r="C79" t="str">
            <v>기</v>
          </cell>
          <cell r="D79" t="str">
            <v>단관</v>
          </cell>
          <cell r="J79">
            <v>0</v>
          </cell>
          <cell r="K79">
            <v>0</v>
          </cell>
        </row>
        <row r="80">
          <cell r="B80" t="str">
            <v>상품 합계</v>
          </cell>
          <cell r="E80">
            <v>842274</v>
          </cell>
          <cell r="F80">
            <v>3563413</v>
          </cell>
          <cell r="G80">
            <v>2332469</v>
          </cell>
          <cell r="H80">
            <v>2005252</v>
          </cell>
          <cell r="I80">
            <v>0</v>
          </cell>
          <cell r="J80">
            <v>6095</v>
          </cell>
          <cell r="K80">
            <v>6095</v>
          </cell>
          <cell r="L80">
            <v>0</v>
          </cell>
          <cell r="M80">
            <v>0</v>
          </cell>
          <cell r="N80">
            <v>61871</v>
          </cell>
        </row>
        <row r="81">
          <cell r="B81" t="str">
            <v>원료</v>
          </cell>
          <cell r="C81" t="str">
            <v>SKELP</v>
          </cell>
          <cell r="D81" t="str">
            <v>스릿팅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J81">
            <v>0</v>
          </cell>
          <cell r="K81">
            <v>0</v>
          </cell>
          <cell r="N81">
            <v>0</v>
          </cell>
        </row>
        <row r="82">
          <cell r="B82" t="str">
            <v>투입</v>
          </cell>
          <cell r="C82" t="str">
            <v>흑관</v>
          </cell>
          <cell r="D82" t="str">
            <v>통계표</v>
          </cell>
          <cell r="F82">
            <v>0</v>
          </cell>
          <cell r="G82">
            <v>0</v>
          </cell>
          <cell r="J82">
            <v>0</v>
          </cell>
          <cell r="K82">
            <v>0</v>
          </cell>
          <cell r="M82">
            <v>0</v>
          </cell>
        </row>
        <row r="83">
          <cell r="B83" t="str">
            <v>조관</v>
          </cell>
          <cell r="C83" t="str">
            <v>B PE</v>
          </cell>
          <cell r="D83" t="str">
            <v>투  입</v>
          </cell>
          <cell r="F83">
            <v>0</v>
          </cell>
          <cell r="J83">
            <v>0</v>
          </cell>
          <cell r="K83">
            <v>0</v>
          </cell>
        </row>
        <row r="84">
          <cell r="A84" t="str">
            <v>수</v>
          </cell>
          <cell r="B84" t="str">
            <v>재가</v>
          </cell>
          <cell r="C84" t="str">
            <v>BGPE</v>
          </cell>
          <cell r="D84" t="str">
            <v>재가공</v>
          </cell>
          <cell r="J84">
            <v>0</v>
          </cell>
          <cell r="K84">
            <v>0</v>
          </cell>
        </row>
        <row r="85">
          <cell r="A85" t="str">
            <v>탁</v>
          </cell>
          <cell r="C85" t="str">
            <v>BBPE</v>
          </cell>
          <cell r="D85" t="str">
            <v>재공품</v>
          </cell>
          <cell r="J85">
            <v>0</v>
          </cell>
          <cell r="K85">
            <v>0</v>
          </cell>
        </row>
        <row r="86">
          <cell r="A86" t="str">
            <v>가</v>
          </cell>
          <cell r="B86" t="str">
            <v>재</v>
          </cell>
          <cell r="C86" t="str">
            <v>G PE</v>
          </cell>
          <cell r="J86">
            <v>0</v>
          </cell>
          <cell r="K86">
            <v>0</v>
          </cell>
        </row>
        <row r="87">
          <cell r="A87" t="str">
            <v>공</v>
          </cell>
          <cell r="B87" t="str">
            <v>공</v>
          </cell>
          <cell r="C87" t="str">
            <v>G TC</v>
          </cell>
          <cell r="J87">
            <v>0</v>
          </cell>
          <cell r="K87">
            <v>0</v>
          </cell>
        </row>
        <row r="88">
          <cell r="B88" t="str">
            <v>품</v>
          </cell>
          <cell r="C88" t="str">
            <v>C PE</v>
          </cell>
          <cell r="J88">
            <v>0</v>
          </cell>
          <cell r="K88">
            <v>0</v>
          </cell>
        </row>
        <row r="89">
          <cell r="C89" t="str">
            <v>F PE</v>
          </cell>
          <cell r="J89">
            <v>0</v>
          </cell>
          <cell r="K89">
            <v>0</v>
          </cell>
        </row>
        <row r="90">
          <cell r="C90" t="str">
            <v>단열</v>
          </cell>
          <cell r="J90">
            <v>0</v>
          </cell>
          <cell r="K90">
            <v>0</v>
          </cell>
        </row>
        <row r="91">
          <cell r="B91" t="str">
            <v xml:space="preserve"> 수탁 합계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총합계</v>
          </cell>
          <cell r="E92">
            <v>5358068</v>
          </cell>
          <cell r="F92">
            <v>69576105</v>
          </cell>
          <cell r="G92">
            <v>49290923</v>
          </cell>
          <cell r="H92">
            <v>20228530</v>
          </cell>
          <cell r="I92">
            <v>109917</v>
          </cell>
          <cell r="J92">
            <v>456319</v>
          </cell>
          <cell r="K92">
            <v>566236</v>
          </cell>
          <cell r="L92">
            <v>0</v>
          </cell>
          <cell r="M92">
            <v>584201</v>
          </cell>
          <cell r="N92">
            <v>4264283</v>
          </cell>
        </row>
        <row r="96">
          <cell r="O96" t="str">
            <v>(단위:Kg)</v>
          </cell>
        </row>
        <row r="97">
          <cell r="E97" t="str">
            <v>기초재고</v>
          </cell>
          <cell r="F97" t="str">
            <v>투입</v>
          </cell>
          <cell r="G97" t="str">
            <v>타공정</v>
          </cell>
          <cell r="H97" t="str">
            <v>제품</v>
          </cell>
          <cell r="I97" t="str">
            <v>부산물</v>
          </cell>
          <cell r="L97" t="str">
            <v>타계정</v>
          </cell>
          <cell r="M97" t="str">
            <v>LOSS</v>
          </cell>
          <cell r="N97" t="str">
            <v>기말재고</v>
          </cell>
          <cell r="O97" t="str">
            <v>비고</v>
          </cell>
        </row>
        <row r="98">
          <cell r="I98" t="str">
            <v>1급</v>
          </cell>
          <cell r="J98" t="str">
            <v>불량</v>
          </cell>
          <cell r="K98" t="str">
            <v>계</v>
          </cell>
        </row>
        <row r="99">
          <cell r="E99">
            <v>1149871</v>
          </cell>
          <cell r="F99">
            <v>17646046</v>
          </cell>
          <cell r="G99">
            <v>16929594</v>
          </cell>
          <cell r="H99">
            <v>400533</v>
          </cell>
          <cell r="J99">
            <v>213591</v>
          </cell>
          <cell r="K99">
            <v>213591</v>
          </cell>
          <cell r="N99">
            <v>1252199</v>
          </cell>
        </row>
        <row r="100">
          <cell r="F100">
            <v>16929594</v>
          </cell>
          <cell r="G100">
            <v>16015144</v>
          </cell>
          <cell r="J100">
            <v>423558</v>
          </cell>
          <cell r="K100">
            <v>423558</v>
          </cell>
          <cell r="M100">
            <v>490892</v>
          </cell>
        </row>
        <row r="101">
          <cell r="E101">
            <v>238901</v>
          </cell>
          <cell r="F101">
            <v>16015144</v>
          </cell>
          <cell r="G101">
            <v>2178634</v>
          </cell>
          <cell r="H101">
            <v>13601737</v>
          </cell>
          <cell r="I101">
            <v>15336</v>
          </cell>
          <cell r="J101">
            <v>-2780</v>
          </cell>
          <cell r="K101">
            <v>12556</v>
          </cell>
          <cell r="N101">
            <v>461118</v>
          </cell>
        </row>
        <row r="102">
          <cell r="F102">
            <v>53848</v>
          </cell>
          <cell r="G102">
            <v>53288</v>
          </cell>
          <cell r="J102">
            <v>560</v>
          </cell>
          <cell r="K102">
            <v>560</v>
          </cell>
        </row>
        <row r="103">
          <cell r="J103">
            <v>0</v>
          </cell>
          <cell r="K103">
            <v>0</v>
          </cell>
        </row>
        <row r="104">
          <cell r="E104">
            <v>0</v>
          </cell>
          <cell r="F104">
            <v>53848</v>
          </cell>
          <cell r="G104">
            <v>53288</v>
          </cell>
          <cell r="H104">
            <v>0</v>
          </cell>
          <cell r="I104">
            <v>0</v>
          </cell>
          <cell r="J104">
            <v>560</v>
          </cell>
          <cell r="K104">
            <v>560</v>
          </cell>
          <cell r="L104">
            <v>0</v>
          </cell>
          <cell r="M104">
            <v>0</v>
          </cell>
          <cell r="N104">
            <v>0</v>
          </cell>
        </row>
        <row r="105">
          <cell r="J105">
            <v>0</v>
          </cell>
          <cell r="K105">
            <v>0</v>
          </cell>
        </row>
        <row r="106">
          <cell r="J106">
            <v>0</v>
          </cell>
          <cell r="K106">
            <v>0</v>
          </cell>
        </row>
        <row r="107"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F108">
            <v>29041</v>
          </cell>
          <cell r="G108">
            <v>28974</v>
          </cell>
          <cell r="J108">
            <v>67</v>
          </cell>
          <cell r="K108">
            <v>67</v>
          </cell>
        </row>
        <row r="109">
          <cell r="J109">
            <v>0</v>
          </cell>
          <cell r="K109">
            <v>0</v>
          </cell>
        </row>
        <row r="110">
          <cell r="E110">
            <v>0</v>
          </cell>
          <cell r="F110">
            <v>29041</v>
          </cell>
          <cell r="G110">
            <v>28974</v>
          </cell>
          <cell r="H110">
            <v>0</v>
          </cell>
          <cell r="I110">
            <v>0</v>
          </cell>
          <cell r="J110">
            <v>67</v>
          </cell>
          <cell r="K110">
            <v>67</v>
          </cell>
          <cell r="L110">
            <v>0</v>
          </cell>
          <cell r="M110">
            <v>0</v>
          </cell>
          <cell r="N110">
            <v>0</v>
          </cell>
        </row>
        <row r="111">
          <cell r="J111">
            <v>0</v>
          </cell>
          <cell r="K111">
            <v>0</v>
          </cell>
        </row>
        <row r="112">
          <cell r="J112">
            <v>0</v>
          </cell>
          <cell r="K112">
            <v>0</v>
          </cell>
        </row>
        <row r="113"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E114">
            <v>0</v>
          </cell>
          <cell r="F114">
            <v>82889</v>
          </cell>
          <cell r="G114">
            <v>82262</v>
          </cell>
          <cell r="H114">
            <v>0</v>
          </cell>
          <cell r="I114">
            <v>0</v>
          </cell>
          <cell r="J114">
            <v>627</v>
          </cell>
          <cell r="K114">
            <v>627</v>
          </cell>
          <cell r="L114">
            <v>0</v>
          </cell>
          <cell r="M114">
            <v>0</v>
          </cell>
          <cell r="N114">
            <v>0</v>
          </cell>
        </row>
        <row r="115">
          <cell r="E115">
            <v>59636</v>
          </cell>
          <cell r="F115">
            <v>1998791</v>
          </cell>
          <cell r="G115">
            <v>143536</v>
          </cell>
          <cell r="H115">
            <v>1749180</v>
          </cell>
          <cell r="J115">
            <v>-219</v>
          </cell>
          <cell r="K115">
            <v>-219</v>
          </cell>
          <cell r="N115">
            <v>165930</v>
          </cell>
        </row>
        <row r="116">
          <cell r="J116">
            <v>0</v>
          </cell>
          <cell r="K116">
            <v>0</v>
          </cell>
        </row>
        <row r="117">
          <cell r="E117">
            <v>59636</v>
          </cell>
          <cell r="F117">
            <v>1998791</v>
          </cell>
          <cell r="G117">
            <v>143536</v>
          </cell>
          <cell r="H117">
            <v>1749180</v>
          </cell>
          <cell r="I117">
            <v>0</v>
          </cell>
          <cell r="J117">
            <v>-219</v>
          </cell>
          <cell r="K117">
            <v>-219</v>
          </cell>
          <cell r="L117">
            <v>0</v>
          </cell>
          <cell r="M117">
            <v>0</v>
          </cell>
          <cell r="N117">
            <v>165930</v>
          </cell>
        </row>
        <row r="118">
          <cell r="E118">
            <v>338</v>
          </cell>
          <cell r="F118">
            <v>47410</v>
          </cell>
          <cell r="H118">
            <v>43504</v>
          </cell>
          <cell r="J118">
            <v>0</v>
          </cell>
          <cell r="K118">
            <v>0</v>
          </cell>
          <cell r="N118">
            <v>4244</v>
          </cell>
        </row>
        <row r="119">
          <cell r="J119">
            <v>0</v>
          </cell>
          <cell r="K119">
            <v>0</v>
          </cell>
        </row>
        <row r="120">
          <cell r="E120">
            <v>338</v>
          </cell>
          <cell r="F120">
            <v>47410</v>
          </cell>
          <cell r="G120">
            <v>0</v>
          </cell>
          <cell r="H120">
            <v>43504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4244</v>
          </cell>
        </row>
        <row r="121">
          <cell r="E121">
            <v>3451</v>
          </cell>
          <cell r="F121">
            <v>131013</v>
          </cell>
          <cell r="H121">
            <v>94145</v>
          </cell>
          <cell r="J121">
            <v>-2</v>
          </cell>
          <cell r="K121">
            <v>-2</v>
          </cell>
          <cell r="N121">
            <v>40321</v>
          </cell>
        </row>
        <row r="122">
          <cell r="J122">
            <v>0</v>
          </cell>
          <cell r="K122">
            <v>0</v>
          </cell>
        </row>
        <row r="123">
          <cell r="E123">
            <v>3451</v>
          </cell>
          <cell r="F123">
            <v>131013</v>
          </cell>
          <cell r="G123">
            <v>0</v>
          </cell>
          <cell r="H123">
            <v>94145</v>
          </cell>
          <cell r="I123">
            <v>0</v>
          </cell>
          <cell r="J123">
            <v>-2</v>
          </cell>
          <cell r="K123">
            <v>-2</v>
          </cell>
          <cell r="L123">
            <v>0</v>
          </cell>
          <cell r="M123">
            <v>0</v>
          </cell>
          <cell r="N123">
            <v>40321</v>
          </cell>
        </row>
        <row r="124">
          <cell r="J124">
            <v>0</v>
          </cell>
          <cell r="K124">
            <v>0</v>
          </cell>
        </row>
        <row r="125">
          <cell r="J125">
            <v>0</v>
          </cell>
          <cell r="K125">
            <v>0</v>
          </cell>
        </row>
        <row r="126">
          <cell r="J126">
            <v>0</v>
          </cell>
          <cell r="K126">
            <v>0</v>
          </cell>
        </row>
        <row r="127">
          <cell r="J127">
            <v>0</v>
          </cell>
          <cell r="K127">
            <v>0</v>
          </cell>
        </row>
        <row r="128">
          <cell r="E128">
            <v>0</v>
          </cell>
          <cell r="F128">
            <v>131873</v>
          </cell>
          <cell r="H128">
            <v>108781</v>
          </cell>
          <cell r="I128">
            <v>20324</v>
          </cell>
          <cell r="J128">
            <v>2768</v>
          </cell>
          <cell r="K128">
            <v>23092</v>
          </cell>
          <cell r="N128">
            <v>0</v>
          </cell>
        </row>
        <row r="129">
          <cell r="F129">
            <v>24616</v>
          </cell>
          <cell r="H129">
            <v>23550</v>
          </cell>
          <cell r="J129">
            <v>1066</v>
          </cell>
          <cell r="K129">
            <v>1066</v>
          </cell>
        </row>
        <row r="130">
          <cell r="E130">
            <v>0</v>
          </cell>
          <cell r="F130">
            <v>156489</v>
          </cell>
          <cell r="G130">
            <v>0</v>
          </cell>
          <cell r="H130">
            <v>132331</v>
          </cell>
          <cell r="I130">
            <v>20324</v>
          </cell>
          <cell r="J130">
            <v>3834</v>
          </cell>
          <cell r="K130">
            <v>24158</v>
          </cell>
          <cell r="L130">
            <v>0</v>
          </cell>
          <cell r="M130">
            <v>0</v>
          </cell>
          <cell r="N130">
            <v>0</v>
          </cell>
        </row>
        <row r="131">
          <cell r="J131">
            <v>0</v>
          </cell>
          <cell r="K131">
            <v>0</v>
          </cell>
        </row>
        <row r="132">
          <cell r="J132">
            <v>0</v>
          </cell>
          <cell r="K132">
            <v>0</v>
          </cell>
        </row>
        <row r="133"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E134">
            <v>0</v>
          </cell>
          <cell r="F134">
            <v>12456</v>
          </cell>
          <cell r="H134">
            <v>10368</v>
          </cell>
          <cell r="J134">
            <v>2088</v>
          </cell>
          <cell r="K134">
            <v>2088</v>
          </cell>
          <cell r="N134">
            <v>0</v>
          </cell>
        </row>
        <row r="135">
          <cell r="J135">
            <v>0</v>
          </cell>
          <cell r="K135">
            <v>0</v>
          </cell>
        </row>
        <row r="136">
          <cell r="E136">
            <v>0</v>
          </cell>
          <cell r="F136">
            <v>12456</v>
          </cell>
          <cell r="G136">
            <v>0</v>
          </cell>
          <cell r="H136">
            <v>10368</v>
          </cell>
          <cell r="I136">
            <v>0</v>
          </cell>
          <cell r="J136">
            <v>2088</v>
          </cell>
          <cell r="K136">
            <v>2088</v>
          </cell>
          <cell r="L136">
            <v>0</v>
          </cell>
          <cell r="M136">
            <v>0</v>
          </cell>
          <cell r="N136">
            <v>0</v>
          </cell>
        </row>
        <row r="137">
          <cell r="J137">
            <v>0</v>
          </cell>
          <cell r="K137">
            <v>0</v>
          </cell>
        </row>
        <row r="138">
          <cell r="J138">
            <v>0</v>
          </cell>
          <cell r="K138">
            <v>0</v>
          </cell>
        </row>
        <row r="139"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J140">
            <v>0</v>
          </cell>
          <cell r="K140">
            <v>0</v>
          </cell>
        </row>
        <row r="141">
          <cell r="J141">
            <v>0</v>
          </cell>
          <cell r="K141">
            <v>0</v>
          </cell>
        </row>
        <row r="142">
          <cell r="J142">
            <v>0</v>
          </cell>
          <cell r="K142">
            <v>0</v>
          </cell>
        </row>
        <row r="143">
          <cell r="J143">
            <v>0</v>
          </cell>
          <cell r="K143">
            <v>0</v>
          </cell>
        </row>
        <row r="144">
          <cell r="E144">
            <v>0</v>
          </cell>
          <cell r="F144">
            <v>168945</v>
          </cell>
          <cell r="G144">
            <v>0</v>
          </cell>
          <cell r="H144">
            <v>142699</v>
          </cell>
          <cell r="I144">
            <v>20324</v>
          </cell>
          <cell r="J144">
            <v>5922</v>
          </cell>
          <cell r="K144">
            <v>26246</v>
          </cell>
          <cell r="L144">
            <v>0</v>
          </cell>
          <cell r="M144">
            <v>0</v>
          </cell>
          <cell r="N144">
            <v>0</v>
          </cell>
        </row>
        <row r="145">
          <cell r="E145">
            <v>28150</v>
          </cell>
          <cell r="F145">
            <v>77784</v>
          </cell>
          <cell r="G145">
            <v>69097</v>
          </cell>
          <cell r="J145">
            <v>0</v>
          </cell>
          <cell r="K145">
            <v>0</v>
          </cell>
          <cell r="N145">
            <v>36837</v>
          </cell>
          <cell r="O145">
            <v>36837</v>
          </cell>
        </row>
        <row r="146">
          <cell r="E146">
            <v>14895</v>
          </cell>
          <cell r="J146">
            <v>0</v>
          </cell>
          <cell r="K146">
            <v>0</v>
          </cell>
          <cell r="N146">
            <v>14895</v>
          </cell>
        </row>
        <row r="147">
          <cell r="E147">
            <v>43045</v>
          </cell>
          <cell r="F147">
            <v>77784</v>
          </cell>
          <cell r="G147">
            <v>69097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51732</v>
          </cell>
        </row>
        <row r="148">
          <cell r="J148">
            <v>0</v>
          </cell>
          <cell r="K148">
            <v>0</v>
          </cell>
        </row>
        <row r="149">
          <cell r="J149">
            <v>0</v>
          </cell>
          <cell r="K149">
            <v>0</v>
          </cell>
        </row>
        <row r="150">
          <cell r="J150">
            <v>0</v>
          </cell>
          <cell r="K150">
            <v>0</v>
          </cell>
        </row>
        <row r="151"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J153">
            <v>0</v>
          </cell>
          <cell r="K153">
            <v>0</v>
          </cell>
        </row>
        <row r="154">
          <cell r="F154">
            <v>44481</v>
          </cell>
          <cell r="H154">
            <v>44481</v>
          </cell>
          <cell r="J154">
            <v>0</v>
          </cell>
          <cell r="K154">
            <v>0</v>
          </cell>
        </row>
        <row r="155">
          <cell r="J155">
            <v>0</v>
          </cell>
          <cell r="K155">
            <v>0</v>
          </cell>
        </row>
        <row r="156">
          <cell r="J156">
            <v>0</v>
          </cell>
          <cell r="K156">
            <v>0</v>
          </cell>
        </row>
        <row r="157">
          <cell r="J157">
            <v>0</v>
          </cell>
          <cell r="K157">
            <v>0</v>
          </cell>
        </row>
        <row r="158">
          <cell r="E158">
            <v>0</v>
          </cell>
          <cell r="F158">
            <v>44481</v>
          </cell>
          <cell r="G158">
            <v>0</v>
          </cell>
          <cell r="H158">
            <v>44481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E159">
            <v>1495242</v>
          </cell>
          <cell r="F159">
            <v>53142097</v>
          </cell>
          <cell r="G159">
            <v>35418267</v>
          </cell>
          <cell r="H159">
            <v>16076279</v>
          </cell>
          <cell r="I159">
            <v>35660</v>
          </cell>
          <cell r="J159">
            <v>640697</v>
          </cell>
          <cell r="K159">
            <v>676357</v>
          </cell>
          <cell r="L159">
            <v>0</v>
          </cell>
          <cell r="M159">
            <v>490892</v>
          </cell>
          <cell r="N159">
            <v>1975544</v>
          </cell>
        </row>
        <row r="160">
          <cell r="E160">
            <v>1410</v>
          </cell>
          <cell r="F160">
            <v>180830</v>
          </cell>
          <cell r="G160">
            <v>181121</v>
          </cell>
          <cell r="J160">
            <v>87</v>
          </cell>
          <cell r="K160">
            <v>87</v>
          </cell>
          <cell r="N160">
            <v>1032</v>
          </cell>
          <cell r="O160">
            <v>1032</v>
          </cell>
        </row>
        <row r="161">
          <cell r="E161">
            <v>188</v>
          </cell>
          <cell r="J161">
            <v>0</v>
          </cell>
          <cell r="K161">
            <v>0</v>
          </cell>
          <cell r="N161">
            <v>188</v>
          </cell>
          <cell r="O161">
            <v>188</v>
          </cell>
        </row>
        <row r="162">
          <cell r="J162">
            <v>0</v>
          </cell>
          <cell r="K162">
            <v>0</v>
          </cell>
        </row>
        <row r="163">
          <cell r="J163">
            <v>0</v>
          </cell>
          <cell r="K163">
            <v>0</v>
          </cell>
        </row>
        <row r="164">
          <cell r="F164">
            <v>175305</v>
          </cell>
          <cell r="H164">
            <v>175305</v>
          </cell>
          <cell r="J164">
            <v>0</v>
          </cell>
          <cell r="K164">
            <v>0</v>
          </cell>
        </row>
        <row r="165">
          <cell r="J165">
            <v>0</v>
          </cell>
          <cell r="K165">
            <v>0</v>
          </cell>
        </row>
        <row r="166">
          <cell r="J166">
            <v>0</v>
          </cell>
          <cell r="K166">
            <v>0</v>
          </cell>
        </row>
        <row r="167">
          <cell r="F167">
            <v>5816</v>
          </cell>
          <cell r="H167">
            <v>5816</v>
          </cell>
          <cell r="J167">
            <v>0</v>
          </cell>
          <cell r="K167">
            <v>0</v>
          </cell>
        </row>
        <row r="168">
          <cell r="J168">
            <v>0</v>
          </cell>
          <cell r="K168">
            <v>0</v>
          </cell>
        </row>
        <row r="169">
          <cell r="J169">
            <v>0</v>
          </cell>
          <cell r="K169">
            <v>0</v>
          </cell>
        </row>
        <row r="170">
          <cell r="J170">
            <v>0</v>
          </cell>
          <cell r="K170">
            <v>0</v>
          </cell>
        </row>
        <row r="171">
          <cell r="J171">
            <v>0</v>
          </cell>
          <cell r="K171">
            <v>0</v>
          </cell>
        </row>
        <row r="172">
          <cell r="J172">
            <v>0</v>
          </cell>
          <cell r="K172">
            <v>0</v>
          </cell>
        </row>
        <row r="173">
          <cell r="J173">
            <v>0</v>
          </cell>
          <cell r="K173">
            <v>0</v>
          </cell>
        </row>
        <row r="174">
          <cell r="E174">
            <v>1598</v>
          </cell>
          <cell r="F174">
            <v>361951</v>
          </cell>
          <cell r="G174">
            <v>181121</v>
          </cell>
          <cell r="H174">
            <v>181121</v>
          </cell>
          <cell r="I174">
            <v>0</v>
          </cell>
          <cell r="J174">
            <v>87</v>
          </cell>
          <cell r="K174">
            <v>87</v>
          </cell>
          <cell r="L174">
            <v>0</v>
          </cell>
          <cell r="M174">
            <v>0</v>
          </cell>
          <cell r="N174">
            <v>1220</v>
          </cell>
        </row>
        <row r="175"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J175">
            <v>0</v>
          </cell>
          <cell r="K175">
            <v>0</v>
          </cell>
          <cell r="N175">
            <v>0</v>
          </cell>
        </row>
        <row r="176">
          <cell r="F176">
            <v>0</v>
          </cell>
          <cell r="G176">
            <v>0</v>
          </cell>
          <cell r="J176">
            <v>0</v>
          </cell>
          <cell r="K176">
            <v>0</v>
          </cell>
          <cell r="M176">
            <v>0</v>
          </cell>
        </row>
        <row r="177">
          <cell r="F177">
            <v>0</v>
          </cell>
          <cell r="J177">
            <v>0</v>
          </cell>
          <cell r="K177">
            <v>0</v>
          </cell>
        </row>
        <row r="178">
          <cell r="J178">
            <v>0</v>
          </cell>
          <cell r="K178">
            <v>0</v>
          </cell>
        </row>
        <row r="179">
          <cell r="J179">
            <v>0</v>
          </cell>
          <cell r="K179">
            <v>0</v>
          </cell>
        </row>
        <row r="180">
          <cell r="J180">
            <v>0</v>
          </cell>
          <cell r="K180">
            <v>0</v>
          </cell>
        </row>
        <row r="181">
          <cell r="J181">
            <v>0</v>
          </cell>
          <cell r="K181">
            <v>0</v>
          </cell>
        </row>
        <row r="182">
          <cell r="J182">
            <v>0</v>
          </cell>
          <cell r="K182">
            <v>0</v>
          </cell>
        </row>
        <row r="183">
          <cell r="J183">
            <v>0</v>
          </cell>
          <cell r="K183">
            <v>0</v>
          </cell>
        </row>
        <row r="184">
          <cell r="J184">
            <v>0</v>
          </cell>
          <cell r="K184">
            <v>0</v>
          </cell>
        </row>
        <row r="185"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E186">
            <v>1496840</v>
          </cell>
          <cell r="F186">
            <v>53504048</v>
          </cell>
          <cell r="G186">
            <v>35599388</v>
          </cell>
          <cell r="H186">
            <v>16257400</v>
          </cell>
          <cell r="I186">
            <v>35660</v>
          </cell>
          <cell r="J186">
            <v>640784</v>
          </cell>
          <cell r="K186">
            <v>676444</v>
          </cell>
          <cell r="L186">
            <v>0</v>
          </cell>
          <cell r="M186">
            <v>490892</v>
          </cell>
          <cell r="N186">
            <v>1976764</v>
          </cell>
        </row>
        <row r="848">
          <cell r="O848" t="str">
            <v>(단위:Kg)</v>
          </cell>
        </row>
        <row r="849">
          <cell r="E849" t="str">
            <v>기초재고</v>
          </cell>
          <cell r="F849" t="str">
            <v>투입</v>
          </cell>
          <cell r="G849" t="str">
            <v>타공정</v>
          </cell>
          <cell r="H849" t="str">
            <v>제품</v>
          </cell>
          <cell r="I849" t="str">
            <v>부산물</v>
          </cell>
          <cell r="L849" t="str">
            <v>타계정</v>
          </cell>
          <cell r="M849" t="str">
            <v>LOSS</v>
          </cell>
          <cell r="N849" t="str">
            <v>기말재고</v>
          </cell>
          <cell r="O849" t="str">
            <v>비고</v>
          </cell>
        </row>
        <row r="850">
          <cell r="I850" t="str">
            <v>1급</v>
          </cell>
          <cell r="J850" t="str">
            <v>불량</v>
          </cell>
          <cell r="K850" t="str">
            <v>계</v>
          </cell>
        </row>
        <row r="851"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J851">
            <v>0</v>
          </cell>
          <cell r="K851">
            <v>0</v>
          </cell>
          <cell r="N851">
            <v>0</v>
          </cell>
        </row>
        <row r="852">
          <cell r="F852">
            <v>0</v>
          </cell>
          <cell r="G852">
            <v>0</v>
          </cell>
          <cell r="J852">
            <v>0</v>
          </cell>
          <cell r="K852">
            <v>0</v>
          </cell>
          <cell r="M852">
            <v>0</v>
          </cell>
        </row>
        <row r="853">
          <cell r="F853">
            <v>0</v>
          </cell>
          <cell r="J853">
            <v>0</v>
          </cell>
          <cell r="K853">
            <v>0</v>
          </cell>
        </row>
        <row r="854">
          <cell r="J854">
            <v>0</v>
          </cell>
          <cell r="K854">
            <v>0</v>
          </cell>
        </row>
        <row r="855">
          <cell r="J855">
            <v>0</v>
          </cell>
          <cell r="K855">
            <v>0</v>
          </cell>
        </row>
        <row r="856"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J857">
            <v>0</v>
          </cell>
          <cell r="K857">
            <v>0</v>
          </cell>
        </row>
        <row r="858">
          <cell r="J858">
            <v>0</v>
          </cell>
          <cell r="K858">
            <v>0</v>
          </cell>
        </row>
        <row r="859"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J860">
            <v>0</v>
          </cell>
          <cell r="K860">
            <v>0</v>
          </cell>
        </row>
        <row r="861">
          <cell r="J861">
            <v>0</v>
          </cell>
          <cell r="K861">
            <v>0</v>
          </cell>
        </row>
        <row r="862"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J863">
            <v>0</v>
          </cell>
          <cell r="K863">
            <v>0</v>
          </cell>
        </row>
        <row r="864">
          <cell r="J864">
            <v>0</v>
          </cell>
          <cell r="K864">
            <v>0</v>
          </cell>
        </row>
        <row r="865"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J867">
            <v>0</v>
          </cell>
          <cell r="K867">
            <v>0</v>
          </cell>
        </row>
        <row r="868">
          <cell r="J868">
            <v>0</v>
          </cell>
          <cell r="K868">
            <v>0</v>
          </cell>
        </row>
        <row r="869"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J870">
            <v>0</v>
          </cell>
          <cell r="K870">
            <v>0</v>
          </cell>
        </row>
        <row r="871">
          <cell r="J871">
            <v>0</v>
          </cell>
          <cell r="K871">
            <v>0</v>
          </cell>
        </row>
        <row r="872"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J873">
            <v>0</v>
          </cell>
          <cell r="K873">
            <v>0</v>
          </cell>
        </row>
        <row r="874">
          <cell r="J874">
            <v>0</v>
          </cell>
          <cell r="K874">
            <v>0</v>
          </cell>
        </row>
        <row r="875"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J876">
            <v>0</v>
          </cell>
          <cell r="K876">
            <v>0</v>
          </cell>
        </row>
        <row r="877">
          <cell r="J877">
            <v>0</v>
          </cell>
          <cell r="K877">
            <v>0</v>
          </cell>
        </row>
        <row r="878">
          <cell r="J878">
            <v>0</v>
          </cell>
          <cell r="K878">
            <v>0</v>
          </cell>
        </row>
        <row r="879">
          <cell r="J879">
            <v>0</v>
          </cell>
          <cell r="K879">
            <v>0</v>
          </cell>
        </row>
        <row r="880">
          <cell r="J880">
            <v>0</v>
          </cell>
          <cell r="K880">
            <v>0</v>
          </cell>
        </row>
        <row r="881">
          <cell r="J881">
            <v>0</v>
          </cell>
          <cell r="K881">
            <v>0</v>
          </cell>
        </row>
        <row r="882"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J883">
            <v>0</v>
          </cell>
          <cell r="K883">
            <v>0</v>
          </cell>
        </row>
        <row r="884">
          <cell r="J884">
            <v>0</v>
          </cell>
          <cell r="K884">
            <v>0</v>
          </cell>
        </row>
        <row r="885"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J886">
            <v>0</v>
          </cell>
          <cell r="K886">
            <v>0</v>
          </cell>
        </row>
        <row r="887">
          <cell r="J887">
            <v>0</v>
          </cell>
          <cell r="K887">
            <v>0</v>
          </cell>
        </row>
        <row r="888"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J889">
            <v>0</v>
          </cell>
          <cell r="K889">
            <v>0</v>
          </cell>
        </row>
        <row r="890">
          <cell r="J890">
            <v>0</v>
          </cell>
          <cell r="K890">
            <v>0</v>
          </cell>
        </row>
        <row r="891"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J892">
            <v>0</v>
          </cell>
          <cell r="K892">
            <v>0</v>
          </cell>
        </row>
        <row r="893">
          <cell r="J893">
            <v>0</v>
          </cell>
          <cell r="K893">
            <v>0</v>
          </cell>
        </row>
        <row r="894">
          <cell r="J894">
            <v>0</v>
          </cell>
          <cell r="K894">
            <v>0</v>
          </cell>
        </row>
        <row r="895">
          <cell r="J895">
            <v>0</v>
          </cell>
          <cell r="K895">
            <v>0</v>
          </cell>
        </row>
        <row r="896"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J897">
            <v>0</v>
          </cell>
          <cell r="K897">
            <v>0</v>
          </cell>
        </row>
        <row r="898">
          <cell r="J898">
            <v>0</v>
          </cell>
          <cell r="K898">
            <v>0</v>
          </cell>
        </row>
        <row r="899"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J900">
            <v>0</v>
          </cell>
          <cell r="K900">
            <v>0</v>
          </cell>
        </row>
        <row r="901">
          <cell r="J901">
            <v>0</v>
          </cell>
          <cell r="K901">
            <v>0</v>
          </cell>
        </row>
        <row r="902">
          <cell r="J902">
            <v>0</v>
          </cell>
          <cell r="K902">
            <v>0</v>
          </cell>
        </row>
        <row r="903"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J905">
            <v>0</v>
          </cell>
          <cell r="K905">
            <v>0</v>
          </cell>
        </row>
        <row r="906">
          <cell r="J906">
            <v>0</v>
          </cell>
          <cell r="K906">
            <v>0</v>
          </cell>
        </row>
        <row r="907">
          <cell r="J907">
            <v>0</v>
          </cell>
          <cell r="K907">
            <v>0</v>
          </cell>
        </row>
        <row r="908">
          <cell r="J908">
            <v>0</v>
          </cell>
          <cell r="K908">
            <v>0</v>
          </cell>
        </row>
        <row r="909">
          <cell r="J909">
            <v>0</v>
          </cell>
          <cell r="K909">
            <v>0</v>
          </cell>
        </row>
        <row r="910"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J912">
            <v>0</v>
          </cell>
          <cell r="K912">
            <v>0</v>
          </cell>
        </row>
        <row r="913">
          <cell r="J913">
            <v>0</v>
          </cell>
          <cell r="K913">
            <v>0</v>
          </cell>
        </row>
        <row r="914">
          <cell r="J914">
            <v>0</v>
          </cell>
          <cell r="K914">
            <v>0</v>
          </cell>
        </row>
        <row r="915">
          <cell r="J915">
            <v>0</v>
          </cell>
          <cell r="K915">
            <v>0</v>
          </cell>
        </row>
        <row r="916">
          <cell r="J916">
            <v>0</v>
          </cell>
          <cell r="K916">
            <v>0</v>
          </cell>
        </row>
        <row r="917">
          <cell r="J917">
            <v>0</v>
          </cell>
          <cell r="K917">
            <v>0</v>
          </cell>
        </row>
        <row r="918">
          <cell r="J918">
            <v>0</v>
          </cell>
          <cell r="K918">
            <v>0</v>
          </cell>
        </row>
        <row r="919">
          <cell r="J919">
            <v>0</v>
          </cell>
          <cell r="K919">
            <v>0</v>
          </cell>
        </row>
        <row r="920">
          <cell r="J920">
            <v>0</v>
          </cell>
          <cell r="K920">
            <v>0</v>
          </cell>
        </row>
        <row r="921">
          <cell r="J921">
            <v>0</v>
          </cell>
          <cell r="K921">
            <v>0</v>
          </cell>
        </row>
        <row r="922">
          <cell r="J922">
            <v>0</v>
          </cell>
          <cell r="K922">
            <v>0</v>
          </cell>
        </row>
        <row r="923">
          <cell r="J923">
            <v>0</v>
          </cell>
          <cell r="K923">
            <v>0</v>
          </cell>
        </row>
        <row r="924">
          <cell r="J924">
            <v>0</v>
          </cell>
          <cell r="K924">
            <v>0</v>
          </cell>
        </row>
        <row r="925">
          <cell r="J925">
            <v>0</v>
          </cell>
          <cell r="K925">
            <v>0</v>
          </cell>
        </row>
        <row r="926"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J927">
            <v>0</v>
          </cell>
          <cell r="K927">
            <v>0</v>
          </cell>
        </row>
        <row r="928">
          <cell r="J928">
            <v>0</v>
          </cell>
          <cell r="K928">
            <v>0</v>
          </cell>
        </row>
        <row r="929">
          <cell r="F929">
            <v>0</v>
          </cell>
          <cell r="J929">
            <v>0</v>
          </cell>
          <cell r="K929">
            <v>0</v>
          </cell>
        </row>
        <row r="930">
          <cell r="F930">
            <v>0</v>
          </cell>
          <cell r="J930">
            <v>0</v>
          </cell>
          <cell r="K930">
            <v>0</v>
          </cell>
        </row>
        <row r="931">
          <cell r="J931">
            <v>0</v>
          </cell>
          <cell r="K931">
            <v>0</v>
          </cell>
        </row>
        <row r="932">
          <cell r="J932">
            <v>0</v>
          </cell>
          <cell r="K932">
            <v>0</v>
          </cell>
        </row>
        <row r="933">
          <cell r="J933">
            <v>0</v>
          </cell>
          <cell r="K933">
            <v>0</v>
          </cell>
        </row>
        <row r="934">
          <cell r="J934">
            <v>0</v>
          </cell>
          <cell r="K934">
            <v>0</v>
          </cell>
        </row>
        <row r="935">
          <cell r="J935">
            <v>0</v>
          </cell>
          <cell r="K935">
            <v>0</v>
          </cell>
        </row>
        <row r="936">
          <cell r="J936">
            <v>0</v>
          </cell>
          <cell r="K936">
            <v>0</v>
          </cell>
        </row>
        <row r="937"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69">
          <cell r="A69" t="str">
            <v>서울사무소 (대경)</v>
          </cell>
          <cell r="O69" t="str">
            <v>단위 : KG,원</v>
          </cell>
        </row>
        <row r="70">
          <cell r="A70" t="str">
            <v>구  분</v>
          </cell>
          <cell r="C70" t="str">
            <v>기초재고</v>
          </cell>
          <cell r="E70" t="str">
            <v>입고</v>
          </cell>
          <cell r="I70" t="str">
            <v>출고</v>
          </cell>
          <cell r="M70" t="str">
            <v>기말재고</v>
          </cell>
          <cell r="O70" t="str">
            <v>비고</v>
          </cell>
        </row>
        <row r="71">
          <cell r="E71" t="str">
            <v>입고</v>
          </cell>
          <cell r="G71" t="str">
            <v>타계정입고</v>
          </cell>
          <cell r="I71" t="str">
            <v>타계정출고</v>
          </cell>
          <cell r="K71" t="str">
            <v>출고</v>
          </cell>
        </row>
        <row r="72">
          <cell r="C72" t="str">
            <v>중량</v>
          </cell>
          <cell r="D72" t="str">
            <v>금액</v>
          </cell>
          <cell r="E72" t="str">
            <v>중량</v>
          </cell>
          <cell r="F72" t="str">
            <v>금액</v>
          </cell>
          <cell r="G72" t="str">
            <v>중량</v>
          </cell>
          <cell r="H72" t="str">
            <v>금액</v>
          </cell>
          <cell r="I72" t="str">
            <v>중량</v>
          </cell>
          <cell r="J72" t="str">
            <v>금액</v>
          </cell>
          <cell r="K72" t="str">
            <v>중량</v>
          </cell>
          <cell r="L72" t="str">
            <v>금액</v>
          </cell>
          <cell r="M72" t="str">
            <v>중량</v>
          </cell>
          <cell r="N72" t="str">
            <v>금액</v>
          </cell>
        </row>
        <row r="73">
          <cell r="A73" t="str">
            <v>제품</v>
          </cell>
          <cell r="B73" t="str">
            <v>BPE</v>
          </cell>
          <cell r="C73">
            <v>4740</v>
          </cell>
          <cell r="D73">
            <v>2001440</v>
          </cell>
          <cell r="E73">
            <v>0</v>
          </cell>
          <cell r="F73">
            <v>0</v>
          </cell>
          <cell r="J73">
            <v>0</v>
          </cell>
          <cell r="K73">
            <v>1702</v>
          </cell>
          <cell r="L73">
            <v>718661</v>
          </cell>
          <cell r="M73">
            <v>3038</v>
          </cell>
          <cell r="N73">
            <v>1282779</v>
          </cell>
        </row>
        <row r="74">
          <cell r="A74" t="str">
            <v>(대경)</v>
          </cell>
          <cell r="B74" t="str">
            <v>BTC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 t="str">
            <v>GPE</v>
          </cell>
          <cell r="C75">
            <v>9510</v>
          </cell>
          <cell r="D75">
            <v>5023284</v>
          </cell>
          <cell r="E75">
            <v>1648</v>
          </cell>
          <cell r="F75">
            <v>861373</v>
          </cell>
          <cell r="J75">
            <v>0</v>
          </cell>
          <cell r="K75">
            <v>4886</v>
          </cell>
          <cell r="L75">
            <v>2576845</v>
          </cell>
          <cell r="M75">
            <v>6272</v>
          </cell>
          <cell r="N75">
            <v>3307812</v>
          </cell>
        </row>
        <row r="76">
          <cell r="B76" t="str">
            <v>GTC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 t="str">
            <v>특수관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 t="str">
            <v>틀비계</v>
          </cell>
          <cell r="C78">
            <v>0</v>
          </cell>
          <cell r="D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 t="str">
            <v>단관비계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 t="str">
            <v>써포트</v>
          </cell>
          <cell r="C80">
            <v>0</v>
          </cell>
          <cell r="D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 t="str">
            <v>CPE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 t="str">
            <v>FPE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 t="str">
            <v>단열관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 t="str">
            <v>OEM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 t="str">
            <v>소계</v>
          </cell>
          <cell r="C86">
            <v>14250</v>
          </cell>
          <cell r="D86">
            <v>7024724</v>
          </cell>
          <cell r="E86">
            <v>1648</v>
          </cell>
          <cell r="F86">
            <v>861373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6588</v>
          </cell>
          <cell r="L86">
            <v>3295506</v>
          </cell>
          <cell r="M86">
            <v>9310</v>
          </cell>
          <cell r="N86">
            <v>4590591</v>
          </cell>
        </row>
        <row r="87">
          <cell r="B87" t="str">
            <v>STS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 t="str">
            <v>계</v>
          </cell>
          <cell r="C88">
            <v>14250</v>
          </cell>
          <cell r="D88">
            <v>7024724</v>
          </cell>
          <cell r="E88">
            <v>1648</v>
          </cell>
          <cell r="F88">
            <v>861373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6588</v>
          </cell>
          <cell r="L88">
            <v>3295506</v>
          </cell>
          <cell r="M88">
            <v>9310</v>
          </cell>
          <cell r="N88">
            <v>4590591</v>
          </cell>
          <cell r="O88">
            <v>0</v>
          </cell>
        </row>
        <row r="89">
          <cell r="A89" t="str">
            <v>상품</v>
          </cell>
          <cell r="B89" t="str">
            <v>ERW(K)</v>
          </cell>
          <cell r="C89">
            <v>0</v>
          </cell>
          <cell r="D89">
            <v>0</v>
          </cell>
          <cell r="E89">
            <v>515303</v>
          </cell>
          <cell r="F89">
            <v>285918781</v>
          </cell>
          <cell r="G89">
            <v>0</v>
          </cell>
          <cell r="H89">
            <v>0</v>
          </cell>
          <cell r="J89">
            <v>0</v>
          </cell>
          <cell r="K89">
            <v>515303</v>
          </cell>
          <cell r="L89">
            <v>285918781</v>
          </cell>
          <cell r="M89">
            <v>0</v>
          </cell>
          <cell r="N89">
            <v>0</v>
          </cell>
        </row>
        <row r="90">
          <cell r="A90" t="str">
            <v>(대경)</v>
          </cell>
          <cell r="B90" t="str">
            <v>ERW(H)</v>
          </cell>
          <cell r="C90">
            <v>1052</v>
          </cell>
          <cell r="D90">
            <v>492763</v>
          </cell>
          <cell r="E90">
            <v>0</v>
          </cell>
          <cell r="F90">
            <v>0</v>
          </cell>
          <cell r="L90">
            <v>0</v>
          </cell>
          <cell r="M90">
            <v>1052</v>
          </cell>
          <cell r="N90">
            <v>492763</v>
          </cell>
        </row>
        <row r="91">
          <cell r="B91" t="str">
            <v>계</v>
          </cell>
          <cell r="C91">
            <v>1052</v>
          </cell>
          <cell r="D91">
            <v>492763</v>
          </cell>
          <cell r="E91">
            <v>515303</v>
          </cell>
          <cell r="F91">
            <v>285918781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515303</v>
          </cell>
          <cell r="L91">
            <v>285918781</v>
          </cell>
          <cell r="M91">
            <v>1052</v>
          </cell>
          <cell r="N91">
            <v>492763</v>
          </cell>
        </row>
        <row r="92">
          <cell r="B92" t="str">
            <v>STS(K)</v>
          </cell>
          <cell r="C92">
            <v>0</v>
          </cell>
          <cell r="D92">
            <v>0</v>
          </cell>
          <cell r="E92">
            <v>300</v>
          </cell>
          <cell r="F92">
            <v>689862</v>
          </cell>
          <cell r="K92">
            <v>300</v>
          </cell>
          <cell r="L92">
            <v>689862</v>
          </cell>
          <cell r="M92">
            <v>0</v>
          </cell>
          <cell r="N92">
            <v>0</v>
          </cell>
        </row>
        <row r="93">
          <cell r="B93" t="str">
            <v>STS(H)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 t="str">
            <v>계</v>
          </cell>
          <cell r="C94">
            <v>0</v>
          </cell>
          <cell r="D94">
            <v>0</v>
          </cell>
          <cell r="E94">
            <v>300</v>
          </cell>
          <cell r="F94">
            <v>689862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300</v>
          </cell>
          <cell r="L94">
            <v>689862</v>
          </cell>
          <cell r="M94">
            <v>0</v>
          </cell>
          <cell r="N94">
            <v>0</v>
          </cell>
        </row>
        <row r="95">
          <cell r="B95" t="str">
            <v>특규품,PPC</v>
          </cell>
          <cell r="C95">
            <v>0</v>
          </cell>
          <cell r="D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 t="str">
            <v>계</v>
          </cell>
          <cell r="C96">
            <v>1052</v>
          </cell>
          <cell r="D96">
            <v>492763</v>
          </cell>
          <cell r="E96">
            <v>515603</v>
          </cell>
          <cell r="F96">
            <v>286608643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515603</v>
          </cell>
          <cell r="L96">
            <v>286608643</v>
          </cell>
          <cell r="M96">
            <v>1052</v>
          </cell>
          <cell r="N96">
            <v>492763</v>
          </cell>
        </row>
        <row r="97">
          <cell r="A97" t="str">
            <v>임가공</v>
          </cell>
          <cell r="B97" t="str">
            <v>PIPE</v>
          </cell>
          <cell r="C97">
            <v>0</v>
          </cell>
          <cell r="D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M97">
            <v>0</v>
          </cell>
          <cell r="N97">
            <v>0</v>
          </cell>
        </row>
        <row r="98">
          <cell r="B98" t="str">
            <v>가공비</v>
          </cell>
          <cell r="C98">
            <v>0</v>
          </cell>
          <cell r="D98">
            <v>0</v>
          </cell>
          <cell r="H98">
            <v>0</v>
          </cell>
          <cell r="M98">
            <v>0</v>
          </cell>
          <cell r="N98">
            <v>0</v>
          </cell>
        </row>
        <row r="99">
          <cell r="B99" t="str">
            <v>계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총  계</v>
          </cell>
          <cell r="C100">
            <v>15302</v>
          </cell>
          <cell r="D100">
            <v>7517487</v>
          </cell>
          <cell r="E100">
            <v>517251</v>
          </cell>
          <cell r="F100">
            <v>287470016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522191</v>
          </cell>
          <cell r="L100">
            <v>289904149</v>
          </cell>
          <cell r="M100">
            <v>10362</v>
          </cell>
          <cell r="N100">
            <v>5083354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6부가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수"/>
      <sheetName val="공문"/>
      <sheetName val="대외공문 "/>
      <sheetName val="개선대책 양식"/>
      <sheetName val="개선사례양식"/>
      <sheetName val="3월"/>
      <sheetName val="R&amp;D"/>
      <sheetName val="협조전"/>
      <sheetName val="학교기부"/>
      <sheetName val="GRACE"/>
      <sheetName val="#REF"/>
      <sheetName val="report_20"/>
      <sheetName val="camera_30"/>
      <sheetName val="과제"/>
      <sheetName val="배치공문"/>
      <sheetName val="보증"/>
      <sheetName val="사업계획선가"/>
      <sheetName val="지원판단"/>
      <sheetName val="예산계획"/>
      <sheetName val="출금실적"/>
      <sheetName val="가정"/>
      <sheetName val="고정자산원본"/>
      <sheetName val="월별수입"/>
      <sheetName val="0413"/>
      <sheetName val="J"/>
      <sheetName val="Pricing"/>
      <sheetName val="Debt Service Schedule"/>
      <sheetName val="CF2"/>
      <sheetName val="CF4"/>
      <sheetName val="CF5"/>
      <sheetName val="CF7"/>
      <sheetName val="CF8"/>
      <sheetName val="GF3"/>
      <sheetName val="128M"/>
      <sheetName val="16EDO"/>
      <sheetName val="16SD"/>
      <sheetName val="16WB"/>
      <sheetName val="256M"/>
      <sheetName val="4M"/>
      <sheetName val="64EDO"/>
      <sheetName val="64SD"/>
      <sheetName val="DRD"/>
      <sheetName val="SRAM"/>
      <sheetName val="Assumptions"/>
      <sheetName val="01월TTL"/>
      <sheetName val="인건비"/>
      <sheetName val="노원열병합  건축공사기성내역서"/>
      <sheetName val="검사현황"/>
      <sheetName val="현금흐름표"/>
      <sheetName val="Y-WORK"/>
      <sheetName val="월별손익"/>
      <sheetName val="일위대가목차"/>
      <sheetName val="수입"/>
      <sheetName val="수량산출서"/>
      <sheetName val="재고자산미실현이익제거"/>
      <sheetName val="전기내역"/>
      <sheetName val="수주월"/>
      <sheetName val="존4"/>
      <sheetName val="note"/>
      <sheetName val="9-1차이내역"/>
      <sheetName val="p2-1"/>
      <sheetName val="#93"/>
      <sheetName val="본문"/>
      <sheetName val="cM11"/>
      <sheetName val="cM11p"/>
      <sheetName val="Trans"/>
      <sheetName val="추가예산"/>
      <sheetName val="도전(Rev4A)fab_io"/>
      <sheetName val="운영 비용(Infra)-원가"/>
      <sheetName val="Nand"/>
      <sheetName val="Nandp"/>
      <sheetName val="Sheet2"/>
      <sheetName val="WED1"/>
      <sheetName val="MRS세부"/>
      <sheetName val="생산계획"/>
      <sheetName val="FOB발"/>
      <sheetName val="SUM"/>
      <sheetName val="FAB별"/>
      <sheetName val="환율021231"/>
      <sheetName val="본지점중"/>
      <sheetName val="Controls"/>
      <sheetName val="97센_협"/>
      <sheetName val="SUMMARY AP2"/>
      <sheetName val="외화금융(97-03)"/>
      <sheetName val="FRT_O"/>
      <sheetName val="FAB_I"/>
      <sheetName val="hMC1"/>
      <sheetName val="hMC2"/>
      <sheetName val="hcYLD"/>
      <sheetName val="iMC1p"/>
      <sheetName val="iMC2p"/>
      <sheetName val="hMPp"/>
      <sheetName val="Sheet4"/>
      <sheetName val="Source"/>
      <sheetName val="f_in"/>
      <sheetName val="국내"/>
      <sheetName val="타임챠트"/>
      <sheetName val="DBL LPG시험"/>
      <sheetName val="견적집계표"/>
      <sheetName val="KA011205"/>
      <sheetName val="산출기준(파견전산실)"/>
      <sheetName val="93상각비"/>
      <sheetName val="예적금"/>
      <sheetName val="매출"/>
      <sheetName val="국내총괄"/>
      <sheetName val="공통가설"/>
      <sheetName val="특판제외"/>
      <sheetName val="2001.03"/>
      <sheetName val="은행"/>
      <sheetName val="건축공사실행"/>
      <sheetName val="건축원가"/>
      <sheetName val="5사남"/>
      <sheetName val="현장관리비"/>
      <sheetName val="020114"/>
      <sheetName val="0111월"/>
      <sheetName val="호프"/>
      <sheetName val="고정자산"/>
      <sheetName val="매출원가추정"/>
      <sheetName val="매출추정"/>
      <sheetName val="자바라1"/>
      <sheetName val="major"/>
      <sheetName val="유림총괄"/>
      <sheetName val="금액내역서"/>
      <sheetName val="물량표"/>
      <sheetName val="연습"/>
      <sheetName val="본사인상전"/>
      <sheetName val="목표세부명세"/>
      <sheetName val="다곡2교"/>
      <sheetName val="22.보증금(전신전화가입권)"/>
      <sheetName val="39.미지급법인세"/>
      <sheetName val="인천_계획"/>
      <sheetName val="★08년 성과손익"/>
      <sheetName val="08년매출내역"/>
      <sheetName val="홈쇼핑 비용계산"/>
      <sheetName val="월별 성과손익표"/>
      <sheetName val="매출세부내역"/>
      <sheetName val="★월별 매출 손익계획"/>
      <sheetName val="★08년 마케팅계획(원본)"/>
      <sheetName val="재공수합"/>
      <sheetName val="FCU (2)"/>
      <sheetName val="1을"/>
      <sheetName val="내역서"/>
      <sheetName val="전기내역서집계"/>
      <sheetName val="전산망"/>
      <sheetName val="eq_data"/>
      <sheetName val="내역서(총)"/>
      <sheetName val="연차1"/>
      <sheetName val="b_balju"/>
      <sheetName val="XREF"/>
      <sheetName val="FAB"/>
      <sheetName val="장비명"/>
      <sheetName val="hMP"/>
      <sheetName val="한계원가"/>
      <sheetName val="Input"/>
      <sheetName val="Tableaux synthétiques"/>
      <sheetName val="Data"/>
      <sheetName val="승용"/>
      <sheetName val="품의양"/>
      <sheetName val="주행"/>
      <sheetName val="단가"/>
      <sheetName val="9-1차이내역."/>
      <sheetName val="DDETABLE"/>
      <sheetName val="전제"/>
      <sheetName val="제품별110계"/>
      <sheetName val="BS"/>
      <sheetName val="시산표"/>
      <sheetName val="차체"/>
      <sheetName val="세목별"/>
      <sheetName val="대외공문_"/>
      <sheetName val="개선대책_양식"/>
      <sheetName val="FCU_(2)"/>
      <sheetName val="code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"/>
      <sheetName val="차수"/>
    </sheetNames>
    <sheetDataSet>
      <sheetData sheetId="0"/>
      <sheetData sheetId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  <sheetName val="basic_info"/>
      <sheetName val="기타현황"/>
      <sheetName val="차수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입금현황 (연결)"/>
      <sheetName val="#REF"/>
      <sheetName val="975재무"/>
      <sheetName val="출금실적"/>
      <sheetName val="공용시설내역"/>
      <sheetName val="견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부표(10.06)"/>
      <sheetName val="보고서표"/>
      <sheetName val="평정회의자료"/>
      <sheetName val="0909(백만)"/>
      <sheetName val="0903(백만)"/>
      <sheetName val="data"/>
      <sheetName val="그래프"/>
      <sheetName val="기타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>
        <row r="5">
          <cell r="D5" t="str">
            <v>'05.12</v>
          </cell>
          <cell r="E5" t="str">
            <v>'06.12</v>
          </cell>
          <cell r="G5" t="str">
            <v>'07.12</v>
          </cell>
          <cell r="H5" t="str">
            <v>'08.12</v>
          </cell>
          <cell r="J5" t="str">
            <v>09.09</v>
          </cell>
        </row>
        <row r="6">
          <cell r="A6" t="str">
            <v>총자산</v>
          </cell>
          <cell r="D6">
            <v>7212.7460000000001</v>
          </cell>
          <cell r="E6">
            <v>7640.7</v>
          </cell>
          <cell r="G6">
            <v>7147.2169999999996</v>
          </cell>
          <cell r="H6">
            <v>7015.58</v>
          </cell>
          <cell r="J6">
            <v>7167.75</v>
          </cell>
        </row>
        <row r="7">
          <cell r="A7" t="str">
            <v>당기순이익(우)</v>
          </cell>
          <cell r="D7">
            <v>208.63</v>
          </cell>
          <cell r="E7">
            <v>209.36900000000003</v>
          </cell>
          <cell r="G7">
            <v>206.00099999999998</v>
          </cell>
          <cell r="H7">
            <v>124.43300000000001</v>
          </cell>
          <cell r="J7">
            <v>16.55</v>
          </cell>
        </row>
      </sheetData>
      <sheetData sheetId="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1.1"/>
      <sheetName val="1.2 가"/>
      <sheetName val="1.2 나"/>
      <sheetName val="삭제"/>
      <sheetName val="2.2"/>
      <sheetName val="2.3"/>
      <sheetName val="2.4 (2)"/>
      <sheetName val="2.5"/>
      <sheetName val="2.6"/>
      <sheetName val="2.6 (2)"/>
      <sheetName val="2.6 (3)"/>
      <sheetName val="매출"/>
      <sheetName val="손익"/>
      <sheetName val="재무"/>
      <sheetName val="매출세부 (2)"/>
      <sheetName val="Sheet1"/>
      <sheetName val="Sheet2"/>
      <sheetName val="Sheet3"/>
      <sheetName val="Sheet4"/>
      <sheetName val="Sheet5"/>
      <sheetName val="공정가중치"/>
      <sheetName val="공정가중치.xls"/>
      <sheetName val="FAB별"/>
    </sheetNames>
    <definedNames>
      <definedName name="매크로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영업"/>
      <sheetName val="제시용"/>
      <sheetName val="재무지표"/>
      <sheetName val="수익성"/>
      <sheetName val="안정성"/>
      <sheetName val="현금흐름"/>
      <sheetName val="temp"/>
      <sheetName val="한화그룹"/>
      <sheetName val="제시용(auto)"/>
      <sheetName val="출력"/>
    </sheetNames>
    <sheetDataSet>
      <sheetData sheetId="0" refreshError="1">
        <row r="2">
          <cell r="AA2" t="str">
            <v>(주)한화</v>
          </cell>
          <cell r="AB2">
            <v>12</v>
          </cell>
          <cell r="AC2">
            <v>12</v>
          </cell>
          <cell r="AD2">
            <v>12</v>
          </cell>
          <cell r="AE2">
            <v>12</v>
          </cell>
          <cell r="AF2">
            <v>12</v>
          </cell>
          <cell r="AG2">
            <v>12</v>
          </cell>
          <cell r="AH2">
            <v>12</v>
          </cell>
          <cell r="AI2">
            <v>12</v>
          </cell>
          <cell r="AJ2">
            <v>12</v>
          </cell>
          <cell r="AK2">
            <v>12</v>
          </cell>
          <cell r="AL2">
            <v>6</v>
          </cell>
          <cell r="AM2" t="str">
            <v>한화종합화학(주)</v>
          </cell>
          <cell r="AU2">
            <v>12</v>
          </cell>
          <cell r="AV2">
            <v>12</v>
          </cell>
          <cell r="AW2">
            <v>12</v>
          </cell>
          <cell r="AX2">
            <v>6</v>
          </cell>
          <cell r="AY2" t="str">
            <v>한화석유화학(주)</v>
          </cell>
          <cell r="AZ2">
            <v>12</v>
          </cell>
          <cell r="BA2">
            <v>12</v>
          </cell>
          <cell r="BB2">
            <v>12</v>
          </cell>
          <cell r="BC2">
            <v>12</v>
          </cell>
          <cell r="BD2">
            <v>12</v>
          </cell>
          <cell r="BE2">
            <v>12</v>
          </cell>
          <cell r="BF2">
            <v>12</v>
          </cell>
          <cell r="BG2">
            <v>12</v>
          </cell>
          <cell r="BH2">
            <v>12</v>
          </cell>
          <cell r="BI2">
            <v>12</v>
          </cell>
          <cell r="BJ2">
            <v>6</v>
          </cell>
          <cell r="BK2" t="str">
            <v>(주)에이치팜</v>
          </cell>
          <cell r="BS2">
            <v>12</v>
          </cell>
          <cell r="BT2">
            <v>12</v>
          </cell>
          <cell r="BU2">
            <v>12</v>
          </cell>
          <cell r="BV2">
            <v>6</v>
          </cell>
          <cell r="BW2" t="str">
            <v>한국종합에너지(주)</v>
          </cell>
          <cell r="CE2">
            <v>12</v>
          </cell>
          <cell r="CF2">
            <v>12</v>
          </cell>
          <cell r="CG2">
            <v>12</v>
          </cell>
          <cell r="CH2">
            <v>6</v>
          </cell>
          <cell r="CI2" t="str">
            <v>한화개발(주)</v>
          </cell>
          <cell r="CJ2">
            <v>12</v>
          </cell>
          <cell r="CK2">
            <v>12</v>
          </cell>
          <cell r="CL2">
            <v>12</v>
          </cell>
          <cell r="CM2">
            <v>12</v>
          </cell>
          <cell r="CN2">
            <v>12</v>
          </cell>
          <cell r="CO2">
            <v>12</v>
          </cell>
          <cell r="CP2">
            <v>12</v>
          </cell>
          <cell r="CQ2">
            <v>12</v>
          </cell>
          <cell r="CR2">
            <v>12</v>
          </cell>
          <cell r="CS2">
            <v>12</v>
          </cell>
          <cell r="CT2">
            <v>6</v>
          </cell>
          <cell r="CU2" t="str">
            <v>한화국토개발(주)</v>
          </cell>
          <cell r="CV2">
            <v>12</v>
          </cell>
          <cell r="CW2">
            <v>12</v>
          </cell>
          <cell r="CX2">
            <v>12</v>
          </cell>
          <cell r="CY2">
            <v>12</v>
          </cell>
          <cell r="CZ2">
            <v>12</v>
          </cell>
          <cell r="DA2">
            <v>12</v>
          </cell>
          <cell r="DB2">
            <v>12</v>
          </cell>
          <cell r="DC2">
            <v>12</v>
          </cell>
          <cell r="DD2">
            <v>12</v>
          </cell>
          <cell r="DE2">
            <v>12</v>
          </cell>
          <cell r="DF2">
            <v>3</v>
          </cell>
          <cell r="DG2" t="str">
            <v>(주)한화유통</v>
          </cell>
          <cell r="DH2">
            <v>12</v>
          </cell>
          <cell r="DI2">
            <v>12</v>
          </cell>
          <cell r="DJ2">
            <v>12</v>
          </cell>
          <cell r="DK2">
            <v>12</v>
          </cell>
          <cell r="DL2">
            <v>12</v>
          </cell>
          <cell r="DM2">
            <v>12</v>
          </cell>
          <cell r="DN2">
            <v>12</v>
          </cell>
          <cell r="DO2">
            <v>12</v>
          </cell>
          <cell r="DP2">
            <v>12</v>
          </cell>
          <cell r="DQ2">
            <v>12</v>
          </cell>
          <cell r="DR2">
            <v>6</v>
          </cell>
          <cell r="DS2" t="str">
            <v>(주)동양백화점</v>
          </cell>
          <cell r="DT2">
            <v>12</v>
          </cell>
          <cell r="DU2">
            <v>12</v>
          </cell>
          <cell r="DV2">
            <v>12</v>
          </cell>
          <cell r="DW2">
            <v>12</v>
          </cell>
          <cell r="DX2">
            <v>12</v>
          </cell>
          <cell r="DY2">
            <v>12</v>
          </cell>
          <cell r="DZ2">
            <v>12</v>
          </cell>
          <cell r="EA2">
            <v>12</v>
          </cell>
          <cell r="EB2">
            <v>12</v>
          </cell>
          <cell r="EC2">
            <v>12</v>
          </cell>
          <cell r="ED2">
            <v>6</v>
          </cell>
          <cell r="EE2" t="str">
            <v>에프에이지한화베어링(주)</v>
          </cell>
          <cell r="EL2">
            <v>12</v>
          </cell>
          <cell r="EM2">
            <v>12</v>
          </cell>
          <cell r="EN2">
            <v>12</v>
          </cell>
          <cell r="EO2">
            <v>12</v>
          </cell>
          <cell r="EP2">
            <v>6</v>
          </cell>
          <cell r="EQ2" t="str">
            <v>한화포리마(주)</v>
          </cell>
          <cell r="ER2">
            <v>12</v>
          </cell>
          <cell r="ES2">
            <v>12</v>
          </cell>
          <cell r="ET2">
            <v>12</v>
          </cell>
          <cell r="EU2">
            <v>12</v>
          </cell>
          <cell r="EV2">
            <v>12</v>
          </cell>
          <cell r="EW2">
            <v>12</v>
          </cell>
          <cell r="EX2">
            <v>12</v>
          </cell>
          <cell r="EY2">
            <v>12</v>
          </cell>
          <cell r="EZ2">
            <v>12</v>
          </cell>
          <cell r="FA2">
            <v>12</v>
          </cell>
          <cell r="FB2">
            <v>6</v>
          </cell>
          <cell r="FC2" t="str">
            <v>한화소재(주)</v>
          </cell>
          <cell r="FD2">
            <v>12</v>
          </cell>
          <cell r="FE2">
            <v>12</v>
          </cell>
          <cell r="FF2">
            <v>12</v>
          </cell>
          <cell r="FG2">
            <v>12</v>
          </cell>
          <cell r="FH2">
            <v>12</v>
          </cell>
          <cell r="FI2">
            <v>12</v>
          </cell>
          <cell r="FJ2">
            <v>12</v>
          </cell>
          <cell r="FK2">
            <v>12</v>
          </cell>
          <cell r="FL2">
            <v>12</v>
          </cell>
          <cell r="FM2">
            <v>12</v>
          </cell>
          <cell r="FN2">
            <v>6</v>
          </cell>
          <cell r="FO2" t="str">
            <v>한화증권(주)</v>
          </cell>
          <cell r="FP2">
            <v>3</v>
          </cell>
          <cell r="FQ2">
            <v>3</v>
          </cell>
          <cell r="FR2">
            <v>3</v>
          </cell>
          <cell r="FS2">
            <v>3</v>
          </cell>
          <cell r="FT2">
            <v>3</v>
          </cell>
          <cell r="FU2">
            <v>3</v>
          </cell>
          <cell r="FV2">
            <v>3</v>
          </cell>
          <cell r="FW2">
            <v>3</v>
          </cell>
          <cell r="FX2">
            <v>3</v>
          </cell>
          <cell r="FY2">
            <v>3</v>
          </cell>
          <cell r="FZ2">
            <v>9</v>
          </cell>
          <cell r="GA2" t="str">
            <v>한화기술금융(주)</v>
          </cell>
          <cell r="GJ2">
            <v>12</v>
          </cell>
          <cell r="GK2">
            <v>12</v>
          </cell>
          <cell r="GL2">
            <v>9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CP(RAMP)"/>
      <sheetName val="1분기"/>
      <sheetName val="반기"/>
      <sheetName val="3분기"/>
      <sheetName val="결산"/>
      <sheetName val="영업"/>
      <sheetName val="입력(auto)"/>
      <sheetName val="제시용(구)"/>
      <sheetName val="추정"/>
      <sheetName val="사업경쟁력"/>
      <sheetName val="분석"/>
      <sheetName val="제시용(auto)"/>
      <sheetName val="중위수 분석"/>
      <sheetName val="FinancialProfile"/>
      <sheetName val="요약(auto)"/>
      <sheetName val="출력"/>
      <sheetName val="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B2" t="str">
            <v>대차대조표</v>
          </cell>
          <cell r="AF2" t="str">
            <v>삼부토건(주)</v>
          </cell>
          <cell r="AI2" t="str">
            <v>삼부토건(주)</v>
          </cell>
        </row>
        <row r="3">
          <cell r="AF3" t="str">
            <v>(단위:백만원,%)</v>
          </cell>
          <cell r="AI3" t="str">
            <v>(단위:백만원,%)</v>
          </cell>
        </row>
        <row r="4">
          <cell r="B4">
            <v>0</v>
          </cell>
          <cell r="C4" t="str">
            <v>'94.12</v>
          </cell>
          <cell r="F4" t="str">
            <v>'95.12</v>
          </cell>
          <cell r="I4" t="str">
            <v>'96.12</v>
          </cell>
          <cell r="L4" t="str">
            <v>'97.12</v>
          </cell>
          <cell r="O4" t="str">
            <v>'98.12</v>
          </cell>
          <cell r="R4" t="str">
            <v>'99.12</v>
          </cell>
          <cell r="U4" t="str">
            <v>'00.12</v>
          </cell>
          <cell r="X4" t="str">
            <v>'01.12</v>
          </cell>
          <cell r="AA4" t="str">
            <v>'02.12</v>
          </cell>
          <cell r="AD4" t="str">
            <v>'03.12</v>
          </cell>
          <cell r="AG4" t="str">
            <v>'04.3</v>
          </cell>
        </row>
        <row r="5">
          <cell r="C5" t="str">
            <v>금액</v>
          </cell>
          <cell r="D5" t="str">
            <v>구성비</v>
          </cell>
          <cell r="H5" t="str">
            <v>금 액 구성비 증가율</v>
          </cell>
          <cell r="K5" t="str">
            <v>금 액 구성비 증가율</v>
          </cell>
          <cell r="N5" t="str">
            <v>금 액 구성비 증가율</v>
          </cell>
          <cell r="Q5" t="str">
            <v>금 액 구성비 증가율</v>
          </cell>
          <cell r="T5" t="str">
            <v>금 액 구성비 증가율</v>
          </cell>
          <cell r="W5" t="str">
            <v>금 액 구성비 증가율</v>
          </cell>
          <cell r="Z5" t="str">
            <v>금 액 구성비 증가율</v>
          </cell>
          <cell r="AC5" t="str">
            <v>금 액 구성비 증가율</v>
          </cell>
          <cell r="AF5" t="str">
            <v>금 액 구성비 증가율</v>
          </cell>
          <cell r="AI5" t="str">
            <v>금 액 구성비 증가율</v>
          </cell>
        </row>
        <row r="6">
          <cell r="B6" t="str">
            <v>유동자산</v>
          </cell>
          <cell r="C6">
            <v>192570</v>
          </cell>
          <cell r="D6">
            <v>58.108727926710039</v>
          </cell>
          <cell r="F6">
            <v>247064</v>
          </cell>
          <cell r="G6">
            <v>60.81695147227515</v>
          </cell>
          <cell r="H6">
            <v>28.298281144518853</v>
          </cell>
          <cell r="I6">
            <v>278374</v>
          </cell>
          <cell r="J6">
            <v>62.272579833342654</v>
          </cell>
          <cell r="K6">
            <v>12.672829712139361</v>
          </cell>
          <cell r="L6">
            <v>362058</v>
          </cell>
          <cell r="M6">
            <v>68.547573293448323</v>
          </cell>
          <cell r="N6">
            <v>30.061715533778312</v>
          </cell>
          <cell r="O6">
            <v>394170</v>
          </cell>
          <cell r="P6">
            <v>57.496061613863112</v>
          </cell>
          <cell r="Q6">
            <v>8.8692971844290156</v>
          </cell>
          <cell r="R6">
            <v>303314</v>
          </cell>
          <cell r="S6">
            <v>47.193420299235726</v>
          </cell>
          <cell r="T6">
            <v>-23.049953065936009</v>
          </cell>
          <cell r="U6">
            <v>316079</v>
          </cell>
          <cell r="V6">
            <v>47.41673392359413</v>
          </cell>
          <cell r="W6">
            <v>4.2085099929445988</v>
          </cell>
          <cell r="X6">
            <v>308672</v>
          </cell>
          <cell r="Y6">
            <v>46.759841362657205</v>
          </cell>
          <cell r="Z6">
            <v>-2.3434014913993053</v>
          </cell>
          <cell r="AA6">
            <v>247889</v>
          </cell>
          <cell r="AB6">
            <v>38.900109063233131</v>
          </cell>
          <cell r="AC6">
            <v>-19.691776383993371</v>
          </cell>
          <cell r="AD6">
            <v>255700</v>
          </cell>
          <cell r="AE6">
            <v>39.849267845677204</v>
          </cell>
          <cell r="AF6">
            <v>3.1510071039860605</v>
          </cell>
          <cell r="AG6">
            <v>307282</v>
          </cell>
          <cell r="AH6">
            <v>44.157262520459675</v>
          </cell>
          <cell r="AI6">
            <v>20.172858818928432</v>
          </cell>
        </row>
        <row r="7">
          <cell r="B7" t="str">
            <v xml:space="preserve">  당좌자산</v>
          </cell>
          <cell r="C7">
            <v>128308</v>
          </cell>
          <cell r="D7">
            <v>38.717425678040776</v>
          </cell>
          <cell r="F7">
            <v>206120</v>
          </cell>
          <cell r="G7">
            <v>50.738229922066161</v>
          </cell>
          <cell r="H7">
            <v>60.644698693768106</v>
          </cell>
          <cell r="I7">
            <v>228448</v>
          </cell>
          <cell r="J7">
            <v>51.104076953190535</v>
          </cell>
          <cell r="K7">
            <v>10.832524742868216</v>
          </cell>
          <cell r="L7">
            <v>321485</v>
          </cell>
          <cell r="M7">
            <v>60.86598445620379</v>
          </cell>
          <cell r="N7">
            <v>40.725679366858117</v>
          </cell>
          <cell r="O7">
            <v>349808</v>
          </cell>
          <cell r="P7">
            <v>51.025147324814746</v>
          </cell>
          <cell r="Q7">
            <v>8.8100533461903439</v>
          </cell>
          <cell r="R7">
            <v>251443</v>
          </cell>
          <cell r="S7">
            <v>39.122675446239633</v>
          </cell>
          <cell r="T7">
            <v>-28.119711384530945</v>
          </cell>
          <cell r="U7">
            <v>259047</v>
          </cell>
          <cell r="V7">
            <v>38.861052688426909</v>
          </cell>
          <cell r="W7">
            <v>3.0241446371543503</v>
          </cell>
          <cell r="X7">
            <v>272617</v>
          </cell>
          <cell r="Y7">
            <v>41.297972193018865</v>
          </cell>
          <cell r="Z7">
            <v>5.2384316359579657</v>
          </cell>
          <cell r="AA7">
            <v>192012</v>
          </cell>
          <cell r="AB7">
            <v>30.13158204458254</v>
          </cell>
          <cell r="AC7">
            <v>-29.567121639516245</v>
          </cell>
          <cell r="AD7">
            <v>196967</v>
          </cell>
          <cell r="AE7">
            <v>30.696092060068448</v>
          </cell>
          <cell r="AF7">
            <v>2.5805678811740904</v>
          </cell>
          <cell r="AG7">
            <v>248178</v>
          </cell>
          <cell r="AH7">
            <v>35.663856320261658</v>
          </cell>
          <cell r="AI7">
            <v>25.999786766311118</v>
          </cell>
        </row>
        <row r="8">
          <cell r="B8" t="str">
            <v xml:space="preserve">     현금/현금등가물</v>
          </cell>
          <cell r="C8">
            <v>7078</v>
          </cell>
          <cell r="D8">
            <v>2.1358133471737739</v>
          </cell>
          <cell r="F8">
            <v>11169</v>
          </cell>
          <cell r="G8">
            <v>2.7493464486685277</v>
          </cell>
          <cell r="H8">
            <v>57.798813224074621</v>
          </cell>
          <cell r="I8">
            <v>11750</v>
          </cell>
          <cell r="J8">
            <v>2.6284883395783236</v>
          </cell>
          <cell r="K8">
            <v>5.2018981108425066</v>
          </cell>
          <cell r="L8">
            <v>52641</v>
          </cell>
          <cell r="M8">
            <v>9.9663943504643271</v>
          </cell>
          <cell r="N8">
            <v>348.00851063829788</v>
          </cell>
          <cell r="O8">
            <v>41995</v>
          </cell>
          <cell r="P8">
            <v>6.1256491043818198</v>
          </cell>
          <cell r="Q8">
            <v>-20.223779943390127</v>
          </cell>
          <cell r="R8">
            <v>8449</v>
          </cell>
          <cell r="S8">
            <v>1.3146020563120815</v>
          </cell>
          <cell r="T8">
            <v>-79.8809382069294</v>
          </cell>
          <cell r="U8">
            <v>4915</v>
          </cell>
          <cell r="V8">
            <v>0.73732594457229095</v>
          </cell>
          <cell r="W8">
            <v>-41.827435199431882</v>
          </cell>
          <cell r="X8">
            <v>3602</v>
          </cell>
          <cell r="Y8">
            <v>0.54565671194112597</v>
          </cell>
          <cell r="Z8">
            <v>-26.714140386571714</v>
          </cell>
          <cell r="AA8">
            <v>1515</v>
          </cell>
          <cell r="AB8">
            <v>0.23774215568580373</v>
          </cell>
          <cell r="AC8">
            <v>-57.940033314825094</v>
          </cell>
          <cell r="AD8">
            <v>13186</v>
          </cell>
          <cell r="AE8">
            <v>2.0549567689209995</v>
          </cell>
          <cell r="AF8">
            <v>770.36303630363034</v>
          </cell>
          <cell r="AG8">
            <v>8223</v>
          </cell>
          <cell r="AH8">
            <v>1.181667555228552</v>
          </cell>
          <cell r="AI8">
            <v>-37.638404368269377</v>
          </cell>
        </row>
        <row r="9">
          <cell r="B9" t="str">
            <v xml:space="preserve">     현금예금</v>
          </cell>
          <cell r="C9">
            <v>7078</v>
          </cell>
          <cell r="D9">
            <v>2.1358133471737739</v>
          </cell>
          <cell r="F9">
            <v>11169</v>
          </cell>
          <cell r="G9">
            <v>2.7493464486685277</v>
          </cell>
          <cell r="H9">
            <v>57.798813224074621</v>
          </cell>
          <cell r="I9">
            <v>11750</v>
          </cell>
          <cell r="J9">
            <v>2.6284883395783236</v>
          </cell>
          <cell r="K9">
            <v>5.2018981108425066</v>
          </cell>
          <cell r="L9">
            <v>52641</v>
          </cell>
          <cell r="M9">
            <v>9.9663943504643271</v>
          </cell>
          <cell r="N9">
            <v>348.00851063829788</v>
          </cell>
          <cell r="O9">
            <v>41995</v>
          </cell>
          <cell r="P9">
            <v>6.1256491043818198</v>
          </cell>
          <cell r="Q9">
            <v>-20.223779943390127</v>
          </cell>
          <cell r="R9">
            <v>0</v>
          </cell>
          <cell r="S9" t="str">
            <v>-</v>
          </cell>
          <cell r="T9" t="str">
            <v xml:space="preserve">─ </v>
          </cell>
          <cell r="U9">
            <v>0</v>
          </cell>
          <cell r="V9" t="str">
            <v>-</v>
          </cell>
          <cell r="W9" t="str">
            <v xml:space="preserve">─ </v>
          </cell>
          <cell r="X9">
            <v>0</v>
          </cell>
          <cell r="Y9" t="str">
            <v>-</v>
          </cell>
          <cell r="Z9" t="str">
            <v xml:space="preserve">─ </v>
          </cell>
          <cell r="AA9">
            <v>0</v>
          </cell>
          <cell r="AB9" t="str">
            <v>-</v>
          </cell>
          <cell r="AC9" t="str">
            <v xml:space="preserve">─ </v>
          </cell>
          <cell r="AD9">
            <v>0</v>
          </cell>
          <cell r="AE9" t="str">
            <v>-</v>
          </cell>
          <cell r="AF9" t="str">
            <v xml:space="preserve">─ </v>
          </cell>
          <cell r="AG9">
            <v>0</v>
          </cell>
          <cell r="AH9" t="str">
            <v>-</v>
          </cell>
          <cell r="AI9" t="str">
            <v xml:space="preserve">─ </v>
          </cell>
        </row>
        <row r="10">
          <cell r="B10" t="str">
            <v xml:space="preserve">     현금등가물</v>
          </cell>
          <cell r="C10">
            <v>0</v>
          </cell>
          <cell r="D10" t="str">
            <v>-</v>
          </cell>
          <cell r="F10">
            <v>0</v>
          </cell>
          <cell r="G10" t="str">
            <v>-</v>
          </cell>
          <cell r="H10" t="str">
            <v xml:space="preserve">─ </v>
          </cell>
          <cell r="I10">
            <v>0</v>
          </cell>
          <cell r="J10" t="str">
            <v>-</v>
          </cell>
          <cell r="K10" t="str">
            <v xml:space="preserve">─ </v>
          </cell>
          <cell r="L10">
            <v>0</v>
          </cell>
          <cell r="M10" t="str">
            <v>-</v>
          </cell>
          <cell r="N10" t="str">
            <v xml:space="preserve">─ </v>
          </cell>
          <cell r="O10">
            <v>0</v>
          </cell>
          <cell r="P10" t="str">
            <v>-</v>
          </cell>
          <cell r="Q10" t="str">
            <v xml:space="preserve">─ </v>
          </cell>
          <cell r="R10">
            <v>5827</v>
          </cell>
          <cell r="S10">
            <v>0.90663820358983294</v>
          </cell>
          <cell r="T10" t="str">
            <v xml:space="preserve">─ </v>
          </cell>
          <cell r="U10">
            <v>4915</v>
          </cell>
          <cell r="V10">
            <v>0.73732594457229095</v>
          </cell>
          <cell r="W10">
            <v>-15.651278530976484</v>
          </cell>
          <cell r="X10">
            <v>3602</v>
          </cell>
          <cell r="Y10">
            <v>0.54565671194112597</v>
          </cell>
          <cell r="Z10">
            <v>-26.714140386571714</v>
          </cell>
          <cell r="AA10">
            <v>1515</v>
          </cell>
          <cell r="AB10">
            <v>0.23774215568580373</v>
          </cell>
          <cell r="AC10">
            <v>-57.940033314825094</v>
          </cell>
          <cell r="AD10">
            <v>13186</v>
          </cell>
          <cell r="AE10">
            <v>2.0549567689209995</v>
          </cell>
          <cell r="AF10">
            <v>770.36303630363034</v>
          </cell>
          <cell r="AG10">
            <v>8223</v>
          </cell>
          <cell r="AH10">
            <v>1.181667555228552</v>
          </cell>
          <cell r="AI10">
            <v>-37.638404368269377</v>
          </cell>
        </row>
        <row r="11">
          <cell r="B11" t="str">
            <v xml:space="preserve">     단기금융상품</v>
          </cell>
          <cell r="C11">
            <v>0</v>
          </cell>
          <cell r="D11" t="str">
            <v>-</v>
          </cell>
          <cell r="F11">
            <v>0</v>
          </cell>
          <cell r="G11" t="str">
            <v>-</v>
          </cell>
          <cell r="H11" t="str">
            <v xml:space="preserve">─ </v>
          </cell>
          <cell r="I11">
            <v>0</v>
          </cell>
          <cell r="J11" t="str">
            <v>-</v>
          </cell>
          <cell r="K11" t="str">
            <v xml:space="preserve">─ </v>
          </cell>
          <cell r="L11">
            <v>0</v>
          </cell>
          <cell r="M11" t="str">
            <v>-</v>
          </cell>
          <cell r="N11" t="str">
            <v xml:space="preserve">─ </v>
          </cell>
          <cell r="O11">
            <v>0</v>
          </cell>
          <cell r="P11" t="str">
            <v>-</v>
          </cell>
          <cell r="Q11" t="str">
            <v xml:space="preserve">─ </v>
          </cell>
          <cell r="R11">
            <v>2622</v>
          </cell>
          <cell r="S11">
            <v>0.40796385272224855</v>
          </cell>
          <cell r="T11" t="str">
            <v xml:space="preserve">─ </v>
          </cell>
          <cell r="U11">
            <v>5669</v>
          </cell>
          <cell r="V11">
            <v>0.85043759507229233</v>
          </cell>
          <cell r="W11">
            <v>116.20900076277653</v>
          </cell>
          <cell r="X11">
            <v>31718</v>
          </cell>
          <cell r="Y11">
            <v>4.8048694029285492</v>
          </cell>
          <cell r="Z11">
            <v>459.49902981125422</v>
          </cell>
          <cell r="AA11">
            <v>2584</v>
          </cell>
          <cell r="AB11">
            <v>0.40549553154595169</v>
          </cell>
          <cell r="AC11">
            <v>-91.853206381234628</v>
          </cell>
          <cell r="AD11">
            <v>7276</v>
          </cell>
          <cell r="AE11">
            <v>1.1339197217252537</v>
          </cell>
          <cell r="AF11">
            <v>181.57894736842104</v>
          </cell>
          <cell r="AG11">
            <v>0</v>
          </cell>
          <cell r="AH11" t="str">
            <v>-</v>
          </cell>
          <cell r="AI11">
            <v>-100</v>
          </cell>
        </row>
        <row r="12">
          <cell r="B12" t="str">
            <v xml:space="preserve">     유가증권</v>
          </cell>
          <cell r="C12">
            <v>16058</v>
          </cell>
          <cell r="D12">
            <v>4.8455624087194771</v>
          </cell>
          <cell r="F12">
            <v>19631</v>
          </cell>
          <cell r="G12">
            <v>4.8323413137981799</v>
          </cell>
          <cell r="H12">
            <v>22.25059160543033</v>
          </cell>
          <cell r="I12">
            <v>21293</v>
          </cell>
          <cell r="J12">
            <v>4.7632682735864886</v>
          </cell>
          <cell r="K12">
            <v>8.4662014161275465</v>
          </cell>
          <cell r="L12">
            <v>15557</v>
          </cell>
          <cell r="M12">
            <v>2.9453695201491903</v>
          </cell>
          <cell r="N12">
            <v>-26.938430470107548</v>
          </cell>
          <cell r="O12">
            <v>12414</v>
          </cell>
          <cell r="P12">
            <v>1.8107824260458605</v>
          </cell>
          <cell r="Q12">
            <v>-20.203123995628985</v>
          </cell>
          <cell r="R12">
            <v>14910</v>
          </cell>
          <cell r="S12">
            <v>2.3198859817272028</v>
          </cell>
          <cell r="T12">
            <v>20.106331561140649</v>
          </cell>
          <cell r="U12">
            <v>14625</v>
          </cell>
          <cell r="V12">
            <v>2.1939759795258911</v>
          </cell>
          <cell r="W12">
            <v>-1.9114688128772599</v>
          </cell>
          <cell r="X12">
            <v>5595</v>
          </cell>
          <cell r="Y12">
            <v>0.84757060058595224</v>
          </cell>
          <cell r="Z12">
            <v>-61.743589743589745</v>
          </cell>
          <cell r="AA12">
            <v>389</v>
          </cell>
          <cell r="AB12">
            <v>6.1044025453318586E-2</v>
          </cell>
          <cell r="AC12">
            <v>-93.047363717605009</v>
          </cell>
          <cell r="AD12">
            <v>0</v>
          </cell>
          <cell r="AE12">
            <v>0</v>
          </cell>
          <cell r="AF12">
            <v>-100</v>
          </cell>
          <cell r="AG12">
            <v>0</v>
          </cell>
          <cell r="AH12">
            <v>0</v>
          </cell>
          <cell r="AI12" t="str">
            <v xml:space="preserve">─ </v>
          </cell>
        </row>
        <row r="13">
          <cell r="B13" t="str">
            <v xml:space="preserve">     매출채권</v>
          </cell>
          <cell r="C13">
            <v>58603</v>
          </cell>
          <cell r="D13">
            <v>17.6836775338266</v>
          </cell>
          <cell r="F13">
            <v>115531</v>
          </cell>
          <cell r="G13">
            <v>28.438960028751335</v>
          </cell>
          <cell r="H13">
            <v>97.141784550278999</v>
          </cell>
          <cell r="I13">
            <v>117609</v>
          </cell>
          <cell r="J13">
            <v>26.30926681952911</v>
          </cell>
          <cell r="K13">
            <v>1.798651444201127</v>
          </cell>
          <cell r="L13">
            <v>165415</v>
          </cell>
          <cell r="M13">
            <v>31.31762545320295</v>
          </cell>
          <cell r="N13">
            <v>40.648249708780781</v>
          </cell>
          <cell r="O13">
            <v>184476</v>
          </cell>
          <cell r="P13">
            <v>26.908804481008225</v>
          </cell>
          <cell r="Q13">
            <v>11.523138772179081</v>
          </cell>
          <cell r="R13">
            <v>139304</v>
          </cell>
          <cell r="S13">
            <v>21.674674500236502</v>
          </cell>
          <cell r="T13">
            <v>-24.486654090504999</v>
          </cell>
          <cell r="U13">
            <v>143926</v>
          </cell>
          <cell r="V13">
            <v>21.591123885760233</v>
          </cell>
          <cell r="W13">
            <v>3.3179233905702716</v>
          </cell>
          <cell r="X13">
            <v>159366</v>
          </cell>
          <cell r="Y13">
            <v>24.14190104253456</v>
          </cell>
          <cell r="Z13">
            <v>10.727735086085914</v>
          </cell>
          <cell r="AA13">
            <v>125999</v>
          </cell>
          <cell r="AB13">
            <v>19.772458002808968</v>
          </cell>
          <cell r="AC13">
            <v>-20.937339206606183</v>
          </cell>
          <cell r="AD13">
            <v>97213</v>
          </cell>
          <cell r="AE13">
            <v>15.150046441461939</v>
          </cell>
          <cell r="AF13">
            <v>-22.846213065183051</v>
          </cell>
          <cell r="AG13">
            <v>136100</v>
          </cell>
          <cell r="AH13">
            <v>19.557941659565355</v>
          </cell>
          <cell r="AI13">
            <v>40.001851604209293</v>
          </cell>
        </row>
        <row r="14">
          <cell r="B14" t="str">
            <v xml:space="preserve">     선급금</v>
          </cell>
          <cell r="C14">
            <v>15504</v>
          </cell>
          <cell r="D14">
            <v>4.6783908073724483</v>
          </cell>
          <cell r="F14">
            <v>15665</v>
          </cell>
          <cell r="G14">
            <v>3.8560759350337972</v>
          </cell>
          <cell r="H14">
            <v>1.0384416924664492</v>
          </cell>
          <cell r="I14">
            <v>19769</v>
          </cell>
          <cell r="J14">
            <v>4.4223477434147975</v>
          </cell>
          <cell r="K14">
            <v>26.198531758697726</v>
          </cell>
          <cell r="L14">
            <v>34426</v>
          </cell>
          <cell r="M14">
            <v>6.5177920614936058</v>
          </cell>
          <cell r="N14">
            <v>74.141332389094032</v>
          </cell>
          <cell r="O14">
            <v>41878</v>
          </cell>
          <cell r="P14">
            <v>6.1085827644553357</v>
          </cell>
          <cell r="Q14">
            <v>21.646430023819207</v>
          </cell>
          <cell r="R14">
            <v>28991</v>
          </cell>
          <cell r="S14">
            <v>4.5107856804998878</v>
          </cell>
          <cell r="T14">
            <v>-30.772720760303741</v>
          </cell>
          <cell r="U14">
            <v>29359</v>
          </cell>
          <cell r="V14">
            <v>4.4043036432752567</v>
          </cell>
          <cell r="W14">
            <v>1.2693594563830288</v>
          </cell>
          <cell r="X14">
            <v>25356</v>
          </cell>
          <cell r="Y14">
            <v>3.8411081587948899</v>
          </cell>
          <cell r="Z14">
            <v>-13.634660581082457</v>
          </cell>
          <cell r="AA14">
            <v>13760</v>
          </cell>
          <cell r="AB14">
            <v>2.1592950905852537</v>
          </cell>
          <cell r="AC14">
            <v>-45.732765420413315</v>
          </cell>
          <cell r="AD14">
            <v>19656</v>
          </cell>
          <cell r="AE14">
            <v>3.0632663620439229</v>
          </cell>
          <cell r="AF14">
            <v>42.848837209302332</v>
          </cell>
          <cell r="AG14">
            <v>27029</v>
          </cell>
          <cell r="AH14">
            <v>3.8841411103335193</v>
          </cell>
          <cell r="AI14">
            <v>37.510175010175004</v>
          </cell>
        </row>
        <row r="15">
          <cell r="B15" t="str">
            <v xml:space="preserve">        용지선급금</v>
          </cell>
          <cell r="D15">
            <v>0</v>
          </cell>
          <cell r="G15">
            <v>0</v>
          </cell>
          <cell r="H15" t="str">
            <v xml:space="preserve">─ </v>
          </cell>
          <cell r="J15">
            <v>0</v>
          </cell>
          <cell r="K15" t="str">
            <v xml:space="preserve">─ </v>
          </cell>
          <cell r="M15">
            <v>0</v>
          </cell>
          <cell r="N15" t="str">
            <v xml:space="preserve">─ </v>
          </cell>
          <cell r="P15">
            <v>0</v>
          </cell>
          <cell r="Q15" t="str">
            <v xml:space="preserve">─ </v>
          </cell>
          <cell r="S15">
            <v>0</v>
          </cell>
          <cell r="T15" t="str">
            <v xml:space="preserve">─ </v>
          </cell>
          <cell r="V15">
            <v>0</v>
          </cell>
          <cell r="W15" t="str">
            <v xml:space="preserve">─ </v>
          </cell>
          <cell r="Y15">
            <v>0</v>
          </cell>
          <cell r="Z15" t="str">
            <v xml:space="preserve">─ </v>
          </cell>
          <cell r="AB15">
            <v>0</v>
          </cell>
          <cell r="AC15" t="str">
            <v xml:space="preserve">─ </v>
          </cell>
          <cell r="AE15">
            <v>0</v>
          </cell>
          <cell r="AF15" t="str">
            <v xml:space="preserve">─ </v>
          </cell>
          <cell r="AH15">
            <v>0</v>
          </cell>
          <cell r="AI15" t="str">
            <v xml:space="preserve">─ </v>
          </cell>
        </row>
        <row r="16">
          <cell r="B16" t="str">
            <v xml:space="preserve">     기타당좌자산</v>
          </cell>
          <cell r="C16">
            <v>31065</v>
          </cell>
          <cell r="D16">
            <v>9.3739815809484721</v>
          </cell>
          <cell r="F16">
            <v>44124</v>
          </cell>
          <cell r="G16">
            <v>10.861506195814318</v>
          </cell>
          <cell r="H16">
            <v>42.03766296475132</v>
          </cell>
          <cell r="I16">
            <v>58027</v>
          </cell>
          <cell r="J16">
            <v>12.98070577708182</v>
          </cell>
          <cell r="K16">
            <v>31.508929380835838</v>
          </cell>
          <cell r="L16">
            <v>53446</v>
          </cell>
          <cell r="M16">
            <v>10.118803070893721</v>
          </cell>
          <cell r="N16">
            <v>-7.8946007892877361</v>
          </cell>
          <cell r="O16">
            <v>69045</v>
          </cell>
          <cell r="P16">
            <v>10.071328548923509</v>
          </cell>
          <cell r="Q16">
            <v>29.186468585113943</v>
          </cell>
          <cell r="R16">
            <v>59789</v>
          </cell>
          <cell r="S16">
            <v>9.302727227463965</v>
          </cell>
          <cell r="T16">
            <v>-13.405749873271049</v>
          </cell>
          <cell r="U16">
            <v>60553</v>
          </cell>
          <cell r="V16">
            <v>9.0838856402209434</v>
          </cell>
          <cell r="W16">
            <v>1.2778270250380501</v>
          </cell>
          <cell r="X16">
            <v>46980</v>
          </cell>
          <cell r="Y16">
            <v>7.1168662762337869</v>
          </cell>
          <cell r="Z16">
            <v>-22.415074397635124</v>
          </cell>
          <cell r="AA16">
            <v>47765</v>
          </cell>
          <cell r="AB16">
            <v>7.4955472385032449</v>
          </cell>
          <cell r="AC16">
            <v>1.6709237973605866</v>
          </cell>
          <cell r="AD16">
            <v>59636</v>
          </cell>
          <cell r="AE16">
            <v>9.2939027659163305</v>
          </cell>
          <cell r="AF16">
            <v>24.852925782476703</v>
          </cell>
          <cell r="AG16">
            <v>76826</v>
          </cell>
          <cell r="AH16">
            <v>11.040105995134224</v>
          </cell>
          <cell r="AI16">
            <v>28.824870883359068</v>
          </cell>
        </row>
        <row r="17">
          <cell r="B17" t="str">
            <v xml:space="preserve">        단기대여금</v>
          </cell>
          <cell r="C17">
            <v>19812</v>
          </cell>
          <cell r="D17">
            <v>5.9783461478110782</v>
          </cell>
          <cell r="F17">
            <v>24854</v>
          </cell>
          <cell r="G17">
            <v>6.1180281704008941</v>
          </cell>
          <cell r="H17">
            <v>25.449222693317182</v>
          </cell>
          <cell r="I17">
            <v>25720</v>
          </cell>
          <cell r="J17">
            <v>5.7535931994854872</v>
          </cell>
          <cell r="K17">
            <v>3.4843485957994744</v>
          </cell>
          <cell r="L17">
            <v>4732</v>
          </cell>
          <cell r="M17">
            <v>0.8958982174806176</v>
          </cell>
          <cell r="N17">
            <v>-81.601866251944017</v>
          </cell>
          <cell r="O17">
            <v>35441</v>
          </cell>
          <cell r="P17">
            <v>5.1696423361923101</v>
          </cell>
          <cell r="Q17">
            <v>648.96449704142003</v>
          </cell>
          <cell r="R17">
            <v>24394</v>
          </cell>
          <cell r="S17">
            <v>3.7955264009559611</v>
          </cell>
          <cell r="T17">
            <v>-31.17011371010976</v>
          </cell>
          <cell r="U17">
            <v>24647</v>
          </cell>
          <cell r="V17">
            <v>3.6974308353760437</v>
          </cell>
          <cell r="W17">
            <v>1.0371402803968124</v>
          </cell>
          <cell r="X17">
            <v>15216</v>
          </cell>
          <cell r="Y17">
            <v>2.3050284644353618</v>
          </cell>
          <cell r="Z17">
            <v>-38.264291800219098</v>
          </cell>
          <cell r="AA17">
            <v>18999</v>
          </cell>
          <cell r="AB17">
            <v>2.9814278652637527</v>
          </cell>
          <cell r="AC17">
            <v>24.861987381703472</v>
          </cell>
          <cell r="AD17">
            <v>20020</v>
          </cell>
          <cell r="AE17">
            <v>3.1199935168965882</v>
          </cell>
          <cell r="AF17">
            <v>5.3739670508974058</v>
          </cell>
          <cell r="AG17">
            <v>27566</v>
          </cell>
          <cell r="AH17">
            <v>3.9613094767639869</v>
          </cell>
          <cell r="AI17">
            <v>37.692307692307679</v>
          </cell>
        </row>
        <row r="18">
          <cell r="B18" t="str">
            <v xml:space="preserve">        미수금</v>
          </cell>
          <cell r="C18">
            <v>59377</v>
          </cell>
          <cell r="D18">
            <v>17.91723496964357</v>
          </cell>
          <cell r="F18">
            <v>116139</v>
          </cell>
          <cell r="G18">
            <v>28.588624514451976</v>
          </cell>
          <cell r="H18">
            <v>95.595937821041815</v>
          </cell>
          <cell r="I18">
            <v>127699</v>
          </cell>
          <cell r="J18">
            <v>28.566411274537217</v>
          </cell>
          <cell r="K18">
            <v>9.953590094627998</v>
          </cell>
          <cell r="L18">
            <v>26953</v>
          </cell>
          <cell r="M18">
            <v>5.1029468841409731</v>
          </cell>
          <cell r="N18">
            <v>-78.893335108340708</v>
          </cell>
          <cell r="O18">
            <v>28376</v>
          </cell>
          <cell r="P18">
            <v>4.139097963708501</v>
          </cell>
          <cell r="Q18">
            <v>5.2795607168033314</v>
          </cell>
          <cell r="R18">
            <v>30768</v>
          </cell>
          <cell r="S18">
            <v>4.7872737683288102</v>
          </cell>
          <cell r="T18">
            <v>8.429658866647884</v>
          </cell>
          <cell r="U18">
            <v>33303</v>
          </cell>
          <cell r="V18">
            <v>4.9959645843521878</v>
          </cell>
          <cell r="W18">
            <v>8.2390795631825284</v>
          </cell>
          <cell r="X18">
            <v>17994</v>
          </cell>
          <cell r="Y18">
            <v>2.7258597653161085</v>
          </cell>
          <cell r="Z18">
            <v>-45.968831636789474</v>
          </cell>
          <cell r="AA18">
            <v>17244</v>
          </cell>
          <cell r="AB18">
            <v>2.7060235859049504</v>
          </cell>
          <cell r="AC18">
            <v>-4.1680560186728997</v>
          </cell>
          <cell r="AD18">
            <v>14616</v>
          </cell>
          <cell r="AE18">
            <v>2.2778134486993276</v>
          </cell>
          <cell r="AF18">
            <v>-15.240083507306892</v>
          </cell>
          <cell r="AG18">
            <v>20223</v>
          </cell>
          <cell r="AH18">
            <v>2.906100324624469</v>
          </cell>
          <cell r="AI18">
            <v>38.362068965517238</v>
          </cell>
        </row>
        <row r="19">
          <cell r="B19" t="str">
            <v xml:space="preserve">        미수수익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 t="str">
            <v xml:space="preserve">─ </v>
          </cell>
          <cell r="I19">
            <v>0</v>
          </cell>
          <cell r="J19">
            <v>0</v>
          </cell>
          <cell r="K19" t="str">
            <v xml:space="preserve">─ </v>
          </cell>
          <cell r="L19">
            <v>0</v>
          </cell>
          <cell r="M19">
            <v>0</v>
          </cell>
          <cell r="N19" t="str">
            <v xml:space="preserve">─ </v>
          </cell>
          <cell r="O19">
            <v>0</v>
          </cell>
          <cell r="P19">
            <v>0</v>
          </cell>
          <cell r="Q19" t="str">
            <v xml:space="preserve">─ </v>
          </cell>
          <cell r="R19">
            <v>0</v>
          </cell>
          <cell r="S19">
            <v>0</v>
          </cell>
          <cell r="T19" t="str">
            <v xml:space="preserve">─ </v>
          </cell>
          <cell r="U19">
            <v>0</v>
          </cell>
          <cell r="V19">
            <v>0</v>
          </cell>
          <cell r="W19" t="str">
            <v xml:space="preserve">─ </v>
          </cell>
          <cell r="X19">
            <v>11641</v>
          </cell>
          <cell r="Y19">
            <v>1.7634619055265544</v>
          </cell>
          <cell r="Z19" t="str">
            <v xml:space="preserve">─ </v>
          </cell>
          <cell r="AA19">
            <v>10667</v>
          </cell>
          <cell r="AB19">
            <v>1.6739244717494841</v>
          </cell>
          <cell r="AC19">
            <v>-8.3669787818915893</v>
          </cell>
          <cell r="AD19">
            <v>7343</v>
          </cell>
          <cell r="AE19">
            <v>1.1443612584701124</v>
          </cell>
          <cell r="AF19">
            <v>-31.161526202306177</v>
          </cell>
          <cell r="AG19">
            <v>6627</v>
          </cell>
          <cell r="AH19">
            <v>0.95231799689889507</v>
          </cell>
          <cell r="AI19">
            <v>-9.7507830586953617</v>
          </cell>
        </row>
        <row r="20">
          <cell r="B20" t="str">
            <v xml:space="preserve">        선급비용</v>
          </cell>
          <cell r="C20">
            <v>1764</v>
          </cell>
          <cell r="D20">
            <v>0.53229369093169498</v>
          </cell>
          <cell r="F20">
            <v>2073</v>
          </cell>
          <cell r="G20">
            <v>0.51028697180498328</v>
          </cell>
          <cell r="H20">
            <v>17.517006802721085</v>
          </cell>
          <cell r="I20">
            <v>2586</v>
          </cell>
          <cell r="J20">
            <v>0.57849113584251444</v>
          </cell>
          <cell r="K20">
            <v>24.746743849493498</v>
          </cell>
          <cell r="L20">
            <v>2979</v>
          </cell>
          <cell r="M20">
            <v>0.56400692939027042</v>
          </cell>
          <cell r="N20">
            <v>15.197215777262187</v>
          </cell>
          <cell r="O20">
            <v>4364</v>
          </cell>
          <cell r="P20">
            <v>0.63655989264251123</v>
          </cell>
          <cell r="Q20">
            <v>46.492111446794212</v>
          </cell>
          <cell r="R20">
            <v>1171</v>
          </cell>
          <cell r="S20">
            <v>0.18219895939654956</v>
          </cell>
          <cell r="T20">
            <v>-73.166819431714032</v>
          </cell>
          <cell r="U20">
            <v>500</v>
          </cell>
          <cell r="V20">
            <v>7.5007725795756958E-2</v>
          </cell>
          <cell r="W20">
            <v>-57.301451750640481</v>
          </cell>
          <cell r="X20">
            <v>663</v>
          </cell>
          <cell r="Y20">
            <v>0.10043598001581526</v>
          </cell>
          <cell r="Z20">
            <v>32.599999999999994</v>
          </cell>
          <cell r="AA20">
            <v>855</v>
          </cell>
          <cell r="AB20">
            <v>0.13417131558505754</v>
          </cell>
          <cell r="AC20">
            <v>28.959276018099558</v>
          </cell>
          <cell r="AD20">
            <v>289</v>
          </cell>
          <cell r="AE20">
            <v>4.5038867451703997E-2</v>
          </cell>
          <cell r="AF20">
            <v>-66.198830409356731</v>
          </cell>
          <cell r="AG20">
            <v>4724</v>
          </cell>
          <cell r="AH20">
            <v>0.67885170021885921</v>
          </cell>
          <cell r="AI20">
            <v>1534.6020761245675</v>
          </cell>
        </row>
        <row r="21">
          <cell r="B21" t="str">
            <v xml:space="preserve">  재고자산</v>
          </cell>
          <cell r="C21">
            <v>64262</v>
          </cell>
          <cell r="D21">
            <v>19.391302248669266</v>
          </cell>
          <cell r="F21">
            <v>40944</v>
          </cell>
          <cell r="G21">
            <v>10.078721550208988</v>
          </cell>
          <cell r="H21">
            <v>-36.285829883912733</v>
          </cell>
          <cell r="I21">
            <v>49926</v>
          </cell>
          <cell r="J21">
            <v>11.168502880152117</v>
          </cell>
          <cell r="K21">
            <v>21.937280187573265</v>
          </cell>
          <cell r="L21">
            <v>40573</v>
          </cell>
          <cell r="M21">
            <v>7.6815888372445258</v>
          </cell>
          <cell r="N21">
            <v>-18.733725914353244</v>
          </cell>
          <cell r="O21">
            <v>44363</v>
          </cell>
          <cell r="P21">
            <v>6.4710601552015872</v>
          </cell>
          <cell r="Q21">
            <v>9.3411874892169777</v>
          </cell>
          <cell r="R21">
            <v>51871</v>
          </cell>
          <cell r="S21">
            <v>8.070744852996091</v>
          </cell>
          <cell r="T21">
            <v>16.924013254288496</v>
          </cell>
          <cell r="U21">
            <v>57032</v>
          </cell>
          <cell r="V21">
            <v>8.5556812351672225</v>
          </cell>
          <cell r="W21">
            <v>9.9496828671126423</v>
          </cell>
          <cell r="X21">
            <v>36055</v>
          </cell>
          <cell r="Y21">
            <v>5.461869169638339</v>
          </cell>
          <cell r="Z21">
            <v>-36.781105344368072</v>
          </cell>
          <cell r="AA21">
            <v>55877</v>
          </cell>
          <cell r="AB21">
            <v>8.7685270186505981</v>
          </cell>
          <cell r="AC21">
            <v>54.977118291499096</v>
          </cell>
          <cell r="AD21">
            <v>58733</v>
          </cell>
          <cell r="AE21">
            <v>9.1531757856087559</v>
          </cell>
          <cell r="AF21">
            <v>5.1112264437961983</v>
          </cell>
          <cell r="AG21">
            <v>59104</v>
          </cell>
          <cell r="AH21">
            <v>8.4934062001980219</v>
          </cell>
          <cell r="AI21">
            <v>0.63167214342874445</v>
          </cell>
        </row>
        <row r="22">
          <cell r="B22" t="str">
            <v xml:space="preserve">     완성주택</v>
          </cell>
          <cell r="C22">
            <v>181</v>
          </cell>
          <cell r="D22">
            <v>5.4617436541177317E-2</v>
          </cell>
          <cell r="F22">
            <v>181</v>
          </cell>
          <cell r="G22">
            <v>4.4554723539171233E-2</v>
          </cell>
          <cell r="H22">
            <v>0</v>
          </cell>
          <cell r="I22">
            <v>3778</v>
          </cell>
          <cell r="J22">
            <v>0.84514288910016222</v>
          </cell>
          <cell r="K22">
            <v>1987.2928176795581</v>
          </cell>
          <cell r="L22">
            <v>4376</v>
          </cell>
          <cell r="M22">
            <v>0.82849759080625163</v>
          </cell>
          <cell r="N22">
            <v>15.828480677607203</v>
          </cell>
          <cell r="O22">
            <v>10349</v>
          </cell>
          <cell r="P22">
            <v>1.5095688196510881</v>
          </cell>
          <cell r="Q22">
            <v>136.49451553930533</v>
          </cell>
          <cell r="R22">
            <v>27621</v>
          </cell>
          <cell r="S22">
            <v>4.2976237894894078</v>
          </cell>
          <cell r="T22">
            <v>166.89535220794278</v>
          </cell>
          <cell r="U22">
            <v>39078</v>
          </cell>
          <cell r="V22">
            <v>5.8623038172931814</v>
          </cell>
          <cell r="W22">
            <v>41.479309221244705</v>
          </cell>
          <cell r="X22">
            <v>18444</v>
          </cell>
          <cell r="Y22">
            <v>2.7940289825214126</v>
          </cell>
          <cell r="Z22">
            <v>-52.80208813142945</v>
          </cell>
          <cell r="AA22">
            <v>7509</v>
          </cell>
          <cell r="AB22">
            <v>1.1783536944189441</v>
          </cell>
          <cell r="AC22">
            <v>-59.287573194534808</v>
          </cell>
          <cell r="AD22">
            <v>4472</v>
          </cell>
          <cell r="AE22">
            <v>0.69693361676131582</v>
          </cell>
          <cell r="AF22">
            <v>-40.444799573844712</v>
          </cell>
          <cell r="AG22">
            <v>5362</v>
          </cell>
          <cell r="AH22">
            <v>0.77053404245840884</v>
          </cell>
          <cell r="AI22">
            <v>19.901610017889084</v>
          </cell>
        </row>
        <row r="23">
          <cell r="B23" t="str">
            <v xml:space="preserve">     미완성주택</v>
          </cell>
          <cell r="C23">
            <v>55147</v>
          </cell>
          <cell r="D23">
            <v>16.640816425062464</v>
          </cell>
          <cell r="F23">
            <v>16128</v>
          </cell>
          <cell r="G23">
            <v>3.9700474101643843</v>
          </cell>
          <cell r="H23">
            <v>-70.754528804830727</v>
          </cell>
          <cell r="I23">
            <v>30443</v>
          </cell>
          <cell r="J23">
            <v>6.8101336614283321</v>
          </cell>
          <cell r="K23">
            <v>88.758680555555571</v>
          </cell>
          <cell r="L23">
            <v>23102</v>
          </cell>
          <cell r="M23">
            <v>4.37384628491911</v>
          </cell>
          <cell r="N23">
            <v>-24.113917813618883</v>
          </cell>
          <cell r="O23">
            <v>9070</v>
          </cell>
          <cell r="P23">
            <v>1.3230060096855127</v>
          </cell>
          <cell r="Q23">
            <v>-60.739329928144748</v>
          </cell>
          <cell r="R23">
            <v>11979</v>
          </cell>
          <cell r="S23">
            <v>1.8638440090617141</v>
          </cell>
          <cell r="T23">
            <v>32.072767364939352</v>
          </cell>
          <cell r="U23">
            <v>6981</v>
          </cell>
          <cell r="V23">
            <v>1.0472578675603588</v>
          </cell>
          <cell r="W23">
            <v>-41.723015276734287</v>
          </cell>
          <cell r="X23">
            <v>5518</v>
          </cell>
          <cell r="Y23">
            <v>0.83590609008637795</v>
          </cell>
          <cell r="Z23">
            <v>-20.956882968056163</v>
          </cell>
          <cell r="AA23">
            <v>35888</v>
          </cell>
          <cell r="AB23">
            <v>5.6317428932357254</v>
          </cell>
          <cell r="AC23">
            <v>550.38057267125771</v>
          </cell>
          <cell r="AD23">
            <v>25573</v>
          </cell>
          <cell r="AE23">
            <v>3.985394316063759</v>
          </cell>
          <cell r="AF23">
            <v>-28.742197949175207</v>
          </cell>
          <cell r="AG23">
            <v>21247</v>
          </cell>
          <cell r="AH23">
            <v>3.0532519209462539</v>
          </cell>
          <cell r="AI23">
            <v>-16.916278887889575</v>
          </cell>
        </row>
        <row r="24">
          <cell r="B24" t="str">
            <v xml:space="preserve">     미완성공사</v>
          </cell>
          <cell r="C24">
            <v>0</v>
          </cell>
          <cell r="D24">
            <v>0</v>
          </cell>
          <cell r="F24">
            <v>0</v>
          </cell>
          <cell r="G24">
            <v>0</v>
          </cell>
          <cell r="H24" t="str">
            <v xml:space="preserve">─ </v>
          </cell>
          <cell r="I24">
            <v>0</v>
          </cell>
          <cell r="J24">
            <v>0</v>
          </cell>
          <cell r="K24" t="str">
            <v xml:space="preserve">─ </v>
          </cell>
          <cell r="L24">
            <v>0</v>
          </cell>
          <cell r="M24">
            <v>0</v>
          </cell>
          <cell r="N24" t="str">
            <v xml:space="preserve">─ </v>
          </cell>
          <cell r="O24">
            <v>0</v>
          </cell>
          <cell r="P24">
            <v>0</v>
          </cell>
          <cell r="Q24" t="str">
            <v xml:space="preserve">─ </v>
          </cell>
          <cell r="R24">
            <v>0</v>
          </cell>
          <cell r="S24">
            <v>0</v>
          </cell>
          <cell r="T24" t="str">
            <v xml:space="preserve">─ </v>
          </cell>
          <cell r="U24">
            <v>0</v>
          </cell>
          <cell r="V24">
            <v>0</v>
          </cell>
          <cell r="W24" t="str">
            <v xml:space="preserve">─ </v>
          </cell>
          <cell r="X24">
            <v>0</v>
          </cell>
          <cell r="Y24">
            <v>0</v>
          </cell>
          <cell r="Z24" t="str">
            <v xml:space="preserve">─ </v>
          </cell>
          <cell r="AA24">
            <v>0</v>
          </cell>
          <cell r="AB24">
            <v>0</v>
          </cell>
          <cell r="AC24" t="str">
            <v xml:space="preserve">─ </v>
          </cell>
          <cell r="AD24">
            <v>0</v>
          </cell>
          <cell r="AE24">
            <v>0</v>
          </cell>
          <cell r="AF24" t="str">
            <v xml:space="preserve">─ </v>
          </cell>
          <cell r="AG24">
            <v>0</v>
          </cell>
          <cell r="AH24">
            <v>0</v>
          </cell>
          <cell r="AI24" t="str">
            <v xml:space="preserve">─ </v>
          </cell>
        </row>
        <row r="25">
          <cell r="B25" t="str">
            <v xml:space="preserve">     용지</v>
          </cell>
          <cell r="C25">
            <v>27</v>
          </cell>
          <cell r="D25">
            <v>8.1473524122198226E-3</v>
          </cell>
          <cell r="F25">
            <v>15634</v>
          </cell>
          <cell r="G25">
            <v>3.8484450155326138</v>
          </cell>
          <cell r="H25">
            <v>57803.703703703708</v>
          </cell>
          <cell r="I25">
            <v>6849</v>
          </cell>
          <cell r="J25">
            <v>1.5321290755550585</v>
          </cell>
          <cell r="K25">
            <v>-56.191633619035436</v>
          </cell>
          <cell r="L25">
            <v>6821</v>
          </cell>
          <cell r="M25">
            <v>1.2914035801849733</v>
          </cell>
          <cell r="N25">
            <v>-0.40881880566504947</v>
          </cell>
          <cell r="O25">
            <v>19364</v>
          </cell>
          <cell r="P25">
            <v>2.8245521909096216</v>
          </cell>
          <cell r="Q25">
            <v>183.88799296290864</v>
          </cell>
          <cell r="R25">
            <v>0</v>
          </cell>
          <cell r="S25">
            <v>0</v>
          </cell>
          <cell r="T25">
            <v>-100</v>
          </cell>
          <cell r="U25">
            <v>6707</v>
          </cell>
          <cell r="V25">
            <v>1.006153633824284</v>
          </cell>
          <cell r="W25" t="str">
            <v xml:space="preserve">─ </v>
          </cell>
          <cell r="X25">
            <v>7263</v>
          </cell>
          <cell r="Y25">
            <v>1.1002511656936143</v>
          </cell>
          <cell r="Z25">
            <v>8.2898464291039318</v>
          </cell>
          <cell r="AA25">
            <v>7263</v>
          </cell>
          <cell r="AB25">
            <v>1.1397500176541204</v>
          </cell>
          <cell r="AC25">
            <v>0</v>
          </cell>
          <cell r="AD25">
            <v>23086</v>
          </cell>
          <cell r="AE25">
            <v>3.5978107058478841</v>
          </cell>
          <cell r="AF25">
            <v>217.85763458625911</v>
          </cell>
          <cell r="AG25">
            <v>23086</v>
          </cell>
          <cell r="AH25">
            <v>3.317521242856178</v>
          </cell>
          <cell r="AI25">
            <v>0</v>
          </cell>
        </row>
        <row r="26">
          <cell r="B26" t="str">
            <v>임대주택자산</v>
          </cell>
          <cell r="C26">
            <v>0</v>
          </cell>
          <cell r="D26">
            <v>0</v>
          </cell>
          <cell r="F26">
            <v>0</v>
          </cell>
          <cell r="G26">
            <v>0</v>
          </cell>
          <cell r="H26" t="str">
            <v xml:space="preserve">─ </v>
          </cell>
          <cell r="I26">
            <v>0</v>
          </cell>
          <cell r="J26">
            <v>0</v>
          </cell>
          <cell r="K26" t="str">
            <v xml:space="preserve">─ </v>
          </cell>
          <cell r="L26">
            <v>0</v>
          </cell>
          <cell r="M26">
            <v>0</v>
          </cell>
          <cell r="N26" t="str">
            <v xml:space="preserve">─ </v>
          </cell>
          <cell r="O26">
            <v>0</v>
          </cell>
          <cell r="P26">
            <v>0</v>
          </cell>
          <cell r="Q26" t="str">
            <v xml:space="preserve">─ </v>
          </cell>
          <cell r="R26">
            <v>0</v>
          </cell>
          <cell r="S26">
            <v>0</v>
          </cell>
          <cell r="T26" t="str">
            <v xml:space="preserve">─ </v>
          </cell>
          <cell r="U26">
            <v>0</v>
          </cell>
          <cell r="V26">
            <v>0</v>
          </cell>
          <cell r="W26" t="str">
            <v xml:space="preserve">─ </v>
          </cell>
          <cell r="X26">
            <v>0</v>
          </cell>
          <cell r="Y26">
            <v>0</v>
          </cell>
          <cell r="Z26" t="str">
            <v xml:space="preserve">─ </v>
          </cell>
          <cell r="AA26">
            <v>0</v>
          </cell>
          <cell r="AB26">
            <v>0</v>
          </cell>
          <cell r="AC26" t="str">
            <v xml:space="preserve">─ </v>
          </cell>
          <cell r="AD26">
            <v>0</v>
          </cell>
          <cell r="AE26">
            <v>0</v>
          </cell>
          <cell r="AF26" t="str">
            <v xml:space="preserve">─ </v>
          </cell>
          <cell r="AG26">
            <v>0</v>
          </cell>
          <cell r="AH26">
            <v>0</v>
          </cell>
          <cell r="AI26" t="str">
            <v xml:space="preserve">─ </v>
          </cell>
        </row>
        <row r="27">
          <cell r="B27" t="str">
            <v>고정자산</v>
          </cell>
          <cell r="C27">
            <v>138825</v>
          </cell>
          <cell r="D27">
            <v>41.890970319496915</v>
          </cell>
          <cell r="F27">
            <v>159178</v>
          </cell>
          <cell r="G27">
            <v>39.183048527724857</v>
          </cell>
          <cell r="H27">
            <v>14.660904015847294</v>
          </cell>
          <cell r="I27">
            <v>168651</v>
          </cell>
          <cell r="J27">
            <v>37.727420166657346</v>
          </cell>
          <cell r="K27">
            <v>5.9511992863335479</v>
          </cell>
          <cell r="L27">
            <v>166127</v>
          </cell>
          <cell r="M27">
            <v>31.452426706551684</v>
          </cell>
          <cell r="N27">
            <v>-1.4965816983000337</v>
          </cell>
          <cell r="O27">
            <v>291390</v>
          </cell>
          <cell r="P27">
            <v>42.50393838613688</v>
          </cell>
          <cell r="Q27">
            <v>75.401951519018581</v>
          </cell>
          <cell r="R27">
            <v>339390</v>
          </cell>
          <cell r="S27">
            <v>52.806579700764267</v>
          </cell>
          <cell r="T27">
            <v>16.472768454648403</v>
          </cell>
          <cell r="U27">
            <v>350518</v>
          </cell>
          <cell r="V27">
            <v>52.583116060954282</v>
          </cell>
          <cell r="W27">
            <v>3.278823772061628</v>
          </cell>
          <cell r="X27">
            <v>351450</v>
          </cell>
          <cell r="Y27">
            <v>53.240158637342795</v>
          </cell>
          <cell r="Z27">
            <v>0.26589219383883744</v>
          </cell>
          <cell r="AA27">
            <v>389356</v>
          </cell>
          <cell r="AB27">
            <v>61.099890936766869</v>
          </cell>
          <cell r="AC27">
            <v>10.785602503912358</v>
          </cell>
          <cell r="AD27">
            <v>385968</v>
          </cell>
          <cell r="AE27">
            <v>60.150732154322796</v>
          </cell>
          <cell r="AF27">
            <v>-0.87015481975363684</v>
          </cell>
          <cell r="AG27">
            <v>388599</v>
          </cell>
          <cell r="AH27">
            <v>55.842737479540325</v>
          </cell>
          <cell r="AI27">
            <v>0.68166272851635767</v>
          </cell>
        </row>
        <row r="28">
          <cell r="B28" t="str">
            <v xml:space="preserve">  투자자산</v>
          </cell>
          <cell r="C28">
            <v>63838</v>
          </cell>
          <cell r="D28">
            <v>19.263358640418112</v>
          </cell>
          <cell r="F28">
            <v>85206</v>
          </cell>
          <cell r="G28">
            <v>20.974197645738254</v>
          </cell>
          <cell r="H28">
            <v>33.472226573514206</v>
          </cell>
          <cell r="I28">
            <v>94321</v>
          </cell>
          <cell r="J28">
            <v>21.099714781052516</v>
          </cell>
          <cell r="K28">
            <v>10.697603455155729</v>
          </cell>
          <cell r="L28">
            <v>95668</v>
          </cell>
          <cell r="M28">
            <v>18.112593125514735</v>
          </cell>
          <cell r="N28">
            <v>1.4281019073165027</v>
          </cell>
          <cell r="O28">
            <v>84213</v>
          </cell>
          <cell r="P28">
            <v>12.28382636093121</v>
          </cell>
          <cell r="Q28">
            <v>-11.973700714972608</v>
          </cell>
          <cell r="R28">
            <v>128596</v>
          </cell>
          <cell r="S28">
            <v>20.008588712688891</v>
          </cell>
          <cell r="T28">
            <v>52.70326434160998</v>
          </cell>
          <cell r="U28">
            <v>120332</v>
          </cell>
          <cell r="V28">
            <v>18.051659320910055</v>
          </cell>
          <cell r="W28">
            <v>-6.4263274129832979</v>
          </cell>
          <cell r="X28">
            <v>123558</v>
          </cell>
          <cell r="Y28">
            <v>18.717449198784468</v>
          </cell>
          <cell r="Z28">
            <v>2.6809161320346959</v>
          </cell>
          <cell r="AA28">
            <v>164578</v>
          </cell>
          <cell r="AB28">
            <v>25.826487457728188</v>
          </cell>
          <cell r="AC28">
            <v>33.198983473348562</v>
          </cell>
          <cell r="AD28">
            <v>164885</v>
          </cell>
          <cell r="AE28">
            <v>25.696310241433263</v>
          </cell>
          <cell r="AF28">
            <v>0.18653769033527112</v>
          </cell>
          <cell r="AG28">
            <v>168394</v>
          </cell>
          <cell r="AH28">
            <v>24.198677647471335</v>
          </cell>
          <cell r="AI28">
            <v>2.1281499226733871</v>
          </cell>
        </row>
        <row r="29">
          <cell r="B29" t="str">
            <v xml:space="preserve">    장기성예금/금융상품</v>
          </cell>
          <cell r="C29">
            <v>4474</v>
          </cell>
          <cell r="D29">
            <v>1.350046470084129</v>
          </cell>
          <cell r="F29">
            <v>5374</v>
          </cell>
          <cell r="G29">
            <v>1.3228568193342884</v>
          </cell>
          <cell r="H29">
            <v>20.116227089852472</v>
          </cell>
          <cell r="I29">
            <v>3908</v>
          </cell>
          <cell r="J29">
            <v>0.87422403668698623</v>
          </cell>
          <cell r="K29">
            <v>-27.27949385932267</v>
          </cell>
          <cell r="L29">
            <v>3589</v>
          </cell>
          <cell r="M29">
            <v>0.67949676723117847</v>
          </cell>
          <cell r="N29">
            <v>-8.1627430910951944</v>
          </cell>
          <cell r="O29">
            <v>7265</v>
          </cell>
          <cell r="P29">
            <v>1.0597176031273703</v>
          </cell>
          <cell r="Q29">
            <v>102.42407355809416</v>
          </cell>
          <cell r="R29">
            <v>5971</v>
          </cell>
          <cell r="S29">
            <v>0.9290435410391098</v>
          </cell>
          <cell r="T29">
            <v>-17.811424638678602</v>
          </cell>
          <cell r="U29">
            <v>3458</v>
          </cell>
          <cell r="V29">
            <v>0.51875343160345511</v>
          </cell>
          <cell r="W29">
            <v>-42.086752637749129</v>
          </cell>
          <cell r="X29">
            <v>1104</v>
          </cell>
          <cell r="Y29">
            <v>0.16724181287701365</v>
          </cell>
          <cell r="Z29">
            <v>-68.074031231925971</v>
          </cell>
          <cell r="AA29">
            <v>2045</v>
          </cell>
          <cell r="AB29">
            <v>0.32091267879700897</v>
          </cell>
          <cell r="AC29">
            <v>85.235507246376812</v>
          </cell>
          <cell r="AD29">
            <v>468</v>
          </cell>
          <cell r="AE29">
            <v>7.2934913381998173E-2</v>
          </cell>
          <cell r="AF29">
            <v>-77.11491442542787</v>
          </cell>
          <cell r="AG29">
            <v>661</v>
          </cell>
          <cell r="AH29">
            <v>9.4987505047558415E-2</v>
          </cell>
          <cell r="AI29">
            <v>41.239316239316253</v>
          </cell>
        </row>
        <row r="30">
          <cell r="B30" t="str">
            <v xml:space="preserve">    투자유가증권</v>
          </cell>
          <cell r="C30">
            <v>53493</v>
          </cell>
          <cell r="D30">
            <v>16.141715651365736</v>
          </cell>
          <cell r="F30">
            <v>60173</v>
          </cell>
          <cell r="G30">
            <v>14.812107069185362</v>
          </cell>
          <cell r="H30">
            <v>12.487615201989044</v>
          </cell>
          <cell r="I30">
            <v>64040</v>
          </cell>
          <cell r="J30">
            <v>14.325820703540071</v>
          </cell>
          <cell r="K30">
            <v>6.4264703438419133</v>
          </cell>
          <cell r="L30">
            <v>71518</v>
          </cell>
          <cell r="M30">
            <v>13.540331512632884</v>
          </cell>
          <cell r="N30">
            <v>11.677076826983139</v>
          </cell>
          <cell r="O30">
            <v>74597</v>
          </cell>
          <cell r="P30">
            <v>10.881177431588775</v>
          </cell>
          <cell r="Q30">
            <v>4.3052098772337075</v>
          </cell>
          <cell r="R30">
            <v>119702</v>
          </cell>
          <cell r="S30">
            <v>18.624747939953696</v>
          </cell>
          <cell r="T30">
            <v>60.46489805220051</v>
          </cell>
          <cell r="U30">
            <v>114979</v>
          </cell>
          <cell r="V30">
            <v>17.248626608540679</v>
          </cell>
          <cell r="W30">
            <v>-3.945631651935642</v>
          </cell>
          <cell r="X30">
            <v>119325</v>
          </cell>
          <cell r="Y30">
            <v>18.076204095606567</v>
          </cell>
          <cell r="Z30">
            <v>3.7798206629036599</v>
          </cell>
          <cell r="AA30">
            <v>158638</v>
          </cell>
          <cell r="AB30">
            <v>24.894349896821474</v>
          </cell>
          <cell r="AC30">
            <v>32.946155457783362</v>
          </cell>
          <cell r="AD30">
            <v>46125</v>
          </cell>
          <cell r="AE30">
            <v>7.1882967515911655</v>
          </cell>
          <cell r="AF30">
            <v>-70.924368688460518</v>
          </cell>
          <cell r="AG30">
            <v>47599</v>
          </cell>
          <cell r="AH30">
            <v>6.8401062825396872</v>
          </cell>
          <cell r="AI30">
            <v>3.1956639566395779</v>
          </cell>
        </row>
        <row r="31">
          <cell r="B31" t="str">
            <v xml:space="preserve">    장기대여금</v>
          </cell>
          <cell r="C31">
            <v>0</v>
          </cell>
          <cell r="D31">
            <v>0</v>
          </cell>
          <cell r="F31">
            <v>0</v>
          </cell>
          <cell r="G31">
            <v>0</v>
          </cell>
          <cell r="H31" t="str">
            <v xml:space="preserve">─ </v>
          </cell>
          <cell r="I31">
            <v>0</v>
          </cell>
          <cell r="J31">
            <v>0</v>
          </cell>
          <cell r="K31" t="str">
            <v xml:space="preserve">─ </v>
          </cell>
          <cell r="L31">
            <v>0</v>
          </cell>
          <cell r="M31">
            <v>0</v>
          </cell>
          <cell r="N31" t="str">
            <v xml:space="preserve">─ </v>
          </cell>
          <cell r="O31">
            <v>0</v>
          </cell>
          <cell r="P31">
            <v>0</v>
          </cell>
          <cell r="Q31" t="str">
            <v xml:space="preserve">─ </v>
          </cell>
          <cell r="R31">
            <v>0</v>
          </cell>
          <cell r="S31">
            <v>0</v>
          </cell>
          <cell r="T31" t="str">
            <v xml:space="preserve">─ </v>
          </cell>
          <cell r="U31">
            <v>0</v>
          </cell>
          <cell r="V31">
            <v>0</v>
          </cell>
          <cell r="W31" t="str">
            <v xml:space="preserve">─ </v>
          </cell>
          <cell r="X31">
            <v>0</v>
          </cell>
          <cell r="Y31">
            <v>0</v>
          </cell>
          <cell r="Z31" t="str">
            <v xml:space="preserve">─ </v>
          </cell>
          <cell r="AA31">
            <v>0</v>
          </cell>
          <cell r="AB31">
            <v>0</v>
          </cell>
          <cell r="AC31" t="str">
            <v xml:space="preserve">─ </v>
          </cell>
          <cell r="AD31">
            <v>4400</v>
          </cell>
          <cell r="AE31">
            <v>0.68571286085639305</v>
          </cell>
          <cell r="AF31" t="str">
            <v xml:space="preserve">─ </v>
          </cell>
          <cell r="AG31">
            <v>4400</v>
          </cell>
          <cell r="AH31">
            <v>0.63229201544516955</v>
          </cell>
          <cell r="AI31">
            <v>0</v>
          </cell>
        </row>
        <row r="32">
          <cell r="B32" t="str">
            <v xml:space="preserve">    장기성 매출채권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 t="str">
            <v xml:space="preserve">─ </v>
          </cell>
          <cell r="I32">
            <v>0</v>
          </cell>
          <cell r="J32">
            <v>0</v>
          </cell>
          <cell r="K32" t="str">
            <v xml:space="preserve">─ </v>
          </cell>
          <cell r="L32">
            <v>0</v>
          </cell>
          <cell r="M32">
            <v>0</v>
          </cell>
          <cell r="N32" t="str">
            <v xml:space="preserve">─ </v>
          </cell>
          <cell r="O32">
            <v>0</v>
          </cell>
          <cell r="P32">
            <v>0</v>
          </cell>
          <cell r="Q32" t="str">
            <v xml:space="preserve">─ </v>
          </cell>
          <cell r="R32">
            <v>0</v>
          </cell>
          <cell r="S32">
            <v>0</v>
          </cell>
          <cell r="T32" t="str">
            <v xml:space="preserve">─ </v>
          </cell>
          <cell r="U32">
            <v>0</v>
          </cell>
          <cell r="V32">
            <v>0</v>
          </cell>
          <cell r="W32" t="str">
            <v xml:space="preserve">─ </v>
          </cell>
          <cell r="X32">
            <v>0</v>
          </cell>
          <cell r="Y32">
            <v>0</v>
          </cell>
          <cell r="Z32" t="str">
            <v xml:space="preserve">─ </v>
          </cell>
          <cell r="AA32">
            <v>0</v>
          </cell>
          <cell r="AB32">
            <v>0</v>
          </cell>
          <cell r="AC32" t="str">
            <v xml:space="preserve">─ </v>
          </cell>
          <cell r="AD32">
            <v>0</v>
          </cell>
          <cell r="AE32">
            <v>0</v>
          </cell>
          <cell r="AF32" t="str">
            <v xml:space="preserve">─ </v>
          </cell>
          <cell r="AG32">
            <v>0</v>
          </cell>
          <cell r="AH32">
            <v>0</v>
          </cell>
          <cell r="AI32" t="str">
            <v xml:space="preserve">─ </v>
          </cell>
        </row>
        <row r="33">
          <cell r="B33" t="str">
            <v xml:space="preserve">    보증금</v>
          </cell>
          <cell r="C33">
            <v>5871</v>
          </cell>
          <cell r="D33">
            <v>1.7715965189682432</v>
          </cell>
          <cell r="F33">
            <v>19658</v>
          </cell>
          <cell r="G33">
            <v>4.8389875985250175</v>
          </cell>
          <cell r="H33">
            <v>234.83222619655936</v>
          </cell>
          <cell r="I33">
            <v>26373</v>
          </cell>
          <cell r="J33">
            <v>5.8996700408254572</v>
          </cell>
          <cell r="K33">
            <v>34.159120968562405</v>
          </cell>
          <cell r="L33">
            <v>19994</v>
          </cell>
          <cell r="M33">
            <v>3.7854160947395328</v>
          </cell>
          <cell r="N33">
            <v>-24.187616122549585</v>
          </cell>
          <cell r="O33">
            <v>1904</v>
          </cell>
          <cell r="P33">
            <v>0.2777291557267052</v>
          </cell>
          <cell r="Q33">
            <v>-90.477143142942879</v>
          </cell>
          <cell r="R33">
            <v>2277</v>
          </cell>
          <cell r="S33">
            <v>0.35428439841668952</v>
          </cell>
          <cell r="T33">
            <v>19.590336134453779</v>
          </cell>
          <cell r="U33">
            <v>1467</v>
          </cell>
          <cell r="V33">
            <v>0.22007266748475091</v>
          </cell>
          <cell r="W33">
            <v>-35.573122529644266</v>
          </cell>
          <cell r="X33">
            <v>1513</v>
          </cell>
          <cell r="Y33">
            <v>0.22920005695916817</v>
          </cell>
          <cell r="Z33">
            <v>3.1356509884117258</v>
          </cell>
          <cell r="AA33">
            <v>1603</v>
          </cell>
          <cell r="AB33">
            <v>0.2515516010325699</v>
          </cell>
          <cell r="AC33">
            <v>5.948446794448131</v>
          </cell>
          <cell r="AD33">
            <v>1705</v>
          </cell>
          <cell r="AE33">
            <v>0.2657137335818523</v>
          </cell>
          <cell r="AF33">
            <v>6.3630692451653204</v>
          </cell>
          <cell r="AG33">
            <v>1816</v>
          </cell>
          <cell r="AH33">
            <v>0.26096415910191539</v>
          </cell>
          <cell r="AI33">
            <v>6.5102639296187732</v>
          </cell>
        </row>
        <row r="34">
          <cell r="B34" t="str">
            <v xml:space="preserve">  유형자산</v>
          </cell>
          <cell r="C34">
            <v>72604</v>
          </cell>
          <cell r="D34">
            <v>21.908532390252144</v>
          </cell>
          <cell r="F34">
            <v>71865</v>
          </cell>
          <cell r="G34">
            <v>17.690194514599671</v>
          </cell>
          <cell r="H34">
            <v>-1.0178502561842322</v>
          </cell>
          <cell r="I34">
            <v>72399</v>
          </cell>
          <cell r="J34">
            <v>16.195738493372854</v>
          </cell>
          <cell r="K34">
            <v>0.7430599039866479</v>
          </cell>
          <cell r="L34">
            <v>68679</v>
          </cell>
          <cell r="M34">
            <v>13.002830447665117</v>
          </cell>
          <cell r="N34">
            <v>-5.1381925164712214</v>
          </cell>
          <cell r="O34">
            <v>205294</v>
          </cell>
          <cell r="P34">
            <v>29.94544605869654</v>
          </cell>
          <cell r="Q34">
            <v>198.91815547692892</v>
          </cell>
          <cell r="R34">
            <v>209871</v>
          </cell>
          <cell r="S34">
            <v>32.654378998730365</v>
          </cell>
          <cell r="T34">
            <v>2.2294855183297955</v>
          </cell>
          <cell r="U34">
            <v>229329</v>
          </cell>
          <cell r="V34">
            <v>34.402893498030295</v>
          </cell>
          <cell r="W34">
            <v>9.2714095801706691</v>
          </cell>
          <cell r="X34">
            <v>227101</v>
          </cell>
          <cell r="Y34">
            <v>34.402883103426333</v>
          </cell>
          <cell r="Z34">
            <v>-0.97152998530495438</v>
          </cell>
          <cell r="AA34">
            <v>223389</v>
          </cell>
          <cell r="AB34">
            <v>35.055433938281197</v>
          </cell>
          <cell r="AC34">
            <v>-1.6345150395638939</v>
          </cell>
          <cell r="AD34">
            <v>219917</v>
          </cell>
          <cell r="AE34">
            <v>34.272708004762585</v>
          </cell>
          <cell r="AF34">
            <v>-1.5542394656854128</v>
          </cell>
          <cell r="AG34">
            <v>219096</v>
          </cell>
          <cell r="AH34">
            <v>31.484693503630652</v>
          </cell>
          <cell r="AI34">
            <v>-0.37332266264090208</v>
          </cell>
        </row>
        <row r="35">
          <cell r="B35" t="str">
            <v xml:space="preserve">    건설중인자산</v>
          </cell>
          <cell r="C35">
            <v>5110</v>
          </cell>
          <cell r="D35">
            <v>1.5419618824608625</v>
          </cell>
          <cell r="F35">
            <v>52</v>
          </cell>
          <cell r="G35">
            <v>1.2800252066502232E-2</v>
          </cell>
          <cell r="H35">
            <v>-98.982387475538161</v>
          </cell>
          <cell r="I35">
            <v>1600</v>
          </cell>
          <cell r="J35">
            <v>0.35792181645321852</v>
          </cell>
          <cell r="K35">
            <v>2976.9230769230771</v>
          </cell>
          <cell r="L35">
            <v>145</v>
          </cell>
          <cell r="M35">
            <v>2.7452502437592886E-2</v>
          </cell>
          <cell r="N35">
            <v>-90.9375</v>
          </cell>
          <cell r="O35">
            <v>48</v>
          </cell>
          <cell r="P35">
            <v>7.0015753544547523E-3</v>
          </cell>
          <cell r="Q35">
            <v>-66.896551724137936</v>
          </cell>
          <cell r="R35">
            <v>0</v>
          </cell>
          <cell r="S35">
            <v>0</v>
          </cell>
          <cell r="T35">
            <v>-100</v>
          </cell>
          <cell r="U35">
            <v>0</v>
          </cell>
          <cell r="V35">
            <v>0</v>
          </cell>
          <cell r="W35" t="str">
            <v xml:space="preserve">─ </v>
          </cell>
          <cell r="X35">
            <v>0</v>
          </cell>
          <cell r="Y35">
            <v>0</v>
          </cell>
          <cell r="Z35" t="str">
            <v xml:space="preserve">─ </v>
          </cell>
          <cell r="AA35">
            <v>0</v>
          </cell>
          <cell r="AB35">
            <v>0</v>
          </cell>
          <cell r="AC35" t="str">
            <v xml:space="preserve">─ </v>
          </cell>
          <cell r="AD35">
            <v>0</v>
          </cell>
          <cell r="AE35">
            <v>0</v>
          </cell>
          <cell r="AF35" t="str">
            <v xml:space="preserve">─ </v>
          </cell>
          <cell r="AG35">
            <v>0</v>
          </cell>
          <cell r="AH35">
            <v>0</v>
          </cell>
          <cell r="AI35" t="str">
            <v xml:space="preserve">─ </v>
          </cell>
        </row>
        <row r="36">
          <cell r="B36" t="str">
            <v xml:space="preserve">    토지</v>
          </cell>
          <cell r="C36">
            <v>7144</v>
          </cell>
          <cell r="D36">
            <v>2.1557290975147558</v>
          </cell>
          <cell r="F36">
            <v>14644</v>
          </cell>
          <cell r="G36">
            <v>3.6047479088818979</v>
          </cell>
          <cell r="H36">
            <v>104.98320268756999</v>
          </cell>
          <cell r="I36">
            <v>15008</v>
          </cell>
          <cell r="J36">
            <v>3.3573066383311896</v>
          </cell>
          <cell r="K36">
            <v>2.4856596558317392</v>
          </cell>
          <cell r="L36">
            <v>14727</v>
          </cell>
          <cell r="M36">
            <v>2.7882276096443483</v>
          </cell>
          <cell r="N36">
            <v>-1.8723347547974498</v>
          </cell>
          <cell r="O36">
            <v>104569</v>
          </cell>
          <cell r="P36">
            <v>15.253077775832896</v>
          </cell>
          <cell r="Q36">
            <v>610.04956881917565</v>
          </cell>
          <cell r="R36">
            <v>112566</v>
          </cell>
          <cell r="S36">
            <v>17.51443899524509</v>
          </cell>
          <cell r="T36">
            <v>7.6475819793629114</v>
          </cell>
          <cell r="U36">
            <v>117681</v>
          </cell>
          <cell r="V36">
            <v>17.653968358740951</v>
          </cell>
          <cell r="W36">
            <v>4.544000852832994</v>
          </cell>
          <cell r="X36">
            <v>112619</v>
          </cell>
          <cell r="Y36">
            <v>17.060331272098189</v>
          </cell>
          <cell r="Z36">
            <v>-4.3014590290701165</v>
          </cell>
          <cell r="AA36">
            <v>112497</v>
          </cell>
          <cell r="AB36">
            <v>17.653649695172184</v>
          </cell>
          <cell r="AC36">
            <v>-0.10832985553059871</v>
          </cell>
          <cell r="AD36">
            <v>112270</v>
          </cell>
          <cell r="AE36">
            <v>17.49658702007892</v>
          </cell>
          <cell r="AF36">
            <v>-0.20178315866201046</v>
          </cell>
          <cell r="AG36">
            <v>112234</v>
          </cell>
          <cell r="AH36">
            <v>16.128332286698445</v>
          </cell>
          <cell r="AI36">
            <v>-3.2065556248326743E-2</v>
          </cell>
        </row>
        <row r="37">
          <cell r="B37" t="str">
            <v xml:space="preserve">    건물</v>
          </cell>
          <cell r="C37">
            <v>52168</v>
          </cell>
          <cell r="D37">
            <v>15.741891875580876</v>
          </cell>
          <cell r="F37">
            <v>49869</v>
          </cell>
          <cell r="G37">
            <v>12.275687890469229</v>
          </cell>
          <cell r="H37">
            <v>-4.4069161171599376</v>
          </cell>
          <cell r="I37">
            <v>50126</v>
          </cell>
          <cell r="J37">
            <v>11.213243107208768</v>
          </cell>
          <cell r="K37">
            <v>0.51535021757003108</v>
          </cell>
          <cell r="L37">
            <v>47907</v>
          </cell>
          <cell r="M37">
            <v>9.0701174777776732</v>
          </cell>
          <cell r="N37">
            <v>-4.4268443522323793</v>
          </cell>
          <cell r="O37">
            <v>95844</v>
          </cell>
          <cell r="P37">
            <v>13.980395589007527</v>
          </cell>
          <cell r="Q37">
            <v>100.0626213288246</v>
          </cell>
          <cell r="R37">
            <v>93990</v>
          </cell>
          <cell r="S37">
            <v>14.624150464288382</v>
          </cell>
          <cell r="T37">
            <v>-1.9343933892575365</v>
          </cell>
          <cell r="U37">
            <v>109118</v>
          </cell>
          <cell r="V37">
            <v>16.369386046762816</v>
          </cell>
          <cell r="W37">
            <v>16.095329290350051</v>
          </cell>
          <cell r="X37">
            <v>112715</v>
          </cell>
          <cell r="Y37">
            <v>17.074874038435318</v>
          </cell>
          <cell r="Z37">
            <v>3.2964313862057679</v>
          </cell>
          <cell r="AA37">
            <v>109086</v>
          </cell>
          <cell r="AB37">
            <v>17.118376762469694</v>
          </cell>
          <cell r="AC37">
            <v>-3.2196247172071111</v>
          </cell>
          <cell r="AD37">
            <v>106190</v>
          </cell>
          <cell r="AE37">
            <v>16.549056521440995</v>
          </cell>
          <cell r="AF37">
            <v>-2.6547861320426023</v>
          </cell>
          <cell r="AG37">
            <v>105469</v>
          </cell>
          <cell r="AH37">
            <v>15.156183312951496</v>
          </cell>
          <cell r="AI37">
            <v>-0.67897165458140307</v>
          </cell>
        </row>
        <row r="38">
          <cell r="B38" t="str">
            <v xml:space="preserve">    건설중인자산</v>
          </cell>
          <cell r="C38">
            <v>5110</v>
          </cell>
          <cell r="D38">
            <v>1.5419618824608625</v>
          </cell>
          <cell r="F38">
            <v>52</v>
          </cell>
          <cell r="G38">
            <v>1.2800252066502232E-2</v>
          </cell>
          <cell r="H38">
            <v>-98.982387475538161</v>
          </cell>
          <cell r="I38">
            <v>1600</v>
          </cell>
          <cell r="J38">
            <v>0.35792181645321852</v>
          </cell>
          <cell r="K38">
            <v>2976.9230769230771</v>
          </cell>
          <cell r="L38">
            <v>145</v>
          </cell>
          <cell r="M38">
            <v>2.7452502437592886E-2</v>
          </cell>
          <cell r="N38">
            <v>-90.9375</v>
          </cell>
          <cell r="O38">
            <v>48</v>
          </cell>
          <cell r="P38">
            <v>7.0015753544547523E-3</v>
          </cell>
          <cell r="Q38">
            <v>-66.896551724137936</v>
          </cell>
          <cell r="R38">
            <v>0</v>
          </cell>
          <cell r="S38">
            <v>0</v>
          </cell>
          <cell r="T38">
            <v>-100</v>
          </cell>
          <cell r="U38">
            <v>0</v>
          </cell>
          <cell r="V38">
            <v>0</v>
          </cell>
          <cell r="W38" t="str">
            <v xml:space="preserve">─ </v>
          </cell>
          <cell r="X38">
            <v>0</v>
          </cell>
          <cell r="Y38">
            <v>0</v>
          </cell>
          <cell r="Z38" t="str">
            <v xml:space="preserve">─ </v>
          </cell>
          <cell r="AA38">
            <v>0</v>
          </cell>
          <cell r="AB38">
            <v>0</v>
          </cell>
          <cell r="AC38" t="str">
            <v xml:space="preserve">─ </v>
          </cell>
          <cell r="AD38">
            <v>0</v>
          </cell>
          <cell r="AE38">
            <v>0</v>
          </cell>
          <cell r="AF38" t="str">
            <v xml:space="preserve">─ </v>
          </cell>
          <cell r="AG38">
            <v>0</v>
          </cell>
          <cell r="AH38">
            <v>0</v>
          </cell>
          <cell r="AI38" t="str">
            <v xml:space="preserve">─ </v>
          </cell>
        </row>
        <row r="39">
          <cell r="B39" t="str">
            <v xml:space="preserve">  무형자산</v>
          </cell>
          <cell r="C39">
            <v>1921</v>
          </cell>
          <cell r="D39">
            <v>0.57966903643978807</v>
          </cell>
          <cell r="F39">
            <v>2042</v>
          </cell>
          <cell r="G39">
            <v>0.50265605230379928</v>
          </cell>
          <cell r="H39">
            <v>6.2988027069234676</v>
          </cell>
          <cell r="I39">
            <v>1879</v>
          </cell>
          <cell r="J39">
            <v>0.42033443319724845</v>
          </cell>
          <cell r="K39">
            <v>-7.9823702252693352</v>
          </cell>
          <cell r="L39">
            <v>1707</v>
          </cell>
          <cell r="M39">
            <v>0.32318221835152455</v>
          </cell>
          <cell r="N39">
            <v>-9.1538052155401743</v>
          </cell>
          <cell r="O39">
            <v>1563</v>
          </cell>
          <cell r="P39">
            <v>0.22798879747943285</v>
          </cell>
          <cell r="Q39">
            <v>-8.4358523725834687</v>
          </cell>
          <cell r="R39">
            <v>923</v>
          </cell>
          <cell r="S39">
            <v>0.14361198934501732</v>
          </cell>
          <cell r="T39">
            <v>-40.946896992962259</v>
          </cell>
          <cell r="U39">
            <v>857</v>
          </cell>
          <cell r="V39">
            <v>0.12856324201392744</v>
          </cell>
          <cell r="W39">
            <v>-7.1505958829902454</v>
          </cell>
          <cell r="X39">
            <v>791</v>
          </cell>
          <cell r="Y39">
            <v>0.11982633513199076</v>
          </cell>
          <cell r="Z39">
            <v>-7.7012835472578729</v>
          </cell>
          <cell r="AA39">
            <v>1390</v>
          </cell>
          <cell r="AB39">
            <v>0.21812646627278362</v>
          </cell>
          <cell r="AC39">
            <v>75.726927939317335</v>
          </cell>
          <cell r="AD39">
            <v>1165</v>
          </cell>
          <cell r="AE39">
            <v>0.18155806429493135</v>
          </cell>
          <cell r="AF39">
            <v>-16.187050359712231</v>
          </cell>
          <cell r="AG39">
            <v>1109</v>
          </cell>
          <cell r="AH39">
            <v>0.15936632843833931</v>
          </cell>
          <cell r="AI39">
            <v>-4.8068669527897043</v>
          </cell>
        </row>
        <row r="40">
          <cell r="B40" t="str">
            <v xml:space="preserve">  이연자산</v>
          </cell>
          <cell r="C40">
            <v>463</v>
          </cell>
          <cell r="D40">
            <v>0.13971200617991769</v>
          </cell>
          <cell r="F40">
            <v>66</v>
          </cell>
          <cell r="G40">
            <v>1.6246473776714374E-2</v>
          </cell>
          <cell r="H40">
            <v>-85.745140388768903</v>
          </cell>
          <cell r="I40">
            <v>51</v>
          </cell>
          <cell r="J40">
            <v>1.1408757899446339E-2</v>
          </cell>
          <cell r="K40">
            <v>-22.727272727272734</v>
          </cell>
          <cell r="L40">
            <v>73</v>
          </cell>
          <cell r="M40">
            <v>1.3820915020305385E-2</v>
          </cell>
          <cell r="N40">
            <v>43.137254901960773</v>
          </cell>
          <cell r="O40">
            <v>320</v>
          </cell>
          <cell r="P40">
            <v>4.6677169029698345E-2</v>
          </cell>
          <cell r="Q40">
            <v>338.35616438356163</v>
          </cell>
          <cell r="R40">
            <v>0</v>
          </cell>
          <cell r="S40">
            <v>0</v>
          </cell>
          <cell r="T40">
            <v>-100</v>
          </cell>
          <cell r="U40">
            <v>0</v>
          </cell>
          <cell r="V40">
            <v>0</v>
          </cell>
          <cell r="W40" t="str">
            <v xml:space="preserve">─ </v>
          </cell>
          <cell r="X40">
            <v>0</v>
          </cell>
          <cell r="Y40">
            <v>0</v>
          </cell>
          <cell r="Z40" t="str">
            <v xml:space="preserve">─ </v>
          </cell>
          <cell r="AA40">
            <v>0</v>
          </cell>
          <cell r="AB40">
            <v>0</v>
          </cell>
          <cell r="AC40" t="str">
            <v xml:space="preserve">─ </v>
          </cell>
          <cell r="AD40">
            <v>0</v>
          </cell>
          <cell r="AE40">
            <v>0</v>
          </cell>
          <cell r="AF40" t="str">
            <v xml:space="preserve">─ </v>
          </cell>
          <cell r="AG40">
            <v>0</v>
          </cell>
          <cell r="AH40">
            <v>0</v>
          </cell>
          <cell r="AI40" t="str">
            <v xml:space="preserve">─ </v>
          </cell>
        </row>
        <row r="41">
          <cell r="B41" t="str">
            <v>자산총계</v>
          </cell>
          <cell r="C41">
            <v>331396</v>
          </cell>
          <cell r="D41">
            <v>100</v>
          </cell>
          <cell r="F41">
            <v>406242</v>
          </cell>
          <cell r="G41">
            <v>100</v>
          </cell>
          <cell r="H41">
            <v>22.585064394259447</v>
          </cell>
          <cell r="I41">
            <v>447025</v>
          </cell>
          <cell r="J41">
            <v>100</v>
          </cell>
          <cell r="K41">
            <v>10.039090000541549</v>
          </cell>
          <cell r="L41">
            <v>528185</v>
          </cell>
          <cell r="M41">
            <v>100</v>
          </cell>
          <cell r="N41">
            <v>18.155584139589507</v>
          </cell>
          <cell r="O41">
            <v>685560</v>
          </cell>
          <cell r="P41">
            <v>100</v>
          </cell>
          <cell r="Q41">
            <v>29.795431524939175</v>
          </cell>
          <cell r="R41">
            <v>642704</v>
          </cell>
          <cell r="S41">
            <v>100</v>
          </cell>
          <cell r="T41">
            <v>-6.2512398623023557</v>
          </cell>
          <cell r="U41">
            <v>666598</v>
          </cell>
          <cell r="V41">
            <v>100</v>
          </cell>
          <cell r="W41">
            <v>3.7177300903681925</v>
          </cell>
          <cell r="X41">
            <v>660122</v>
          </cell>
          <cell r="Y41">
            <v>100</v>
          </cell>
          <cell r="Z41">
            <v>-0.9715000645066425</v>
          </cell>
          <cell r="AA41">
            <v>637245</v>
          </cell>
          <cell r="AB41">
            <v>100</v>
          </cell>
          <cell r="AC41">
            <v>-3.4655715155683282</v>
          </cell>
          <cell r="AD41">
            <v>641668</v>
          </cell>
          <cell r="AE41">
            <v>100</v>
          </cell>
          <cell r="AF41">
            <v>0.69408155419030493</v>
          </cell>
          <cell r="AG41">
            <v>695881</v>
          </cell>
          <cell r="AH41">
            <v>100</v>
          </cell>
          <cell r="AI41">
            <v>8.448761664910819</v>
          </cell>
        </row>
        <row r="42">
          <cell r="B42" t="str">
            <v>유동부채</v>
          </cell>
          <cell r="C42">
            <v>180023</v>
          </cell>
          <cell r="D42">
            <v>54.322623085372179</v>
          </cell>
          <cell r="F42">
            <v>212174</v>
          </cell>
          <cell r="G42">
            <v>52.228474653039328</v>
          </cell>
          <cell r="H42">
            <v>17.859384634185631</v>
          </cell>
          <cell r="I42">
            <v>230722</v>
          </cell>
          <cell r="J42">
            <v>51.612773334824681</v>
          </cell>
          <cell r="K42">
            <v>8.7418816631632552</v>
          </cell>
          <cell r="L42">
            <v>308386</v>
          </cell>
          <cell r="M42">
            <v>58.385982184272557</v>
          </cell>
          <cell r="N42">
            <v>33.661289343885727</v>
          </cell>
          <cell r="O42">
            <v>282297</v>
          </cell>
          <cell r="P42">
            <v>41.177577454927359</v>
          </cell>
          <cell r="Q42">
            <v>-8.4598522630729036</v>
          </cell>
          <cell r="R42">
            <v>232698</v>
          </cell>
          <cell r="S42">
            <v>36.206091762304268</v>
          </cell>
          <cell r="T42">
            <v>-17.569793515340223</v>
          </cell>
          <cell r="U42">
            <v>259482</v>
          </cell>
          <cell r="V42">
            <v>38.926309409869212</v>
          </cell>
          <cell r="W42">
            <v>11.510197767062877</v>
          </cell>
          <cell r="X42">
            <v>253500</v>
          </cell>
          <cell r="Y42">
            <v>38.401992358988188</v>
          </cell>
          <cell r="Z42">
            <v>-2.305362221656992</v>
          </cell>
          <cell r="AA42">
            <v>200667</v>
          </cell>
          <cell r="AB42">
            <v>31.489772379540049</v>
          </cell>
          <cell r="AC42">
            <v>-20.841420118343194</v>
          </cell>
          <cell r="AD42">
            <v>273134</v>
          </cell>
          <cell r="AE42">
            <v>42.566249212988652</v>
          </cell>
          <cell r="AF42">
            <v>36.113062935111401</v>
          </cell>
          <cell r="AG42">
            <v>283769</v>
          </cell>
          <cell r="AH42">
            <v>40.77838021155916</v>
          </cell>
          <cell r="AI42">
            <v>3.8936932055328128</v>
          </cell>
        </row>
        <row r="43">
          <cell r="B43" t="str">
            <v xml:space="preserve">  매입채무</v>
          </cell>
          <cell r="C43">
            <v>21288</v>
          </cell>
          <cell r="D43">
            <v>6.4237347463457617</v>
          </cell>
          <cell r="F43">
            <v>27012</v>
          </cell>
          <cell r="G43">
            <v>6.6492386311607365</v>
          </cell>
          <cell r="H43">
            <v>26.888387824126255</v>
          </cell>
          <cell r="I43">
            <v>36286</v>
          </cell>
          <cell r="J43">
            <v>8.1172193948884299</v>
          </cell>
          <cell r="K43">
            <v>34.332889086332017</v>
          </cell>
          <cell r="L43">
            <v>101141</v>
          </cell>
          <cell r="M43">
            <v>19.148783096831604</v>
          </cell>
          <cell r="N43">
            <v>178.73284462327069</v>
          </cell>
          <cell r="O43">
            <v>84961</v>
          </cell>
          <cell r="P43">
            <v>12.39293424353813</v>
          </cell>
          <cell r="Q43">
            <v>-15.997468880078301</v>
          </cell>
          <cell r="R43">
            <v>69834</v>
          </cell>
          <cell r="S43">
            <v>10.865655107172199</v>
          </cell>
          <cell r="T43">
            <v>-17.804639775897186</v>
          </cell>
          <cell r="U43">
            <v>99874</v>
          </cell>
          <cell r="V43">
            <v>14.982643212250862</v>
          </cell>
          <cell r="W43">
            <v>43.016295787152387</v>
          </cell>
          <cell r="X43">
            <v>85326</v>
          </cell>
          <cell r="Y43">
            <v>12.9257925050218</v>
          </cell>
          <cell r="Z43">
            <v>-14.566353605542986</v>
          </cell>
          <cell r="AA43">
            <v>79437</v>
          </cell>
          <cell r="AB43">
            <v>12.465692159216628</v>
          </cell>
          <cell r="AC43">
            <v>-6.9017649954292892</v>
          </cell>
          <cell r="AD43">
            <v>97604</v>
          </cell>
          <cell r="AE43">
            <v>15.210981379778952</v>
          </cell>
          <cell r="AF43">
            <v>22.869695481954253</v>
          </cell>
          <cell r="AG43">
            <v>84122</v>
          </cell>
          <cell r="AH43">
            <v>12.088561118926942</v>
          </cell>
          <cell r="AI43">
            <v>-13.812958485307973</v>
          </cell>
        </row>
        <row r="44">
          <cell r="B44" t="str">
            <v xml:space="preserve">  미지급금</v>
          </cell>
          <cell r="C44">
            <v>9991</v>
          </cell>
          <cell r="D44">
            <v>3.0148221463143789</v>
          </cell>
          <cell r="F44">
            <v>18094</v>
          </cell>
          <cell r="G44">
            <v>4.4539954017556038</v>
          </cell>
          <cell r="H44">
            <v>81.102992693424085</v>
          </cell>
          <cell r="I44">
            <v>20424</v>
          </cell>
          <cell r="J44">
            <v>4.568871987025334</v>
          </cell>
          <cell r="K44">
            <v>12.877196860837842</v>
          </cell>
          <cell r="L44">
            <v>9819</v>
          </cell>
          <cell r="M44">
            <v>1.8590077340325832</v>
          </cell>
          <cell r="N44">
            <v>-51.924206815511162</v>
          </cell>
          <cell r="O44">
            <v>16701</v>
          </cell>
          <cell r="P44">
            <v>2.4361106248906004</v>
          </cell>
          <cell r="Q44">
            <v>70.088603727467159</v>
          </cell>
          <cell r="R44">
            <v>7186</v>
          </cell>
          <cell r="S44">
            <v>1.1180885757673829</v>
          </cell>
          <cell r="T44">
            <v>-56.972636369079694</v>
          </cell>
          <cell r="U44">
            <v>15381</v>
          </cell>
          <cell r="V44">
            <v>2.3073876609290758</v>
          </cell>
          <cell r="W44">
            <v>114.04119120512109</v>
          </cell>
          <cell r="X44">
            <v>6195</v>
          </cell>
          <cell r="Y44">
            <v>0.93846289019302498</v>
          </cell>
          <cell r="Z44">
            <v>-59.7230349132046</v>
          </cell>
          <cell r="AA44">
            <v>11645</v>
          </cell>
          <cell r="AB44">
            <v>1.8273976257169533</v>
          </cell>
          <cell r="AC44">
            <v>87.974172719935439</v>
          </cell>
          <cell r="AD44">
            <v>4267</v>
          </cell>
          <cell r="AE44">
            <v>0.66498563119868848</v>
          </cell>
          <cell r="AF44">
            <v>-63.357664233576642</v>
          </cell>
          <cell r="AG44">
            <v>8198</v>
          </cell>
          <cell r="AH44">
            <v>1.1780749869589773</v>
          </cell>
          <cell r="AI44">
            <v>92.125615186313581</v>
          </cell>
        </row>
        <row r="45">
          <cell r="B45" t="str">
            <v xml:space="preserve">  선수금</v>
          </cell>
          <cell r="C45">
            <v>42404</v>
          </cell>
          <cell r="D45">
            <v>12.795567840287752</v>
          </cell>
          <cell r="F45">
            <v>28716</v>
          </cell>
          <cell r="G45">
            <v>7.0686930450322718</v>
          </cell>
          <cell r="H45">
            <v>-32.279973587397421</v>
          </cell>
          <cell r="I45">
            <v>24554</v>
          </cell>
          <cell r="J45">
            <v>5.4927576757452048</v>
          </cell>
          <cell r="K45">
            <v>-14.493662069926174</v>
          </cell>
          <cell r="L45">
            <v>29652</v>
          </cell>
          <cell r="M45">
            <v>5.6139420846862365</v>
          </cell>
          <cell r="N45">
            <v>20.762401238087477</v>
          </cell>
          <cell r="O45">
            <v>15441</v>
          </cell>
          <cell r="P45">
            <v>2.2523192718361633</v>
          </cell>
          <cell r="Q45">
            <v>-47.92594091460947</v>
          </cell>
          <cell r="R45">
            <v>15217</v>
          </cell>
          <cell r="S45">
            <v>2.3676529164280913</v>
          </cell>
          <cell r="T45">
            <v>-1.4506832459037611</v>
          </cell>
          <cell r="U45">
            <v>8100</v>
          </cell>
          <cell r="V45">
            <v>1.2151251578912627</v>
          </cell>
          <cell r="W45">
            <v>-46.770059801537755</v>
          </cell>
          <cell r="X45">
            <v>20053</v>
          </cell>
          <cell r="Y45">
            <v>3.0377718058177123</v>
          </cell>
          <cell r="Z45">
            <v>147.5679012345679</v>
          </cell>
          <cell r="AA45">
            <v>31784</v>
          </cell>
          <cell r="AB45">
            <v>4.9877205784274494</v>
          </cell>
          <cell r="AC45">
            <v>58.499975066074882</v>
          </cell>
          <cell r="AD45">
            <v>55912</v>
          </cell>
          <cell r="AE45">
            <v>8.7135403355006016</v>
          </cell>
          <cell r="AF45">
            <v>75.912408759124077</v>
          </cell>
          <cell r="AG45">
            <v>109194</v>
          </cell>
          <cell r="AH45">
            <v>15.691475985118144</v>
          </cell>
          <cell r="AI45">
            <v>95.2961797109744</v>
          </cell>
        </row>
        <row r="46">
          <cell r="B46" t="str">
            <v xml:space="preserve">  단기차입금</v>
          </cell>
          <cell r="C46">
            <v>94819</v>
          </cell>
          <cell r="D46">
            <v>28.611992902750789</v>
          </cell>
          <cell r="F46">
            <v>127096</v>
          </cell>
          <cell r="G46">
            <v>31.285785320080151</v>
          </cell>
          <cell r="H46">
            <v>34.040645862116236</v>
          </cell>
          <cell r="I46">
            <v>140102</v>
          </cell>
          <cell r="J46">
            <v>31.340976455455511</v>
          </cell>
          <cell r="K46">
            <v>10.233209542393155</v>
          </cell>
          <cell r="L46">
            <v>139865</v>
          </cell>
          <cell r="M46">
            <v>26.480305196096065</v>
          </cell>
          <cell r="N46">
            <v>-0.16916246734521678</v>
          </cell>
          <cell r="O46">
            <v>144413</v>
          </cell>
          <cell r="P46">
            <v>21.064968784643213</v>
          </cell>
          <cell r="Q46">
            <v>3.2517070031816502</v>
          </cell>
          <cell r="R46">
            <v>89323</v>
          </cell>
          <cell r="S46">
            <v>13.897999701262167</v>
          </cell>
          <cell r="T46">
            <v>-38.147535194199968</v>
          </cell>
          <cell r="U46">
            <v>87159</v>
          </cell>
          <cell r="V46">
            <v>13.075196745264762</v>
          </cell>
          <cell r="W46">
            <v>-2.4226682937205481</v>
          </cell>
          <cell r="X46">
            <v>93995</v>
          </cell>
          <cell r="Y46">
            <v>14.239034602694653</v>
          </cell>
          <cell r="Z46">
            <v>7.8431372549019613</v>
          </cell>
          <cell r="AA46">
            <v>41382</v>
          </cell>
          <cell r="AB46">
            <v>6.493891674316786</v>
          </cell>
          <cell r="AC46">
            <v>-55.974253949678179</v>
          </cell>
          <cell r="AD46">
            <v>25000</v>
          </cell>
          <cell r="AE46">
            <v>3.8960958003204151</v>
          </cell>
          <cell r="AF46">
            <v>-39.587260161422847</v>
          </cell>
          <cell r="AG46">
            <v>27171</v>
          </cell>
          <cell r="AH46">
            <v>3.9045468981047051</v>
          </cell>
          <cell r="AI46">
            <v>8.6839999999999975</v>
          </cell>
        </row>
        <row r="47">
          <cell r="B47" t="str">
            <v xml:space="preserve">  유동성장기부채</v>
          </cell>
          <cell r="C47">
            <v>10500</v>
          </cell>
          <cell r="D47">
            <v>3.168414826974375</v>
          </cell>
          <cell r="F47">
            <v>8000</v>
          </cell>
          <cell r="G47">
            <v>1.9692695486926513</v>
          </cell>
          <cell r="H47">
            <v>-23.80952380952381</v>
          </cell>
          <cell r="I47">
            <v>0</v>
          </cell>
          <cell r="J47">
            <v>0</v>
          </cell>
          <cell r="K47">
            <v>-100</v>
          </cell>
          <cell r="L47">
            <v>15878</v>
          </cell>
          <cell r="M47">
            <v>3.0061436807179303</v>
          </cell>
          <cell r="N47" t="str">
            <v xml:space="preserve">─ </v>
          </cell>
          <cell r="O47">
            <v>9966</v>
          </cell>
          <cell r="P47">
            <v>1.453702082968668</v>
          </cell>
          <cell r="Q47">
            <v>-37.233908552714446</v>
          </cell>
          <cell r="R47">
            <v>43684</v>
          </cell>
          <cell r="S47">
            <v>6.7969080634320003</v>
          </cell>
          <cell r="T47">
            <v>338.33032309853508</v>
          </cell>
          <cell r="U47">
            <v>43632</v>
          </cell>
          <cell r="V47">
            <v>6.5454741838409349</v>
          </cell>
          <cell r="W47">
            <v>-0.119036718249248</v>
          </cell>
          <cell r="X47">
            <v>39717</v>
          </cell>
          <cell r="Y47">
            <v>6.0166151105401733</v>
          </cell>
          <cell r="Z47">
            <v>-8.972772277227719</v>
          </cell>
          <cell r="AA47">
            <v>27988</v>
          </cell>
          <cell r="AB47">
            <v>4.3920313223328549</v>
          </cell>
          <cell r="AC47">
            <v>-29.531434901931163</v>
          </cell>
          <cell r="AD47">
            <v>84194</v>
          </cell>
          <cell r="AE47">
            <v>13.121115592487081</v>
          </cell>
          <cell r="AF47">
            <v>200.82178076318422</v>
          </cell>
          <cell r="AG47">
            <v>19995</v>
          </cell>
          <cell r="AH47">
            <v>2.8733361020059465</v>
          </cell>
          <cell r="AI47">
            <v>-76.251276813074568</v>
          </cell>
        </row>
        <row r="48">
          <cell r="B48" t="str">
            <v xml:space="preserve">  기타유동부채</v>
          </cell>
          <cell r="C48">
            <v>1021</v>
          </cell>
          <cell r="D48">
            <v>0.30809062269912735</v>
          </cell>
          <cell r="F48">
            <v>3256</v>
          </cell>
          <cell r="G48">
            <v>0.80149270631790903</v>
          </cell>
          <cell r="H48">
            <v>218.90303623898137</v>
          </cell>
          <cell r="I48">
            <v>9356</v>
          </cell>
          <cell r="J48">
            <v>2.0929478217101951</v>
          </cell>
          <cell r="K48">
            <v>187.34643734643737</v>
          </cell>
          <cell r="L48">
            <v>12031</v>
          </cell>
          <cell r="M48">
            <v>2.277800391908138</v>
          </cell>
          <cell r="N48">
            <v>28.591278324070117</v>
          </cell>
          <cell r="O48">
            <v>10815</v>
          </cell>
          <cell r="P48">
            <v>1.5775424470505863</v>
          </cell>
          <cell r="Q48">
            <v>-10.107223007231312</v>
          </cell>
          <cell r="R48">
            <v>7454</v>
          </cell>
          <cell r="S48">
            <v>1.1597873982424258</v>
          </cell>
          <cell r="T48">
            <v>-31.077207582061945</v>
          </cell>
          <cell r="U48">
            <v>5336</v>
          </cell>
          <cell r="V48">
            <v>0.80048244969231841</v>
          </cell>
          <cell r="W48">
            <v>-28.414274215186481</v>
          </cell>
          <cell r="X48">
            <v>8214</v>
          </cell>
          <cell r="Y48">
            <v>1.2443154447208244</v>
          </cell>
          <cell r="Z48">
            <v>53.935532233883066</v>
          </cell>
          <cell r="AA48">
            <v>8431</v>
          </cell>
          <cell r="AB48">
            <v>1.3230390195293804</v>
          </cell>
          <cell r="AC48">
            <v>2.6418310202094091</v>
          </cell>
          <cell r="AD48">
            <v>6157</v>
          </cell>
          <cell r="AE48">
            <v>0.95953047370291178</v>
          </cell>
          <cell r="AF48">
            <v>-26.971889455580595</v>
          </cell>
          <cell r="AG48">
            <v>35089</v>
          </cell>
          <cell r="AH48">
            <v>5.0423851204444441</v>
          </cell>
          <cell r="AI48">
            <v>469.90417411076817</v>
          </cell>
        </row>
        <row r="49">
          <cell r="B49" t="str">
            <v>고정부채</v>
          </cell>
          <cell r="C49">
            <v>63413</v>
          </cell>
          <cell r="D49">
            <v>19.135113278373908</v>
          </cell>
          <cell r="F49">
            <v>77495</v>
          </cell>
          <cell r="G49">
            <v>19.076067959492129</v>
          </cell>
          <cell r="H49">
            <v>22.206803021462477</v>
          </cell>
          <cell r="I49">
            <v>102329</v>
          </cell>
          <cell r="J49">
            <v>22.891113472400875</v>
          </cell>
          <cell r="K49">
            <v>32.045938447641788</v>
          </cell>
          <cell r="L49">
            <v>108538</v>
          </cell>
          <cell r="M49">
            <v>20.549239376354876</v>
          </cell>
          <cell r="N49">
            <v>6.0676836478417613</v>
          </cell>
          <cell r="O49">
            <v>159737</v>
          </cell>
          <cell r="P49">
            <v>23.30022171655289</v>
          </cell>
          <cell r="Q49">
            <v>47.171497540032078</v>
          </cell>
          <cell r="R49">
            <v>153967</v>
          </cell>
          <cell r="S49">
            <v>23.956129104533346</v>
          </cell>
          <cell r="T49">
            <v>-3.6121875332577957</v>
          </cell>
          <cell r="U49">
            <v>157895</v>
          </cell>
          <cell r="V49">
            <v>23.68668972904209</v>
          </cell>
          <cell r="W49">
            <v>2.5511960355140957</v>
          </cell>
          <cell r="X49">
            <v>156419</v>
          </cell>
          <cell r="Y49">
            <v>23.695468413414488</v>
          </cell>
          <cell r="Z49">
            <v>-0.9347984420025881</v>
          </cell>
          <cell r="AA49">
            <v>185150</v>
          </cell>
          <cell r="AB49">
            <v>29.054759158565385</v>
          </cell>
          <cell r="AC49">
            <v>18.367973200186682</v>
          </cell>
          <cell r="AD49">
            <v>108038</v>
          </cell>
          <cell r="AE49">
            <v>16.83705592300068</v>
          </cell>
          <cell r="AF49">
            <v>-41.648393194706991</v>
          </cell>
          <cell r="AG49">
            <v>149549</v>
          </cell>
          <cell r="AH49">
            <v>21.490599685865831</v>
          </cell>
          <cell r="AI49">
            <v>38.422592050945042</v>
          </cell>
        </row>
        <row r="50">
          <cell r="B50" t="str">
            <v xml:space="preserve">  사채</v>
          </cell>
          <cell r="C50">
            <v>7824</v>
          </cell>
          <cell r="D50">
            <v>2.3609216767854773</v>
          </cell>
          <cell r="F50">
            <v>20498</v>
          </cell>
          <cell r="G50">
            <v>5.0457609011377453</v>
          </cell>
          <cell r="H50">
            <v>161.98875255623722</v>
          </cell>
          <cell r="I50">
            <v>30347</v>
          </cell>
          <cell r="J50">
            <v>6.7886583524411392</v>
          </cell>
          <cell r="K50">
            <v>48.048590106351838</v>
          </cell>
          <cell r="L50">
            <v>29735</v>
          </cell>
          <cell r="M50">
            <v>5.6296562757367212</v>
          </cell>
          <cell r="N50">
            <v>-2.0166738063070397</v>
          </cell>
          <cell r="O50">
            <v>83829</v>
          </cell>
          <cell r="P50">
            <v>12.227813758095571</v>
          </cell>
          <cell r="Q50">
            <v>181.92029594753654</v>
          </cell>
          <cell r="R50">
            <v>70170</v>
          </cell>
          <cell r="S50">
            <v>10.917934227887176</v>
          </cell>
          <cell r="T50">
            <v>-16.293883978098265</v>
          </cell>
          <cell r="U50">
            <v>53532</v>
          </cell>
          <cell r="V50">
            <v>8.0306271545969246</v>
          </cell>
          <cell r="W50">
            <v>-23.710987601539131</v>
          </cell>
          <cell r="X50">
            <v>39940</v>
          </cell>
          <cell r="Y50">
            <v>6.0503967448441349</v>
          </cell>
          <cell r="Z50">
            <v>-25.390420682955991</v>
          </cell>
          <cell r="AA50">
            <v>39931</v>
          </cell>
          <cell r="AB50">
            <v>6.2661927516104488</v>
          </cell>
          <cell r="AC50">
            <v>-2.2533800701054929E-2</v>
          </cell>
          <cell r="AD50">
            <v>30000</v>
          </cell>
          <cell r="AE50">
            <v>4.6753149603844983</v>
          </cell>
          <cell r="AF50">
            <v>-24.870401442488287</v>
          </cell>
          <cell r="AG50">
            <v>40000</v>
          </cell>
          <cell r="AH50">
            <v>5.7481092313197228</v>
          </cell>
          <cell r="AI50">
            <v>33.333333333333314</v>
          </cell>
        </row>
        <row r="51">
          <cell r="B51" t="str">
            <v xml:space="preserve">  장기차입금</v>
          </cell>
          <cell r="C51">
            <v>0</v>
          </cell>
          <cell r="D51">
            <v>0</v>
          </cell>
          <cell r="F51">
            <v>0</v>
          </cell>
          <cell r="G51">
            <v>0</v>
          </cell>
          <cell r="H51" t="str">
            <v xml:space="preserve">─ </v>
          </cell>
          <cell r="I51">
            <v>13480</v>
          </cell>
          <cell r="J51">
            <v>3.0154913036183659</v>
          </cell>
          <cell r="K51" t="str">
            <v xml:space="preserve">─ </v>
          </cell>
          <cell r="L51">
            <v>17760</v>
          </cell>
          <cell r="M51">
            <v>3.3624582295975842</v>
          </cell>
          <cell r="N51">
            <v>31.750741839762611</v>
          </cell>
          <cell r="O51">
            <v>16112</v>
          </cell>
          <cell r="P51">
            <v>2.3501954606453119</v>
          </cell>
          <cell r="Q51">
            <v>-9.2792792792792795</v>
          </cell>
          <cell r="R51">
            <v>26312</v>
          </cell>
          <cell r="S51">
            <v>4.0939530483706337</v>
          </cell>
          <cell r="T51">
            <v>63.306852035749756</v>
          </cell>
          <cell r="U51">
            <v>41204</v>
          </cell>
          <cell r="V51">
            <v>6.1812366673767398</v>
          </cell>
          <cell r="W51">
            <v>56.597750076010954</v>
          </cell>
          <cell r="X51">
            <v>53804</v>
          </cell>
          <cell r="Y51">
            <v>8.1506145833648933</v>
          </cell>
          <cell r="Z51">
            <v>30.579555382972529</v>
          </cell>
          <cell r="AA51">
            <v>15860</v>
          </cell>
          <cell r="AB51">
            <v>2.4888386727239915</v>
          </cell>
          <cell r="AC51">
            <v>-70.522637722102445</v>
          </cell>
          <cell r="AD51">
            <v>6860</v>
          </cell>
          <cell r="AE51">
            <v>1.0690886876079218</v>
          </cell>
          <cell r="AF51">
            <v>-56.746532156368225</v>
          </cell>
          <cell r="AG51">
            <v>37860</v>
          </cell>
          <cell r="AH51">
            <v>5.4405853874441172</v>
          </cell>
          <cell r="AI51">
            <v>451.8950437317784</v>
          </cell>
        </row>
        <row r="52">
          <cell r="B52" t="str">
            <v xml:space="preserve">  퇴직급여충당금</v>
          </cell>
          <cell r="C52">
            <v>7647</v>
          </cell>
          <cell r="D52">
            <v>2.3075112554164807</v>
          </cell>
          <cell r="F52">
            <v>9459</v>
          </cell>
          <cell r="G52">
            <v>2.3284150826354733</v>
          </cell>
          <cell r="H52">
            <v>23.695566888976074</v>
          </cell>
          <cell r="I52">
            <v>11989</v>
          </cell>
          <cell r="J52">
            <v>2.6819529109110229</v>
          </cell>
          <cell r="K52">
            <v>26.747013426366422</v>
          </cell>
          <cell r="L52">
            <v>15061</v>
          </cell>
          <cell r="M52">
            <v>2.8514630290523204</v>
          </cell>
          <cell r="N52">
            <v>25.623488197514391</v>
          </cell>
          <cell r="O52">
            <v>18227</v>
          </cell>
          <cell r="P52">
            <v>2.6587023747009741</v>
          </cell>
          <cell r="Q52">
            <v>21.021180532501177</v>
          </cell>
          <cell r="R52">
            <v>19783</v>
          </cell>
          <cell r="S52">
            <v>3.0780888247155769</v>
          </cell>
          <cell r="T52">
            <v>8.5367860865748639</v>
          </cell>
          <cell r="U52">
            <v>16193</v>
          </cell>
          <cell r="V52">
            <v>2.4292002076213852</v>
          </cell>
          <cell r="W52">
            <v>-18.146893797705104</v>
          </cell>
          <cell r="X52">
            <v>16815</v>
          </cell>
          <cell r="Y52">
            <v>2.5472564162382105</v>
          </cell>
          <cell r="Z52">
            <v>3.841165935898232</v>
          </cell>
          <cell r="AA52">
            <v>18289</v>
          </cell>
          <cell r="AB52">
            <v>2.8700107493977982</v>
          </cell>
          <cell r="AC52">
            <v>8.7659827534939012</v>
          </cell>
          <cell r="AD52">
            <v>18431</v>
          </cell>
          <cell r="AE52">
            <v>2.8723576678282225</v>
          </cell>
          <cell r="AF52">
            <v>0.77642298649460884</v>
          </cell>
          <cell r="AG52">
            <v>19406</v>
          </cell>
          <cell r="AH52">
            <v>2.7886951935747635</v>
          </cell>
          <cell r="AI52">
            <v>5.2900005425641723</v>
          </cell>
        </row>
        <row r="53">
          <cell r="B53" t="str">
            <v xml:space="preserve">  기타고정부채</v>
          </cell>
          <cell r="C53">
            <v>47942</v>
          </cell>
          <cell r="D53">
            <v>14.46668034617195</v>
          </cell>
          <cell r="F53">
            <v>47538</v>
          </cell>
          <cell r="G53">
            <v>11.701891975718906</v>
          </cell>
          <cell r="H53">
            <v>-0.84268491093403952</v>
          </cell>
          <cell r="I53">
            <v>46513</v>
          </cell>
          <cell r="J53">
            <v>10.405010905430345</v>
          </cell>
          <cell r="K53">
            <v>-2.1561698010013117</v>
          </cell>
          <cell r="L53">
            <v>45982</v>
          </cell>
          <cell r="M53">
            <v>8.7056618419682508</v>
          </cell>
          <cell r="N53">
            <v>-1.1416163223184981</v>
          </cell>
          <cell r="O53">
            <v>41569</v>
          </cell>
          <cell r="P53">
            <v>6.0635101231110333</v>
          </cell>
          <cell r="Q53">
            <v>-9.5972337001435335</v>
          </cell>
          <cell r="R53">
            <v>37702</v>
          </cell>
          <cell r="S53">
            <v>5.8661530035599592</v>
          </cell>
          <cell r="T53">
            <v>-9.3026053068392258</v>
          </cell>
          <cell r="U53">
            <v>46966</v>
          </cell>
          <cell r="V53">
            <v>7.0456256994470428</v>
          </cell>
          <cell r="W53">
            <v>24.571640761763305</v>
          </cell>
          <cell r="X53">
            <v>45860</v>
          </cell>
          <cell r="Y53">
            <v>6.9472006689672519</v>
          </cell>
          <cell r="Z53">
            <v>-2.3548950304475511</v>
          </cell>
          <cell r="AA53">
            <v>111070</v>
          </cell>
          <cell r="AB53">
            <v>17.429716984833149</v>
          </cell>
          <cell r="AC53">
            <v>142.19363279546445</v>
          </cell>
          <cell r="AD53">
            <v>52747</v>
          </cell>
          <cell r="AE53">
            <v>8.2202946071800369</v>
          </cell>
          <cell r="AF53">
            <v>-52.510128747636628</v>
          </cell>
          <cell r="AG53">
            <v>52283</v>
          </cell>
          <cell r="AH53">
            <v>7.5132098735272272</v>
          </cell>
          <cell r="AI53">
            <v>-0.87967088175631147</v>
          </cell>
        </row>
        <row r="54">
          <cell r="B54" t="str">
            <v>이연부채</v>
          </cell>
          <cell r="C54">
            <v>0</v>
          </cell>
          <cell r="D54">
            <v>0</v>
          </cell>
          <cell r="F54">
            <v>0</v>
          </cell>
          <cell r="G54">
            <v>0</v>
          </cell>
          <cell r="H54" t="str">
            <v xml:space="preserve">─ </v>
          </cell>
          <cell r="I54">
            <v>0</v>
          </cell>
          <cell r="J54">
            <v>0</v>
          </cell>
          <cell r="K54" t="str">
            <v xml:space="preserve">─ </v>
          </cell>
          <cell r="L54">
            <v>0</v>
          </cell>
          <cell r="M54">
            <v>0</v>
          </cell>
          <cell r="N54" t="str">
            <v xml:space="preserve">─ </v>
          </cell>
          <cell r="O54">
            <v>0</v>
          </cell>
          <cell r="P54">
            <v>0</v>
          </cell>
          <cell r="Q54" t="str">
            <v xml:space="preserve">─ </v>
          </cell>
          <cell r="R54">
            <v>0</v>
          </cell>
          <cell r="S54">
            <v>0</v>
          </cell>
          <cell r="T54" t="str">
            <v xml:space="preserve">─ </v>
          </cell>
          <cell r="U54">
            <v>0</v>
          </cell>
          <cell r="V54">
            <v>0</v>
          </cell>
          <cell r="W54" t="str">
            <v xml:space="preserve">─ </v>
          </cell>
          <cell r="X54">
            <v>0</v>
          </cell>
          <cell r="Y54">
            <v>0</v>
          </cell>
          <cell r="Z54" t="str">
            <v xml:space="preserve">─ </v>
          </cell>
          <cell r="AA54">
            <v>0</v>
          </cell>
          <cell r="AB54">
            <v>0</v>
          </cell>
          <cell r="AC54" t="str">
            <v xml:space="preserve">─ </v>
          </cell>
          <cell r="AD54">
            <v>0</v>
          </cell>
          <cell r="AE54">
            <v>0</v>
          </cell>
          <cell r="AF54" t="str">
            <v xml:space="preserve">─ </v>
          </cell>
          <cell r="AG54">
            <v>0</v>
          </cell>
          <cell r="AH54">
            <v>0</v>
          </cell>
          <cell r="AI54" t="str">
            <v xml:space="preserve">─ </v>
          </cell>
        </row>
        <row r="55">
          <cell r="B55" t="str">
            <v>부채총계</v>
          </cell>
          <cell r="C55">
            <v>243435</v>
          </cell>
          <cell r="D55">
            <v>73.45743460995304</v>
          </cell>
          <cell r="F55">
            <v>289669</v>
          </cell>
          <cell r="G55">
            <v>71.304542612531449</v>
          </cell>
          <cell r="H55">
            <v>18.992338817343438</v>
          </cell>
          <cell r="I55">
            <v>333051</v>
          </cell>
          <cell r="J55">
            <v>74.503886807225555</v>
          </cell>
          <cell r="K55">
            <v>14.976404102613671</v>
          </cell>
          <cell r="L55">
            <v>416923</v>
          </cell>
          <cell r="M55">
            <v>78.935032233024415</v>
          </cell>
          <cell r="N55">
            <v>25.182929941660575</v>
          </cell>
          <cell r="O55">
            <v>442034</v>
          </cell>
          <cell r="P55">
            <v>64.477799171480257</v>
          </cell>
          <cell r="Q55">
            <v>6.022934690578353</v>
          </cell>
          <cell r="R55">
            <v>386665</v>
          </cell>
          <cell r="S55">
            <v>60.162220866837615</v>
          </cell>
          <cell r="T55">
            <v>-12.525959541573727</v>
          </cell>
          <cell r="U55">
            <v>417376</v>
          </cell>
          <cell r="V55">
            <v>62.612849123459711</v>
          </cell>
          <cell r="W55">
            <v>7.9425342350613448</v>
          </cell>
          <cell r="X55">
            <v>409919</v>
          </cell>
          <cell r="Y55">
            <v>62.097460772402677</v>
          </cell>
          <cell r="Z55">
            <v>-1.7866384267423143</v>
          </cell>
          <cell r="AA55">
            <v>385816</v>
          </cell>
          <cell r="AB55">
            <v>60.544374612590133</v>
          </cell>
          <cell r="AC55">
            <v>-5.8799421349095837</v>
          </cell>
          <cell r="AD55">
            <v>381172</v>
          </cell>
          <cell r="AE55">
            <v>59.403305135989328</v>
          </cell>
          <cell r="AF55">
            <v>-1.2036825844443939</v>
          </cell>
          <cell r="AG55">
            <v>433317</v>
          </cell>
          <cell r="AH55">
            <v>62.268836194694209</v>
          </cell>
          <cell r="AI55">
            <v>13.680175878605993</v>
          </cell>
        </row>
        <row r="56">
          <cell r="B56" t="str">
            <v>자본금</v>
          </cell>
          <cell r="C56">
            <v>26635</v>
          </cell>
          <cell r="D56">
            <v>8.0372122777583304</v>
          </cell>
          <cell r="F56">
            <v>33000</v>
          </cell>
          <cell r="G56">
            <v>8.1232368883571873</v>
          </cell>
          <cell r="H56">
            <v>23.897127839309178</v>
          </cell>
          <cell r="I56">
            <v>33615</v>
          </cell>
          <cell r="J56">
            <v>7.5197136625468373</v>
          </cell>
          <cell r="K56">
            <v>1.8636363636363598</v>
          </cell>
          <cell r="L56">
            <v>33615</v>
          </cell>
          <cell r="M56">
            <v>6.3642473754461024</v>
          </cell>
          <cell r="N56">
            <v>0</v>
          </cell>
          <cell r="O56">
            <v>33615</v>
          </cell>
          <cell r="P56">
            <v>4.903290740416594</v>
          </cell>
          <cell r="Q56">
            <v>0</v>
          </cell>
          <cell r="R56">
            <v>33615</v>
          </cell>
          <cell r="S56">
            <v>5.2302459608155543</v>
          </cell>
          <cell r="T56">
            <v>0</v>
          </cell>
          <cell r="U56">
            <v>34570</v>
          </cell>
          <cell r="V56">
            <v>5.1860341615186361</v>
          </cell>
          <cell r="W56">
            <v>2.8409936040458206</v>
          </cell>
          <cell r="X56">
            <v>34887</v>
          </cell>
          <cell r="Y56">
            <v>5.2849321792032384</v>
          </cell>
          <cell r="Z56">
            <v>0.91698004049753479</v>
          </cell>
          <cell r="AA56">
            <v>35528</v>
          </cell>
          <cell r="AB56">
            <v>5.5752497077262282</v>
          </cell>
          <cell r="AC56">
            <v>1.837360621434911</v>
          </cell>
          <cell r="AD56">
            <v>36182</v>
          </cell>
          <cell r="AE56">
            <v>5.6387415298877297</v>
          </cell>
          <cell r="AF56">
            <v>1.8408016212564888</v>
          </cell>
          <cell r="AG56">
            <v>37183</v>
          </cell>
          <cell r="AH56">
            <v>5.3432986387040309</v>
          </cell>
          <cell r="AI56">
            <v>2.76656901221601</v>
          </cell>
        </row>
        <row r="57">
          <cell r="B57" t="str">
            <v>자본잉여금</v>
          </cell>
          <cell r="C57">
            <v>28545</v>
          </cell>
          <cell r="D57">
            <v>8.613562022474623</v>
          </cell>
          <cell r="F57">
            <v>51838</v>
          </cell>
          <cell r="G57">
            <v>12.760374358141208</v>
          </cell>
          <cell r="H57">
            <v>81.600980907339306</v>
          </cell>
          <cell r="I57">
            <v>51838</v>
          </cell>
          <cell r="J57">
            <v>11.596219450813713</v>
          </cell>
          <cell r="K57">
            <v>0</v>
          </cell>
          <cell r="L57">
            <v>51838</v>
          </cell>
          <cell r="M57">
            <v>9.814364285240968</v>
          </cell>
          <cell r="N57">
            <v>0</v>
          </cell>
          <cell r="O57">
            <v>188251</v>
          </cell>
          <cell r="P57">
            <v>27.459449209405452</v>
          </cell>
          <cell r="Q57">
            <v>263.15251360006175</v>
          </cell>
          <cell r="R57">
            <v>188251</v>
          </cell>
          <cell r="S57">
            <v>29.290466528915331</v>
          </cell>
          <cell r="T57">
            <v>0</v>
          </cell>
          <cell r="U57">
            <v>188251</v>
          </cell>
          <cell r="V57">
            <v>28.240558777554085</v>
          </cell>
          <cell r="W57">
            <v>0</v>
          </cell>
          <cell r="X57">
            <v>188251</v>
          </cell>
          <cell r="Y57">
            <v>28.517607351368383</v>
          </cell>
          <cell r="Z57">
            <v>0</v>
          </cell>
          <cell r="AA57">
            <v>188251</v>
          </cell>
          <cell r="AB57">
            <v>29.541385181523587</v>
          </cell>
          <cell r="AC57">
            <v>0</v>
          </cell>
          <cell r="AD57">
            <v>188251</v>
          </cell>
          <cell r="AE57">
            <v>29.337757220244736</v>
          </cell>
          <cell r="AF57">
            <v>0</v>
          </cell>
          <cell r="AG57">
            <v>188251</v>
          </cell>
          <cell r="AH57">
            <v>27.05218277262923</v>
          </cell>
          <cell r="AI57">
            <v>0</v>
          </cell>
        </row>
        <row r="58">
          <cell r="B58" t="str">
            <v>이익잉여금</v>
          </cell>
          <cell r="C58">
            <v>32226</v>
          </cell>
          <cell r="D58">
            <v>9.7243177346739245</v>
          </cell>
          <cell r="F58">
            <v>31729</v>
          </cell>
          <cell r="G58">
            <v>7.8103691888086413</v>
          </cell>
          <cell r="H58">
            <v>-1.5422329795816978</v>
          </cell>
          <cell r="I58">
            <v>29327</v>
          </cell>
          <cell r="J58">
            <v>6.5604831944522113</v>
          </cell>
          <cell r="K58">
            <v>-7.5703614989441803</v>
          </cell>
          <cell r="L58">
            <v>28686</v>
          </cell>
          <cell r="M58">
            <v>5.4310516201709635</v>
          </cell>
          <cell r="N58">
            <v>-2.1856991850513197</v>
          </cell>
          <cell r="O58">
            <v>28163</v>
          </cell>
          <cell r="P58">
            <v>4.1080284730731078</v>
          </cell>
          <cell r="Q58">
            <v>-1.8231890120616328</v>
          </cell>
          <cell r="R58">
            <v>31727</v>
          </cell>
          <cell r="S58">
            <v>4.9364870920361472</v>
          </cell>
          <cell r="T58">
            <v>12.6549018215389</v>
          </cell>
          <cell r="U58">
            <v>29332</v>
          </cell>
          <cell r="V58">
            <v>4.4002532260822864</v>
          </cell>
          <cell r="W58">
            <v>-7.5487754909068059</v>
          </cell>
          <cell r="X58">
            <v>29596</v>
          </cell>
          <cell r="Y58">
            <v>4.4834136720182025</v>
          </cell>
          <cell r="Z58">
            <v>0.90004091095050853</v>
          </cell>
          <cell r="AA58">
            <v>32934</v>
          </cell>
          <cell r="AB58">
            <v>5.1681849210272341</v>
          </cell>
          <cell r="AC58">
            <v>11.278551155561559</v>
          </cell>
          <cell r="AD58">
            <v>40769</v>
          </cell>
          <cell r="AE58">
            <v>6.3535971873305206</v>
          </cell>
          <cell r="AF58">
            <v>23.790004250926103</v>
          </cell>
          <cell r="AG58">
            <v>41630</v>
          </cell>
          <cell r="AH58">
            <v>5.9823446824960014</v>
          </cell>
          <cell r="AI58">
            <v>2.1118987465966796</v>
          </cell>
        </row>
        <row r="59">
          <cell r="B59" t="str">
            <v>자본조정</v>
          </cell>
          <cell r="C59">
            <v>553</v>
          </cell>
          <cell r="D59">
            <v>0.16686984755398374</v>
          </cell>
          <cell r="F59">
            <v>6</v>
          </cell>
          <cell r="G59">
            <v>1.4769521615194884E-3</v>
          </cell>
          <cell r="H59">
            <v>-98.915009041591318</v>
          </cell>
          <cell r="I59">
            <v>-807</v>
          </cell>
          <cell r="J59">
            <v>-0.18052681617359206</v>
          </cell>
          <cell r="K59">
            <v>-13550</v>
          </cell>
          <cell r="L59">
            <v>-2877</v>
          </cell>
          <cell r="M59">
            <v>-0.54469551388244652</v>
          </cell>
          <cell r="N59">
            <v>256.50557620817847</v>
          </cell>
          <cell r="O59">
            <v>-6503</v>
          </cell>
          <cell r="P59">
            <v>-0.94856759437540117</v>
          </cell>
          <cell r="Q59">
            <v>126.03406326034064</v>
          </cell>
          <cell r="R59">
            <v>2446</v>
          </cell>
          <cell r="S59">
            <v>0.3805795513953546</v>
          </cell>
          <cell r="T59">
            <v>-137.61340919575582</v>
          </cell>
          <cell r="U59">
            <v>-2931</v>
          </cell>
          <cell r="V59">
            <v>-0.43969528861472734</v>
          </cell>
          <cell r="W59">
            <v>-219.82829108748979</v>
          </cell>
          <cell r="X59">
            <v>-2531</v>
          </cell>
          <cell r="Y59">
            <v>-0.38341397499250141</v>
          </cell>
          <cell r="Z59">
            <v>-13.647219379051521</v>
          </cell>
          <cell r="AA59">
            <v>-5284</v>
          </cell>
          <cell r="AB59">
            <v>-0.82919442286718614</v>
          </cell>
          <cell r="AC59">
            <v>108.77123666534968</v>
          </cell>
          <cell r="AD59">
            <v>-4707</v>
          </cell>
          <cell r="AE59">
            <v>-0.7335569172843277</v>
          </cell>
          <cell r="AF59">
            <v>-10.919757759273267</v>
          </cell>
          <cell r="AG59">
            <v>-4500</v>
          </cell>
          <cell r="AH59">
            <v>-0.64666228852346885</v>
          </cell>
          <cell r="AI59">
            <v>-4.3977055449330891</v>
          </cell>
        </row>
        <row r="60">
          <cell r="B60" t="str">
            <v>자본총계</v>
          </cell>
          <cell r="C60">
            <v>87960</v>
          </cell>
          <cell r="D60">
            <v>26.54226363625391</v>
          </cell>
          <cell r="F60">
            <v>116573</v>
          </cell>
          <cell r="G60">
            <v>28.695457387468554</v>
          </cell>
          <cell r="H60">
            <v>32.529558890404729</v>
          </cell>
          <cell r="I60">
            <v>113974</v>
          </cell>
          <cell r="J60">
            <v>25.496113192774455</v>
          </cell>
          <cell r="K60">
            <v>-2.2295042591337619</v>
          </cell>
          <cell r="L60">
            <v>111262</v>
          </cell>
          <cell r="M60">
            <v>21.064967766975588</v>
          </cell>
          <cell r="N60">
            <v>-2.3794900591362875</v>
          </cell>
          <cell r="O60">
            <v>243526</v>
          </cell>
          <cell r="P60">
            <v>35.52220082851975</v>
          </cell>
          <cell r="Q60">
            <v>118.87616616634608</v>
          </cell>
          <cell r="R60">
            <v>256039</v>
          </cell>
          <cell r="S60">
            <v>39.837779133162385</v>
          </cell>
          <cell r="T60">
            <v>5.1382603910875986</v>
          </cell>
          <cell r="U60">
            <v>249221</v>
          </cell>
          <cell r="V60">
            <v>37.387000861088694</v>
          </cell>
          <cell r="W60">
            <v>-2.6628755775487321</v>
          </cell>
          <cell r="X60">
            <v>250203</v>
          </cell>
          <cell r="Y60">
            <v>37.902539227597323</v>
          </cell>
          <cell r="Z60">
            <v>0.39402779059550141</v>
          </cell>
          <cell r="AA60">
            <v>251429</v>
          </cell>
          <cell r="AB60">
            <v>39.455625387409867</v>
          </cell>
          <cell r="AC60">
            <v>0.49000211827996054</v>
          </cell>
          <cell r="AD60">
            <v>260496</v>
          </cell>
          <cell r="AE60">
            <v>40.596694864010672</v>
          </cell>
          <cell r="AF60">
            <v>3.6061870349084728</v>
          </cell>
          <cell r="AG60">
            <v>262564</v>
          </cell>
          <cell r="AH60">
            <v>37.731163805305791</v>
          </cell>
          <cell r="AI60">
            <v>0.79387015539586514</v>
          </cell>
        </row>
        <row r="61">
          <cell r="B61" t="str">
            <v>부채와자본총계</v>
          </cell>
          <cell r="C61">
            <v>331396</v>
          </cell>
          <cell r="D61">
            <v>100</v>
          </cell>
          <cell r="F61">
            <v>406242</v>
          </cell>
          <cell r="G61">
            <v>100</v>
          </cell>
          <cell r="H61">
            <v>22.585064394259447</v>
          </cell>
          <cell r="I61">
            <v>447025</v>
          </cell>
          <cell r="J61">
            <v>100</v>
          </cell>
          <cell r="K61">
            <v>10.039090000541549</v>
          </cell>
          <cell r="L61">
            <v>528185</v>
          </cell>
          <cell r="M61">
            <v>100</v>
          </cell>
          <cell r="N61">
            <v>18.155584139589507</v>
          </cell>
          <cell r="O61">
            <v>685560</v>
          </cell>
          <cell r="P61">
            <v>100</v>
          </cell>
          <cell r="Q61">
            <v>29.795431524939175</v>
          </cell>
          <cell r="R61">
            <v>642704</v>
          </cell>
          <cell r="S61">
            <v>100</v>
          </cell>
          <cell r="T61">
            <v>-6.2512398623023557</v>
          </cell>
          <cell r="U61">
            <v>666598</v>
          </cell>
          <cell r="V61">
            <v>100</v>
          </cell>
          <cell r="W61">
            <v>3.7177300903681925</v>
          </cell>
          <cell r="X61">
            <v>660122</v>
          </cell>
          <cell r="Y61">
            <v>100</v>
          </cell>
          <cell r="Z61">
            <v>-0.9715000645066425</v>
          </cell>
          <cell r="AA61">
            <v>637245</v>
          </cell>
          <cell r="AB61">
            <v>100</v>
          </cell>
          <cell r="AC61">
            <v>-3.4655715155683282</v>
          </cell>
          <cell r="AD61">
            <v>641668</v>
          </cell>
          <cell r="AE61">
            <v>100</v>
          </cell>
          <cell r="AF61">
            <v>0.69408155419030493</v>
          </cell>
          <cell r="AG61">
            <v>695881</v>
          </cell>
          <cell r="AH61">
            <v>100</v>
          </cell>
          <cell r="AI61">
            <v>8.448761664910819</v>
          </cell>
        </row>
        <row r="62">
          <cell r="B62" t="str">
            <v>총차입금</v>
          </cell>
          <cell r="C62">
            <v>113143</v>
          </cell>
          <cell r="D62">
            <v>34.141329406510643</v>
          </cell>
          <cell r="F62">
            <v>155594</v>
          </cell>
          <cell r="G62">
            <v>38.300815769910542</v>
          </cell>
          <cell r="H62">
            <v>37.519775858868883</v>
          </cell>
          <cell r="I62">
            <v>183929</v>
          </cell>
          <cell r="J62">
            <v>41.145126111515019</v>
          </cell>
          <cell r="K62">
            <v>18.210856459760663</v>
          </cell>
          <cell r="L62">
            <v>205778</v>
          </cell>
          <cell r="M62">
            <v>38.959455493813721</v>
          </cell>
          <cell r="N62">
            <v>11.879040281847892</v>
          </cell>
          <cell r="O62">
            <v>254320</v>
          </cell>
          <cell r="P62">
            <v>37.096680086352762</v>
          </cell>
          <cell r="Q62">
            <v>23.58949936339161</v>
          </cell>
          <cell r="R62">
            <v>229489</v>
          </cell>
          <cell r="S62">
            <v>35.706795040951974</v>
          </cell>
          <cell r="T62">
            <v>-9.763683548285627</v>
          </cell>
          <cell r="U62">
            <v>225527</v>
          </cell>
          <cell r="V62">
            <v>33.832534751079365</v>
          </cell>
          <cell r="W62">
            <v>-1.7264444047427077</v>
          </cell>
          <cell r="X62">
            <v>227456</v>
          </cell>
          <cell r="Y62">
            <v>34.456661041443851</v>
          </cell>
          <cell r="Z62">
            <v>0.85532996049253995</v>
          </cell>
          <cell r="AA62">
            <v>125161</v>
          </cell>
          <cell r="AB62">
            <v>19.64095442098408</v>
          </cell>
          <cell r="AC62">
            <v>-44.973533342712436</v>
          </cell>
          <cell r="AD62">
            <v>146054</v>
          </cell>
          <cell r="AE62">
            <v>22.761615040799914</v>
          </cell>
          <cell r="AF62">
            <v>16.692899545385558</v>
          </cell>
          <cell r="AG62">
            <v>125026</v>
          </cell>
          <cell r="AH62">
            <v>17.966577618874492</v>
          </cell>
          <cell r="AI62">
            <v>-14.397414654853677</v>
          </cell>
        </row>
        <row r="63">
          <cell r="B63" t="str">
            <v>순차입금</v>
          </cell>
          <cell r="C63">
            <v>101591</v>
          </cell>
          <cell r="D63">
            <v>30.655469589252739</v>
          </cell>
          <cell r="F63">
            <v>139051</v>
          </cell>
          <cell r="G63">
            <v>34.228612501907726</v>
          </cell>
          <cell r="H63">
            <v>36.873345079780677</v>
          </cell>
          <cell r="I63">
            <v>168271</v>
          </cell>
          <cell r="J63">
            <v>37.642413735249711</v>
          </cell>
          <cell r="K63">
            <v>21.013872607892068</v>
          </cell>
          <cell r="L63">
            <v>149548</v>
          </cell>
          <cell r="M63">
            <v>28.313564376118215</v>
          </cell>
          <cell r="N63">
            <v>-11.126694439327039</v>
          </cell>
          <cell r="O63">
            <v>205060</v>
          </cell>
          <cell r="P63">
            <v>29.911313378843573</v>
          </cell>
          <cell r="Q63">
            <v>37.119854494877899</v>
          </cell>
          <cell r="R63">
            <v>215069</v>
          </cell>
          <cell r="S63">
            <v>33.463149443600784</v>
          </cell>
          <cell r="T63">
            <v>4.8810104359699551</v>
          </cell>
          <cell r="U63">
            <v>211485</v>
          </cell>
          <cell r="V63">
            <v>31.726017779831324</v>
          </cell>
          <cell r="W63">
            <v>-1.6664419325890805</v>
          </cell>
          <cell r="X63">
            <v>191032</v>
          </cell>
          <cell r="Y63">
            <v>28.938893113697166</v>
          </cell>
          <cell r="Z63">
            <v>-9.6711350686809965</v>
          </cell>
          <cell r="AA63">
            <v>119017</v>
          </cell>
          <cell r="AB63">
            <v>18.676804054955316</v>
          </cell>
          <cell r="AC63">
            <v>-37.697872607730645</v>
          </cell>
          <cell r="AD63">
            <v>125124</v>
          </cell>
          <cell r="AE63">
            <v>19.499803636771667</v>
          </cell>
          <cell r="AF63">
            <v>5.1311997445743032</v>
          </cell>
          <cell r="AG63">
            <v>116142</v>
          </cell>
          <cell r="AH63">
            <v>16.689922558598379</v>
          </cell>
          <cell r="AI63">
            <v>-7.1784789488826988</v>
          </cell>
        </row>
        <row r="64">
          <cell r="B64" t="str">
            <v>외화차입금</v>
          </cell>
          <cell r="C64">
            <v>0</v>
          </cell>
          <cell r="D64">
            <v>0</v>
          </cell>
          <cell r="F64">
            <v>0</v>
          </cell>
          <cell r="G64">
            <v>0</v>
          </cell>
          <cell r="H64" t="str">
            <v xml:space="preserve">─ </v>
          </cell>
          <cell r="I64">
            <v>0</v>
          </cell>
          <cell r="J64">
            <v>0</v>
          </cell>
          <cell r="K64" t="str">
            <v xml:space="preserve">─ </v>
          </cell>
          <cell r="L64">
            <v>3892</v>
          </cell>
          <cell r="M64">
            <v>0.73686303094559669</v>
          </cell>
          <cell r="N64" t="str">
            <v xml:space="preserve">─ </v>
          </cell>
          <cell r="O64">
            <v>966</v>
          </cell>
          <cell r="P64">
            <v>0.14090670400840188</v>
          </cell>
          <cell r="Q64">
            <v>-75.17985611510791</v>
          </cell>
          <cell r="R64">
            <v>0</v>
          </cell>
          <cell r="S64">
            <v>0</v>
          </cell>
          <cell r="T64">
            <v>-100</v>
          </cell>
          <cell r="U64">
            <v>0</v>
          </cell>
          <cell r="V64">
            <v>0</v>
          </cell>
          <cell r="W64" t="str">
            <v xml:space="preserve">─ </v>
          </cell>
          <cell r="X64">
            <v>0</v>
          </cell>
          <cell r="Y64">
            <v>0</v>
          </cell>
          <cell r="Z64" t="str">
            <v xml:space="preserve">─ </v>
          </cell>
          <cell r="AA64">
            <v>0</v>
          </cell>
          <cell r="AB64">
            <v>0</v>
          </cell>
          <cell r="AC64" t="str">
            <v xml:space="preserve">─ </v>
          </cell>
          <cell r="AD64">
            <v>0</v>
          </cell>
          <cell r="AE64">
            <v>0</v>
          </cell>
          <cell r="AF64" t="str">
            <v xml:space="preserve">─ </v>
          </cell>
          <cell r="AG64">
            <v>0</v>
          </cell>
          <cell r="AH64">
            <v>0</v>
          </cell>
          <cell r="AI64" t="str">
            <v xml:space="preserve">─ </v>
          </cell>
        </row>
        <row r="65">
          <cell r="B65" t="str">
            <v>운전자금</v>
          </cell>
          <cell r="C65">
            <v>74677</v>
          </cell>
          <cell r="D65">
            <v>22.5340680032348</v>
          </cell>
          <cell r="F65">
            <v>116412</v>
          </cell>
          <cell r="G65">
            <v>28.655825837801114</v>
          </cell>
          <cell r="H65">
            <v>55.887354874994998</v>
          </cell>
          <cell r="I65">
            <v>126464</v>
          </cell>
          <cell r="J65">
            <v>28.290140372462393</v>
          </cell>
          <cell r="K65">
            <v>8.634848641033571</v>
          </cell>
          <cell r="L65">
            <v>109621</v>
          </cell>
          <cell r="M65">
            <v>20.754281170423241</v>
          </cell>
          <cell r="N65">
            <v>-13.318414726720647</v>
          </cell>
          <cell r="O65">
            <v>170315</v>
          </cell>
          <cell r="P65">
            <v>24.843193885290855</v>
          </cell>
          <cell r="Q65">
            <v>55.367128561133342</v>
          </cell>
          <cell r="R65">
            <v>135115</v>
          </cell>
          <cell r="S65">
            <v>21.022897010132191</v>
          </cell>
          <cell r="T65">
            <v>-20.667586530839912</v>
          </cell>
          <cell r="U65">
            <v>122343</v>
          </cell>
          <cell r="V65">
            <v>18.353340394060588</v>
          </cell>
          <cell r="W65">
            <v>-9.4526884505791315</v>
          </cell>
          <cell r="X65">
            <v>115398</v>
          </cell>
          <cell r="Y65">
            <v>17.481314060128277</v>
          </cell>
          <cell r="Z65">
            <v>-5.6766631519580102</v>
          </cell>
          <cell r="AA65">
            <v>84415</v>
          </cell>
          <cell r="AB65">
            <v>13.246867374400741</v>
          </cell>
          <cell r="AC65">
            <v>-26.848818870344374</v>
          </cell>
          <cell r="AD65">
            <v>22086</v>
          </cell>
          <cell r="AE65">
            <v>3.4419668738350673</v>
          </cell>
          <cell r="AF65">
            <v>-73.836403482793344</v>
          </cell>
          <cell r="AG65">
            <v>28917</v>
          </cell>
          <cell r="AH65">
            <v>4.1554518660518101</v>
          </cell>
          <cell r="AI65">
            <v>30.929095354523213</v>
          </cell>
        </row>
        <row r="66">
          <cell r="B66" t="str">
            <v>어음할인등</v>
          </cell>
          <cell r="C66">
            <v>0</v>
          </cell>
          <cell r="D66">
            <v>0</v>
          </cell>
          <cell r="F66">
            <v>0</v>
          </cell>
          <cell r="G66">
            <v>0</v>
          </cell>
          <cell r="H66" t="str">
            <v xml:space="preserve">─ </v>
          </cell>
          <cell r="I66">
            <v>0</v>
          </cell>
          <cell r="J66">
            <v>0</v>
          </cell>
          <cell r="K66" t="str">
            <v xml:space="preserve">─ </v>
          </cell>
          <cell r="L66">
            <v>2540</v>
          </cell>
          <cell r="M66">
            <v>0.48089211166542029</v>
          </cell>
          <cell r="N66" t="str">
            <v xml:space="preserve">─ </v>
          </cell>
          <cell r="O66">
            <v>5800</v>
          </cell>
          <cell r="P66">
            <v>0.84602368866328259</v>
          </cell>
          <cell r="Q66">
            <v>128.34645669291339</v>
          </cell>
          <cell r="R66">
            <v>0</v>
          </cell>
          <cell r="S66">
            <v>0</v>
          </cell>
          <cell r="T66">
            <v>-100</v>
          </cell>
          <cell r="U66">
            <v>6660</v>
          </cell>
          <cell r="V66">
            <v>0.99910290759948273</v>
          </cell>
          <cell r="W66" t="str">
            <v xml:space="preserve">─ </v>
          </cell>
          <cell r="X66">
            <v>3144</v>
          </cell>
          <cell r="Y66">
            <v>0.47627559754106058</v>
          </cell>
          <cell r="Z66">
            <v>-52.792792792792795</v>
          </cell>
          <cell r="AA66">
            <v>0</v>
          </cell>
          <cell r="AB66">
            <v>0</v>
          </cell>
          <cell r="AC66">
            <v>-100</v>
          </cell>
          <cell r="AD66">
            <v>0</v>
          </cell>
          <cell r="AE66">
            <v>0</v>
          </cell>
          <cell r="AF66" t="str">
            <v xml:space="preserve">─ </v>
          </cell>
          <cell r="AG66">
            <v>0</v>
          </cell>
          <cell r="AH66">
            <v>0</v>
          </cell>
          <cell r="AI66" t="str">
            <v xml:space="preserve">─ </v>
          </cell>
        </row>
        <row r="67">
          <cell r="B67" t="str">
            <v>지급보증 및 담보제공</v>
          </cell>
          <cell r="C67">
            <v>0</v>
          </cell>
          <cell r="D67">
            <v>0</v>
          </cell>
          <cell r="F67">
            <v>0</v>
          </cell>
          <cell r="G67">
            <v>0</v>
          </cell>
          <cell r="H67" t="str">
            <v xml:space="preserve">─ </v>
          </cell>
          <cell r="I67">
            <v>0</v>
          </cell>
          <cell r="J67">
            <v>0</v>
          </cell>
          <cell r="K67" t="str">
            <v xml:space="preserve">─ </v>
          </cell>
          <cell r="L67">
            <v>0</v>
          </cell>
          <cell r="M67">
            <v>0</v>
          </cell>
          <cell r="N67" t="str">
            <v xml:space="preserve">─ </v>
          </cell>
          <cell r="O67">
            <v>0</v>
          </cell>
          <cell r="P67">
            <v>0</v>
          </cell>
          <cell r="Q67" t="str">
            <v xml:space="preserve">─ </v>
          </cell>
          <cell r="R67">
            <v>0</v>
          </cell>
          <cell r="S67">
            <v>0</v>
          </cell>
          <cell r="T67" t="str">
            <v xml:space="preserve">─ </v>
          </cell>
          <cell r="U67">
            <v>0</v>
          </cell>
          <cell r="V67">
            <v>0</v>
          </cell>
          <cell r="W67" t="str">
            <v xml:space="preserve">─ </v>
          </cell>
          <cell r="X67">
            <v>0</v>
          </cell>
          <cell r="Y67">
            <v>0</v>
          </cell>
          <cell r="Z67" t="str">
            <v xml:space="preserve">─ </v>
          </cell>
          <cell r="AA67">
            <v>0</v>
          </cell>
          <cell r="AB67">
            <v>0</v>
          </cell>
          <cell r="AC67" t="str">
            <v xml:space="preserve">─ </v>
          </cell>
          <cell r="AD67">
            <v>0</v>
          </cell>
          <cell r="AE67">
            <v>0</v>
          </cell>
          <cell r="AF67" t="str">
            <v xml:space="preserve">─ </v>
          </cell>
          <cell r="AG67">
            <v>0</v>
          </cell>
          <cell r="AH67">
            <v>0</v>
          </cell>
          <cell r="AI67" t="str">
            <v xml:space="preserve">─ </v>
          </cell>
        </row>
        <row r="68">
          <cell r="B68" t="str">
            <v>주:외화차입금은 해외사채 및 장기미지급금(연불채무) 제외금액이며 총차입금은 장기미지급금(연불채무) 포함임.</v>
          </cell>
          <cell r="AD68">
            <v>146054</v>
          </cell>
        </row>
        <row r="69">
          <cell r="B69" t="str">
            <v>손익계산서</v>
          </cell>
          <cell r="AF69" t="str">
            <v>삼부토건(주)</v>
          </cell>
          <cell r="AI69" t="str">
            <v>삼부토건(주)</v>
          </cell>
        </row>
        <row r="70">
          <cell r="AF70" t="str">
            <v>(단위:백만원,%)</v>
          </cell>
          <cell r="AI70" t="str">
            <v>(단위:백만원,%)</v>
          </cell>
        </row>
        <row r="71">
          <cell r="B71">
            <v>0</v>
          </cell>
          <cell r="C71" t="str">
            <v>'94.1 ~ '94.12</v>
          </cell>
          <cell r="F71" t="str">
            <v>'95.1 ~ '95.12</v>
          </cell>
          <cell r="I71" t="str">
            <v>'96.1 ~ '96.12</v>
          </cell>
          <cell r="L71" t="str">
            <v>'97.1 ~ '97.12</v>
          </cell>
          <cell r="O71" t="str">
            <v>'98.1 ~ '98.12</v>
          </cell>
          <cell r="R71" t="str">
            <v>'99.1 ~ '99.12</v>
          </cell>
          <cell r="U71" t="str">
            <v>'00.1 ~ '00.12</v>
          </cell>
          <cell r="X71" t="str">
            <v>'01.1 ~ '01.12</v>
          </cell>
          <cell r="AA71" t="str">
            <v>'02.1 ~ '02.12</v>
          </cell>
          <cell r="AD71" t="str">
            <v>'03.1 ~ '03.12</v>
          </cell>
          <cell r="AG71" t="str">
            <v>'04.1 ~ '04.3</v>
          </cell>
        </row>
        <row r="72">
          <cell r="C72" t="str">
            <v>금액</v>
          </cell>
          <cell r="D72" t="str">
            <v>구성비</v>
          </cell>
          <cell r="H72" t="str">
            <v>금 액 구성비 증가율</v>
          </cell>
          <cell r="K72" t="str">
            <v>금 액 구성비 증가율</v>
          </cell>
          <cell r="N72" t="str">
            <v>금 액 구성비 증가율</v>
          </cell>
          <cell r="Q72" t="str">
            <v>금 액 구성비 증가율</v>
          </cell>
          <cell r="T72" t="str">
            <v>금 액 구성비 증가율</v>
          </cell>
          <cell r="W72" t="str">
            <v>금 액 구성비 증가율</v>
          </cell>
          <cell r="Z72" t="str">
            <v>금 액 구성비 증가율</v>
          </cell>
          <cell r="AC72" t="str">
            <v>금 액 구성비 증가율</v>
          </cell>
          <cell r="AF72" t="str">
            <v>금 액 구성비 증가율</v>
          </cell>
          <cell r="AI72" t="str">
            <v>금 액 구성비 증가율</v>
          </cell>
        </row>
        <row r="73">
          <cell r="B73" t="str">
            <v>매출액</v>
          </cell>
          <cell r="C73">
            <v>228942</v>
          </cell>
          <cell r="D73">
            <v>100</v>
          </cell>
          <cell r="F73">
            <v>292889</v>
          </cell>
          <cell r="G73">
            <v>100</v>
          </cell>
          <cell r="H73">
            <v>27.931528509404131</v>
          </cell>
          <cell r="I73">
            <v>328669</v>
          </cell>
          <cell r="J73">
            <v>100</v>
          </cell>
          <cell r="K73">
            <v>12.216232087924084</v>
          </cell>
          <cell r="L73">
            <v>417359</v>
          </cell>
          <cell r="M73">
            <v>100</v>
          </cell>
          <cell r="N73">
            <v>26.984595444048566</v>
          </cell>
          <cell r="O73">
            <v>453722</v>
          </cell>
          <cell r="P73">
            <v>100</v>
          </cell>
          <cell r="Q73">
            <v>8.7126430722711063</v>
          </cell>
          <cell r="R73">
            <v>425964</v>
          </cell>
          <cell r="S73">
            <v>100</v>
          </cell>
          <cell r="T73">
            <v>-6.1178430845319411</v>
          </cell>
          <cell r="U73">
            <v>378709</v>
          </cell>
          <cell r="V73">
            <v>100</v>
          </cell>
          <cell r="W73">
            <v>-11.093660497131211</v>
          </cell>
          <cell r="X73">
            <v>425157</v>
          </cell>
          <cell r="Y73">
            <v>100</v>
          </cell>
          <cell r="Z73">
            <v>12.264826027371939</v>
          </cell>
          <cell r="AA73">
            <v>434091</v>
          </cell>
          <cell r="AB73">
            <v>100</v>
          </cell>
          <cell r="AC73">
            <v>2.1013413868288637</v>
          </cell>
          <cell r="AD73">
            <v>491638</v>
          </cell>
          <cell r="AE73">
            <v>100</v>
          </cell>
          <cell r="AF73">
            <v>13.256897747246541</v>
          </cell>
          <cell r="AG73">
            <v>109374</v>
          </cell>
          <cell r="AH73">
            <v>100</v>
          </cell>
          <cell r="AI73">
            <v>25.837293049691084</v>
          </cell>
        </row>
        <row r="74">
          <cell r="B74" t="str">
            <v xml:space="preserve">   공사수입</v>
          </cell>
          <cell r="C74">
            <v>162987</v>
          </cell>
          <cell r="D74">
            <v>71.191393453363744</v>
          </cell>
          <cell r="F74">
            <v>203515</v>
          </cell>
          <cell r="G74">
            <v>69.485368177022693</v>
          </cell>
          <cell r="H74">
            <v>24.865786841895371</v>
          </cell>
          <cell r="I74">
            <v>255831</v>
          </cell>
          <cell r="J74">
            <v>77.838494047202502</v>
          </cell>
          <cell r="K74">
            <v>25.706213301230861</v>
          </cell>
          <cell r="L74">
            <v>340590</v>
          </cell>
          <cell r="M74">
            <v>81.606003464643152</v>
          </cell>
          <cell r="N74">
            <v>33.130855916601178</v>
          </cell>
          <cell r="O74">
            <v>377111</v>
          </cell>
          <cell r="P74">
            <v>83.114991117909213</v>
          </cell>
          <cell r="Q74">
            <v>10.722863266684286</v>
          </cell>
          <cell r="R74">
            <v>366836</v>
          </cell>
          <cell r="S74">
            <v>86.119014752420398</v>
          </cell>
          <cell r="T74">
            <v>-2.7246619695527272</v>
          </cell>
          <cell r="U74">
            <v>355657</v>
          </cell>
          <cell r="V74">
            <v>93.913004444045427</v>
          </cell>
          <cell r="W74">
            <v>-3.0474108320884454</v>
          </cell>
          <cell r="X74">
            <v>355555</v>
          </cell>
          <cell r="Y74">
            <v>83.629106424215053</v>
          </cell>
          <cell r="Z74">
            <v>-2.8679317432249718E-2</v>
          </cell>
          <cell r="AA74">
            <v>370605</v>
          </cell>
          <cell r="AB74">
            <v>85.374955942417614</v>
          </cell>
          <cell r="AC74">
            <v>4.2328191137798683</v>
          </cell>
          <cell r="AD74">
            <v>376398</v>
          </cell>
          <cell r="AE74">
            <v>76.559989260390765</v>
          </cell>
          <cell r="AF74">
            <v>1.5631197636297429</v>
          </cell>
          <cell r="AG74">
            <v>79707</v>
          </cell>
          <cell r="AH74">
            <v>72.875637720116288</v>
          </cell>
          <cell r="AI74">
            <v>18.014509920047377</v>
          </cell>
        </row>
        <row r="75">
          <cell r="B75" t="str">
            <v xml:space="preserve">     (국내공사)</v>
          </cell>
          <cell r="C75">
            <v>156355</v>
          </cell>
          <cell r="D75">
            <v>68.294589896130901</v>
          </cell>
          <cell r="F75">
            <v>187238</v>
          </cell>
          <cell r="G75">
            <v>63.927972713212178</v>
          </cell>
          <cell r="H75">
            <v>19.751846758977962</v>
          </cell>
          <cell r="I75">
            <v>242415</v>
          </cell>
          <cell r="J75">
            <v>73.756575764675105</v>
          </cell>
          <cell r="K75">
            <v>29.468911225285467</v>
          </cell>
          <cell r="L75">
            <v>328788</v>
          </cell>
          <cell r="M75">
            <v>78.778222106148419</v>
          </cell>
          <cell r="N75">
            <v>35.630220902171885</v>
          </cell>
          <cell r="O75">
            <v>357219</v>
          </cell>
          <cell r="P75">
            <v>78.730808733100886</v>
          </cell>
          <cell r="Q75">
            <v>8.6472134019489886</v>
          </cell>
          <cell r="R75">
            <v>346591</v>
          </cell>
          <cell r="S75">
            <v>81.366265693814498</v>
          </cell>
          <cell r="T75">
            <v>-2.975205686147703</v>
          </cell>
          <cell r="U75">
            <v>340470</v>
          </cell>
          <cell r="V75">
            <v>89.902801359355067</v>
          </cell>
          <cell r="W75">
            <v>-1.7660585531649673</v>
          </cell>
          <cell r="X75">
            <v>345779</v>
          </cell>
          <cell r="Y75">
            <v>81.32972055029083</v>
          </cell>
          <cell r="Z75">
            <v>1.5593150644697147</v>
          </cell>
          <cell r="AA75">
            <v>368648</v>
          </cell>
          <cell r="AB75">
            <v>84.924128811700768</v>
          </cell>
          <cell r="AC75">
            <v>6.613761969350378</v>
          </cell>
          <cell r="AD75">
            <v>373899</v>
          </cell>
          <cell r="AE75">
            <v>76.051688437427529</v>
          </cell>
          <cell r="AF75">
            <v>1.4243940018662755</v>
          </cell>
          <cell r="AG75">
            <v>77616</v>
          </cell>
          <cell r="AH75">
            <v>70.963848812332003</v>
          </cell>
          <cell r="AI75">
            <v>14.930478432766204</v>
          </cell>
        </row>
        <row r="76">
          <cell r="B76" t="str">
            <v xml:space="preserve">     (해외공사)</v>
          </cell>
          <cell r="C76">
            <v>6632</v>
          </cell>
          <cell r="D76">
            <v>2.8968035572328361</v>
          </cell>
          <cell r="F76">
            <v>16277</v>
          </cell>
          <cell r="G76">
            <v>5.5573954638105221</v>
          </cell>
          <cell r="H76">
            <v>145.43124246079614</v>
          </cell>
          <cell r="I76">
            <v>13416</v>
          </cell>
          <cell r="J76">
            <v>4.0819182825274059</v>
          </cell>
          <cell r="K76">
            <v>-17.576949069238808</v>
          </cell>
          <cell r="L76">
            <v>11802</v>
          </cell>
          <cell r="M76">
            <v>2.8277813584947253</v>
          </cell>
          <cell r="N76">
            <v>-12.0304114490161</v>
          </cell>
          <cell r="O76">
            <v>19891</v>
          </cell>
          <cell r="P76">
            <v>4.3839619855329914</v>
          </cell>
          <cell r="Q76">
            <v>68.539230638874784</v>
          </cell>
          <cell r="R76">
            <v>20244</v>
          </cell>
          <cell r="S76">
            <v>4.7525142969828442</v>
          </cell>
          <cell r="T76">
            <v>1.7746719621939633</v>
          </cell>
          <cell r="U76">
            <v>15187</v>
          </cell>
          <cell r="V76">
            <v>4.0102030846903558</v>
          </cell>
          <cell r="W76">
            <v>-24.980241059079233</v>
          </cell>
          <cell r="X76">
            <v>9776</v>
          </cell>
          <cell r="Y76">
            <v>2.299385873924221</v>
          </cell>
          <cell r="Z76">
            <v>-35.62915651544084</v>
          </cell>
          <cell r="AA76">
            <v>1957</v>
          </cell>
          <cell r="AB76">
            <v>0.45082713071683128</v>
          </cell>
          <cell r="AC76">
            <v>-79.981587561374795</v>
          </cell>
          <cell r="AD76">
            <v>2499</v>
          </cell>
          <cell r="AE76">
            <v>0.5083008229632372</v>
          </cell>
          <cell r="AF76">
            <v>27.695452222789996</v>
          </cell>
          <cell r="AG76">
            <v>2091</v>
          </cell>
          <cell r="AH76">
            <v>1.9117889077842998</v>
          </cell>
          <cell r="AI76">
            <v>29771.428571428572</v>
          </cell>
        </row>
        <row r="77">
          <cell r="B77" t="str">
            <v xml:space="preserve">   분양수입</v>
          </cell>
          <cell r="C77">
            <v>54771</v>
          </cell>
          <cell r="D77">
            <v>23.923526482689937</v>
          </cell>
          <cell r="F77">
            <v>75114</v>
          </cell>
          <cell r="G77">
            <v>25.645893154061778</v>
          </cell>
          <cell r="H77">
            <v>37.141918168373763</v>
          </cell>
          <cell r="I77">
            <v>48903</v>
          </cell>
          <cell r="J77">
            <v>14.879103292370136</v>
          </cell>
          <cell r="K77">
            <v>-34.8949596613148</v>
          </cell>
          <cell r="L77">
            <v>55153</v>
          </cell>
          <cell r="M77">
            <v>13.214762350877782</v>
          </cell>
          <cell r="N77">
            <v>12.780402020325951</v>
          </cell>
          <cell r="O77">
            <v>58211</v>
          </cell>
          <cell r="P77">
            <v>12.829662216070634</v>
          </cell>
          <cell r="Q77">
            <v>5.5445759976791891</v>
          </cell>
          <cell r="R77">
            <v>42810</v>
          </cell>
          <cell r="S77">
            <v>10.050145082683043</v>
          </cell>
          <cell r="T77">
            <v>-26.457198811221247</v>
          </cell>
          <cell r="U77">
            <v>8289</v>
          </cell>
          <cell r="V77">
            <v>2.1887517856718484</v>
          </cell>
          <cell r="W77">
            <v>-80.637701471618783</v>
          </cell>
          <cell r="X77">
            <v>52978</v>
          </cell>
          <cell r="Y77">
            <v>12.460808595412988</v>
          </cell>
          <cell r="Z77">
            <v>539.13620460851735</v>
          </cell>
          <cell r="AA77">
            <v>40655</v>
          </cell>
          <cell r="AB77">
            <v>9.3655477768486328</v>
          </cell>
          <cell r="AC77">
            <v>-23.260598739099251</v>
          </cell>
          <cell r="AD77">
            <v>87621</v>
          </cell>
          <cell r="AE77">
            <v>17.822259467331655</v>
          </cell>
          <cell r="AF77">
            <v>115.52330586643711</v>
          </cell>
          <cell r="AG77">
            <v>25531</v>
          </cell>
          <cell r="AH77">
            <v>23.342841991698212</v>
          </cell>
          <cell r="AI77">
            <v>73.161964188822566</v>
          </cell>
        </row>
        <row r="78">
          <cell r="B78" t="str">
            <v>매출원가</v>
          </cell>
          <cell r="C78">
            <v>197622</v>
          </cell>
          <cell r="D78">
            <v>86.319679220064472</v>
          </cell>
          <cell r="F78">
            <v>258307</v>
          </cell>
          <cell r="G78">
            <v>88.192796588468667</v>
          </cell>
          <cell r="H78">
            <v>30.70761352481</v>
          </cell>
          <cell r="I78">
            <v>294732</v>
          </cell>
          <cell r="J78">
            <v>89.674414076167821</v>
          </cell>
          <cell r="K78">
            <v>14.1014374368484</v>
          </cell>
          <cell r="L78">
            <v>376947</v>
          </cell>
          <cell r="M78">
            <v>90.31720892564914</v>
          </cell>
          <cell r="N78">
            <v>27.894833272260897</v>
          </cell>
          <cell r="O78">
            <v>401862</v>
          </cell>
          <cell r="P78">
            <v>88.570093581532305</v>
          </cell>
          <cell r="Q78">
            <v>6.6096825283130016</v>
          </cell>
          <cell r="R78">
            <v>380179</v>
          </cell>
          <cell r="S78">
            <v>89.251439088749279</v>
          </cell>
          <cell r="T78">
            <v>-5.3956333268634467</v>
          </cell>
          <cell r="U78">
            <v>325577</v>
          </cell>
          <cell r="V78">
            <v>85.970230440786992</v>
          </cell>
          <cell r="W78">
            <v>-14.362182024783067</v>
          </cell>
          <cell r="X78">
            <v>378697</v>
          </cell>
          <cell r="Y78">
            <v>89.072272125356051</v>
          </cell>
          <cell r="Z78">
            <v>16.315648832687813</v>
          </cell>
          <cell r="AA78">
            <v>394865</v>
          </cell>
          <cell r="AB78">
            <v>90.96364587148777</v>
          </cell>
          <cell r="AC78">
            <v>4.2693763087640093</v>
          </cell>
          <cell r="AD78">
            <v>441352</v>
          </cell>
          <cell r="AE78">
            <v>89.771742623637721</v>
          </cell>
          <cell r="AF78">
            <v>11.772884403530327</v>
          </cell>
          <cell r="AG78">
            <v>96271</v>
          </cell>
          <cell r="AH78">
            <v>88.020004754329179</v>
          </cell>
          <cell r="AI78">
            <v>22.466607301869992</v>
          </cell>
        </row>
        <row r="79">
          <cell r="B79" t="str">
            <v xml:space="preserve">   공사원가</v>
          </cell>
          <cell r="C79">
            <v>141134</v>
          </cell>
          <cell r="D79">
            <v>86.592182198580261</v>
          </cell>
          <cell r="F79">
            <v>177239</v>
          </cell>
          <cell r="G79">
            <v>87.088912365181926</v>
          </cell>
          <cell r="H79">
            <v>25.582070939674352</v>
          </cell>
          <cell r="I79">
            <v>227925</v>
          </cell>
          <cell r="J79">
            <v>89.092017777360837</v>
          </cell>
          <cell r="K79">
            <v>28.597543430057726</v>
          </cell>
          <cell r="L79">
            <v>311124</v>
          </cell>
          <cell r="M79">
            <v>91.348542235532463</v>
          </cell>
          <cell r="N79">
            <v>36.502796972688401</v>
          </cell>
          <cell r="O79">
            <v>332344</v>
          </cell>
          <cell r="P79">
            <v>88.128959378008062</v>
          </cell>
          <cell r="Q79">
            <v>6.8204317249713995</v>
          </cell>
          <cell r="R79">
            <v>329638</v>
          </cell>
          <cell r="S79">
            <v>89.859773849894779</v>
          </cell>
          <cell r="T79">
            <v>-0.81421659485351938</v>
          </cell>
          <cell r="U79">
            <v>306710</v>
          </cell>
          <cell r="V79">
            <v>86.237582839646066</v>
          </cell>
          <cell r="W79">
            <v>-6.9555087702267429</v>
          </cell>
          <cell r="X79">
            <v>315388</v>
          </cell>
          <cell r="Y79">
            <v>88.703013598458753</v>
          </cell>
          <cell r="Z79">
            <v>2.8293828046036964</v>
          </cell>
          <cell r="AA79">
            <v>335554</v>
          </cell>
          <cell r="AB79">
            <v>90.542221502678061</v>
          </cell>
          <cell r="AC79">
            <v>6.3940289421284149</v>
          </cell>
          <cell r="AD79">
            <v>343421</v>
          </cell>
          <cell r="AE79">
            <v>91.238795105181211</v>
          </cell>
          <cell r="AF79">
            <v>2.3444810671307721</v>
          </cell>
          <cell r="AG79">
            <v>71287</v>
          </cell>
          <cell r="AH79">
            <v>89.436310487159218</v>
          </cell>
          <cell r="AI79">
            <v>15.04954649623963</v>
          </cell>
        </row>
        <row r="80">
          <cell r="B80" t="str">
            <v xml:space="preserve">     (국내공사)</v>
          </cell>
          <cell r="C80">
            <v>134517</v>
          </cell>
          <cell r="D80">
            <v>86.033065779795976</v>
          </cell>
          <cell r="F80">
            <v>164515</v>
          </cell>
          <cell r="G80">
            <v>87.864108781337123</v>
          </cell>
          <cell r="H80">
            <v>22.300527070927842</v>
          </cell>
          <cell r="I80">
            <v>214543</v>
          </cell>
          <cell r="J80">
            <v>88.502361652537999</v>
          </cell>
          <cell r="K80">
            <v>30.409385162447194</v>
          </cell>
          <cell r="L80">
            <v>301097</v>
          </cell>
          <cell r="M80">
            <v>91.577855639500228</v>
          </cell>
          <cell r="N80">
            <v>40.343427657858797</v>
          </cell>
          <cell r="O80">
            <v>314303</v>
          </cell>
          <cell r="P80">
            <v>87.986081367452456</v>
          </cell>
          <cell r="Q80">
            <v>4.385961998957157</v>
          </cell>
          <cell r="R80">
            <v>311530</v>
          </cell>
          <cell r="S80">
            <v>89.88404199762833</v>
          </cell>
          <cell r="T80">
            <v>-0.88226965698704873</v>
          </cell>
          <cell r="U80">
            <v>293389</v>
          </cell>
          <cell r="V80">
            <v>86.171762563515145</v>
          </cell>
          <cell r="W80">
            <v>-5.8231951978942647</v>
          </cell>
          <cell r="X80">
            <v>307105</v>
          </cell>
          <cell r="Y80">
            <v>88.815399431428744</v>
          </cell>
          <cell r="Z80">
            <v>4.675021899253224</v>
          </cell>
          <cell r="AA80">
            <v>0</v>
          </cell>
          <cell r="AB80">
            <v>0</v>
          </cell>
          <cell r="AC80">
            <v>-100</v>
          </cell>
          <cell r="AD80">
            <v>0</v>
          </cell>
          <cell r="AE80">
            <v>0</v>
          </cell>
          <cell r="AF80" t="str">
            <v xml:space="preserve">─ </v>
          </cell>
          <cell r="AG80">
            <v>0</v>
          </cell>
          <cell r="AH80">
            <v>0</v>
          </cell>
          <cell r="AI80" t="str">
            <v xml:space="preserve">─ </v>
          </cell>
        </row>
        <row r="81">
          <cell r="B81" t="str">
            <v xml:space="preserve">     (해외공사)</v>
          </cell>
          <cell r="C81">
            <v>6617</v>
          </cell>
          <cell r="D81">
            <v>99.773823884197839</v>
          </cell>
          <cell r="F81">
            <v>12724</v>
          </cell>
          <cell r="G81">
            <v>78.171653253056462</v>
          </cell>
          <cell r="H81">
            <v>92.292579718905841</v>
          </cell>
          <cell r="I81">
            <v>13382</v>
          </cell>
          <cell r="J81">
            <v>99.746571258199168</v>
          </cell>
          <cell r="K81">
            <v>5.171329770512429</v>
          </cell>
          <cell r="L81">
            <v>10027</v>
          </cell>
          <cell r="M81">
            <v>84.96017624131504</v>
          </cell>
          <cell r="N81">
            <v>-25.070990883276039</v>
          </cell>
          <cell r="O81">
            <v>18041</v>
          </cell>
          <cell r="P81">
            <v>90.699311246292297</v>
          </cell>
          <cell r="Q81">
            <v>79.924204647451887</v>
          </cell>
          <cell r="R81">
            <v>18108</v>
          </cell>
          <cell r="S81">
            <v>89.44872554831062</v>
          </cell>
          <cell r="T81">
            <v>0.37137630951720269</v>
          </cell>
          <cell r="U81">
            <v>13320</v>
          </cell>
          <cell r="V81">
            <v>87.706591163495091</v>
          </cell>
          <cell r="W81">
            <v>-26.441351888667995</v>
          </cell>
          <cell r="X81">
            <v>8284</v>
          </cell>
          <cell r="Y81">
            <v>84.738134206219314</v>
          </cell>
          <cell r="Z81">
            <v>-37.807807807807805</v>
          </cell>
          <cell r="AA81">
            <v>0</v>
          </cell>
          <cell r="AB81">
            <v>0</v>
          </cell>
          <cell r="AC81">
            <v>-100</v>
          </cell>
          <cell r="AD81">
            <v>0</v>
          </cell>
          <cell r="AE81">
            <v>0</v>
          </cell>
          <cell r="AF81" t="str">
            <v xml:space="preserve">─ </v>
          </cell>
          <cell r="AG81">
            <v>0</v>
          </cell>
          <cell r="AH81">
            <v>0</v>
          </cell>
          <cell r="AI81" t="str">
            <v xml:space="preserve">─ </v>
          </cell>
        </row>
        <row r="82">
          <cell r="B82" t="str">
            <v xml:space="preserve">   분양원가</v>
          </cell>
          <cell r="C82">
            <v>46953</v>
          </cell>
          <cell r="D82">
            <v>85.72602289532783</v>
          </cell>
          <cell r="F82">
            <v>68862</v>
          </cell>
          <cell r="G82">
            <v>91.676651489735605</v>
          </cell>
          <cell r="H82">
            <v>46.661555172193488</v>
          </cell>
          <cell r="I82">
            <v>48513</v>
          </cell>
          <cell r="J82">
            <v>99.202502913931653</v>
          </cell>
          <cell r="K82">
            <v>-29.550405158142368</v>
          </cell>
          <cell r="L82">
            <v>49460</v>
          </cell>
          <cell r="M82">
            <v>89.677805377767299</v>
          </cell>
          <cell r="N82">
            <v>1.9520540885948066</v>
          </cell>
          <cell r="O82">
            <v>54220</v>
          </cell>
          <cell r="P82">
            <v>93.143907508890067</v>
          </cell>
          <cell r="Q82">
            <v>9.6239385361908631</v>
          </cell>
          <cell r="R82">
            <v>39265</v>
          </cell>
          <cell r="S82">
            <v>91.719224480261616</v>
          </cell>
          <cell r="T82">
            <v>-27.582073035780155</v>
          </cell>
          <cell r="U82">
            <v>7052</v>
          </cell>
          <cell r="V82">
            <v>85.076607552177592</v>
          </cell>
          <cell r="W82">
            <v>-82.039984719215582</v>
          </cell>
          <cell r="X82">
            <v>51861</v>
          </cell>
          <cell r="Y82">
            <v>97.891577635999852</v>
          </cell>
          <cell r="Z82">
            <v>635.40839478162218</v>
          </cell>
          <cell r="AA82">
            <v>43213</v>
          </cell>
          <cell r="AB82">
            <v>106.29196900750215</v>
          </cell>
          <cell r="AC82">
            <v>-16.675343707217365</v>
          </cell>
          <cell r="AD82">
            <v>75067</v>
          </cell>
          <cell r="AE82">
            <v>85.672384474041607</v>
          </cell>
          <cell r="AF82">
            <v>73.713928678869792</v>
          </cell>
          <cell r="AG82">
            <v>21901</v>
          </cell>
          <cell r="AH82">
            <v>85.781990521327018</v>
          </cell>
          <cell r="AI82">
            <v>56.558724712273936</v>
          </cell>
        </row>
        <row r="83">
          <cell r="B83" t="str">
            <v>매출총이익</v>
          </cell>
          <cell r="C83">
            <v>31320</v>
          </cell>
          <cell r="D83">
            <v>13.680320779935528</v>
          </cell>
          <cell r="F83">
            <v>34582</v>
          </cell>
          <cell r="G83">
            <v>11.807203411531331</v>
          </cell>
          <cell r="H83">
            <v>10.415070242656441</v>
          </cell>
          <cell r="I83">
            <v>33938</v>
          </cell>
          <cell r="J83">
            <v>10.325890181307029</v>
          </cell>
          <cell r="K83">
            <v>-1.8622404719218082</v>
          </cell>
          <cell r="L83">
            <v>40412</v>
          </cell>
          <cell r="M83">
            <v>9.6827910743508596</v>
          </cell>
          <cell r="N83">
            <v>19.075962048441284</v>
          </cell>
          <cell r="O83">
            <v>51860</v>
          </cell>
          <cell r="P83">
            <v>11.429906418467697</v>
          </cell>
          <cell r="Q83">
            <v>28.328219340789872</v>
          </cell>
          <cell r="R83">
            <v>45785</v>
          </cell>
          <cell r="S83">
            <v>10.748560911250717</v>
          </cell>
          <cell r="T83">
            <v>-11.714230620902427</v>
          </cell>
          <cell r="U83">
            <v>53133</v>
          </cell>
          <cell r="V83">
            <v>14.030033614199821</v>
          </cell>
          <cell r="W83">
            <v>16.048924320192199</v>
          </cell>
          <cell r="X83">
            <v>46460</v>
          </cell>
          <cell r="Y83">
            <v>10.927727874643956</v>
          </cell>
          <cell r="Z83">
            <v>-12.559049931304472</v>
          </cell>
          <cell r="AA83">
            <v>39226</v>
          </cell>
          <cell r="AB83">
            <v>9.036354128512226</v>
          </cell>
          <cell r="AC83">
            <v>-15.570383125269046</v>
          </cell>
          <cell r="AD83">
            <v>50286</v>
          </cell>
          <cell r="AE83">
            <v>10.228257376362283</v>
          </cell>
          <cell r="AF83">
            <v>28.195584561260375</v>
          </cell>
          <cell r="AG83">
            <v>13103</v>
          </cell>
          <cell r="AH83">
            <v>11.979995245670818</v>
          </cell>
          <cell r="AI83">
            <v>57.734440833032387</v>
          </cell>
        </row>
        <row r="84">
          <cell r="B84" t="str">
            <v>판매비와 관리비</v>
          </cell>
          <cell r="C84">
            <v>18274</v>
          </cell>
          <cell r="D84">
            <v>7.9819342890339042</v>
          </cell>
          <cell r="F84">
            <v>19325</v>
          </cell>
          <cell r="G84">
            <v>6.5980627473206575</v>
          </cell>
          <cell r="H84">
            <v>5.7513407026376342</v>
          </cell>
          <cell r="I84">
            <v>19819</v>
          </cell>
          <cell r="J84">
            <v>6.0300788939632275</v>
          </cell>
          <cell r="K84">
            <v>2.5562742561448886</v>
          </cell>
          <cell r="L84">
            <v>22362</v>
          </cell>
          <cell r="M84">
            <v>5.3579771851092222</v>
          </cell>
          <cell r="N84">
            <v>12.831121650941029</v>
          </cell>
          <cell r="O84">
            <v>27241</v>
          </cell>
          <cell r="P84">
            <v>6.0038966591877845</v>
          </cell>
          <cell r="Q84">
            <v>21.81826312494411</v>
          </cell>
          <cell r="R84">
            <v>23130</v>
          </cell>
          <cell r="S84">
            <v>5.4300363410992478</v>
          </cell>
          <cell r="T84">
            <v>-15.091222789178076</v>
          </cell>
          <cell r="U84">
            <v>28621</v>
          </cell>
          <cell r="V84">
            <v>7.5575177775019871</v>
          </cell>
          <cell r="W84">
            <v>23.739731949848689</v>
          </cell>
          <cell r="X84">
            <v>19950</v>
          </cell>
          <cell r="Y84">
            <v>4.6923842251215433</v>
          </cell>
          <cell r="Z84">
            <v>-30.295936550085599</v>
          </cell>
          <cell r="AA84">
            <v>21500</v>
          </cell>
          <cell r="AB84">
            <v>4.9528785438997813</v>
          </cell>
          <cell r="AC84">
            <v>7.7694235588972447</v>
          </cell>
          <cell r="AD84">
            <v>22473</v>
          </cell>
          <cell r="AE84">
            <v>4.5710461762516319</v>
          </cell>
          <cell r="AF84">
            <v>4.5255813953488371</v>
          </cell>
          <cell r="AG84">
            <v>6274</v>
          </cell>
          <cell r="AH84">
            <v>5.7362810174264451</v>
          </cell>
          <cell r="AI84">
            <v>38.98980948161276</v>
          </cell>
        </row>
        <row r="85">
          <cell r="B85" t="str">
            <v xml:space="preserve">  인건비</v>
          </cell>
          <cell r="C85">
            <v>12021</v>
          </cell>
          <cell r="D85">
            <v>5.2506748434101214</v>
          </cell>
          <cell r="F85">
            <v>11823</v>
          </cell>
          <cell r="G85">
            <v>4.036682838891184</v>
          </cell>
          <cell r="H85">
            <v>-1.6471175442974868</v>
          </cell>
          <cell r="I85">
            <v>12550</v>
          </cell>
          <cell r="J85">
            <v>3.8184313093111917</v>
          </cell>
          <cell r="K85">
            <v>6.1490315486763052</v>
          </cell>
          <cell r="L85">
            <v>14121</v>
          </cell>
          <cell r="M85">
            <v>3.3834181124643292</v>
          </cell>
          <cell r="N85">
            <v>12.51792828685258</v>
          </cell>
          <cell r="O85">
            <v>16184</v>
          </cell>
          <cell r="P85">
            <v>3.5669418718951253</v>
          </cell>
          <cell r="Q85">
            <v>14.609446923022446</v>
          </cell>
          <cell r="R85">
            <v>15099</v>
          </cell>
          <cell r="S85">
            <v>3.5446657464011047</v>
          </cell>
          <cell r="T85">
            <v>-6.7041522491349497</v>
          </cell>
          <cell r="U85">
            <v>16065</v>
          </cell>
          <cell r="V85">
            <v>4.2420433631099339</v>
          </cell>
          <cell r="W85">
            <v>6.3977746870653789</v>
          </cell>
          <cell r="X85">
            <v>12094</v>
          </cell>
          <cell r="Y85">
            <v>2.8445962315097715</v>
          </cell>
          <cell r="Z85">
            <v>-24.718331777155313</v>
          </cell>
          <cell r="AA85">
            <v>13140</v>
          </cell>
          <cell r="AB85">
            <v>3.0270150728764245</v>
          </cell>
          <cell r="AC85">
            <v>8.6489168182569927</v>
          </cell>
          <cell r="AD85">
            <v>13023</v>
          </cell>
          <cell r="AE85">
            <v>2.64890020706292</v>
          </cell>
          <cell r="AF85">
            <v>-0.8904109589041127</v>
          </cell>
          <cell r="AG85">
            <v>3579</v>
          </cell>
          <cell r="AH85">
            <v>3.2722584892204725</v>
          </cell>
          <cell r="AI85">
            <v>22.568493150684933</v>
          </cell>
        </row>
        <row r="86">
          <cell r="B86" t="str">
            <v xml:space="preserve">    급여</v>
          </cell>
          <cell r="C86">
            <v>8755</v>
          </cell>
          <cell r="D86">
            <v>3.8241126573542643</v>
          </cell>
          <cell r="F86">
            <v>7016</v>
          </cell>
          <cell r="G86">
            <v>2.3954467392083694</v>
          </cell>
          <cell r="H86">
            <v>-19.862935465448317</v>
          </cell>
          <cell r="I86">
            <v>7576</v>
          </cell>
          <cell r="J86">
            <v>2.3050546294296086</v>
          </cell>
          <cell r="K86">
            <v>7.9817559863169834</v>
          </cell>
          <cell r="L86">
            <v>8119</v>
          </cell>
          <cell r="M86">
            <v>1.9453276435874152</v>
          </cell>
          <cell r="N86">
            <v>7.1673706441393961</v>
          </cell>
          <cell r="O86">
            <v>7613</v>
          </cell>
          <cell r="P86">
            <v>1.6778996830658421</v>
          </cell>
          <cell r="Q86">
            <v>-6.2322946175637384</v>
          </cell>
          <cell r="R86">
            <v>8256</v>
          </cell>
          <cell r="S86">
            <v>1.9381919598839341</v>
          </cell>
          <cell r="T86">
            <v>8.4460790752659989</v>
          </cell>
          <cell r="U86">
            <v>9471</v>
          </cell>
          <cell r="V86">
            <v>2.500864780081804</v>
          </cell>
          <cell r="W86">
            <v>14.716569767441868</v>
          </cell>
          <cell r="X86">
            <v>7297</v>
          </cell>
          <cell r="Y86">
            <v>1.7163071524166365</v>
          </cell>
          <cell r="Z86">
            <v>-22.954281490866862</v>
          </cell>
          <cell r="AA86">
            <v>8964</v>
          </cell>
          <cell r="AB86">
            <v>2.0650048031403556</v>
          </cell>
          <cell r="AC86">
            <v>22.845004796491722</v>
          </cell>
          <cell r="AD86">
            <v>9351</v>
          </cell>
          <cell r="AE86">
            <v>1.9020092018924493</v>
          </cell>
          <cell r="AF86">
            <v>4.3172690763052231</v>
          </cell>
          <cell r="AG86">
            <v>2680</v>
          </cell>
          <cell r="AH86">
            <v>2.450308117102785</v>
          </cell>
          <cell r="AI86">
            <v>21.486854034451497</v>
          </cell>
        </row>
        <row r="87">
          <cell r="B87" t="str">
            <v xml:space="preserve">      임원급여</v>
          </cell>
          <cell r="C87">
            <v>589</v>
          </cell>
          <cell r="D87">
            <v>0.25727040036341081</v>
          </cell>
          <cell r="F87">
            <v>696</v>
          </cell>
          <cell r="G87">
            <v>0.23763268678577892</v>
          </cell>
          <cell r="H87">
            <v>18.166383701188465</v>
          </cell>
          <cell r="I87">
            <v>800</v>
          </cell>
          <cell r="J87">
            <v>0.24340597987641063</v>
          </cell>
          <cell r="K87">
            <v>14.94252873563218</v>
          </cell>
          <cell r="L87">
            <v>0</v>
          </cell>
          <cell r="M87">
            <v>0</v>
          </cell>
          <cell r="N87">
            <v>-100</v>
          </cell>
          <cell r="O87">
            <v>0</v>
          </cell>
          <cell r="P87">
            <v>0</v>
          </cell>
          <cell r="Q87" t="str">
            <v xml:space="preserve">─ </v>
          </cell>
          <cell r="R87">
            <v>0</v>
          </cell>
          <cell r="S87">
            <v>0</v>
          </cell>
          <cell r="T87" t="str">
            <v xml:space="preserve">─ </v>
          </cell>
          <cell r="U87">
            <v>0</v>
          </cell>
          <cell r="V87">
            <v>0</v>
          </cell>
          <cell r="W87" t="str">
            <v xml:space="preserve">─ </v>
          </cell>
          <cell r="X87">
            <v>0</v>
          </cell>
          <cell r="Y87">
            <v>0</v>
          </cell>
          <cell r="Z87" t="str">
            <v xml:space="preserve">─ </v>
          </cell>
          <cell r="AA87">
            <v>0</v>
          </cell>
          <cell r="AB87">
            <v>0</v>
          </cell>
          <cell r="AC87" t="str">
            <v xml:space="preserve">─ </v>
          </cell>
          <cell r="AD87">
            <v>0</v>
          </cell>
          <cell r="AE87">
            <v>0</v>
          </cell>
          <cell r="AF87" t="str">
            <v xml:space="preserve">─ </v>
          </cell>
          <cell r="AG87">
            <v>0</v>
          </cell>
          <cell r="AH87">
            <v>0</v>
          </cell>
          <cell r="AI87" t="str">
            <v xml:space="preserve">─ </v>
          </cell>
        </row>
        <row r="88">
          <cell r="B88" t="str">
            <v xml:space="preserve">      급료와임금</v>
          </cell>
          <cell r="C88">
            <v>7834</v>
          </cell>
          <cell r="D88">
            <v>3.4218273623887274</v>
          </cell>
          <cell r="F88">
            <v>6019</v>
          </cell>
          <cell r="G88">
            <v>2.0550447439132231</v>
          </cell>
          <cell r="H88">
            <v>-23.168241000765889</v>
          </cell>
          <cell r="I88">
            <v>0</v>
          </cell>
          <cell r="J88">
            <v>0</v>
          </cell>
          <cell r="K88">
            <v>-100</v>
          </cell>
          <cell r="L88">
            <v>0</v>
          </cell>
          <cell r="M88">
            <v>0</v>
          </cell>
          <cell r="N88" t="str">
            <v xml:space="preserve">─ </v>
          </cell>
          <cell r="O88">
            <v>0</v>
          </cell>
          <cell r="P88">
            <v>0</v>
          </cell>
          <cell r="Q88" t="str">
            <v xml:space="preserve">─ </v>
          </cell>
          <cell r="R88">
            <v>0</v>
          </cell>
          <cell r="S88">
            <v>0</v>
          </cell>
          <cell r="T88" t="str">
            <v xml:space="preserve">─ </v>
          </cell>
          <cell r="U88">
            <v>0</v>
          </cell>
          <cell r="V88">
            <v>0</v>
          </cell>
          <cell r="W88" t="str">
            <v xml:space="preserve">─ </v>
          </cell>
          <cell r="X88">
            <v>0</v>
          </cell>
          <cell r="Y88">
            <v>0</v>
          </cell>
          <cell r="Z88" t="str">
            <v xml:space="preserve">─ </v>
          </cell>
          <cell r="AA88">
            <v>8964</v>
          </cell>
          <cell r="AB88">
            <v>2.0650048031403556</v>
          </cell>
          <cell r="AC88" t="str">
            <v xml:space="preserve">─ </v>
          </cell>
          <cell r="AD88">
            <v>9351</v>
          </cell>
          <cell r="AE88">
            <v>1.9020092018924493</v>
          </cell>
          <cell r="AF88">
            <v>4.3172690763052231</v>
          </cell>
          <cell r="AG88">
            <v>2680</v>
          </cell>
          <cell r="AH88">
            <v>2.450308117102785</v>
          </cell>
          <cell r="AI88">
            <v>21.486854034451497</v>
          </cell>
        </row>
        <row r="89">
          <cell r="B89" t="str">
            <v xml:space="preserve">      제수당</v>
          </cell>
          <cell r="C89">
            <v>0</v>
          </cell>
          <cell r="D89">
            <v>0</v>
          </cell>
          <cell r="F89">
            <v>0</v>
          </cell>
          <cell r="G89">
            <v>0</v>
          </cell>
          <cell r="H89" t="str">
            <v xml:space="preserve">─ </v>
          </cell>
          <cell r="I89">
            <v>6390</v>
          </cell>
          <cell r="J89">
            <v>1.94420526426283</v>
          </cell>
          <cell r="K89" t="str">
            <v xml:space="preserve">─ </v>
          </cell>
          <cell r="L89">
            <v>0</v>
          </cell>
          <cell r="M89">
            <v>0</v>
          </cell>
          <cell r="N89">
            <v>-100</v>
          </cell>
          <cell r="O89">
            <v>0</v>
          </cell>
          <cell r="P89">
            <v>0</v>
          </cell>
          <cell r="Q89" t="str">
            <v xml:space="preserve">─ </v>
          </cell>
          <cell r="R89">
            <v>0</v>
          </cell>
          <cell r="S89">
            <v>0</v>
          </cell>
          <cell r="T89" t="str">
            <v xml:space="preserve">─ </v>
          </cell>
          <cell r="U89">
            <v>0</v>
          </cell>
          <cell r="V89">
            <v>0</v>
          </cell>
          <cell r="W89" t="str">
            <v xml:space="preserve">─ </v>
          </cell>
          <cell r="X89">
            <v>0</v>
          </cell>
          <cell r="Y89">
            <v>0</v>
          </cell>
          <cell r="Z89" t="str">
            <v xml:space="preserve">─ </v>
          </cell>
          <cell r="AA89">
            <v>0</v>
          </cell>
          <cell r="AB89">
            <v>0</v>
          </cell>
          <cell r="AC89" t="str">
            <v xml:space="preserve">─ </v>
          </cell>
          <cell r="AD89">
            <v>0</v>
          </cell>
          <cell r="AE89">
            <v>0</v>
          </cell>
          <cell r="AF89" t="str">
            <v xml:space="preserve">─ </v>
          </cell>
          <cell r="AG89">
            <v>0</v>
          </cell>
          <cell r="AH89">
            <v>0</v>
          </cell>
          <cell r="AI89" t="str">
            <v xml:space="preserve">─ </v>
          </cell>
        </row>
        <row r="90">
          <cell r="B90" t="str">
            <v xml:space="preserve">      상여금</v>
          </cell>
          <cell r="C90">
            <v>0</v>
          </cell>
          <cell r="D90">
            <v>0</v>
          </cell>
          <cell r="F90">
            <v>0</v>
          </cell>
          <cell r="G90">
            <v>0</v>
          </cell>
          <cell r="H90" t="str">
            <v xml:space="preserve">─ </v>
          </cell>
          <cell r="I90">
            <v>0</v>
          </cell>
          <cell r="J90">
            <v>0</v>
          </cell>
          <cell r="K90" t="str">
            <v xml:space="preserve">─ </v>
          </cell>
          <cell r="L90">
            <v>0</v>
          </cell>
          <cell r="M90">
            <v>0</v>
          </cell>
          <cell r="N90" t="str">
            <v xml:space="preserve">─ </v>
          </cell>
          <cell r="O90">
            <v>0</v>
          </cell>
          <cell r="P90">
            <v>0</v>
          </cell>
          <cell r="Q90" t="str">
            <v xml:space="preserve">─ </v>
          </cell>
          <cell r="R90">
            <v>0</v>
          </cell>
          <cell r="S90">
            <v>0</v>
          </cell>
          <cell r="T90" t="str">
            <v xml:space="preserve">─ </v>
          </cell>
          <cell r="U90">
            <v>0</v>
          </cell>
          <cell r="V90">
            <v>0</v>
          </cell>
          <cell r="W90" t="str">
            <v xml:space="preserve">─ </v>
          </cell>
          <cell r="X90">
            <v>0</v>
          </cell>
          <cell r="Y90">
            <v>0</v>
          </cell>
          <cell r="Z90" t="str">
            <v xml:space="preserve">─ </v>
          </cell>
          <cell r="AA90">
            <v>0</v>
          </cell>
          <cell r="AB90">
            <v>0</v>
          </cell>
          <cell r="AC90" t="str">
            <v xml:space="preserve">─ </v>
          </cell>
          <cell r="AD90">
            <v>0</v>
          </cell>
          <cell r="AE90">
            <v>0</v>
          </cell>
          <cell r="AF90" t="str">
            <v xml:space="preserve">─ </v>
          </cell>
          <cell r="AG90">
            <v>0</v>
          </cell>
          <cell r="AH90">
            <v>0</v>
          </cell>
          <cell r="AI90" t="str">
            <v xml:space="preserve">─ </v>
          </cell>
        </row>
        <row r="91">
          <cell r="B91" t="str">
            <v xml:space="preserve">      잡급</v>
          </cell>
          <cell r="C91">
            <v>332</v>
          </cell>
          <cell r="D91">
            <v>0.1450148946021263</v>
          </cell>
          <cell r="F91">
            <v>300</v>
          </cell>
          <cell r="G91">
            <v>0.10242788223524954</v>
          </cell>
          <cell r="H91">
            <v>-9.6385542168674618</v>
          </cell>
          <cell r="I91">
            <v>386</v>
          </cell>
          <cell r="J91">
            <v>0.11744338529036812</v>
          </cell>
          <cell r="K91">
            <v>28.666666666666657</v>
          </cell>
          <cell r="L91">
            <v>0</v>
          </cell>
          <cell r="M91">
            <v>0</v>
          </cell>
          <cell r="N91">
            <v>-100</v>
          </cell>
          <cell r="O91">
            <v>0</v>
          </cell>
          <cell r="P91">
            <v>0</v>
          </cell>
          <cell r="Q91" t="str">
            <v xml:space="preserve">─ </v>
          </cell>
          <cell r="R91">
            <v>0</v>
          </cell>
          <cell r="S91">
            <v>0</v>
          </cell>
          <cell r="T91" t="str">
            <v xml:space="preserve">─ </v>
          </cell>
          <cell r="U91">
            <v>0</v>
          </cell>
          <cell r="V91">
            <v>0</v>
          </cell>
          <cell r="W91" t="str">
            <v xml:space="preserve">─ </v>
          </cell>
          <cell r="X91">
            <v>0</v>
          </cell>
          <cell r="Y91">
            <v>0</v>
          </cell>
          <cell r="Z91" t="str">
            <v xml:space="preserve">─ </v>
          </cell>
          <cell r="AA91">
            <v>0</v>
          </cell>
          <cell r="AB91">
            <v>0</v>
          </cell>
          <cell r="AC91" t="str">
            <v xml:space="preserve">─ </v>
          </cell>
          <cell r="AD91">
            <v>0</v>
          </cell>
          <cell r="AE91">
            <v>0</v>
          </cell>
          <cell r="AF91" t="str">
            <v xml:space="preserve">─ </v>
          </cell>
          <cell r="AG91">
            <v>0</v>
          </cell>
          <cell r="AH91">
            <v>0</v>
          </cell>
          <cell r="AI91" t="str">
            <v xml:space="preserve">─ </v>
          </cell>
        </row>
        <row r="92">
          <cell r="B92" t="str">
            <v xml:space="preserve">      기타급여</v>
          </cell>
          <cell r="C92">
            <v>0</v>
          </cell>
          <cell r="D92">
            <v>0</v>
          </cell>
          <cell r="F92">
            <v>0</v>
          </cell>
          <cell r="G92">
            <v>0</v>
          </cell>
          <cell r="H92" t="str">
            <v xml:space="preserve">─ </v>
          </cell>
          <cell r="I92">
            <v>0</v>
          </cell>
          <cell r="J92">
            <v>0</v>
          </cell>
          <cell r="K92" t="str">
            <v xml:space="preserve">─ </v>
          </cell>
          <cell r="L92">
            <v>8119</v>
          </cell>
          <cell r="M92">
            <v>1.9453276435874152</v>
          </cell>
          <cell r="N92" t="str">
            <v xml:space="preserve">─ </v>
          </cell>
          <cell r="O92">
            <v>7613</v>
          </cell>
          <cell r="P92">
            <v>1.6778996830658421</v>
          </cell>
          <cell r="Q92">
            <v>-6.2322946175637384</v>
          </cell>
          <cell r="R92">
            <v>8256</v>
          </cell>
          <cell r="S92">
            <v>1.9381919598839341</v>
          </cell>
          <cell r="T92">
            <v>8.4460790752659989</v>
          </cell>
          <cell r="U92">
            <v>9471</v>
          </cell>
          <cell r="V92">
            <v>2.500864780081804</v>
          </cell>
          <cell r="W92">
            <v>14.716569767441868</v>
          </cell>
          <cell r="X92">
            <v>7297</v>
          </cell>
          <cell r="Y92">
            <v>1.7163071524166365</v>
          </cell>
          <cell r="Z92">
            <v>-22.954281490866862</v>
          </cell>
          <cell r="AA92">
            <v>0</v>
          </cell>
          <cell r="AB92">
            <v>0</v>
          </cell>
          <cell r="AC92">
            <v>-100</v>
          </cell>
          <cell r="AD92">
            <v>0</v>
          </cell>
          <cell r="AE92">
            <v>0</v>
          </cell>
          <cell r="AF92" t="str">
            <v xml:space="preserve">─ </v>
          </cell>
          <cell r="AG92">
            <v>0</v>
          </cell>
          <cell r="AH92">
            <v>0</v>
          </cell>
          <cell r="AI92" t="str">
            <v xml:space="preserve">─ </v>
          </cell>
        </row>
        <row r="93">
          <cell r="B93" t="str">
            <v xml:space="preserve">    퇴직급여</v>
          </cell>
          <cell r="C93">
            <v>1997</v>
          </cell>
          <cell r="D93">
            <v>0.87227332686881398</v>
          </cell>
          <cell r="F93">
            <v>3183</v>
          </cell>
          <cell r="G93">
            <v>1.0867598305159976</v>
          </cell>
          <cell r="H93">
            <v>59.389083625438161</v>
          </cell>
          <cell r="I93">
            <v>3220</v>
          </cell>
          <cell r="J93">
            <v>0.97970906900255272</v>
          </cell>
          <cell r="K93">
            <v>1.1624253848570447</v>
          </cell>
          <cell r="L93">
            <v>3996</v>
          </cell>
          <cell r="M93">
            <v>0.95744910257116767</v>
          </cell>
          <cell r="N93">
            <v>24.09937888198759</v>
          </cell>
          <cell r="O93">
            <v>7056</v>
          </cell>
          <cell r="P93">
            <v>1.5551372867086013</v>
          </cell>
          <cell r="Q93">
            <v>76.576576576576571</v>
          </cell>
          <cell r="R93">
            <v>5178</v>
          </cell>
          <cell r="S93">
            <v>1.2155956841423219</v>
          </cell>
          <cell r="T93">
            <v>-26.615646258503403</v>
          </cell>
          <cell r="U93">
            <v>4984</v>
          </cell>
          <cell r="V93">
            <v>1.3160500542632998</v>
          </cell>
          <cell r="W93">
            <v>-3.7466203167246022</v>
          </cell>
          <cell r="X93">
            <v>3076</v>
          </cell>
          <cell r="Y93">
            <v>0.72349743741723649</v>
          </cell>
          <cell r="Z93">
            <v>-38.282504012841088</v>
          </cell>
          <cell r="AA93">
            <v>2629</v>
          </cell>
          <cell r="AB93">
            <v>0.60563338101918729</v>
          </cell>
          <cell r="AC93">
            <v>-14.53185955786735</v>
          </cell>
          <cell r="AD93">
            <v>1922</v>
          </cell>
          <cell r="AE93">
            <v>0.390938047913302</v>
          </cell>
          <cell r="AF93">
            <v>-26.892354507417267</v>
          </cell>
          <cell r="AG93">
            <v>474</v>
          </cell>
          <cell r="AH93">
            <v>0.43337539086071641</v>
          </cell>
          <cell r="AI93">
            <v>84.435797665369648</v>
          </cell>
        </row>
        <row r="94">
          <cell r="B94" t="str">
            <v xml:space="preserve">      퇴직급여충당금전입액</v>
          </cell>
          <cell r="C94">
            <v>1997</v>
          </cell>
          <cell r="D94">
            <v>0.87227332686881398</v>
          </cell>
          <cell r="F94">
            <v>3183</v>
          </cell>
          <cell r="G94">
            <v>1.0867598305159976</v>
          </cell>
          <cell r="H94">
            <v>59.389083625438161</v>
          </cell>
          <cell r="I94">
            <v>1240</v>
          </cell>
          <cell r="J94">
            <v>0.37727926880843643</v>
          </cell>
          <cell r="K94">
            <v>-61.043041156142003</v>
          </cell>
          <cell r="L94">
            <v>0</v>
          </cell>
          <cell r="M94">
            <v>0</v>
          </cell>
          <cell r="N94">
            <v>-100</v>
          </cell>
          <cell r="O94">
            <v>4086</v>
          </cell>
          <cell r="P94">
            <v>0.90055143898686874</v>
          </cell>
          <cell r="Q94" t="str">
            <v xml:space="preserve">─ </v>
          </cell>
          <cell r="R94">
            <v>0</v>
          </cell>
          <cell r="S94">
            <v>0</v>
          </cell>
          <cell r="T94">
            <v>-100</v>
          </cell>
          <cell r="U94">
            <v>4933</v>
          </cell>
          <cell r="V94">
            <v>1.3025832499359666</v>
          </cell>
          <cell r="W94" t="str">
            <v xml:space="preserve">─ </v>
          </cell>
          <cell r="X94">
            <v>0</v>
          </cell>
          <cell r="Y94">
            <v>0</v>
          </cell>
          <cell r="Z94">
            <v>-100</v>
          </cell>
          <cell r="AA94">
            <v>0</v>
          </cell>
          <cell r="AB94">
            <v>0</v>
          </cell>
          <cell r="AC94" t="str">
            <v xml:space="preserve">─ </v>
          </cell>
          <cell r="AD94">
            <v>0</v>
          </cell>
          <cell r="AE94">
            <v>0</v>
          </cell>
          <cell r="AF94" t="str">
            <v xml:space="preserve">─ </v>
          </cell>
          <cell r="AG94">
            <v>0</v>
          </cell>
          <cell r="AH94">
            <v>0</v>
          </cell>
          <cell r="AI94" t="str">
            <v xml:space="preserve">─ </v>
          </cell>
        </row>
        <row r="95">
          <cell r="B95" t="str">
            <v xml:space="preserve">      단체퇴직급여충당금전입액</v>
          </cell>
          <cell r="C95">
            <v>0</v>
          </cell>
          <cell r="D95">
            <v>0</v>
          </cell>
          <cell r="F95">
            <v>0</v>
          </cell>
          <cell r="G95">
            <v>0</v>
          </cell>
          <cell r="H95" t="str">
            <v xml:space="preserve">─ </v>
          </cell>
          <cell r="I95">
            <v>1980</v>
          </cell>
          <cell r="J95">
            <v>0.60242980019411629</v>
          </cell>
          <cell r="K95" t="str">
            <v xml:space="preserve">─ </v>
          </cell>
          <cell r="L95">
            <v>0</v>
          </cell>
          <cell r="M95">
            <v>0</v>
          </cell>
          <cell r="N95">
            <v>-100</v>
          </cell>
          <cell r="O95">
            <v>2970</v>
          </cell>
          <cell r="P95">
            <v>0.65458584772173267</v>
          </cell>
          <cell r="Q95" t="str">
            <v xml:space="preserve">─ </v>
          </cell>
          <cell r="R95">
            <v>1017</v>
          </cell>
          <cell r="S95">
            <v>0.2387525706397724</v>
          </cell>
          <cell r="T95">
            <v>-65.757575757575751</v>
          </cell>
          <cell r="U95">
            <v>51</v>
          </cell>
          <cell r="V95">
            <v>1.3466804327333125E-2</v>
          </cell>
          <cell r="W95">
            <v>-94.985250737463133</v>
          </cell>
          <cell r="X95">
            <v>0</v>
          </cell>
          <cell r="Y95">
            <v>0</v>
          </cell>
          <cell r="Z95">
            <v>-100</v>
          </cell>
          <cell r="AA95">
            <v>0</v>
          </cell>
          <cell r="AB95">
            <v>0</v>
          </cell>
          <cell r="AC95" t="str">
            <v xml:space="preserve">─ </v>
          </cell>
          <cell r="AD95">
            <v>0</v>
          </cell>
          <cell r="AE95">
            <v>0</v>
          </cell>
          <cell r="AF95" t="str">
            <v xml:space="preserve">─ </v>
          </cell>
          <cell r="AG95">
            <v>0</v>
          </cell>
          <cell r="AH95">
            <v>0</v>
          </cell>
          <cell r="AI95" t="str">
            <v xml:space="preserve">─ </v>
          </cell>
        </row>
        <row r="96">
          <cell r="B96" t="str">
            <v xml:space="preserve">      퇴직금</v>
          </cell>
          <cell r="C96">
            <v>0</v>
          </cell>
          <cell r="D96">
            <v>0</v>
          </cell>
          <cell r="F96">
            <v>0</v>
          </cell>
          <cell r="G96">
            <v>0</v>
          </cell>
          <cell r="H96" t="str">
            <v xml:space="preserve">─ </v>
          </cell>
          <cell r="I96">
            <v>0</v>
          </cell>
          <cell r="J96">
            <v>0</v>
          </cell>
          <cell r="K96" t="str">
            <v xml:space="preserve">─ </v>
          </cell>
          <cell r="L96">
            <v>0</v>
          </cell>
          <cell r="M96">
            <v>0</v>
          </cell>
          <cell r="N96" t="str">
            <v xml:space="preserve">─ </v>
          </cell>
          <cell r="O96">
            <v>0</v>
          </cell>
          <cell r="P96">
            <v>0</v>
          </cell>
          <cell r="Q96" t="str">
            <v xml:space="preserve">─ </v>
          </cell>
          <cell r="R96">
            <v>0</v>
          </cell>
          <cell r="S96">
            <v>0</v>
          </cell>
          <cell r="T96" t="str">
            <v xml:space="preserve">─ </v>
          </cell>
          <cell r="U96">
            <v>0</v>
          </cell>
          <cell r="V96">
            <v>0</v>
          </cell>
          <cell r="W96" t="str">
            <v xml:space="preserve">─ </v>
          </cell>
          <cell r="X96">
            <v>0</v>
          </cell>
          <cell r="Y96">
            <v>0</v>
          </cell>
          <cell r="Z96" t="str">
            <v xml:space="preserve">─ </v>
          </cell>
          <cell r="AA96">
            <v>0</v>
          </cell>
          <cell r="AB96">
            <v>0</v>
          </cell>
          <cell r="AC96" t="str">
            <v xml:space="preserve">─ </v>
          </cell>
          <cell r="AD96">
            <v>0</v>
          </cell>
          <cell r="AE96">
            <v>0</v>
          </cell>
          <cell r="AF96" t="str">
            <v xml:space="preserve">─ </v>
          </cell>
          <cell r="AG96">
            <v>0</v>
          </cell>
          <cell r="AH96">
            <v>0</v>
          </cell>
          <cell r="AI96" t="str">
            <v xml:space="preserve">─ </v>
          </cell>
        </row>
        <row r="97">
          <cell r="B97" t="str">
            <v xml:space="preserve">      기타퇴직급여</v>
          </cell>
          <cell r="C97">
            <v>0</v>
          </cell>
          <cell r="D97">
            <v>0</v>
          </cell>
          <cell r="F97">
            <v>0</v>
          </cell>
          <cell r="G97">
            <v>0</v>
          </cell>
          <cell r="H97" t="str">
            <v xml:space="preserve">─ </v>
          </cell>
          <cell r="I97">
            <v>0</v>
          </cell>
          <cell r="J97">
            <v>0</v>
          </cell>
          <cell r="K97" t="str">
            <v xml:space="preserve">─ </v>
          </cell>
          <cell r="L97">
            <v>3996</v>
          </cell>
          <cell r="M97">
            <v>0.95744910257116767</v>
          </cell>
          <cell r="N97" t="str">
            <v xml:space="preserve">─ </v>
          </cell>
          <cell r="O97">
            <v>0</v>
          </cell>
          <cell r="P97">
            <v>0</v>
          </cell>
          <cell r="Q97">
            <v>-100</v>
          </cell>
          <cell r="R97">
            <v>4162</v>
          </cell>
          <cell r="S97">
            <v>0.97707787512559752</v>
          </cell>
          <cell r="T97" t="str">
            <v xml:space="preserve">─ </v>
          </cell>
          <cell r="U97">
            <v>0</v>
          </cell>
          <cell r="V97">
            <v>0</v>
          </cell>
          <cell r="W97">
            <v>-100</v>
          </cell>
          <cell r="X97">
            <v>3076</v>
          </cell>
          <cell r="Y97">
            <v>0.72349743741723649</v>
          </cell>
          <cell r="Z97" t="str">
            <v xml:space="preserve">─ </v>
          </cell>
          <cell r="AA97">
            <v>2629</v>
          </cell>
          <cell r="AB97">
            <v>0.60563338101918729</v>
          </cell>
          <cell r="AC97">
            <v>-14.53185955786735</v>
          </cell>
          <cell r="AD97">
            <v>1922</v>
          </cell>
          <cell r="AE97">
            <v>0.390938047913302</v>
          </cell>
          <cell r="AF97">
            <v>-26.892354507417267</v>
          </cell>
          <cell r="AG97">
            <v>474</v>
          </cell>
          <cell r="AH97">
            <v>0.43337539086071641</v>
          </cell>
          <cell r="AI97">
            <v>84.435797665369648</v>
          </cell>
        </row>
        <row r="98">
          <cell r="B98" t="str">
            <v xml:space="preserve">    복리후생비</v>
          </cell>
          <cell r="C98">
            <v>1269</v>
          </cell>
          <cell r="D98">
            <v>0.55428885918704307</v>
          </cell>
          <cell r="F98">
            <v>1624</v>
          </cell>
          <cell r="G98">
            <v>0.55447626916681747</v>
          </cell>
          <cell r="H98">
            <v>27.974783293932234</v>
          </cell>
          <cell r="I98">
            <v>1755</v>
          </cell>
          <cell r="J98">
            <v>0.53397186835387578</v>
          </cell>
          <cell r="K98">
            <v>8.066502463054178</v>
          </cell>
          <cell r="L98">
            <v>2006</v>
          </cell>
          <cell r="M98">
            <v>0.48064136630574639</v>
          </cell>
          <cell r="N98">
            <v>14.301994301994299</v>
          </cell>
          <cell r="O98">
            <v>1515</v>
          </cell>
          <cell r="P98">
            <v>0.3339049021206818</v>
          </cell>
          <cell r="Q98">
            <v>-24.47657028913261</v>
          </cell>
          <cell r="R98">
            <v>1664</v>
          </cell>
          <cell r="S98">
            <v>0.39064334075180063</v>
          </cell>
          <cell r="T98">
            <v>9.8349834983498425</v>
          </cell>
          <cell r="U98">
            <v>1610</v>
          </cell>
          <cell r="V98">
            <v>0.42512852876482998</v>
          </cell>
          <cell r="W98">
            <v>-3.2451923076923066</v>
          </cell>
          <cell r="X98">
            <v>1721</v>
          </cell>
          <cell r="Y98">
            <v>0.40479164167589854</v>
          </cell>
          <cell r="Z98">
            <v>6.8944099378881845</v>
          </cell>
          <cell r="AA98">
            <v>1547</v>
          </cell>
          <cell r="AB98">
            <v>0.35637688871688195</v>
          </cell>
          <cell r="AC98">
            <v>-10.110400929692048</v>
          </cell>
          <cell r="AD98">
            <v>1751</v>
          </cell>
          <cell r="AE98">
            <v>0.35615635894703013</v>
          </cell>
          <cell r="AF98">
            <v>13.186813186813183</v>
          </cell>
          <cell r="AG98">
            <v>425</v>
          </cell>
          <cell r="AH98">
            <v>0.38857498125697149</v>
          </cell>
          <cell r="AI98">
            <v>-7.0021881838074398</v>
          </cell>
        </row>
        <row r="99">
          <cell r="B99" t="str">
            <v xml:space="preserve">  관리비</v>
          </cell>
          <cell r="C99">
            <v>3764</v>
          </cell>
          <cell r="D99">
            <v>1.6440845279590464</v>
          </cell>
          <cell r="F99">
            <v>4808</v>
          </cell>
          <cell r="G99">
            <v>1.6415775259569325</v>
          </cell>
          <cell r="H99">
            <v>27.736450584484601</v>
          </cell>
          <cell r="I99">
            <v>5555</v>
          </cell>
          <cell r="J99">
            <v>1.6901502727668261</v>
          </cell>
          <cell r="K99">
            <v>15.536605657237928</v>
          </cell>
          <cell r="L99">
            <v>5032</v>
          </cell>
          <cell r="M99">
            <v>1.2056766476822114</v>
          </cell>
          <cell r="N99">
            <v>-9.4149414941494172</v>
          </cell>
          <cell r="O99">
            <v>5889</v>
          </cell>
          <cell r="P99">
            <v>1.2979313324017792</v>
          </cell>
          <cell r="Q99">
            <v>17.031001589825109</v>
          </cell>
          <cell r="R99">
            <v>4665</v>
          </cell>
          <cell r="S99">
            <v>1.0951629715187199</v>
          </cell>
          <cell r="T99">
            <v>-20.784513499745287</v>
          </cell>
          <cell r="U99">
            <v>4582</v>
          </cell>
          <cell r="V99">
            <v>1.2098999495654974</v>
          </cell>
          <cell r="W99">
            <v>-1.7792068595927049</v>
          </cell>
          <cell r="X99">
            <v>5677</v>
          </cell>
          <cell r="Y99">
            <v>1.3352714409030075</v>
          </cell>
          <cell r="Z99">
            <v>23.897861195984291</v>
          </cell>
          <cell r="AA99">
            <v>5349</v>
          </cell>
          <cell r="AB99">
            <v>1.232230108433485</v>
          </cell>
          <cell r="AC99">
            <v>-5.7776994891668068</v>
          </cell>
          <cell r="AD99">
            <v>5039</v>
          </cell>
          <cell r="AE99">
            <v>1.0249411152107852</v>
          </cell>
          <cell r="AF99">
            <v>-5.7954757898672682</v>
          </cell>
          <cell r="AG99">
            <v>1242</v>
          </cell>
          <cell r="AH99">
            <v>1.1355532393439025</v>
          </cell>
          <cell r="AI99">
            <v>-1.66270783847981</v>
          </cell>
        </row>
        <row r="100">
          <cell r="B100" t="str">
            <v xml:space="preserve">    여비교통비</v>
          </cell>
          <cell r="C100">
            <v>280</v>
          </cell>
          <cell r="D100">
            <v>0.12230171833914266</v>
          </cell>
          <cell r="F100">
            <v>238</v>
          </cell>
          <cell r="G100">
            <v>8.1259453239964627E-2</v>
          </cell>
          <cell r="H100">
            <v>-15</v>
          </cell>
          <cell r="I100">
            <v>370</v>
          </cell>
          <cell r="J100">
            <v>0.1125752656928399</v>
          </cell>
          <cell r="K100">
            <v>55.462184873949582</v>
          </cell>
          <cell r="L100">
            <v>341</v>
          </cell>
          <cell r="M100">
            <v>8.1704240234426476E-2</v>
          </cell>
          <cell r="N100">
            <v>-7.8378378378378386</v>
          </cell>
          <cell r="O100">
            <v>301</v>
          </cell>
          <cell r="P100">
            <v>6.6340181873482007E-2</v>
          </cell>
          <cell r="Q100">
            <v>-11.730205278592379</v>
          </cell>
          <cell r="R100">
            <v>317</v>
          </cell>
          <cell r="S100">
            <v>7.4419434506202392E-2</v>
          </cell>
          <cell r="T100">
            <v>5.3156146179401844</v>
          </cell>
          <cell r="U100">
            <v>370</v>
          </cell>
          <cell r="V100">
            <v>9.7700345119867749E-2</v>
          </cell>
          <cell r="W100">
            <v>16.719242902208208</v>
          </cell>
          <cell r="X100">
            <v>333</v>
          </cell>
          <cell r="Y100">
            <v>7.8324007366690415E-2</v>
          </cell>
          <cell r="Z100">
            <v>-10</v>
          </cell>
          <cell r="AA100">
            <v>274</v>
          </cell>
          <cell r="AB100">
            <v>6.3120405629234433E-2</v>
          </cell>
          <cell r="AC100">
            <v>-17.717717717717719</v>
          </cell>
          <cell r="AD100">
            <v>165</v>
          </cell>
          <cell r="AE100">
            <v>3.3561278827104496E-2</v>
          </cell>
          <cell r="AF100">
            <v>-39.78102189781022</v>
          </cell>
          <cell r="AG100">
            <v>35</v>
          </cell>
          <cell r="AH100">
            <v>3.2000292574103535E-2</v>
          </cell>
          <cell r="AI100">
            <v>-20.454545454545457</v>
          </cell>
        </row>
        <row r="101">
          <cell r="B101" t="str">
            <v xml:space="preserve">    통신비</v>
          </cell>
          <cell r="C101">
            <v>199</v>
          </cell>
          <cell r="D101">
            <v>8.6921578391033538E-2</v>
          </cell>
          <cell r="F101">
            <v>186</v>
          </cell>
          <cell r="G101">
            <v>6.3505286985854711E-2</v>
          </cell>
          <cell r="H101">
            <v>-6.5326633165829122</v>
          </cell>
          <cell r="I101">
            <v>213</v>
          </cell>
          <cell r="J101">
            <v>6.4806842142094326E-2</v>
          </cell>
          <cell r="K101">
            <v>14.516129032258078</v>
          </cell>
          <cell r="L101">
            <v>220</v>
          </cell>
          <cell r="M101">
            <v>5.2712413054468693E-2</v>
          </cell>
          <cell r="N101">
            <v>3.2863849765258237</v>
          </cell>
          <cell r="O101">
            <v>201</v>
          </cell>
          <cell r="P101">
            <v>4.4300254340763727E-2</v>
          </cell>
          <cell r="Q101">
            <v>-8.636363636363626</v>
          </cell>
          <cell r="R101">
            <v>209</v>
          </cell>
          <cell r="S101">
            <v>4.9065179217023039E-2</v>
          </cell>
          <cell r="T101">
            <v>3.9800995024875618</v>
          </cell>
          <cell r="U101">
            <v>186</v>
          </cell>
          <cell r="V101">
            <v>4.9114227546744334E-2</v>
          </cell>
          <cell r="W101">
            <v>-11.004784688995215</v>
          </cell>
          <cell r="X101">
            <v>204</v>
          </cell>
          <cell r="Y101">
            <v>4.7982274783197734E-2</v>
          </cell>
          <cell r="Z101">
            <v>9.6774193548387046</v>
          </cell>
          <cell r="AA101">
            <v>209</v>
          </cell>
          <cell r="AB101">
            <v>4.8146586775583922E-2</v>
          </cell>
          <cell r="AC101">
            <v>2.4509803921568505</v>
          </cell>
          <cell r="AD101">
            <v>212</v>
          </cell>
          <cell r="AE101">
            <v>4.3121158250582749E-2</v>
          </cell>
          <cell r="AF101">
            <v>1.4354066985645915</v>
          </cell>
          <cell r="AG101">
            <v>46</v>
          </cell>
          <cell r="AH101">
            <v>4.2057527383107501E-2</v>
          </cell>
          <cell r="AI101">
            <v>-6.1224489795918364</v>
          </cell>
        </row>
        <row r="102">
          <cell r="B102" t="str">
            <v xml:space="preserve">    수도광열비</v>
          </cell>
          <cell r="C102">
            <v>142</v>
          </cell>
          <cell r="D102">
            <v>6.2024442871993782E-2</v>
          </cell>
          <cell r="F102">
            <v>125</v>
          </cell>
          <cell r="G102">
            <v>4.2678284264687304E-2</v>
          </cell>
          <cell r="H102">
            <v>-11.971830985915489</v>
          </cell>
          <cell r="I102">
            <v>138</v>
          </cell>
          <cell r="J102">
            <v>4.198753152868083E-2</v>
          </cell>
          <cell r="K102">
            <v>10.400000000000006</v>
          </cell>
          <cell r="L102">
            <v>176</v>
          </cell>
          <cell r="M102">
            <v>4.2169930443574956E-2</v>
          </cell>
          <cell r="N102">
            <v>27.536231884057955</v>
          </cell>
          <cell r="O102">
            <v>156</v>
          </cell>
          <cell r="P102">
            <v>3.4382286951040508E-2</v>
          </cell>
          <cell r="Q102">
            <v>-11.36363636363636</v>
          </cell>
          <cell r="R102">
            <v>194</v>
          </cell>
          <cell r="S102">
            <v>4.5543754871303674E-2</v>
          </cell>
          <cell r="T102">
            <v>24.358974358974365</v>
          </cell>
          <cell r="U102">
            <v>197</v>
          </cell>
          <cell r="V102">
            <v>5.2018832401659318E-2</v>
          </cell>
          <cell r="W102">
            <v>1.546391752577307</v>
          </cell>
          <cell r="X102">
            <v>342</v>
          </cell>
          <cell r="Y102">
            <v>8.0440872430655036E-2</v>
          </cell>
          <cell r="Z102">
            <v>73.604060913705581</v>
          </cell>
          <cell r="AA102">
            <v>378</v>
          </cell>
          <cell r="AB102">
            <v>8.7078515795075237E-2</v>
          </cell>
          <cell r="AC102">
            <v>10.526315789473699</v>
          </cell>
          <cell r="AD102">
            <v>335</v>
          </cell>
          <cell r="AE102">
            <v>6.8139566103515181E-2</v>
          </cell>
          <cell r="AF102">
            <v>-11.375661375661366</v>
          </cell>
          <cell r="AG102">
            <v>86</v>
          </cell>
          <cell r="AH102">
            <v>7.8629290324940107E-2</v>
          </cell>
          <cell r="AI102">
            <v>-8.5106382978723403</v>
          </cell>
        </row>
        <row r="103">
          <cell r="B103" t="str">
            <v xml:space="preserve">    세금과공과</v>
          </cell>
          <cell r="C103">
            <v>763</v>
          </cell>
          <cell r="D103">
            <v>0.33327218247416379</v>
          </cell>
          <cell r="F103">
            <v>2082</v>
          </cell>
          <cell r="G103">
            <v>0.7108495027126317</v>
          </cell>
          <cell r="H103">
            <v>172.87024901703802</v>
          </cell>
          <cell r="I103">
            <v>965</v>
          </cell>
          <cell r="J103">
            <v>0.29360846322592032</v>
          </cell>
          <cell r="K103">
            <v>-53.65033621517771</v>
          </cell>
          <cell r="L103">
            <v>996</v>
          </cell>
          <cell r="M103">
            <v>0.23864347001023101</v>
          </cell>
          <cell r="N103">
            <v>3.212435233160619</v>
          </cell>
          <cell r="O103">
            <v>1029</v>
          </cell>
          <cell r="P103">
            <v>0.22679085431167104</v>
          </cell>
          <cell r="Q103">
            <v>3.3132530120481931</v>
          </cell>
          <cell r="R103">
            <v>852</v>
          </cell>
          <cell r="S103">
            <v>0.20001690283685944</v>
          </cell>
          <cell r="T103">
            <v>-17.201166180758023</v>
          </cell>
          <cell r="U103">
            <v>979</v>
          </cell>
          <cell r="V103">
            <v>0.25850983208743389</v>
          </cell>
          <cell r="W103">
            <v>14.906103286384976</v>
          </cell>
          <cell r="X103">
            <v>1097</v>
          </cell>
          <cell r="Y103">
            <v>0.25802233057435253</v>
          </cell>
          <cell r="Z103">
            <v>12.053115423901943</v>
          </cell>
          <cell r="AA103">
            <v>1026</v>
          </cell>
          <cell r="AB103">
            <v>0.23635597144377563</v>
          </cell>
          <cell r="AC103">
            <v>-6.4721969006381102</v>
          </cell>
          <cell r="AD103">
            <v>949</v>
          </cell>
          <cell r="AE103">
            <v>0.19302820367831616</v>
          </cell>
          <cell r="AF103">
            <v>-7.5048732943469787</v>
          </cell>
          <cell r="AG103">
            <v>105</v>
          </cell>
          <cell r="AH103">
            <v>9.6000877722310599E-2</v>
          </cell>
          <cell r="AI103">
            <v>38.15789473684211</v>
          </cell>
        </row>
        <row r="104">
          <cell r="B104" t="str">
            <v xml:space="preserve">    임차료</v>
          </cell>
          <cell r="C104">
            <v>338</v>
          </cell>
          <cell r="D104">
            <v>0.14763564570939366</v>
          </cell>
          <cell r="F104">
            <v>109</v>
          </cell>
          <cell r="G104">
            <v>3.721546387880733E-2</v>
          </cell>
          <cell r="H104">
            <v>-67.751479289940832</v>
          </cell>
          <cell r="I104">
            <v>152</v>
          </cell>
          <cell r="J104">
            <v>4.6247136176518017E-2</v>
          </cell>
          <cell r="K104">
            <v>39.449541284403665</v>
          </cell>
          <cell r="L104">
            <v>112</v>
          </cell>
          <cell r="M104">
            <v>2.6835410282274971E-2</v>
          </cell>
          <cell r="N104">
            <v>-26.31578947368422</v>
          </cell>
          <cell r="O104">
            <v>90</v>
          </cell>
          <cell r="P104">
            <v>1.9835934779446444E-2</v>
          </cell>
          <cell r="Q104">
            <v>-19.642857142857139</v>
          </cell>
          <cell r="R104">
            <v>92</v>
          </cell>
          <cell r="S104">
            <v>2.1598069320412056E-2</v>
          </cell>
          <cell r="T104">
            <v>2.2222222222222143</v>
          </cell>
          <cell r="U104">
            <v>31</v>
          </cell>
          <cell r="V104">
            <v>8.1857045911240562E-3</v>
          </cell>
          <cell r="W104">
            <v>-66.304347826086953</v>
          </cell>
          <cell r="X104">
            <v>62</v>
          </cell>
          <cell r="Y104">
            <v>1.4582848218422841E-2</v>
          </cell>
          <cell r="Z104">
            <v>100</v>
          </cell>
          <cell r="AA104">
            <v>55</v>
          </cell>
          <cell r="AB104">
            <v>1.2670154414627348E-2</v>
          </cell>
          <cell r="AC104">
            <v>-11.290322580645167</v>
          </cell>
          <cell r="AD104">
            <v>43</v>
          </cell>
          <cell r="AE104">
            <v>8.746272664033293E-3</v>
          </cell>
          <cell r="AF104">
            <v>-21.818181818181813</v>
          </cell>
          <cell r="AG104">
            <v>11</v>
          </cell>
          <cell r="AH104">
            <v>1.0057234809003968E-2</v>
          </cell>
          <cell r="AI104">
            <v>22.222222222222221</v>
          </cell>
        </row>
        <row r="105">
          <cell r="B105" t="str">
            <v xml:space="preserve">    감가상각비</v>
          </cell>
          <cell r="C105">
            <v>675</v>
          </cell>
          <cell r="D105">
            <v>0.29483449956757607</v>
          </cell>
          <cell r="F105">
            <v>788</v>
          </cell>
          <cell r="G105">
            <v>0.26904390400458877</v>
          </cell>
          <cell r="H105">
            <v>16.740740740740748</v>
          </cell>
          <cell r="I105">
            <v>1054</v>
          </cell>
          <cell r="J105">
            <v>0.32068737848717099</v>
          </cell>
          <cell r="K105">
            <v>33.756345177664969</v>
          </cell>
          <cell r="L105">
            <v>861</v>
          </cell>
          <cell r="M105">
            <v>0.20629721654498884</v>
          </cell>
          <cell r="N105">
            <v>-18.311195445920305</v>
          </cell>
          <cell r="O105">
            <v>645</v>
          </cell>
          <cell r="P105">
            <v>0.14215753258603286</v>
          </cell>
          <cell r="Q105">
            <v>-25.087108013937282</v>
          </cell>
          <cell r="R105">
            <v>1119</v>
          </cell>
          <cell r="S105">
            <v>0.262698256190664</v>
          </cell>
          <cell r="T105">
            <v>73.488372093023258</v>
          </cell>
          <cell r="U105">
            <v>808</v>
          </cell>
          <cell r="V105">
            <v>0.21335642934284635</v>
          </cell>
          <cell r="W105">
            <v>-27.792672028596968</v>
          </cell>
          <cell r="X105">
            <v>840</v>
          </cell>
          <cell r="Y105">
            <v>0.19757407263669655</v>
          </cell>
          <cell r="Z105">
            <v>3.9603960396039639</v>
          </cell>
          <cell r="AA105">
            <v>805</v>
          </cell>
          <cell r="AB105">
            <v>0.18544498734136391</v>
          </cell>
          <cell r="AC105">
            <v>-4.1666666666666572</v>
          </cell>
          <cell r="AD105">
            <v>551</v>
          </cell>
          <cell r="AE105">
            <v>0.11207433111354288</v>
          </cell>
          <cell r="AF105">
            <v>-31.552795031055908</v>
          </cell>
          <cell r="AG105">
            <v>152</v>
          </cell>
          <cell r="AH105">
            <v>0.1389726991789639</v>
          </cell>
          <cell r="AI105">
            <v>-34.1991341991342</v>
          </cell>
        </row>
        <row r="106">
          <cell r="B106" t="str">
            <v xml:space="preserve">    주식보상비용</v>
          </cell>
          <cell r="C106">
            <v>0</v>
          </cell>
          <cell r="D106">
            <v>0</v>
          </cell>
          <cell r="F106">
            <v>0</v>
          </cell>
          <cell r="G106">
            <v>0</v>
          </cell>
          <cell r="H106" t="str">
            <v xml:space="preserve">─ </v>
          </cell>
          <cell r="I106">
            <v>0</v>
          </cell>
          <cell r="J106">
            <v>0</v>
          </cell>
          <cell r="K106" t="str">
            <v xml:space="preserve">─ </v>
          </cell>
          <cell r="L106">
            <v>0</v>
          </cell>
          <cell r="M106">
            <v>0</v>
          </cell>
          <cell r="N106" t="str">
            <v xml:space="preserve">─ </v>
          </cell>
          <cell r="O106">
            <v>0</v>
          </cell>
          <cell r="P106">
            <v>0</v>
          </cell>
          <cell r="Q106" t="str">
            <v xml:space="preserve">─ </v>
          </cell>
          <cell r="R106">
            <v>0</v>
          </cell>
          <cell r="S106">
            <v>0</v>
          </cell>
          <cell r="T106" t="str">
            <v xml:space="preserve">─ </v>
          </cell>
          <cell r="U106">
            <v>0</v>
          </cell>
          <cell r="V106">
            <v>0</v>
          </cell>
          <cell r="W106" t="str">
            <v xml:space="preserve">─ </v>
          </cell>
          <cell r="X106">
            <v>0</v>
          </cell>
          <cell r="Y106">
            <v>0</v>
          </cell>
          <cell r="Z106" t="str">
            <v xml:space="preserve">─ </v>
          </cell>
          <cell r="AA106">
            <v>40</v>
          </cell>
          <cell r="AB106">
            <v>9.2146577560926167E-3</v>
          </cell>
          <cell r="AC106" t="str">
            <v xml:space="preserve">─ </v>
          </cell>
          <cell r="AD106">
            <v>0</v>
          </cell>
          <cell r="AE106">
            <v>0</v>
          </cell>
          <cell r="AF106">
            <v>-100</v>
          </cell>
          <cell r="AG106">
            <v>0</v>
          </cell>
          <cell r="AH106">
            <v>0</v>
          </cell>
          <cell r="AI106" t="str">
            <v xml:space="preserve">─ </v>
          </cell>
        </row>
        <row r="107">
          <cell r="B107" t="str">
            <v xml:space="preserve">    수선비</v>
          </cell>
          <cell r="C107">
            <v>98</v>
          </cell>
          <cell r="D107">
            <v>4.2805601418699935E-2</v>
          </cell>
          <cell r="F107">
            <v>93</v>
          </cell>
          <cell r="G107">
            <v>3.1752643492927356E-2</v>
          </cell>
          <cell r="H107">
            <v>-5.1020408163265216</v>
          </cell>
          <cell r="I107">
            <v>186</v>
          </cell>
          <cell r="J107">
            <v>5.6591890321265464E-2</v>
          </cell>
          <cell r="K107">
            <v>100</v>
          </cell>
          <cell r="L107">
            <v>177</v>
          </cell>
          <cell r="M107">
            <v>4.2409532321095268E-2</v>
          </cell>
          <cell r="N107">
            <v>-4.8387096774193452</v>
          </cell>
          <cell r="O107">
            <v>152</v>
          </cell>
          <cell r="P107">
            <v>3.3500689849731771E-2</v>
          </cell>
          <cell r="Q107">
            <v>-14.124293785310741</v>
          </cell>
          <cell r="R107">
            <v>102</v>
          </cell>
          <cell r="S107">
            <v>2.3945685550891625E-2</v>
          </cell>
          <cell r="T107">
            <v>-32.89473684210526</v>
          </cell>
          <cell r="U107">
            <v>123</v>
          </cell>
          <cell r="V107">
            <v>3.2478763377685772E-2</v>
          </cell>
          <cell r="W107">
            <v>20.588235294117638</v>
          </cell>
          <cell r="X107">
            <v>92</v>
          </cell>
          <cell r="Y107">
            <v>2.1639065098304863E-2</v>
          </cell>
          <cell r="Z107">
            <v>-25.203252032520325</v>
          </cell>
          <cell r="AA107">
            <v>179</v>
          </cell>
          <cell r="AB107">
            <v>4.1235593458514457E-2</v>
          </cell>
          <cell r="AC107">
            <v>94.565217391304344</v>
          </cell>
          <cell r="AD107">
            <v>82</v>
          </cell>
          <cell r="AE107">
            <v>1.667893856862163E-2</v>
          </cell>
          <cell r="AF107">
            <v>-54.18994413407821</v>
          </cell>
          <cell r="AG107">
            <v>9</v>
          </cell>
          <cell r="AH107">
            <v>8.2286466619123384E-3</v>
          </cell>
          <cell r="AI107">
            <v>-74.285714285714292</v>
          </cell>
        </row>
        <row r="108">
          <cell r="B108" t="str">
            <v xml:space="preserve">    보험료</v>
          </cell>
          <cell r="C108">
            <v>144</v>
          </cell>
          <cell r="D108">
            <v>6.2898026574416233E-2</v>
          </cell>
          <cell r="F108">
            <v>169</v>
          </cell>
          <cell r="G108">
            <v>5.7701040325857232E-2</v>
          </cell>
          <cell r="H108">
            <v>17.361111111111114</v>
          </cell>
          <cell r="I108">
            <v>233</v>
          </cell>
          <cell r="J108">
            <v>7.0891991639004587E-2</v>
          </cell>
          <cell r="K108">
            <v>37.869822485207095</v>
          </cell>
          <cell r="L108">
            <v>185</v>
          </cell>
          <cell r="M108">
            <v>4.4326347341257767E-2</v>
          </cell>
          <cell r="N108">
            <v>-20.600858369098717</v>
          </cell>
          <cell r="O108">
            <v>127</v>
          </cell>
          <cell r="P108">
            <v>2.7990707966552203E-2</v>
          </cell>
          <cell r="Q108">
            <v>-31.351351351351354</v>
          </cell>
          <cell r="R108">
            <v>129</v>
          </cell>
          <cell r="S108">
            <v>3.0284249373186471E-2</v>
          </cell>
          <cell r="T108">
            <v>1.5748031496062964</v>
          </cell>
          <cell r="U108">
            <v>121</v>
          </cell>
          <cell r="V108">
            <v>3.195065340406486E-2</v>
          </cell>
          <cell r="W108">
            <v>-6.201550387596896</v>
          </cell>
          <cell r="X108">
            <v>897</v>
          </cell>
          <cell r="Y108">
            <v>0.2109808847084724</v>
          </cell>
          <cell r="Z108">
            <v>641.32231404958679</v>
          </cell>
          <cell r="AA108">
            <v>437</v>
          </cell>
          <cell r="AB108">
            <v>0.10067013598531183</v>
          </cell>
          <cell r="AC108">
            <v>-51.282051282051285</v>
          </cell>
          <cell r="AD108">
            <v>343</v>
          </cell>
          <cell r="AE108">
            <v>6.9766779622405101E-2</v>
          </cell>
          <cell r="AF108">
            <v>-21.51029748283753</v>
          </cell>
          <cell r="AG108">
            <v>254</v>
          </cell>
          <cell r="AH108">
            <v>0.23223069468063709</v>
          </cell>
          <cell r="AI108">
            <v>78.873239436619713</v>
          </cell>
        </row>
        <row r="109">
          <cell r="B109" t="str">
            <v xml:space="preserve">    소모품비</v>
          </cell>
          <cell r="C109">
            <v>153</v>
          </cell>
          <cell r="D109">
            <v>6.682915323531724E-2</v>
          </cell>
          <cell r="F109">
            <v>143</v>
          </cell>
          <cell r="G109">
            <v>4.8823957198802274E-2</v>
          </cell>
          <cell r="H109">
            <v>-6.5359477124183059</v>
          </cell>
          <cell r="I109">
            <v>167</v>
          </cell>
          <cell r="J109">
            <v>5.0810998299200723E-2</v>
          </cell>
          <cell r="K109">
            <v>16.783216783216787</v>
          </cell>
          <cell r="L109">
            <v>146</v>
          </cell>
          <cell r="M109">
            <v>3.4981874117965592E-2</v>
          </cell>
          <cell r="N109">
            <v>-12.574850299401191</v>
          </cell>
          <cell r="O109">
            <v>140</v>
          </cell>
          <cell r="P109">
            <v>3.0855898545805581E-2</v>
          </cell>
          <cell r="Q109">
            <v>-4.1095890410959015</v>
          </cell>
          <cell r="R109">
            <v>202</v>
          </cell>
          <cell r="S109">
            <v>4.7421847855687337E-2</v>
          </cell>
          <cell r="T109">
            <v>44.285714285714278</v>
          </cell>
          <cell r="U109">
            <v>164</v>
          </cell>
          <cell r="V109">
            <v>4.3305017836914358E-2</v>
          </cell>
          <cell r="W109">
            <v>-18.811881188118804</v>
          </cell>
          <cell r="X109">
            <v>228</v>
          </cell>
          <cell r="Y109">
            <v>5.362724828710335E-2</v>
          </cell>
          <cell r="Z109">
            <v>39.024390243902417</v>
          </cell>
          <cell r="AA109">
            <v>204</v>
          </cell>
          <cell r="AB109">
            <v>4.6994754556072348E-2</v>
          </cell>
          <cell r="AC109">
            <v>-10.526315789473685</v>
          </cell>
          <cell r="AD109">
            <v>197</v>
          </cell>
          <cell r="AE109">
            <v>4.0070132902664153E-2</v>
          </cell>
          <cell r="AF109">
            <v>-3.4313725490196134</v>
          </cell>
          <cell r="AG109">
            <v>45</v>
          </cell>
          <cell r="AH109">
            <v>4.114323330956169E-2</v>
          </cell>
          <cell r="AI109">
            <v>-28.571428571428569</v>
          </cell>
        </row>
        <row r="110">
          <cell r="B110" t="str">
            <v xml:space="preserve">    도서구입비</v>
          </cell>
          <cell r="C110">
            <v>0</v>
          </cell>
          <cell r="D110">
            <v>0</v>
          </cell>
          <cell r="F110">
            <v>0</v>
          </cell>
          <cell r="G110">
            <v>0</v>
          </cell>
          <cell r="H110" t="str">
            <v xml:space="preserve">─ </v>
          </cell>
          <cell r="I110">
            <v>0</v>
          </cell>
          <cell r="J110">
            <v>0</v>
          </cell>
          <cell r="K110" t="str">
            <v xml:space="preserve">─ </v>
          </cell>
          <cell r="L110">
            <v>0</v>
          </cell>
          <cell r="M110">
            <v>0</v>
          </cell>
          <cell r="N110" t="str">
            <v xml:space="preserve">─ </v>
          </cell>
          <cell r="O110">
            <v>0</v>
          </cell>
          <cell r="P110">
            <v>0</v>
          </cell>
          <cell r="Q110" t="str">
            <v xml:space="preserve">─ </v>
          </cell>
          <cell r="R110">
            <v>0</v>
          </cell>
          <cell r="S110">
            <v>0</v>
          </cell>
          <cell r="T110" t="str">
            <v xml:space="preserve">─ </v>
          </cell>
          <cell r="U110">
            <v>0</v>
          </cell>
          <cell r="V110">
            <v>0</v>
          </cell>
          <cell r="W110" t="str">
            <v xml:space="preserve">─ </v>
          </cell>
          <cell r="X110">
            <v>0</v>
          </cell>
          <cell r="Y110">
            <v>0</v>
          </cell>
          <cell r="Z110" t="str">
            <v xml:space="preserve">─ </v>
          </cell>
          <cell r="AA110">
            <v>0</v>
          </cell>
          <cell r="AB110">
            <v>0</v>
          </cell>
          <cell r="AC110" t="str">
            <v xml:space="preserve">─ </v>
          </cell>
          <cell r="AD110">
            <v>0</v>
          </cell>
          <cell r="AE110">
            <v>0</v>
          </cell>
          <cell r="AF110" t="str">
            <v xml:space="preserve">─ </v>
          </cell>
          <cell r="AG110">
            <v>0</v>
          </cell>
          <cell r="AH110">
            <v>0</v>
          </cell>
          <cell r="AI110" t="str">
            <v xml:space="preserve">─ </v>
          </cell>
        </row>
        <row r="111">
          <cell r="B111" t="str">
            <v xml:space="preserve">    도서인쇄비</v>
          </cell>
          <cell r="C111">
            <v>342</v>
          </cell>
          <cell r="D111">
            <v>0.14938281311423854</v>
          </cell>
          <cell r="F111">
            <v>179</v>
          </cell>
          <cell r="G111">
            <v>6.1115303067032223E-2</v>
          </cell>
          <cell r="H111">
            <v>-47.66081871345029</v>
          </cell>
          <cell r="I111">
            <v>213</v>
          </cell>
          <cell r="J111">
            <v>6.4806842142094326E-2</v>
          </cell>
          <cell r="K111">
            <v>18.994413407821213</v>
          </cell>
          <cell r="L111">
            <v>193</v>
          </cell>
          <cell r="M111">
            <v>4.6243162361420266E-2</v>
          </cell>
          <cell r="N111">
            <v>-9.3896713615023515</v>
          </cell>
          <cell r="O111">
            <v>112</v>
          </cell>
          <cell r="P111">
            <v>2.4684718836644463E-2</v>
          </cell>
          <cell r="Q111">
            <v>-41.968911917098453</v>
          </cell>
          <cell r="R111">
            <v>164</v>
          </cell>
          <cell r="S111">
            <v>3.8500906179864965E-2</v>
          </cell>
          <cell r="T111">
            <v>46.428571428571416</v>
          </cell>
          <cell r="U111">
            <v>128</v>
          </cell>
          <cell r="V111">
            <v>3.3799038311738035E-2</v>
          </cell>
          <cell r="W111">
            <v>-21.951219512195124</v>
          </cell>
          <cell r="X111">
            <v>146</v>
          </cell>
          <cell r="Y111">
            <v>3.4340255482092498E-2</v>
          </cell>
          <cell r="Z111">
            <v>14.0625</v>
          </cell>
          <cell r="AA111">
            <v>132</v>
          </cell>
          <cell r="AB111">
            <v>3.0408370595105635E-2</v>
          </cell>
          <cell r="AC111">
            <v>-9.5890410958904226</v>
          </cell>
          <cell r="AD111">
            <v>200</v>
          </cell>
          <cell r="AE111">
            <v>4.0680337972247876E-2</v>
          </cell>
          <cell r="AF111">
            <v>51.515151515151501</v>
          </cell>
          <cell r="AG111">
            <v>41</v>
          </cell>
          <cell r="AH111">
            <v>3.7486057015378424E-2</v>
          </cell>
          <cell r="AI111">
            <v>0</v>
          </cell>
        </row>
        <row r="112">
          <cell r="B112" t="str">
            <v xml:space="preserve">    차량유지비</v>
          </cell>
          <cell r="C112">
            <v>0</v>
          </cell>
          <cell r="D112">
            <v>0</v>
          </cell>
          <cell r="F112">
            <v>0</v>
          </cell>
          <cell r="G112">
            <v>0</v>
          </cell>
          <cell r="H112" t="str">
            <v xml:space="preserve">─ </v>
          </cell>
          <cell r="I112">
            <v>0</v>
          </cell>
          <cell r="J112">
            <v>0</v>
          </cell>
          <cell r="K112" t="str">
            <v xml:space="preserve">─ </v>
          </cell>
          <cell r="L112">
            <v>0</v>
          </cell>
          <cell r="M112">
            <v>0</v>
          </cell>
          <cell r="N112" t="str">
            <v xml:space="preserve">─ </v>
          </cell>
          <cell r="O112">
            <v>0</v>
          </cell>
          <cell r="P112">
            <v>0</v>
          </cell>
          <cell r="Q112" t="str">
            <v xml:space="preserve">─ </v>
          </cell>
          <cell r="R112">
            <v>0</v>
          </cell>
          <cell r="S112">
            <v>0</v>
          </cell>
          <cell r="T112" t="str">
            <v xml:space="preserve">─ </v>
          </cell>
          <cell r="U112">
            <v>0</v>
          </cell>
          <cell r="V112">
            <v>0</v>
          </cell>
          <cell r="W112" t="str">
            <v xml:space="preserve">─ </v>
          </cell>
          <cell r="X112">
            <v>145</v>
          </cell>
          <cell r="Y112">
            <v>3.4105048252763101E-2</v>
          </cell>
          <cell r="Z112" t="str">
            <v xml:space="preserve">─ </v>
          </cell>
          <cell r="AA112">
            <v>141</v>
          </cell>
          <cell r="AB112">
            <v>3.2481668590226477E-2</v>
          </cell>
          <cell r="AC112">
            <v>-2.7586206896551744</v>
          </cell>
          <cell r="AD112">
            <v>167</v>
          </cell>
          <cell r="AE112">
            <v>3.3968082206826976E-2</v>
          </cell>
          <cell r="AF112">
            <v>18.439716312056746</v>
          </cell>
          <cell r="AG112">
            <v>39</v>
          </cell>
          <cell r="AH112">
            <v>3.5657468868286794E-2</v>
          </cell>
          <cell r="AI112">
            <v>0</v>
          </cell>
        </row>
        <row r="113">
          <cell r="B113" t="str">
            <v xml:space="preserve">    교육훈련비</v>
          </cell>
          <cell r="C113">
            <v>7</v>
          </cell>
          <cell r="D113">
            <v>3.0575429584785664E-3</v>
          </cell>
          <cell r="F113">
            <v>34</v>
          </cell>
          <cell r="G113">
            <v>1.1608493319994946E-2</v>
          </cell>
          <cell r="H113">
            <v>385.71428571428567</v>
          </cell>
          <cell r="I113">
            <v>848</v>
          </cell>
          <cell r="J113">
            <v>0.25801033866899525</v>
          </cell>
          <cell r="K113">
            <v>2394.1176470588234</v>
          </cell>
          <cell r="L113">
            <v>640</v>
          </cell>
          <cell r="M113">
            <v>0.15334520161299983</v>
          </cell>
          <cell r="N113">
            <v>-24.528301886792448</v>
          </cell>
          <cell r="O113">
            <v>601</v>
          </cell>
          <cell r="P113">
            <v>0.13245996447163683</v>
          </cell>
          <cell r="Q113">
            <v>-6.09375</v>
          </cell>
          <cell r="R113">
            <v>42</v>
          </cell>
          <cell r="S113">
            <v>9.8599881680141999E-3</v>
          </cell>
          <cell r="T113">
            <v>-93.011647254575706</v>
          </cell>
          <cell r="U113">
            <v>0</v>
          </cell>
          <cell r="V113">
            <v>0</v>
          </cell>
          <cell r="W113">
            <v>-100</v>
          </cell>
          <cell r="X113">
            <v>0</v>
          </cell>
          <cell r="Y113">
            <v>0</v>
          </cell>
          <cell r="Z113" t="str">
            <v xml:space="preserve">─ </v>
          </cell>
          <cell r="AA113">
            <v>0</v>
          </cell>
          <cell r="AB113">
            <v>0</v>
          </cell>
          <cell r="AC113" t="str">
            <v xml:space="preserve">─ </v>
          </cell>
          <cell r="AD113">
            <v>0</v>
          </cell>
          <cell r="AE113">
            <v>0</v>
          </cell>
          <cell r="AF113" t="str">
            <v xml:space="preserve">─ </v>
          </cell>
          <cell r="AG113">
            <v>0</v>
          </cell>
          <cell r="AH113">
            <v>0</v>
          </cell>
          <cell r="AI113" t="str">
            <v xml:space="preserve">─ </v>
          </cell>
        </row>
        <row r="114">
          <cell r="B114" t="str">
            <v xml:space="preserve">    지급수수료</v>
          </cell>
          <cell r="C114">
            <v>355</v>
          </cell>
          <cell r="D114">
            <v>0.15506110717998445</v>
          </cell>
          <cell r="F114">
            <v>576</v>
          </cell>
          <cell r="G114">
            <v>0.19666153389167909</v>
          </cell>
          <cell r="H114">
            <v>62.253521126760575</v>
          </cell>
          <cell r="I114">
            <v>846</v>
          </cell>
          <cell r="J114">
            <v>0.2574018237193042</v>
          </cell>
          <cell r="K114">
            <v>46.875</v>
          </cell>
          <cell r="L114">
            <v>750</v>
          </cell>
          <cell r="M114">
            <v>0.17970140814023419</v>
          </cell>
          <cell r="N114">
            <v>-11.347517730496463</v>
          </cell>
          <cell r="O114">
            <v>2145</v>
          </cell>
          <cell r="P114">
            <v>0.47275644557680691</v>
          </cell>
          <cell r="Q114">
            <v>186</v>
          </cell>
          <cell r="R114">
            <v>1034</v>
          </cell>
          <cell r="S114">
            <v>0.24274351823158763</v>
          </cell>
          <cell r="T114">
            <v>-51.794871794871796</v>
          </cell>
          <cell r="U114">
            <v>1214</v>
          </cell>
          <cell r="V114">
            <v>0.32056275398789047</v>
          </cell>
          <cell r="W114">
            <v>17.408123791102526</v>
          </cell>
          <cell r="X114">
            <v>1098</v>
          </cell>
          <cell r="Y114">
            <v>0.25825753780368194</v>
          </cell>
          <cell r="Z114">
            <v>-9.5551894563426742</v>
          </cell>
          <cell r="AA114">
            <v>1460</v>
          </cell>
          <cell r="AB114">
            <v>0.33633500809738048</v>
          </cell>
          <cell r="AC114">
            <v>32.969034608378877</v>
          </cell>
          <cell r="AD114">
            <v>1750</v>
          </cell>
          <cell r="AE114">
            <v>0.35595295725716891</v>
          </cell>
          <cell r="AF114">
            <v>19.863013698630127</v>
          </cell>
          <cell r="AG114">
            <v>417</v>
          </cell>
          <cell r="AH114">
            <v>0.38126062866860494</v>
          </cell>
          <cell r="AI114">
            <v>-4.7945205479452051</v>
          </cell>
        </row>
        <row r="115">
          <cell r="B115" t="str">
            <v xml:space="preserve">    전산처리비</v>
          </cell>
          <cell r="C115">
            <v>0</v>
          </cell>
          <cell r="D115">
            <v>0</v>
          </cell>
          <cell r="F115">
            <v>0</v>
          </cell>
          <cell r="G115">
            <v>0</v>
          </cell>
          <cell r="H115" t="str">
            <v xml:space="preserve">─ </v>
          </cell>
          <cell r="I115">
            <v>0</v>
          </cell>
          <cell r="J115">
            <v>0</v>
          </cell>
          <cell r="K115" t="str">
            <v xml:space="preserve">─ </v>
          </cell>
          <cell r="L115">
            <v>0</v>
          </cell>
          <cell r="M115">
            <v>0</v>
          </cell>
          <cell r="N115" t="str">
            <v xml:space="preserve">─ </v>
          </cell>
          <cell r="O115">
            <v>0</v>
          </cell>
          <cell r="P115">
            <v>0</v>
          </cell>
          <cell r="Q115" t="str">
            <v xml:space="preserve">─ </v>
          </cell>
          <cell r="R115">
            <v>0</v>
          </cell>
          <cell r="S115">
            <v>0</v>
          </cell>
          <cell r="T115" t="str">
            <v xml:space="preserve">─ </v>
          </cell>
          <cell r="U115">
            <v>0</v>
          </cell>
          <cell r="V115">
            <v>0</v>
          </cell>
          <cell r="W115" t="str">
            <v xml:space="preserve">─ </v>
          </cell>
          <cell r="X115">
            <v>0</v>
          </cell>
          <cell r="Y115">
            <v>0</v>
          </cell>
          <cell r="Z115" t="str">
            <v xml:space="preserve">─ </v>
          </cell>
          <cell r="AA115">
            <v>0</v>
          </cell>
          <cell r="AB115">
            <v>0</v>
          </cell>
          <cell r="AC115" t="str">
            <v xml:space="preserve">─ </v>
          </cell>
          <cell r="AD115">
            <v>0</v>
          </cell>
          <cell r="AE115">
            <v>0</v>
          </cell>
          <cell r="AF115" t="str">
            <v xml:space="preserve">─ </v>
          </cell>
          <cell r="AG115">
            <v>0</v>
          </cell>
          <cell r="AH115">
            <v>0</v>
          </cell>
          <cell r="AI115" t="str">
            <v xml:space="preserve">─ </v>
          </cell>
        </row>
        <row r="116">
          <cell r="B116" t="str">
            <v xml:space="preserve">    리스료</v>
          </cell>
          <cell r="C116">
            <v>0</v>
          </cell>
          <cell r="D116">
            <v>0</v>
          </cell>
          <cell r="F116">
            <v>0</v>
          </cell>
          <cell r="G116">
            <v>0</v>
          </cell>
          <cell r="H116" t="str">
            <v xml:space="preserve">─ </v>
          </cell>
          <cell r="I116">
            <v>0</v>
          </cell>
          <cell r="J116">
            <v>0</v>
          </cell>
          <cell r="K116" t="str">
            <v xml:space="preserve">─ </v>
          </cell>
          <cell r="L116">
            <v>0</v>
          </cell>
          <cell r="M116">
            <v>0</v>
          </cell>
          <cell r="N116" t="str">
            <v xml:space="preserve">─ </v>
          </cell>
          <cell r="O116">
            <v>0</v>
          </cell>
          <cell r="P116">
            <v>0</v>
          </cell>
          <cell r="Q116" t="str">
            <v xml:space="preserve">─ </v>
          </cell>
          <cell r="R116">
            <v>0</v>
          </cell>
          <cell r="S116">
            <v>0</v>
          </cell>
          <cell r="T116" t="str">
            <v xml:space="preserve">─ </v>
          </cell>
          <cell r="U116">
            <v>0</v>
          </cell>
          <cell r="V116">
            <v>0</v>
          </cell>
          <cell r="W116" t="str">
            <v xml:space="preserve">─ </v>
          </cell>
          <cell r="X116">
            <v>0</v>
          </cell>
          <cell r="Y116">
            <v>0</v>
          </cell>
          <cell r="Z116" t="str">
            <v xml:space="preserve">─ </v>
          </cell>
          <cell r="AA116">
            <v>0</v>
          </cell>
          <cell r="AB116">
            <v>0</v>
          </cell>
          <cell r="AC116" t="str">
            <v xml:space="preserve">─ </v>
          </cell>
          <cell r="AD116">
            <v>0</v>
          </cell>
          <cell r="AE116">
            <v>0</v>
          </cell>
          <cell r="AF116" t="str">
            <v xml:space="preserve">─ </v>
          </cell>
          <cell r="AG116">
            <v>0</v>
          </cell>
          <cell r="AH116">
            <v>0</v>
          </cell>
          <cell r="AI116" t="str">
            <v xml:space="preserve">─ </v>
          </cell>
        </row>
        <row r="117">
          <cell r="B117" t="str">
            <v xml:space="preserve">    사무비</v>
          </cell>
          <cell r="C117">
            <v>0</v>
          </cell>
          <cell r="D117">
            <v>0</v>
          </cell>
          <cell r="F117">
            <v>0</v>
          </cell>
          <cell r="G117">
            <v>0</v>
          </cell>
          <cell r="H117" t="str">
            <v xml:space="preserve">─ </v>
          </cell>
          <cell r="I117">
            <v>0</v>
          </cell>
          <cell r="J117">
            <v>0</v>
          </cell>
          <cell r="K117" t="str">
            <v xml:space="preserve">─ </v>
          </cell>
          <cell r="L117">
            <v>0</v>
          </cell>
          <cell r="M117">
            <v>0</v>
          </cell>
          <cell r="N117" t="str">
            <v xml:space="preserve">─ </v>
          </cell>
          <cell r="O117">
            <v>0</v>
          </cell>
          <cell r="P117">
            <v>0</v>
          </cell>
          <cell r="Q117" t="str">
            <v xml:space="preserve">─ </v>
          </cell>
          <cell r="R117">
            <v>0</v>
          </cell>
          <cell r="S117">
            <v>0</v>
          </cell>
          <cell r="T117" t="str">
            <v xml:space="preserve">─ </v>
          </cell>
          <cell r="U117">
            <v>0</v>
          </cell>
          <cell r="V117">
            <v>0</v>
          </cell>
          <cell r="W117" t="str">
            <v xml:space="preserve">─ </v>
          </cell>
          <cell r="X117">
            <v>0</v>
          </cell>
          <cell r="Y117">
            <v>0</v>
          </cell>
          <cell r="Z117" t="str">
            <v xml:space="preserve">─ </v>
          </cell>
          <cell r="AA117">
            <v>0</v>
          </cell>
          <cell r="AB117">
            <v>0</v>
          </cell>
          <cell r="AC117" t="str">
            <v xml:space="preserve">─ </v>
          </cell>
          <cell r="AD117">
            <v>0</v>
          </cell>
          <cell r="AE117">
            <v>0</v>
          </cell>
          <cell r="AF117" t="str">
            <v xml:space="preserve">─ </v>
          </cell>
          <cell r="AG117">
            <v>0</v>
          </cell>
          <cell r="AH117">
            <v>0</v>
          </cell>
          <cell r="AI117" t="str">
            <v xml:space="preserve">─ </v>
          </cell>
        </row>
        <row r="118">
          <cell r="B118" t="str">
            <v xml:space="preserve">    잡비</v>
          </cell>
          <cell r="C118">
            <v>36</v>
          </cell>
          <cell r="D118">
            <v>1.5724506643604058E-2</v>
          </cell>
          <cell r="F118">
            <v>52</v>
          </cell>
          <cell r="G118">
            <v>1.7754166254109919E-2</v>
          </cell>
          <cell r="H118">
            <v>44.444444444444429</v>
          </cell>
          <cell r="I118">
            <v>144</v>
          </cell>
          <cell r="J118">
            <v>4.3813076377753911E-2</v>
          </cell>
          <cell r="K118">
            <v>176.92307692307691</v>
          </cell>
          <cell r="L118">
            <v>202</v>
          </cell>
          <cell r="M118">
            <v>4.8399579259103077E-2</v>
          </cell>
          <cell r="N118">
            <v>40.277777777777771</v>
          </cell>
          <cell r="O118">
            <v>164</v>
          </cell>
          <cell r="P118">
            <v>3.6145481153657968E-2</v>
          </cell>
          <cell r="Q118">
            <v>-18.811881188118804</v>
          </cell>
          <cell r="R118">
            <v>177</v>
          </cell>
          <cell r="S118">
            <v>4.1552807279488409E-2</v>
          </cell>
          <cell r="T118">
            <v>7.9268292682926926</v>
          </cell>
          <cell r="U118">
            <v>250</v>
          </cell>
          <cell r="V118">
            <v>6.6013746702613355E-2</v>
          </cell>
          <cell r="W118">
            <v>41.24293785310735</v>
          </cell>
          <cell r="X118">
            <v>3</v>
          </cell>
          <cell r="Y118">
            <v>7.0562168798820202E-4</v>
          </cell>
          <cell r="Z118">
            <v>-98.8</v>
          </cell>
          <cell r="AA118">
            <v>0</v>
          </cell>
          <cell r="AB118">
            <v>0</v>
          </cell>
          <cell r="AC118">
            <v>-100</v>
          </cell>
          <cell r="AD118">
            <v>0</v>
          </cell>
          <cell r="AE118">
            <v>0</v>
          </cell>
          <cell r="AF118" t="str">
            <v xml:space="preserve">─ </v>
          </cell>
          <cell r="AG118">
            <v>0</v>
          </cell>
          <cell r="AH118">
            <v>0</v>
          </cell>
          <cell r="AI118" t="str">
            <v xml:space="preserve">─ </v>
          </cell>
        </row>
        <row r="119">
          <cell r="B119" t="str">
            <v xml:space="preserve">    기타관리비</v>
          </cell>
          <cell r="C119">
            <v>233</v>
          </cell>
          <cell r="D119">
            <v>0.10177250133221515</v>
          </cell>
          <cell r="F119">
            <v>33</v>
          </cell>
          <cell r="G119">
            <v>1.1267067045877448E-2</v>
          </cell>
          <cell r="H119">
            <v>-85.836909871244629</v>
          </cell>
          <cell r="I119">
            <v>25</v>
          </cell>
          <cell r="J119">
            <v>7.6064368711378323E-3</v>
          </cell>
          <cell r="K119">
            <v>-24.242424242424249</v>
          </cell>
          <cell r="L119">
            <v>33</v>
          </cell>
          <cell r="M119">
            <v>7.9068619581703029E-3</v>
          </cell>
          <cell r="N119">
            <v>32</v>
          </cell>
          <cell r="O119">
            <v>27</v>
          </cell>
          <cell r="P119">
            <v>5.9507804338339333E-3</v>
          </cell>
          <cell r="Q119">
            <v>-18.181818181818173</v>
          </cell>
          <cell r="R119">
            <v>31</v>
          </cell>
          <cell r="S119">
            <v>7.2776103144866705E-3</v>
          </cell>
          <cell r="T119">
            <v>14.81481481481481</v>
          </cell>
          <cell r="U119">
            <v>13</v>
          </cell>
          <cell r="V119">
            <v>3.4327148285358947E-3</v>
          </cell>
          <cell r="W119">
            <v>-58.064516129032256</v>
          </cell>
          <cell r="X119">
            <v>189</v>
          </cell>
          <cell r="Y119">
            <v>4.4454166343256725E-2</v>
          </cell>
          <cell r="Z119">
            <v>1353.8461538461538</v>
          </cell>
          <cell r="AA119">
            <v>9</v>
          </cell>
          <cell r="AB119">
            <v>2.0732979951208386E-3</v>
          </cell>
          <cell r="AC119">
            <v>-95.238095238095241</v>
          </cell>
          <cell r="AD119">
            <v>10</v>
          </cell>
          <cell r="AE119">
            <v>2.0340168986123937E-3</v>
          </cell>
          <cell r="AF119">
            <v>11.111111111111114</v>
          </cell>
          <cell r="AG119">
            <v>2</v>
          </cell>
          <cell r="AH119">
            <v>1.8285881470916307E-3</v>
          </cell>
          <cell r="AI119">
            <v>-33.333333333333329</v>
          </cell>
        </row>
        <row r="120">
          <cell r="B120" t="str">
            <v xml:space="preserve">  판매비</v>
          </cell>
          <cell r="C120">
            <v>2489</v>
          </cell>
          <cell r="D120">
            <v>1.0871749176647361</v>
          </cell>
          <cell r="F120">
            <v>2695</v>
          </cell>
          <cell r="G120">
            <v>0.92014380874665835</v>
          </cell>
          <cell r="H120">
            <v>8.2764162314182386</v>
          </cell>
          <cell r="I120">
            <v>1714</v>
          </cell>
          <cell r="J120">
            <v>0.52149731188520976</v>
          </cell>
          <cell r="K120">
            <v>-36.400742115027832</v>
          </cell>
          <cell r="L120">
            <v>3209</v>
          </cell>
          <cell r="M120">
            <v>0.768882424962682</v>
          </cell>
          <cell r="N120">
            <v>87.222870478413057</v>
          </cell>
          <cell r="O120">
            <v>5168</v>
          </cell>
          <cell r="P120">
            <v>1.1390234548908802</v>
          </cell>
          <cell r="Q120">
            <v>61.047055157369897</v>
          </cell>
          <cell r="R120">
            <v>3366</v>
          </cell>
          <cell r="S120">
            <v>0.79020762317942361</v>
          </cell>
          <cell r="T120">
            <v>-34.868421052631575</v>
          </cell>
          <cell r="U120">
            <v>7974</v>
          </cell>
          <cell r="V120">
            <v>2.1055744648265553</v>
          </cell>
          <cell r="W120">
            <v>136.89839572192514</v>
          </cell>
          <cell r="X120">
            <v>2179</v>
          </cell>
          <cell r="Y120">
            <v>0.51251655270876406</v>
          </cell>
          <cell r="Z120">
            <v>-72.673689490845248</v>
          </cell>
          <cell r="AA120">
            <v>2888</v>
          </cell>
          <cell r="AB120">
            <v>0.66529828998988694</v>
          </cell>
          <cell r="AC120">
            <v>32.537861404313901</v>
          </cell>
          <cell r="AD120">
            <v>4290</v>
          </cell>
          <cell r="AE120">
            <v>0.87259324950471684</v>
          </cell>
          <cell r="AF120">
            <v>48.54570637119113</v>
          </cell>
          <cell r="AG120">
            <v>1425</v>
          </cell>
          <cell r="AH120">
            <v>1.3028690548027866</v>
          </cell>
          <cell r="AI120">
            <v>381.41891891891891</v>
          </cell>
        </row>
        <row r="121">
          <cell r="B121" t="str">
            <v xml:space="preserve">    접대비</v>
          </cell>
          <cell r="C121">
            <v>166</v>
          </cell>
          <cell r="D121">
            <v>7.2507447301063149E-2</v>
          </cell>
          <cell r="F121">
            <v>142</v>
          </cell>
          <cell r="G121">
            <v>4.8482530924684776E-2</v>
          </cell>
          <cell r="H121">
            <v>-14.457831325301214</v>
          </cell>
          <cell r="I121">
            <v>209</v>
          </cell>
          <cell r="J121">
            <v>6.3589812242712276E-2</v>
          </cell>
          <cell r="K121">
            <v>47.18309859154931</v>
          </cell>
          <cell r="L121">
            <v>211</v>
          </cell>
          <cell r="M121">
            <v>5.0555996156785882E-2</v>
          </cell>
          <cell r="N121">
            <v>0.95693779904306098</v>
          </cell>
          <cell r="O121">
            <v>131</v>
          </cell>
          <cell r="P121">
            <v>2.8872305067860937E-2</v>
          </cell>
          <cell r="Q121">
            <v>-37.914691943127963</v>
          </cell>
          <cell r="R121">
            <v>160</v>
          </cell>
          <cell r="S121">
            <v>3.7561859687673137E-2</v>
          </cell>
          <cell r="T121">
            <v>22.137404580152676</v>
          </cell>
          <cell r="U121">
            <v>221</v>
          </cell>
          <cell r="V121">
            <v>5.8356152085110205E-2</v>
          </cell>
          <cell r="W121">
            <v>38.125</v>
          </cell>
          <cell r="X121">
            <v>108</v>
          </cell>
          <cell r="Y121">
            <v>2.5402380767575269E-2</v>
          </cell>
          <cell r="Z121">
            <v>-51.131221719457017</v>
          </cell>
          <cell r="AA121">
            <v>138</v>
          </cell>
          <cell r="AB121">
            <v>3.1790569258519523E-2</v>
          </cell>
          <cell r="AC121">
            <v>27.777777777777771</v>
          </cell>
          <cell r="AD121">
            <v>116</v>
          </cell>
          <cell r="AE121">
            <v>2.3594596023903767E-2</v>
          </cell>
          <cell r="AF121">
            <v>-15.94202898550725</v>
          </cell>
          <cell r="AG121">
            <v>3</v>
          </cell>
          <cell r="AH121">
            <v>2.7428822206374461E-3</v>
          </cell>
          <cell r="AI121">
            <v>-90</v>
          </cell>
        </row>
        <row r="122">
          <cell r="B122" t="str">
            <v xml:space="preserve">    기밀비</v>
          </cell>
          <cell r="C122">
            <v>0</v>
          </cell>
          <cell r="D122">
            <v>0</v>
          </cell>
          <cell r="F122">
            <v>0</v>
          </cell>
          <cell r="G122">
            <v>0</v>
          </cell>
          <cell r="H122" t="str">
            <v xml:space="preserve">─ </v>
          </cell>
          <cell r="I122">
            <v>0</v>
          </cell>
          <cell r="J122">
            <v>0</v>
          </cell>
          <cell r="K122" t="str">
            <v xml:space="preserve">─ </v>
          </cell>
          <cell r="L122">
            <v>0</v>
          </cell>
          <cell r="M122">
            <v>0</v>
          </cell>
          <cell r="N122" t="str">
            <v xml:space="preserve">─ </v>
          </cell>
          <cell r="O122">
            <v>0</v>
          </cell>
          <cell r="P122">
            <v>0</v>
          </cell>
          <cell r="Q122" t="str">
            <v xml:space="preserve">─ </v>
          </cell>
          <cell r="R122">
            <v>0</v>
          </cell>
          <cell r="S122">
            <v>0</v>
          </cell>
          <cell r="T122" t="str">
            <v xml:space="preserve">─ </v>
          </cell>
          <cell r="U122">
            <v>0</v>
          </cell>
          <cell r="V122">
            <v>0</v>
          </cell>
          <cell r="W122" t="str">
            <v xml:space="preserve">─ </v>
          </cell>
          <cell r="X122">
            <v>0</v>
          </cell>
          <cell r="Y122">
            <v>0</v>
          </cell>
          <cell r="Z122" t="str">
            <v xml:space="preserve">─ </v>
          </cell>
          <cell r="AA122">
            <v>0</v>
          </cell>
          <cell r="AB122">
            <v>0</v>
          </cell>
          <cell r="AC122" t="str">
            <v xml:space="preserve">─ </v>
          </cell>
          <cell r="AD122">
            <v>0</v>
          </cell>
          <cell r="AE122">
            <v>0</v>
          </cell>
          <cell r="AF122" t="str">
            <v xml:space="preserve">─ </v>
          </cell>
          <cell r="AG122">
            <v>0</v>
          </cell>
          <cell r="AH122">
            <v>0</v>
          </cell>
          <cell r="AI122" t="str">
            <v xml:space="preserve">─ </v>
          </cell>
        </row>
        <row r="123">
          <cell r="B123" t="str">
            <v xml:space="preserve">    광고선전비</v>
          </cell>
          <cell r="C123">
            <v>54</v>
          </cell>
          <cell r="D123">
            <v>2.3586759965406084E-2</v>
          </cell>
          <cell r="F123">
            <v>43</v>
          </cell>
          <cell r="G123">
            <v>1.4681329787052434E-2</v>
          </cell>
          <cell r="H123">
            <v>-20.370370370370367</v>
          </cell>
          <cell r="I123">
            <v>104</v>
          </cell>
          <cell r="J123">
            <v>3.1642777383933382E-2</v>
          </cell>
          <cell r="K123">
            <v>141.86046511627904</v>
          </cell>
          <cell r="L123">
            <v>49</v>
          </cell>
          <cell r="M123">
            <v>1.1740491998495301E-2</v>
          </cell>
          <cell r="N123">
            <v>-52.884615384615387</v>
          </cell>
          <cell r="O123">
            <v>33</v>
          </cell>
          <cell r="P123">
            <v>7.2731760857970302E-3</v>
          </cell>
          <cell r="Q123">
            <v>-32.653061224489804</v>
          </cell>
          <cell r="R123">
            <v>90</v>
          </cell>
          <cell r="S123">
            <v>2.1128546074316138E-2</v>
          </cell>
          <cell r="T123">
            <v>172.72727272727269</v>
          </cell>
          <cell r="U123">
            <v>71</v>
          </cell>
          <cell r="V123">
            <v>1.8747904063542192E-2</v>
          </cell>
          <cell r="W123">
            <v>-21.111111111111114</v>
          </cell>
          <cell r="X123">
            <v>43</v>
          </cell>
          <cell r="Y123">
            <v>1.0113910861164229E-2</v>
          </cell>
          <cell r="Z123">
            <v>-39.436619718309863</v>
          </cell>
          <cell r="AA123">
            <v>108</v>
          </cell>
          <cell r="AB123">
            <v>2.4879575941450065E-2</v>
          </cell>
          <cell r="AC123">
            <v>151.16279069767441</v>
          </cell>
          <cell r="AD123">
            <v>52</v>
          </cell>
          <cell r="AE123">
            <v>1.0576887872784447E-2</v>
          </cell>
          <cell r="AF123">
            <v>-51.851851851851855</v>
          </cell>
          <cell r="AG123">
            <v>8</v>
          </cell>
          <cell r="AH123">
            <v>7.3143525883665227E-3</v>
          </cell>
          <cell r="AI123">
            <v>-69.230769230769226</v>
          </cell>
        </row>
        <row r="124">
          <cell r="B124" t="str">
            <v xml:space="preserve">    보관료</v>
          </cell>
          <cell r="C124">
            <v>0</v>
          </cell>
          <cell r="D124">
            <v>0</v>
          </cell>
          <cell r="F124">
            <v>0</v>
          </cell>
          <cell r="G124">
            <v>0</v>
          </cell>
          <cell r="H124" t="str">
            <v xml:space="preserve">─ </v>
          </cell>
          <cell r="I124">
            <v>0</v>
          </cell>
          <cell r="J124">
            <v>0</v>
          </cell>
          <cell r="K124" t="str">
            <v xml:space="preserve">─ </v>
          </cell>
          <cell r="L124">
            <v>0</v>
          </cell>
          <cell r="M124">
            <v>0</v>
          </cell>
          <cell r="N124" t="str">
            <v xml:space="preserve">─ </v>
          </cell>
          <cell r="O124">
            <v>0</v>
          </cell>
          <cell r="P124">
            <v>0</v>
          </cell>
          <cell r="Q124" t="str">
            <v xml:space="preserve">─ </v>
          </cell>
          <cell r="R124">
            <v>0</v>
          </cell>
          <cell r="S124">
            <v>0</v>
          </cell>
          <cell r="T124" t="str">
            <v xml:space="preserve">─ </v>
          </cell>
          <cell r="U124">
            <v>0</v>
          </cell>
          <cell r="V124">
            <v>0</v>
          </cell>
          <cell r="W124" t="str">
            <v xml:space="preserve">─ </v>
          </cell>
          <cell r="X124">
            <v>0</v>
          </cell>
          <cell r="Y124">
            <v>0</v>
          </cell>
          <cell r="Z124" t="str">
            <v xml:space="preserve">─ </v>
          </cell>
          <cell r="AA124">
            <v>0</v>
          </cell>
          <cell r="AB124">
            <v>0</v>
          </cell>
          <cell r="AC124" t="str">
            <v xml:space="preserve">─ </v>
          </cell>
          <cell r="AD124">
            <v>0</v>
          </cell>
          <cell r="AE124">
            <v>0</v>
          </cell>
          <cell r="AF124" t="str">
            <v xml:space="preserve">─ </v>
          </cell>
          <cell r="AG124">
            <v>0</v>
          </cell>
          <cell r="AH124">
            <v>0</v>
          </cell>
          <cell r="AI124" t="str">
            <v xml:space="preserve">─ </v>
          </cell>
        </row>
        <row r="125">
          <cell r="B125" t="str">
            <v xml:space="preserve">    견본비</v>
          </cell>
          <cell r="C125">
            <v>0</v>
          </cell>
          <cell r="D125">
            <v>0</v>
          </cell>
          <cell r="F125">
            <v>0</v>
          </cell>
          <cell r="G125">
            <v>0</v>
          </cell>
          <cell r="H125" t="str">
            <v xml:space="preserve">─ </v>
          </cell>
          <cell r="I125">
            <v>0</v>
          </cell>
          <cell r="J125">
            <v>0</v>
          </cell>
          <cell r="K125" t="str">
            <v xml:space="preserve">─ </v>
          </cell>
          <cell r="L125">
            <v>0</v>
          </cell>
          <cell r="M125">
            <v>0</v>
          </cell>
          <cell r="N125" t="str">
            <v xml:space="preserve">─ </v>
          </cell>
          <cell r="O125">
            <v>0</v>
          </cell>
          <cell r="P125">
            <v>0</v>
          </cell>
          <cell r="Q125" t="str">
            <v xml:space="preserve">─ </v>
          </cell>
          <cell r="R125">
            <v>0</v>
          </cell>
          <cell r="S125">
            <v>0</v>
          </cell>
          <cell r="T125" t="str">
            <v xml:space="preserve">─ </v>
          </cell>
          <cell r="U125">
            <v>0</v>
          </cell>
          <cell r="V125">
            <v>0</v>
          </cell>
          <cell r="W125" t="str">
            <v xml:space="preserve">─ </v>
          </cell>
          <cell r="X125">
            <v>0</v>
          </cell>
          <cell r="Y125">
            <v>0</v>
          </cell>
          <cell r="Z125" t="str">
            <v xml:space="preserve">─ </v>
          </cell>
          <cell r="AA125">
            <v>0</v>
          </cell>
          <cell r="AB125">
            <v>0</v>
          </cell>
          <cell r="AC125" t="str">
            <v xml:space="preserve">─ </v>
          </cell>
          <cell r="AD125">
            <v>0</v>
          </cell>
          <cell r="AE125">
            <v>0</v>
          </cell>
          <cell r="AF125" t="str">
            <v xml:space="preserve">─ </v>
          </cell>
          <cell r="AG125">
            <v>0</v>
          </cell>
          <cell r="AH125">
            <v>0</v>
          </cell>
          <cell r="AI125" t="str">
            <v xml:space="preserve">─ </v>
          </cell>
        </row>
        <row r="126">
          <cell r="B126" t="str">
            <v xml:space="preserve">    포장비</v>
          </cell>
          <cell r="C126">
            <v>0</v>
          </cell>
          <cell r="D126">
            <v>0</v>
          </cell>
          <cell r="F126">
            <v>0</v>
          </cell>
          <cell r="G126">
            <v>0</v>
          </cell>
          <cell r="H126" t="str">
            <v xml:space="preserve">─ </v>
          </cell>
          <cell r="I126">
            <v>0</v>
          </cell>
          <cell r="J126">
            <v>0</v>
          </cell>
          <cell r="K126" t="str">
            <v xml:space="preserve">─ </v>
          </cell>
          <cell r="L126">
            <v>0</v>
          </cell>
          <cell r="M126">
            <v>0</v>
          </cell>
          <cell r="N126" t="str">
            <v xml:space="preserve">─ </v>
          </cell>
          <cell r="O126">
            <v>0</v>
          </cell>
          <cell r="P126">
            <v>0</v>
          </cell>
          <cell r="Q126" t="str">
            <v xml:space="preserve">─ </v>
          </cell>
          <cell r="R126">
            <v>0</v>
          </cell>
          <cell r="S126">
            <v>0</v>
          </cell>
          <cell r="T126" t="str">
            <v xml:space="preserve">─ </v>
          </cell>
          <cell r="U126">
            <v>0</v>
          </cell>
          <cell r="V126">
            <v>0</v>
          </cell>
          <cell r="W126" t="str">
            <v xml:space="preserve">─ </v>
          </cell>
          <cell r="X126">
            <v>0</v>
          </cell>
          <cell r="Y126">
            <v>0</v>
          </cell>
          <cell r="Z126" t="str">
            <v xml:space="preserve">─ </v>
          </cell>
          <cell r="AA126">
            <v>0</v>
          </cell>
          <cell r="AB126">
            <v>0</v>
          </cell>
          <cell r="AC126" t="str">
            <v xml:space="preserve">─ </v>
          </cell>
          <cell r="AD126">
            <v>0</v>
          </cell>
          <cell r="AE126">
            <v>0</v>
          </cell>
          <cell r="AF126" t="str">
            <v xml:space="preserve">─ </v>
          </cell>
          <cell r="AG126">
            <v>0</v>
          </cell>
          <cell r="AH126">
            <v>0</v>
          </cell>
          <cell r="AI126" t="str">
            <v xml:space="preserve">─ </v>
          </cell>
        </row>
        <row r="127">
          <cell r="B127" t="str">
            <v xml:space="preserve">    연구비</v>
          </cell>
          <cell r="C127">
            <v>0</v>
          </cell>
          <cell r="D127">
            <v>0</v>
          </cell>
          <cell r="F127">
            <v>0</v>
          </cell>
          <cell r="G127">
            <v>0</v>
          </cell>
          <cell r="H127" t="str">
            <v xml:space="preserve">─ </v>
          </cell>
          <cell r="I127">
            <v>0</v>
          </cell>
          <cell r="J127">
            <v>0</v>
          </cell>
          <cell r="K127" t="str">
            <v xml:space="preserve">─ </v>
          </cell>
          <cell r="L127">
            <v>0</v>
          </cell>
          <cell r="M127">
            <v>0</v>
          </cell>
          <cell r="N127" t="str">
            <v xml:space="preserve">─ </v>
          </cell>
          <cell r="O127">
            <v>0</v>
          </cell>
          <cell r="P127">
            <v>0</v>
          </cell>
          <cell r="Q127" t="str">
            <v xml:space="preserve">─ </v>
          </cell>
          <cell r="R127">
            <v>48</v>
          </cell>
          <cell r="S127">
            <v>1.1268557906301942E-2</v>
          </cell>
          <cell r="T127" t="str">
            <v xml:space="preserve">─ </v>
          </cell>
          <cell r="U127">
            <v>16</v>
          </cell>
          <cell r="V127">
            <v>4.2248797889672543E-3</v>
          </cell>
          <cell r="W127">
            <v>-66.666666666666671</v>
          </cell>
          <cell r="X127">
            <v>64</v>
          </cell>
          <cell r="Y127">
            <v>1.5053262677081642E-2</v>
          </cell>
          <cell r="Z127">
            <v>300</v>
          </cell>
          <cell r="AA127">
            <v>100</v>
          </cell>
          <cell r="AB127">
            <v>2.303664439023154E-2</v>
          </cell>
          <cell r="AC127">
            <v>56.25</v>
          </cell>
          <cell r="AD127">
            <v>29</v>
          </cell>
          <cell r="AE127">
            <v>5.8986490059759417E-3</v>
          </cell>
          <cell r="AF127">
            <v>-71</v>
          </cell>
          <cell r="AG127">
            <v>31</v>
          </cell>
          <cell r="AH127">
            <v>2.8343116279920273E-2</v>
          </cell>
          <cell r="AI127">
            <v>287.5</v>
          </cell>
        </row>
        <row r="128">
          <cell r="B128" t="str">
            <v xml:space="preserve">    경상연구개발비</v>
          </cell>
          <cell r="C128">
            <v>0</v>
          </cell>
          <cell r="D128">
            <v>0</v>
          </cell>
          <cell r="F128">
            <v>0</v>
          </cell>
          <cell r="G128">
            <v>0</v>
          </cell>
          <cell r="H128" t="str">
            <v xml:space="preserve">─ </v>
          </cell>
          <cell r="I128">
            <v>0</v>
          </cell>
          <cell r="J128">
            <v>0</v>
          </cell>
          <cell r="K128" t="str">
            <v xml:space="preserve">─ </v>
          </cell>
          <cell r="L128">
            <v>95</v>
          </cell>
          <cell r="M128">
            <v>2.2762178364429661E-2</v>
          </cell>
          <cell r="N128" t="str">
            <v xml:space="preserve">─ </v>
          </cell>
          <cell r="O128">
            <v>69</v>
          </cell>
          <cell r="P128">
            <v>1.5207549997575608E-2</v>
          </cell>
          <cell r="Q128">
            <v>-27.368421052631575</v>
          </cell>
          <cell r="R128">
            <v>2988</v>
          </cell>
          <cell r="S128">
            <v>0.70146772966729587</v>
          </cell>
          <cell r="T128">
            <v>4230.4347826086951</v>
          </cell>
          <cell r="U128">
            <v>0</v>
          </cell>
          <cell r="V128">
            <v>0</v>
          </cell>
          <cell r="W128">
            <v>-100</v>
          </cell>
          <cell r="X128">
            <v>0</v>
          </cell>
          <cell r="Y128">
            <v>0</v>
          </cell>
          <cell r="Z128" t="str">
            <v xml:space="preserve">─ </v>
          </cell>
          <cell r="AA128">
            <v>1951</v>
          </cell>
          <cell r="AB128">
            <v>0.4494449320534174</v>
          </cell>
          <cell r="AC128" t="str">
            <v xml:space="preserve">─ </v>
          </cell>
          <cell r="AD128">
            <v>1923</v>
          </cell>
          <cell r="AE128">
            <v>0.39114144960316327</v>
          </cell>
          <cell r="AF128">
            <v>-1.43516145566376</v>
          </cell>
          <cell r="AG128">
            <v>0</v>
          </cell>
          <cell r="AH128">
            <v>0</v>
          </cell>
          <cell r="AI128">
            <v>-100</v>
          </cell>
        </row>
        <row r="129">
          <cell r="B129" t="str">
            <v xml:space="preserve">    개발비</v>
          </cell>
          <cell r="C129">
            <v>2200</v>
          </cell>
          <cell r="D129">
            <v>0.96094207266469234</v>
          </cell>
          <cell r="F129">
            <v>2194</v>
          </cell>
          <cell r="G129">
            <v>0.74908924541379152</v>
          </cell>
          <cell r="H129">
            <v>-0.27272727272726627</v>
          </cell>
          <cell r="I129">
            <v>1276</v>
          </cell>
          <cell r="J129">
            <v>0.38823253790287493</v>
          </cell>
          <cell r="K129">
            <v>-41.841385597082962</v>
          </cell>
          <cell r="L129">
            <v>1877</v>
          </cell>
          <cell r="M129">
            <v>0.44973272410562604</v>
          </cell>
          <cell r="N129">
            <v>47.100313479623821</v>
          </cell>
          <cell r="O129">
            <v>2915</v>
          </cell>
          <cell r="P129">
            <v>0.64246388757873762</v>
          </cell>
          <cell r="Q129">
            <v>55.301012253596156</v>
          </cell>
          <cell r="R129">
            <v>0</v>
          </cell>
          <cell r="S129">
            <v>0</v>
          </cell>
          <cell r="T129">
            <v>-100</v>
          </cell>
          <cell r="U129">
            <v>4021</v>
          </cell>
          <cell r="V129">
            <v>1.0617651019648333</v>
          </cell>
          <cell r="W129" t="str">
            <v xml:space="preserve">─ </v>
          </cell>
          <cell r="X129">
            <v>1940</v>
          </cell>
          <cell r="Y129">
            <v>0.45630202489903726</v>
          </cell>
          <cell r="Z129">
            <v>-51.753295200198956</v>
          </cell>
          <cell r="AA129">
            <v>0</v>
          </cell>
          <cell r="AB129">
            <v>0</v>
          </cell>
          <cell r="AC129">
            <v>-100</v>
          </cell>
          <cell r="AD129">
            <v>0</v>
          </cell>
          <cell r="AE129">
            <v>0</v>
          </cell>
          <cell r="AF129" t="str">
            <v xml:space="preserve">─ </v>
          </cell>
          <cell r="AG129">
            <v>0</v>
          </cell>
          <cell r="AH129">
            <v>0</v>
          </cell>
          <cell r="AI129" t="str">
            <v xml:space="preserve">─ </v>
          </cell>
        </row>
        <row r="130">
          <cell r="B130" t="str">
            <v xml:space="preserve">    운반비</v>
          </cell>
          <cell r="C130">
            <v>19</v>
          </cell>
          <cell r="D130">
            <v>8.2990451730132527E-3</v>
          </cell>
          <cell r="F130">
            <v>12</v>
          </cell>
          <cell r="G130">
            <v>4.0971152894099814E-3</v>
          </cell>
          <cell r="H130">
            <v>-36.842105263157897</v>
          </cell>
          <cell r="I130">
            <v>13</v>
          </cell>
          <cell r="J130">
            <v>3.9553471729916728E-3</v>
          </cell>
          <cell r="K130">
            <v>8.3333333333333286</v>
          </cell>
          <cell r="L130">
            <v>12</v>
          </cell>
          <cell r="M130">
            <v>2.8752225302437467E-3</v>
          </cell>
          <cell r="N130">
            <v>-7.6923076923076934</v>
          </cell>
          <cell r="O130">
            <v>8</v>
          </cell>
          <cell r="P130">
            <v>1.7631942026174617E-3</v>
          </cell>
          <cell r="Q130">
            <v>-33.333333333333343</v>
          </cell>
          <cell r="R130">
            <v>38</v>
          </cell>
          <cell r="S130">
            <v>8.9209416758223702E-3</v>
          </cell>
          <cell r="T130">
            <v>375</v>
          </cell>
          <cell r="U130">
            <v>28</v>
          </cell>
          <cell r="V130">
            <v>7.3935396306926944E-3</v>
          </cell>
          <cell r="W130">
            <v>-26.31578947368422</v>
          </cell>
          <cell r="X130">
            <v>22</v>
          </cell>
          <cell r="Y130">
            <v>5.1745590452468146E-3</v>
          </cell>
          <cell r="Z130">
            <v>-21.428571428571431</v>
          </cell>
          <cell r="AA130">
            <v>9</v>
          </cell>
          <cell r="AB130">
            <v>2.0732979951208386E-3</v>
          </cell>
          <cell r="AC130">
            <v>-59.090909090909086</v>
          </cell>
          <cell r="AD130">
            <v>10</v>
          </cell>
          <cell r="AE130">
            <v>2.0340168986123937E-3</v>
          </cell>
          <cell r="AF130">
            <v>11.111111111111114</v>
          </cell>
          <cell r="AG130">
            <v>0</v>
          </cell>
          <cell r="AH130">
            <v>0</v>
          </cell>
          <cell r="AI130">
            <v>-100</v>
          </cell>
        </row>
        <row r="131">
          <cell r="B131" t="str">
            <v xml:space="preserve">    판매수수료</v>
          </cell>
          <cell r="C131">
            <v>0</v>
          </cell>
          <cell r="D131">
            <v>0</v>
          </cell>
          <cell r="F131">
            <v>0</v>
          </cell>
          <cell r="G131">
            <v>0</v>
          </cell>
          <cell r="H131" t="str">
            <v xml:space="preserve">─ </v>
          </cell>
          <cell r="I131">
            <v>0</v>
          </cell>
          <cell r="J131">
            <v>0</v>
          </cell>
          <cell r="K131" t="str">
            <v xml:space="preserve">─ </v>
          </cell>
          <cell r="L131">
            <v>0</v>
          </cell>
          <cell r="M131">
            <v>0</v>
          </cell>
          <cell r="N131" t="str">
            <v xml:space="preserve">─ </v>
          </cell>
          <cell r="O131">
            <v>0</v>
          </cell>
          <cell r="P131">
            <v>0</v>
          </cell>
          <cell r="Q131" t="str">
            <v xml:space="preserve">─ </v>
          </cell>
          <cell r="R131">
            <v>0</v>
          </cell>
          <cell r="S131">
            <v>0</v>
          </cell>
          <cell r="T131" t="str">
            <v xml:space="preserve">─ </v>
          </cell>
          <cell r="U131">
            <v>0</v>
          </cell>
          <cell r="V131">
            <v>0</v>
          </cell>
          <cell r="W131" t="str">
            <v xml:space="preserve">─ </v>
          </cell>
          <cell r="X131">
            <v>0</v>
          </cell>
          <cell r="Y131">
            <v>0</v>
          </cell>
          <cell r="Z131" t="str">
            <v xml:space="preserve">─ </v>
          </cell>
          <cell r="AA131">
            <v>0</v>
          </cell>
          <cell r="AB131">
            <v>0</v>
          </cell>
          <cell r="AC131" t="str">
            <v xml:space="preserve">─ </v>
          </cell>
          <cell r="AD131">
            <v>0</v>
          </cell>
          <cell r="AE131">
            <v>0</v>
          </cell>
          <cell r="AF131" t="str">
            <v xml:space="preserve">─ </v>
          </cell>
          <cell r="AG131">
            <v>0</v>
          </cell>
          <cell r="AH131">
            <v>0</v>
          </cell>
          <cell r="AI131" t="str">
            <v xml:space="preserve">─ </v>
          </cell>
        </row>
        <row r="132">
          <cell r="B132" t="str">
            <v xml:space="preserve">    대손상각비</v>
          </cell>
          <cell r="C132">
            <v>5</v>
          </cell>
          <cell r="D132">
            <v>2.1839592560561191E-3</v>
          </cell>
          <cell r="F132">
            <v>28</v>
          </cell>
          <cell r="G132">
            <v>9.5599356752899562E-3</v>
          </cell>
          <cell r="H132">
            <v>460</v>
          </cell>
          <cell r="I132">
            <v>27</v>
          </cell>
          <cell r="J132">
            <v>8.2149518208288579E-3</v>
          </cell>
          <cell r="K132">
            <v>-3.5714285714285694</v>
          </cell>
          <cell r="L132">
            <v>908</v>
          </cell>
          <cell r="M132">
            <v>0.21755850478844355</v>
          </cell>
          <cell r="N132">
            <v>3262.9629629629626</v>
          </cell>
          <cell r="O132">
            <v>1544</v>
          </cell>
          <cell r="P132">
            <v>0.34029648110517013</v>
          </cell>
          <cell r="Q132">
            <v>70.044052863436121</v>
          </cell>
          <cell r="R132">
            <v>0</v>
          </cell>
          <cell r="S132">
            <v>0</v>
          </cell>
          <cell r="T132">
            <v>-100</v>
          </cell>
          <cell r="U132">
            <v>3217</v>
          </cell>
          <cell r="V132">
            <v>0.84946489256922852</v>
          </cell>
          <cell r="W132" t="str">
            <v xml:space="preserve">─ </v>
          </cell>
          <cell r="X132">
            <v>0</v>
          </cell>
          <cell r="Y132">
            <v>0</v>
          </cell>
          <cell r="Z132">
            <v>-100</v>
          </cell>
          <cell r="AA132">
            <v>437</v>
          </cell>
          <cell r="AB132">
            <v>0.10067013598531183</v>
          </cell>
          <cell r="AC132" t="str">
            <v xml:space="preserve">─ </v>
          </cell>
          <cell r="AD132">
            <v>1876</v>
          </cell>
          <cell r="AE132">
            <v>0.38158157017968503</v>
          </cell>
          <cell r="AF132">
            <v>329.29061784897027</v>
          </cell>
          <cell r="AG132">
            <v>1300</v>
          </cell>
          <cell r="AH132">
            <v>1.18858229560956</v>
          </cell>
          <cell r="AI132" t="str">
            <v xml:space="preserve">─ </v>
          </cell>
        </row>
        <row r="133">
          <cell r="B133" t="str">
            <v xml:space="preserve">    해외시장개척비</v>
          </cell>
          <cell r="C133">
            <v>18</v>
          </cell>
          <cell r="D133">
            <v>7.8622533218020291E-3</v>
          </cell>
          <cell r="F133">
            <v>51</v>
          </cell>
          <cell r="G133">
            <v>1.7412739979992421E-2</v>
          </cell>
          <cell r="H133">
            <v>183.33333333333337</v>
          </cell>
          <cell r="I133">
            <v>46</v>
          </cell>
          <cell r="J133">
            <v>1.399584384289361E-2</v>
          </cell>
          <cell r="K133">
            <v>-9.8039215686274446</v>
          </cell>
          <cell r="L133">
            <v>3</v>
          </cell>
          <cell r="M133">
            <v>7.1880563256093667E-4</v>
          </cell>
          <cell r="N133">
            <v>-93.478260869565219</v>
          </cell>
          <cell r="O133">
            <v>9</v>
          </cell>
          <cell r="P133">
            <v>1.9835934779446444E-3</v>
          </cell>
          <cell r="Q133">
            <v>200</v>
          </cell>
          <cell r="R133">
            <v>42</v>
          </cell>
          <cell r="S133">
            <v>9.8599881680141999E-3</v>
          </cell>
          <cell r="T133">
            <v>366.66666666666669</v>
          </cell>
          <cell r="U133">
            <v>89</v>
          </cell>
          <cell r="V133">
            <v>2.3500893826130353E-2</v>
          </cell>
          <cell r="W133">
            <v>111.9047619047619</v>
          </cell>
          <cell r="X133">
            <v>3</v>
          </cell>
          <cell r="Y133">
            <v>7.0562168798820202E-4</v>
          </cell>
          <cell r="Z133">
            <v>-96.629213483146074</v>
          </cell>
          <cell r="AA133">
            <v>18</v>
          </cell>
          <cell r="AB133">
            <v>4.1465959902416772E-3</v>
          </cell>
          <cell r="AC133">
            <v>500</v>
          </cell>
          <cell r="AD133">
            <v>127</v>
          </cell>
          <cell r="AE133">
            <v>2.5832014612377399E-2</v>
          </cell>
          <cell r="AF133">
            <v>605.55555555555554</v>
          </cell>
          <cell r="AG133">
            <v>42</v>
          </cell>
          <cell r="AH133">
            <v>3.8400351088924242E-2</v>
          </cell>
          <cell r="AI133">
            <v>90.909090909090907</v>
          </cell>
        </row>
        <row r="134">
          <cell r="B134" t="str">
            <v xml:space="preserve">    수출제비용</v>
          </cell>
          <cell r="C134">
            <v>0</v>
          </cell>
          <cell r="D134">
            <v>0</v>
          </cell>
          <cell r="F134">
            <v>0</v>
          </cell>
          <cell r="G134">
            <v>0</v>
          </cell>
          <cell r="H134" t="str">
            <v xml:space="preserve">─ </v>
          </cell>
          <cell r="I134">
            <v>0</v>
          </cell>
          <cell r="J134">
            <v>0</v>
          </cell>
          <cell r="K134" t="str">
            <v xml:space="preserve">─ </v>
          </cell>
          <cell r="L134">
            <v>0</v>
          </cell>
          <cell r="M134">
            <v>0</v>
          </cell>
          <cell r="N134" t="str">
            <v xml:space="preserve">─ </v>
          </cell>
          <cell r="O134">
            <v>0</v>
          </cell>
          <cell r="P134">
            <v>0</v>
          </cell>
          <cell r="Q134" t="str">
            <v xml:space="preserve">─ </v>
          </cell>
          <cell r="R134">
            <v>0</v>
          </cell>
          <cell r="S134">
            <v>0</v>
          </cell>
          <cell r="T134" t="str">
            <v xml:space="preserve">─ </v>
          </cell>
          <cell r="U134">
            <v>0</v>
          </cell>
          <cell r="V134">
            <v>0</v>
          </cell>
          <cell r="W134" t="str">
            <v xml:space="preserve">─ </v>
          </cell>
          <cell r="X134">
            <v>0</v>
          </cell>
          <cell r="Y134">
            <v>0</v>
          </cell>
          <cell r="Z134" t="str">
            <v xml:space="preserve">─ </v>
          </cell>
          <cell r="AA134">
            <v>0</v>
          </cell>
          <cell r="AB134">
            <v>0</v>
          </cell>
          <cell r="AC134" t="str">
            <v xml:space="preserve">─ </v>
          </cell>
          <cell r="AD134">
            <v>0</v>
          </cell>
          <cell r="AE134">
            <v>0</v>
          </cell>
          <cell r="AF134" t="str">
            <v xml:space="preserve">─ </v>
          </cell>
          <cell r="AG134">
            <v>0</v>
          </cell>
          <cell r="AH134">
            <v>0</v>
          </cell>
          <cell r="AI134" t="str">
            <v xml:space="preserve">─ </v>
          </cell>
        </row>
        <row r="135">
          <cell r="B135" t="str">
            <v xml:space="preserve">    판매촉진비</v>
          </cell>
          <cell r="C135">
            <v>0</v>
          </cell>
          <cell r="D135">
            <v>0</v>
          </cell>
          <cell r="F135">
            <v>0</v>
          </cell>
          <cell r="G135">
            <v>0</v>
          </cell>
          <cell r="H135" t="str">
            <v xml:space="preserve">─ </v>
          </cell>
          <cell r="I135">
            <v>0</v>
          </cell>
          <cell r="J135">
            <v>0</v>
          </cell>
          <cell r="K135" t="str">
            <v xml:space="preserve">─ </v>
          </cell>
          <cell r="L135">
            <v>0</v>
          </cell>
          <cell r="M135">
            <v>0</v>
          </cell>
          <cell r="N135" t="str">
            <v xml:space="preserve">─ </v>
          </cell>
          <cell r="O135">
            <v>0</v>
          </cell>
          <cell r="P135">
            <v>0</v>
          </cell>
          <cell r="Q135" t="str">
            <v xml:space="preserve">─ </v>
          </cell>
          <cell r="R135">
            <v>0</v>
          </cell>
          <cell r="S135">
            <v>0</v>
          </cell>
          <cell r="T135" t="str">
            <v xml:space="preserve">─ </v>
          </cell>
          <cell r="U135">
            <v>0</v>
          </cell>
          <cell r="V135">
            <v>0</v>
          </cell>
          <cell r="W135" t="str">
            <v xml:space="preserve">─ </v>
          </cell>
          <cell r="X135">
            <v>0</v>
          </cell>
          <cell r="Y135">
            <v>0</v>
          </cell>
          <cell r="Z135" t="str">
            <v xml:space="preserve">─ </v>
          </cell>
          <cell r="AA135">
            <v>0</v>
          </cell>
          <cell r="AB135">
            <v>0</v>
          </cell>
          <cell r="AC135" t="str">
            <v xml:space="preserve">─ </v>
          </cell>
          <cell r="AD135">
            <v>0</v>
          </cell>
          <cell r="AE135">
            <v>0</v>
          </cell>
          <cell r="AF135" t="str">
            <v xml:space="preserve">─ </v>
          </cell>
          <cell r="AG135">
            <v>0</v>
          </cell>
          <cell r="AH135">
            <v>0</v>
          </cell>
          <cell r="AI135" t="str">
            <v xml:space="preserve">─ </v>
          </cell>
        </row>
        <row r="136">
          <cell r="B136" t="str">
            <v xml:space="preserve">    하자보수비</v>
          </cell>
          <cell r="C136">
            <v>0</v>
          </cell>
          <cell r="D136">
            <v>0</v>
          </cell>
          <cell r="F136">
            <v>0</v>
          </cell>
          <cell r="G136">
            <v>0</v>
          </cell>
          <cell r="H136" t="str">
            <v xml:space="preserve">─ </v>
          </cell>
          <cell r="I136">
            <v>0</v>
          </cell>
          <cell r="J136">
            <v>0</v>
          </cell>
          <cell r="K136" t="str">
            <v xml:space="preserve">─ </v>
          </cell>
          <cell r="L136">
            <v>0</v>
          </cell>
          <cell r="M136">
            <v>0</v>
          </cell>
          <cell r="N136" t="str">
            <v xml:space="preserve">─ </v>
          </cell>
          <cell r="O136">
            <v>0</v>
          </cell>
          <cell r="P136">
            <v>0</v>
          </cell>
          <cell r="Q136" t="str">
            <v xml:space="preserve">─ </v>
          </cell>
          <cell r="R136">
            <v>0</v>
          </cell>
          <cell r="S136">
            <v>0</v>
          </cell>
          <cell r="T136" t="str">
            <v xml:space="preserve">─ </v>
          </cell>
          <cell r="U136">
            <v>0</v>
          </cell>
          <cell r="V136">
            <v>0</v>
          </cell>
          <cell r="W136" t="str">
            <v xml:space="preserve">─ </v>
          </cell>
          <cell r="X136">
            <v>0</v>
          </cell>
          <cell r="Y136">
            <v>0</v>
          </cell>
          <cell r="Z136" t="str">
            <v xml:space="preserve">─ </v>
          </cell>
          <cell r="AA136">
            <v>0</v>
          </cell>
          <cell r="AB136">
            <v>0</v>
          </cell>
          <cell r="AC136" t="str">
            <v xml:space="preserve">─ </v>
          </cell>
          <cell r="AD136">
            <v>0</v>
          </cell>
          <cell r="AE136">
            <v>0</v>
          </cell>
          <cell r="AF136" t="str">
            <v xml:space="preserve">─ </v>
          </cell>
          <cell r="AG136">
            <v>0</v>
          </cell>
          <cell r="AH136">
            <v>0</v>
          </cell>
          <cell r="AI136" t="str">
            <v xml:space="preserve">─ </v>
          </cell>
        </row>
        <row r="137">
          <cell r="B137" t="str">
            <v xml:space="preserve">    로얄티</v>
          </cell>
          <cell r="C137">
            <v>0</v>
          </cell>
          <cell r="D137">
            <v>0</v>
          </cell>
          <cell r="F137">
            <v>0</v>
          </cell>
          <cell r="G137">
            <v>0</v>
          </cell>
          <cell r="H137" t="str">
            <v xml:space="preserve">─ </v>
          </cell>
          <cell r="I137">
            <v>0</v>
          </cell>
          <cell r="J137">
            <v>0</v>
          </cell>
          <cell r="K137" t="str">
            <v xml:space="preserve">─ </v>
          </cell>
          <cell r="L137">
            <v>0</v>
          </cell>
          <cell r="M137">
            <v>0</v>
          </cell>
          <cell r="N137" t="str">
            <v xml:space="preserve">─ </v>
          </cell>
          <cell r="O137">
            <v>0</v>
          </cell>
          <cell r="P137">
            <v>0</v>
          </cell>
          <cell r="Q137" t="str">
            <v xml:space="preserve">─ </v>
          </cell>
          <cell r="R137">
            <v>0</v>
          </cell>
          <cell r="S137">
            <v>0</v>
          </cell>
          <cell r="T137" t="str">
            <v xml:space="preserve">─ </v>
          </cell>
          <cell r="U137">
            <v>0</v>
          </cell>
          <cell r="V137">
            <v>0</v>
          </cell>
          <cell r="W137" t="str">
            <v xml:space="preserve">─ </v>
          </cell>
          <cell r="X137">
            <v>0</v>
          </cell>
          <cell r="Y137">
            <v>0</v>
          </cell>
          <cell r="Z137" t="str">
            <v xml:space="preserve">─ </v>
          </cell>
          <cell r="AA137">
            <v>0</v>
          </cell>
          <cell r="AB137">
            <v>0</v>
          </cell>
          <cell r="AC137" t="str">
            <v xml:space="preserve">─ </v>
          </cell>
          <cell r="AD137">
            <v>0</v>
          </cell>
          <cell r="AE137">
            <v>0</v>
          </cell>
          <cell r="AF137" t="str">
            <v xml:space="preserve">─ </v>
          </cell>
          <cell r="AG137">
            <v>0</v>
          </cell>
          <cell r="AH137">
            <v>0</v>
          </cell>
          <cell r="AI137" t="str">
            <v xml:space="preserve">─ </v>
          </cell>
        </row>
        <row r="138">
          <cell r="B138" t="str">
            <v xml:space="preserve">    무형자산상각</v>
          </cell>
          <cell r="C138">
            <v>0</v>
          </cell>
          <cell r="D138">
            <v>0</v>
          </cell>
          <cell r="F138">
            <v>0</v>
          </cell>
          <cell r="G138">
            <v>0</v>
          </cell>
          <cell r="H138" t="str">
            <v xml:space="preserve">─ </v>
          </cell>
          <cell r="I138">
            <v>0</v>
          </cell>
          <cell r="J138">
            <v>0</v>
          </cell>
          <cell r="K138" t="str">
            <v xml:space="preserve">─ </v>
          </cell>
          <cell r="L138">
            <v>0</v>
          </cell>
          <cell r="M138">
            <v>0</v>
          </cell>
          <cell r="N138" t="str">
            <v xml:space="preserve">─ </v>
          </cell>
          <cell r="O138">
            <v>0</v>
          </cell>
          <cell r="P138">
            <v>0</v>
          </cell>
          <cell r="Q138" t="str">
            <v xml:space="preserve">─ </v>
          </cell>
          <cell r="R138">
            <v>0</v>
          </cell>
          <cell r="S138">
            <v>0</v>
          </cell>
          <cell r="T138" t="str">
            <v xml:space="preserve">─ </v>
          </cell>
          <cell r="U138">
            <v>0</v>
          </cell>
          <cell r="V138">
            <v>0</v>
          </cell>
          <cell r="W138" t="str">
            <v xml:space="preserve">─ </v>
          </cell>
          <cell r="X138">
            <v>0</v>
          </cell>
          <cell r="Y138">
            <v>0</v>
          </cell>
          <cell r="Z138" t="str">
            <v xml:space="preserve">─ </v>
          </cell>
          <cell r="AA138">
            <v>128</v>
          </cell>
          <cell r="AB138">
            <v>2.9486904819496371E-2</v>
          </cell>
          <cell r="AC138" t="str">
            <v xml:space="preserve">─ </v>
          </cell>
          <cell r="AD138">
            <v>159</v>
          </cell>
          <cell r="AE138">
            <v>3.2340868687937063E-2</v>
          </cell>
          <cell r="AF138">
            <v>24.21875</v>
          </cell>
          <cell r="AG138">
            <v>40</v>
          </cell>
          <cell r="AH138">
            <v>3.6571762941832613E-2</v>
          </cell>
          <cell r="AI138">
            <v>0</v>
          </cell>
        </row>
        <row r="139">
          <cell r="B139" t="str">
            <v xml:space="preserve">      영업권상각</v>
          </cell>
          <cell r="C139">
            <v>0</v>
          </cell>
          <cell r="D139">
            <v>0</v>
          </cell>
          <cell r="F139">
            <v>0</v>
          </cell>
          <cell r="G139">
            <v>0</v>
          </cell>
          <cell r="H139" t="str">
            <v xml:space="preserve">─ </v>
          </cell>
          <cell r="I139">
            <v>0</v>
          </cell>
          <cell r="J139">
            <v>0</v>
          </cell>
          <cell r="K139" t="str">
            <v xml:space="preserve">─ </v>
          </cell>
          <cell r="L139">
            <v>0</v>
          </cell>
          <cell r="M139">
            <v>0</v>
          </cell>
          <cell r="N139" t="str">
            <v xml:space="preserve">─ </v>
          </cell>
          <cell r="O139">
            <v>0</v>
          </cell>
          <cell r="P139">
            <v>0</v>
          </cell>
          <cell r="Q139" t="str">
            <v xml:space="preserve">─ </v>
          </cell>
          <cell r="R139">
            <v>0</v>
          </cell>
          <cell r="S139">
            <v>0</v>
          </cell>
          <cell r="T139" t="str">
            <v xml:space="preserve">─ </v>
          </cell>
          <cell r="U139">
            <v>0</v>
          </cell>
          <cell r="V139">
            <v>0</v>
          </cell>
          <cell r="W139" t="str">
            <v xml:space="preserve">─ </v>
          </cell>
          <cell r="X139">
            <v>0</v>
          </cell>
          <cell r="Y139">
            <v>0</v>
          </cell>
          <cell r="Z139" t="str">
            <v xml:space="preserve">─ </v>
          </cell>
          <cell r="AA139">
            <v>0</v>
          </cell>
          <cell r="AB139">
            <v>0</v>
          </cell>
          <cell r="AC139" t="str">
            <v xml:space="preserve">─ </v>
          </cell>
          <cell r="AD139">
            <v>0</v>
          </cell>
          <cell r="AE139">
            <v>0</v>
          </cell>
          <cell r="AF139" t="str">
            <v xml:space="preserve">─ </v>
          </cell>
          <cell r="AG139">
            <v>0</v>
          </cell>
          <cell r="AH139">
            <v>0</v>
          </cell>
          <cell r="AI139" t="str">
            <v xml:space="preserve">─ </v>
          </cell>
        </row>
        <row r="140">
          <cell r="B140" t="str">
            <v xml:space="preserve">      공업소유권상각</v>
          </cell>
          <cell r="C140">
            <v>0</v>
          </cell>
          <cell r="D140">
            <v>0</v>
          </cell>
          <cell r="F140">
            <v>0</v>
          </cell>
          <cell r="G140">
            <v>0</v>
          </cell>
          <cell r="H140" t="str">
            <v xml:space="preserve">─ </v>
          </cell>
          <cell r="I140">
            <v>0</v>
          </cell>
          <cell r="J140">
            <v>0</v>
          </cell>
          <cell r="K140" t="str">
            <v xml:space="preserve">─ </v>
          </cell>
          <cell r="L140">
            <v>0</v>
          </cell>
          <cell r="M140">
            <v>0</v>
          </cell>
          <cell r="N140" t="str">
            <v xml:space="preserve">─ </v>
          </cell>
          <cell r="O140">
            <v>0</v>
          </cell>
          <cell r="P140">
            <v>0</v>
          </cell>
          <cell r="Q140" t="str">
            <v xml:space="preserve">─ </v>
          </cell>
          <cell r="R140">
            <v>0</v>
          </cell>
          <cell r="S140">
            <v>0</v>
          </cell>
          <cell r="T140" t="str">
            <v xml:space="preserve">─ </v>
          </cell>
          <cell r="U140">
            <v>0</v>
          </cell>
          <cell r="V140">
            <v>0</v>
          </cell>
          <cell r="W140" t="str">
            <v xml:space="preserve">─ </v>
          </cell>
          <cell r="X140">
            <v>0</v>
          </cell>
          <cell r="Y140">
            <v>0</v>
          </cell>
          <cell r="Z140" t="str">
            <v xml:space="preserve">─ </v>
          </cell>
          <cell r="AA140">
            <v>0</v>
          </cell>
          <cell r="AB140">
            <v>0</v>
          </cell>
          <cell r="AC140" t="str">
            <v xml:space="preserve">─ </v>
          </cell>
          <cell r="AD140">
            <v>0</v>
          </cell>
          <cell r="AE140">
            <v>0</v>
          </cell>
          <cell r="AF140" t="str">
            <v xml:space="preserve">─ </v>
          </cell>
          <cell r="AG140">
            <v>0</v>
          </cell>
          <cell r="AH140">
            <v>0</v>
          </cell>
          <cell r="AI140" t="str">
            <v xml:space="preserve">─ </v>
          </cell>
        </row>
        <row r="141">
          <cell r="B141" t="str">
            <v xml:space="preserve">      광업권</v>
          </cell>
          <cell r="C141">
            <v>0</v>
          </cell>
          <cell r="D141">
            <v>0</v>
          </cell>
          <cell r="F141">
            <v>0</v>
          </cell>
          <cell r="G141">
            <v>0</v>
          </cell>
          <cell r="H141" t="str">
            <v xml:space="preserve">─ </v>
          </cell>
          <cell r="I141">
            <v>0</v>
          </cell>
          <cell r="J141">
            <v>0</v>
          </cell>
          <cell r="K141" t="str">
            <v xml:space="preserve">─ </v>
          </cell>
          <cell r="L141">
            <v>0</v>
          </cell>
          <cell r="M141">
            <v>0</v>
          </cell>
          <cell r="N141" t="str">
            <v xml:space="preserve">─ </v>
          </cell>
          <cell r="O141">
            <v>0</v>
          </cell>
          <cell r="P141">
            <v>0</v>
          </cell>
          <cell r="Q141" t="str">
            <v xml:space="preserve">─ </v>
          </cell>
          <cell r="R141">
            <v>0</v>
          </cell>
          <cell r="S141">
            <v>0</v>
          </cell>
          <cell r="T141" t="str">
            <v xml:space="preserve">─ </v>
          </cell>
          <cell r="U141">
            <v>0</v>
          </cell>
          <cell r="V141">
            <v>0</v>
          </cell>
          <cell r="W141" t="str">
            <v xml:space="preserve">─ </v>
          </cell>
          <cell r="X141">
            <v>0</v>
          </cell>
          <cell r="Y141">
            <v>0</v>
          </cell>
          <cell r="Z141" t="str">
            <v xml:space="preserve">─ </v>
          </cell>
          <cell r="AA141">
            <v>0</v>
          </cell>
          <cell r="AB141">
            <v>0</v>
          </cell>
          <cell r="AC141" t="str">
            <v xml:space="preserve">─ </v>
          </cell>
          <cell r="AD141">
            <v>0</v>
          </cell>
          <cell r="AE141">
            <v>0</v>
          </cell>
          <cell r="AF141" t="str">
            <v xml:space="preserve">─ </v>
          </cell>
          <cell r="AG141">
            <v>0</v>
          </cell>
          <cell r="AH141">
            <v>0</v>
          </cell>
          <cell r="AI141" t="str">
            <v xml:space="preserve">─ </v>
          </cell>
        </row>
        <row r="142">
          <cell r="B142" t="str">
            <v xml:space="preserve">      어업권</v>
          </cell>
          <cell r="C142">
            <v>0</v>
          </cell>
          <cell r="D142">
            <v>0</v>
          </cell>
          <cell r="F142">
            <v>0</v>
          </cell>
          <cell r="G142">
            <v>0</v>
          </cell>
          <cell r="H142" t="str">
            <v xml:space="preserve">─ </v>
          </cell>
          <cell r="I142">
            <v>0</v>
          </cell>
          <cell r="J142">
            <v>0</v>
          </cell>
          <cell r="K142" t="str">
            <v xml:space="preserve">─ </v>
          </cell>
          <cell r="L142">
            <v>0</v>
          </cell>
          <cell r="M142">
            <v>0</v>
          </cell>
          <cell r="N142" t="str">
            <v xml:space="preserve">─ </v>
          </cell>
          <cell r="O142">
            <v>0</v>
          </cell>
          <cell r="P142">
            <v>0</v>
          </cell>
          <cell r="Q142" t="str">
            <v xml:space="preserve">─ </v>
          </cell>
          <cell r="R142">
            <v>0</v>
          </cell>
          <cell r="S142">
            <v>0</v>
          </cell>
          <cell r="T142" t="str">
            <v xml:space="preserve">─ </v>
          </cell>
          <cell r="U142">
            <v>0</v>
          </cell>
          <cell r="V142">
            <v>0</v>
          </cell>
          <cell r="W142" t="str">
            <v xml:space="preserve">─ </v>
          </cell>
          <cell r="X142">
            <v>0</v>
          </cell>
          <cell r="Y142">
            <v>0</v>
          </cell>
          <cell r="Z142" t="str">
            <v xml:space="preserve">─ </v>
          </cell>
          <cell r="AA142">
            <v>0</v>
          </cell>
          <cell r="AB142">
            <v>0</v>
          </cell>
          <cell r="AC142" t="str">
            <v xml:space="preserve">─ </v>
          </cell>
          <cell r="AD142">
            <v>0</v>
          </cell>
          <cell r="AE142">
            <v>0</v>
          </cell>
          <cell r="AF142" t="str">
            <v xml:space="preserve">─ </v>
          </cell>
          <cell r="AG142">
            <v>0</v>
          </cell>
          <cell r="AH142">
            <v>0</v>
          </cell>
          <cell r="AI142" t="str">
            <v xml:space="preserve">─ </v>
          </cell>
        </row>
        <row r="143">
          <cell r="B143" t="str">
            <v xml:space="preserve">      차지권</v>
          </cell>
          <cell r="C143">
            <v>0</v>
          </cell>
          <cell r="D143">
            <v>0</v>
          </cell>
          <cell r="F143">
            <v>0</v>
          </cell>
          <cell r="G143">
            <v>0</v>
          </cell>
          <cell r="H143" t="str">
            <v xml:space="preserve">─ </v>
          </cell>
          <cell r="I143">
            <v>0</v>
          </cell>
          <cell r="J143">
            <v>0</v>
          </cell>
          <cell r="K143" t="str">
            <v xml:space="preserve">─ </v>
          </cell>
          <cell r="L143">
            <v>0</v>
          </cell>
          <cell r="M143">
            <v>0</v>
          </cell>
          <cell r="N143" t="str">
            <v xml:space="preserve">─ </v>
          </cell>
          <cell r="O143">
            <v>0</v>
          </cell>
          <cell r="P143">
            <v>0</v>
          </cell>
          <cell r="Q143" t="str">
            <v xml:space="preserve">─ </v>
          </cell>
          <cell r="R143">
            <v>0</v>
          </cell>
          <cell r="S143">
            <v>0</v>
          </cell>
          <cell r="T143" t="str">
            <v xml:space="preserve">─ </v>
          </cell>
          <cell r="U143">
            <v>0</v>
          </cell>
          <cell r="V143">
            <v>0</v>
          </cell>
          <cell r="W143" t="str">
            <v xml:space="preserve">─ </v>
          </cell>
          <cell r="X143">
            <v>0</v>
          </cell>
          <cell r="Y143">
            <v>0</v>
          </cell>
          <cell r="Z143" t="str">
            <v xml:space="preserve">─ </v>
          </cell>
          <cell r="AA143">
            <v>0</v>
          </cell>
          <cell r="AB143">
            <v>0</v>
          </cell>
          <cell r="AC143" t="str">
            <v xml:space="preserve">─ </v>
          </cell>
          <cell r="AD143">
            <v>0</v>
          </cell>
          <cell r="AE143">
            <v>0</v>
          </cell>
          <cell r="AF143" t="str">
            <v xml:space="preserve">─ </v>
          </cell>
          <cell r="AG143">
            <v>0</v>
          </cell>
          <cell r="AH143">
            <v>0</v>
          </cell>
          <cell r="AI143" t="str">
            <v xml:space="preserve">─ </v>
          </cell>
        </row>
        <row r="144">
          <cell r="B144" t="str">
            <v xml:space="preserve">      기타무형자산상각</v>
          </cell>
          <cell r="C144">
            <v>0</v>
          </cell>
          <cell r="D144">
            <v>0</v>
          </cell>
          <cell r="F144">
            <v>0</v>
          </cell>
          <cell r="G144">
            <v>0</v>
          </cell>
          <cell r="H144" t="str">
            <v xml:space="preserve">─ </v>
          </cell>
          <cell r="I144">
            <v>0</v>
          </cell>
          <cell r="J144">
            <v>0</v>
          </cell>
          <cell r="K144" t="str">
            <v xml:space="preserve">─ </v>
          </cell>
          <cell r="L144">
            <v>0</v>
          </cell>
          <cell r="M144">
            <v>0</v>
          </cell>
          <cell r="N144" t="str">
            <v xml:space="preserve">─ </v>
          </cell>
          <cell r="O144">
            <v>0</v>
          </cell>
          <cell r="P144">
            <v>0</v>
          </cell>
          <cell r="Q144" t="str">
            <v xml:space="preserve">─ </v>
          </cell>
          <cell r="R144">
            <v>0</v>
          </cell>
          <cell r="S144">
            <v>0</v>
          </cell>
          <cell r="T144" t="str">
            <v xml:space="preserve">─ </v>
          </cell>
          <cell r="U144">
            <v>0</v>
          </cell>
          <cell r="V144">
            <v>0</v>
          </cell>
          <cell r="W144" t="str">
            <v xml:space="preserve">─ </v>
          </cell>
          <cell r="X144">
            <v>0</v>
          </cell>
          <cell r="Y144">
            <v>0</v>
          </cell>
          <cell r="Z144" t="str">
            <v xml:space="preserve">─ </v>
          </cell>
          <cell r="AA144">
            <v>128</v>
          </cell>
          <cell r="AB144">
            <v>2.9486904819496371E-2</v>
          </cell>
          <cell r="AC144" t="str">
            <v xml:space="preserve">─ </v>
          </cell>
          <cell r="AD144">
            <v>159</v>
          </cell>
          <cell r="AE144">
            <v>3.2340868687937063E-2</v>
          </cell>
          <cell r="AF144">
            <v>24.21875</v>
          </cell>
          <cell r="AG144">
            <v>40</v>
          </cell>
          <cell r="AH144">
            <v>3.6571762941832613E-2</v>
          </cell>
          <cell r="AI144">
            <v>0</v>
          </cell>
        </row>
        <row r="145">
          <cell r="B145" t="str">
            <v xml:space="preserve">      창업비상각</v>
          </cell>
          <cell r="C145">
            <v>0</v>
          </cell>
          <cell r="D145">
            <v>0</v>
          </cell>
          <cell r="F145">
            <v>0</v>
          </cell>
          <cell r="G145">
            <v>0</v>
          </cell>
          <cell r="H145" t="str">
            <v xml:space="preserve">─ </v>
          </cell>
          <cell r="I145">
            <v>0</v>
          </cell>
          <cell r="J145">
            <v>0</v>
          </cell>
          <cell r="K145" t="str">
            <v xml:space="preserve">─ </v>
          </cell>
          <cell r="L145">
            <v>0</v>
          </cell>
          <cell r="M145">
            <v>0</v>
          </cell>
          <cell r="N145" t="str">
            <v xml:space="preserve">─ </v>
          </cell>
          <cell r="O145">
            <v>0</v>
          </cell>
          <cell r="P145">
            <v>0</v>
          </cell>
          <cell r="Q145" t="str">
            <v xml:space="preserve">─ </v>
          </cell>
          <cell r="R145">
            <v>0</v>
          </cell>
          <cell r="S145">
            <v>0</v>
          </cell>
          <cell r="T145" t="str">
            <v xml:space="preserve">─ </v>
          </cell>
          <cell r="U145">
            <v>0</v>
          </cell>
          <cell r="V145">
            <v>0</v>
          </cell>
          <cell r="W145" t="str">
            <v xml:space="preserve">─ </v>
          </cell>
          <cell r="X145">
            <v>0</v>
          </cell>
          <cell r="Y145">
            <v>0</v>
          </cell>
          <cell r="Z145" t="str">
            <v xml:space="preserve">─ </v>
          </cell>
          <cell r="AA145">
            <v>0</v>
          </cell>
          <cell r="AB145">
            <v>0</v>
          </cell>
          <cell r="AC145" t="str">
            <v xml:space="preserve">─ </v>
          </cell>
          <cell r="AD145">
            <v>0</v>
          </cell>
          <cell r="AE145">
            <v>0</v>
          </cell>
          <cell r="AF145" t="str">
            <v xml:space="preserve">─ </v>
          </cell>
          <cell r="AG145">
            <v>0</v>
          </cell>
          <cell r="AH145">
            <v>0</v>
          </cell>
          <cell r="AI145" t="str">
            <v xml:space="preserve">─ </v>
          </cell>
        </row>
        <row r="146">
          <cell r="B146" t="str">
            <v xml:space="preserve">      개발비상각</v>
          </cell>
          <cell r="C146">
            <v>0</v>
          </cell>
          <cell r="D146">
            <v>0</v>
          </cell>
          <cell r="F146">
            <v>0</v>
          </cell>
          <cell r="G146">
            <v>0</v>
          </cell>
          <cell r="H146" t="str">
            <v xml:space="preserve">─ </v>
          </cell>
          <cell r="I146">
            <v>0</v>
          </cell>
          <cell r="J146">
            <v>0</v>
          </cell>
          <cell r="K146" t="str">
            <v xml:space="preserve">─ </v>
          </cell>
          <cell r="L146">
            <v>0</v>
          </cell>
          <cell r="M146">
            <v>0</v>
          </cell>
          <cell r="N146" t="str">
            <v xml:space="preserve">─ </v>
          </cell>
          <cell r="O146">
            <v>0</v>
          </cell>
          <cell r="P146">
            <v>0</v>
          </cell>
          <cell r="Q146" t="str">
            <v xml:space="preserve">─ </v>
          </cell>
          <cell r="R146">
            <v>0</v>
          </cell>
          <cell r="S146">
            <v>0</v>
          </cell>
          <cell r="T146" t="str">
            <v xml:space="preserve">─ </v>
          </cell>
          <cell r="U146">
            <v>0</v>
          </cell>
          <cell r="V146">
            <v>0</v>
          </cell>
          <cell r="W146" t="str">
            <v xml:space="preserve">─ </v>
          </cell>
          <cell r="X146">
            <v>0</v>
          </cell>
          <cell r="Y146">
            <v>0</v>
          </cell>
          <cell r="Z146" t="str">
            <v xml:space="preserve">─ </v>
          </cell>
          <cell r="AA146">
            <v>0</v>
          </cell>
          <cell r="AB146">
            <v>0</v>
          </cell>
          <cell r="AC146" t="str">
            <v xml:space="preserve">─ </v>
          </cell>
          <cell r="AD146">
            <v>0</v>
          </cell>
          <cell r="AE146">
            <v>0</v>
          </cell>
          <cell r="AF146" t="str">
            <v xml:space="preserve">─ </v>
          </cell>
          <cell r="AG146">
            <v>0</v>
          </cell>
          <cell r="AH146">
            <v>0</v>
          </cell>
          <cell r="AI146" t="str">
            <v xml:space="preserve">─ </v>
          </cell>
        </row>
        <row r="147">
          <cell r="B147" t="str">
            <v xml:space="preserve">    기타판매비</v>
          </cell>
          <cell r="C147">
            <v>27</v>
          </cell>
          <cell r="D147">
            <v>1.1793379982703042E-2</v>
          </cell>
          <cell r="F147">
            <v>225</v>
          </cell>
          <cell r="G147">
            <v>7.6820911676437148E-2</v>
          </cell>
          <cell r="H147">
            <v>733.33333333333337</v>
          </cell>
          <cell r="I147">
            <v>39</v>
          </cell>
          <cell r="J147">
            <v>1.1866041518975018E-2</v>
          </cell>
          <cell r="K147">
            <v>-82.666666666666657</v>
          </cell>
          <cell r="L147">
            <v>54</v>
          </cell>
          <cell r="M147">
            <v>1.2938501386096861E-2</v>
          </cell>
          <cell r="N147">
            <v>38.461538461538453</v>
          </cell>
          <cell r="O147">
            <v>460</v>
          </cell>
          <cell r="P147">
            <v>0.10138366665050405</v>
          </cell>
          <cell r="Q147">
            <v>751.85185185185196</v>
          </cell>
          <cell r="R147">
            <v>0</v>
          </cell>
          <cell r="S147">
            <v>0</v>
          </cell>
          <cell r="T147">
            <v>-100</v>
          </cell>
          <cell r="U147">
            <v>311</v>
          </cell>
          <cell r="V147">
            <v>8.2121100898051011E-2</v>
          </cell>
          <cell r="W147" t="str">
            <v xml:space="preserve">─ </v>
          </cell>
          <cell r="X147">
            <v>0</v>
          </cell>
          <cell r="Y147">
            <v>0</v>
          </cell>
          <cell r="Z147">
            <v>-100</v>
          </cell>
          <cell r="AA147">
            <v>0</v>
          </cell>
          <cell r="AB147">
            <v>0</v>
          </cell>
          <cell r="AC147" t="str">
            <v xml:space="preserve">─ </v>
          </cell>
          <cell r="AD147">
            <v>0</v>
          </cell>
          <cell r="AE147">
            <v>0</v>
          </cell>
          <cell r="AF147" t="str">
            <v xml:space="preserve">─ </v>
          </cell>
          <cell r="AG147">
            <v>0</v>
          </cell>
          <cell r="AH147">
            <v>0</v>
          </cell>
          <cell r="AI147" t="str">
            <v xml:space="preserve">─ </v>
          </cell>
        </row>
        <row r="148">
          <cell r="B148" t="str">
            <v>영업이익</v>
          </cell>
          <cell r="C148">
            <v>13046</v>
          </cell>
          <cell r="D148">
            <v>5.6983864909016262</v>
          </cell>
          <cell r="F148">
            <v>15256</v>
          </cell>
          <cell r="G148">
            <v>5.2087992379365557</v>
          </cell>
          <cell r="H148">
            <v>16.94005825540394</v>
          </cell>
          <cell r="I148">
            <v>14118</v>
          </cell>
          <cell r="J148">
            <v>4.2955070298689568</v>
          </cell>
          <cell r="K148">
            <v>-7.4593602517042541</v>
          </cell>
          <cell r="L148">
            <v>18050</v>
          </cell>
          <cell r="M148">
            <v>4.3248138892416366</v>
          </cell>
          <cell r="N148">
            <v>27.85097039240685</v>
          </cell>
          <cell r="O148">
            <v>24620</v>
          </cell>
          <cell r="P148">
            <v>5.4262301585552386</v>
          </cell>
          <cell r="Q148">
            <v>36.39889196675901</v>
          </cell>
          <cell r="R148">
            <v>22655</v>
          </cell>
          <cell r="S148">
            <v>5.3185245701514683</v>
          </cell>
          <cell r="T148">
            <v>-7.9813160032493897</v>
          </cell>
          <cell r="U148">
            <v>24512</v>
          </cell>
          <cell r="V148">
            <v>6.4725158366978341</v>
          </cell>
          <cell r="W148">
            <v>8.196866033988087</v>
          </cell>
          <cell r="X148">
            <v>26510</v>
          </cell>
          <cell r="Y148">
            <v>6.2353436495224113</v>
          </cell>
          <cell r="Z148">
            <v>8.15110966057442</v>
          </cell>
          <cell r="AA148">
            <v>17726</v>
          </cell>
          <cell r="AB148">
            <v>4.0834755846124429</v>
          </cell>
          <cell r="AC148">
            <v>-33.134666163711813</v>
          </cell>
          <cell r="AD148">
            <v>27813</v>
          </cell>
          <cell r="AE148">
            <v>5.65721120011065</v>
          </cell>
          <cell r="AF148">
            <v>56.905111136184132</v>
          </cell>
          <cell r="AG148">
            <v>6829</v>
          </cell>
          <cell r="AH148">
            <v>6.2437142282443725</v>
          </cell>
          <cell r="AI148">
            <v>80.04218296862642</v>
          </cell>
        </row>
        <row r="149">
          <cell r="B149" t="str">
            <v>영업외수익</v>
          </cell>
          <cell r="C149">
            <v>5279</v>
          </cell>
          <cell r="D149">
            <v>2.3058241825440504</v>
          </cell>
          <cell r="F149">
            <v>8464</v>
          </cell>
          <cell r="G149">
            <v>2.8898319841305069</v>
          </cell>
          <cell r="H149">
            <v>60.333396476605429</v>
          </cell>
          <cell r="I149">
            <v>11376</v>
          </cell>
          <cell r="J149">
            <v>3.461233033842559</v>
          </cell>
          <cell r="K149">
            <v>34.404536862003766</v>
          </cell>
          <cell r="L149">
            <v>12381</v>
          </cell>
          <cell r="M149">
            <v>2.9665108455789859</v>
          </cell>
          <cell r="N149">
            <v>8.8343881856540065</v>
          </cell>
          <cell r="O149">
            <v>12873</v>
          </cell>
          <cell r="P149">
            <v>2.8371998712868232</v>
          </cell>
          <cell r="Q149">
            <v>3.973830869881283</v>
          </cell>
          <cell r="R149">
            <v>14110</v>
          </cell>
          <cell r="S149">
            <v>3.3124865012066746</v>
          </cell>
          <cell r="T149">
            <v>9.6092596908257519</v>
          </cell>
          <cell r="U149">
            <v>15456</v>
          </cell>
          <cell r="V149">
            <v>4.0812338761423677</v>
          </cell>
          <cell r="W149">
            <v>9.5393338058114949</v>
          </cell>
          <cell r="X149">
            <v>8786</v>
          </cell>
          <cell r="Y149">
            <v>2.0665307168881144</v>
          </cell>
          <cell r="Z149">
            <v>-43.154761904761905</v>
          </cell>
          <cell r="AA149">
            <v>10868</v>
          </cell>
          <cell r="AB149">
            <v>2.5036225123303639</v>
          </cell>
          <cell r="AC149">
            <v>23.696790348281354</v>
          </cell>
          <cell r="AD149">
            <v>9926</v>
          </cell>
          <cell r="AE149">
            <v>2.0189651735626617</v>
          </cell>
          <cell r="AF149">
            <v>-8.6676481413323501</v>
          </cell>
          <cell r="AG149">
            <v>3279</v>
          </cell>
          <cell r="AH149">
            <v>2.9979702671567283</v>
          </cell>
          <cell r="AI149">
            <v>87.264420331239293</v>
          </cell>
        </row>
        <row r="150">
          <cell r="B150" t="str">
            <v xml:space="preserve">  이자수익</v>
          </cell>
          <cell r="C150">
            <v>2897</v>
          </cell>
          <cell r="D150">
            <v>1.2653859929589153</v>
          </cell>
          <cell r="F150">
            <v>3579</v>
          </cell>
          <cell r="G150">
            <v>1.2219646350665267</v>
          </cell>
          <cell r="H150">
            <v>23.541594753192953</v>
          </cell>
          <cell r="I150">
            <v>6421</v>
          </cell>
          <cell r="J150">
            <v>1.9536372459830407</v>
          </cell>
          <cell r="K150">
            <v>79.407655769768098</v>
          </cell>
          <cell r="L150">
            <v>5137</v>
          </cell>
          <cell r="M150">
            <v>1.230834844821844</v>
          </cell>
          <cell r="N150">
            <v>-19.996885220370658</v>
          </cell>
          <cell r="O150">
            <v>6094</v>
          </cell>
          <cell r="P150">
            <v>1.3431131838438515</v>
          </cell>
          <cell r="Q150">
            <v>18.629550321199147</v>
          </cell>
          <cell r="R150">
            <v>7813</v>
          </cell>
          <cell r="S150">
            <v>1.8341925608736889</v>
          </cell>
          <cell r="T150">
            <v>28.208073514932721</v>
          </cell>
          <cell r="U150">
            <v>6846</v>
          </cell>
          <cell r="V150">
            <v>1.807720439704364</v>
          </cell>
          <cell r="W150">
            <v>-12.376807884295403</v>
          </cell>
          <cell r="X150">
            <v>4251</v>
          </cell>
          <cell r="Y150">
            <v>0.99986593187928219</v>
          </cell>
          <cell r="Z150">
            <v>-37.905346187554777</v>
          </cell>
          <cell r="AA150">
            <v>1753</v>
          </cell>
          <cell r="AB150">
            <v>0.40383237616075895</v>
          </cell>
          <cell r="AC150">
            <v>-58.762644083745002</v>
          </cell>
          <cell r="AD150">
            <v>1936</v>
          </cell>
          <cell r="AE150">
            <v>0.39378567157135941</v>
          </cell>
          <cell r="AF150">
            <v>10.43924700513405</v>
          </cell>
          <cell r="AG150">
            <v>608</v>
          </cell>
          <cell r="AH150">
            <v>0.55589079671585562</v>
          </cell>
          <cell r="AI150">
            <v>162.06896551724137</v>
          </cell>
        </row>
        <row r="151">
          <cell r="B151" t="str">
            <v xml:space="preserve">  배당금수익</v>
          </cell>
          <cell r="C151">
            <v>311</v>
          </cell>
          <cell r="D151">
            <v>0.13584226572669061</v>
          </cell>
          <cell r="F151">
            <v>1784</v>
          </cell>
          <cell r="G151">
            <v>0.60910447302561721</v>
          </cell>
          <cell r="H151">
            <v>473.6334405144695</v>
          </cell>
          <cell r="I151">
            <v>2438</v>
          </cell>
          <cell r="J151">
            <v>0.74177972367336131</v>
          </cell>
          <cell r="K151">
            <v>36.659192825112086</v>
          </cell>
          <cell r="L151">
            <v>2140</v>
          </cell>
          <cell r="M151">
            <v>0.51274801789346824</v>
          </cell>
          <cell r="N151">
            <v>-12.223133716160788</v>
          </cell>
          <cell r="O151">
            <v>1411</v>
          </cell>
          <cell r="P151">
            <v>0.31098337748665483</v>
          </cell>
          <cell r="Q151">
            <v>-34.065420560747668</v>
          </cell>
          <cell r="R151">
            <v>344</v>
          </cell>
          <cell r="S151">
            <v>8.0757998328497241E-2</v>
          </cell>
          <cell r="T151">
            <v>-75.620127569099935</v>
          </cell>
          <cell r="U151">
            <v>116</v>
          </cell>
          <cell r="V151">
            <v>3.0630378470012595E-2</v>
          </cell>
          <cell r="W151">
            <v>-66.279069767441854</v>
          </cell>
          <cell r="X151">
            <v>164</v>
          </cell>
          <cell r="Y151">
            <v>3.8573985610021712E-2</v>
          </cell>
          <cell r="Z151">
            <v>41.379310344827587</v>
          </cell>
          <cell r="AA151">
            <v>207</v>
          </cell>
          <cell r="AB151">
            <v>4.7685853887779288E-2</v>
          </cell>
          <cell r="AC151">
            <v>26.219512195121951</v>
          </cell>
          <cell r="AD151">
            <v>317</v>
          </cell>
          <cell r="AE151">
            <v>6.4478335686012883E-2</v>
          </cell>
          <cell r="AF151">
            <v>53.140096618357489</v>
          </cell>
          <cell r="AG151">
            <v>278</v>
          </cell>
          <cell r="AH151">
            <v>0.25417375244573664</v>
          </cell>
          <cell r="AI151">
            <v>49.462365591397848</v>
          </cell>
        </row>
        <row r="152">
          <cell r="B152" t="str">
            <v xml:space="preserve">  임대료</v>
          </cell>
          <cell r="C152">
            <v>0</v>
          </cell>
          <cell r="D152">
            <v>0</v>
          </cell>
          <cell r="F152">
            <v>0</v>
          </cell>
          <cell r="G152">
            <v>0</v>
          </cell>
          <cell r="H152" t="str">
            <v xml:space="preserve">─ </v>
          </cell>
          <cell r="I152">
            <v>0</v>
          </cell>
          <cell r="J152">
            <v>0</v>
          </cell>
          <cell r="K152" t="str">
            <v xml:space="preserve">─ </v>
          </cell>
          <cell r="L152">
            <v>0</v>
          </cell>
          <cell r="M152">
            <v>0</v>
          </cell>
          <cell r="N152" t="str">
            <v xml:space="preserve">─ </v>
          </cell>
          <cell r="O152">
            <v>0</v>
          </cell>
          <cell r="P152">
            <v>0</v>
          </cell>
          <cell r="Q152" t="str">
            <v xml:space="preserve">─ </v>
          </cell>
          <cell r="R152">
            <v>0</v>
          </cell>
          <cell r="S152">
            <v>0</v>
          </cell>
          <cell r="T152" t="str">
            <v xml:space="preserve">─ </v>
          </cell>
          <cell r="U152">
            <v>0</v>
          </cell>
          <cell r="V152">
            <v>0</v>
          </cell>
          <cell r="W152" t="str">
            <v xml:space="preserve">─ </v>
          </cell>
          <cell r="X152">
            <v>0</v>
          </cell>
          <cell r="Y152">
            <v>0</v>
          </cell>
          <cell r="Z152" t="str">
            <v xml:space="preserve">─ </v>
          </cell>
          <cell r="AA152">
            <v>0</v>
          </cell>
          <cell r="AB152">
            <v>0</v>
          </cell>
          <cell r="AC152" t="str">
            <v xml:space="preserve">─ </v>
          </cell>
          <cell r="AD152">
            <v>0</v>
          </cell>
          <cell r="AE152">
            <v>0</v>
          </cell>
          <cell r="AF152" t="str">
            <v xml:space="preserve">─ </v>
          </cell>
          <cell r="AG152">
            <v>0</v>
          </cell>
          <cell r="AH152">
            <v>0</v>
          </cell>
          <cell r="AI152" t="str">
            <v xml:space="preserve">─ </v>
          </cell>
        </row>
        <row r="153">
          <cell r="B153" t="str">
            <v xml:space="preserve">  유가증권처분이익</v>
          </cell>
          <cell r="C153">
            <v>34</v>
          </cell>
          <cell r="D153">
            <v>1.4850922941181611E-2</v>
          </cell>
          <cell r="F153">
            <v>373</v>
          </cell>
          <cell r="G153">
            <v>0.12735200024582694</v>
          </cell>
          <cell r="H153">
            <v>997.05882352941171</v>
          </cell>
          <cell r="I153">
            <v>280</v>
          </cell>
          <cell r="J153">
            <v>8.5192092956743723E-2</v>
          </cell>
          <cell r="K153">
            <v>-24.932975871313673</v>
          </cell>
          <cell r="L153">
            <v>103</v>
          </cell>
          <cell r="M153">
            <v>2.4678993384592163E-2</v>
          </cell>
          <cell r="N153">
            <v>-63.214285714285708</v>
          </cell>
          <cell r="O153">
            <v>3</v>
          </cell>
          <cell r="P153">
            <v>6.6119782598154811E-4</v>
          </cell>
          <cell r="Q153">
            <v>-97.087378640776706</v>
          </cell>
          <cell r="R153">
            <v>0</v>
          </cell>
          <cell r="S153">
            <v>0</v>
          </cell>
          <cell r="T153">
            <v>-100</v>
          </cell>
          <cell r="U153">
            <v>0</v>
          </cell>
          <cell r="V153">
            <v>0</v>
          </cell>
          <cell r="W153" t="str">
            <v xml:space="preserve">─ </v>
          </cell>
          <cell r="X153">
            <v>0</v>
          </cell>
          <cell r="Y153">
            <v>0</v>
          </cell>
          <cell r="Z153" t="str">
            <v xml:space="preserve">─ </v>
          </cell>
          <cell r="AA153">
            <v>0</v>
          </cell>
          <cell r="AB153">
            <v>0</v>
          </cell>
          <cell r="AC153" t="str">
            <v xml:space="preserve">─ </v>
          </cell>
          <cell r="AD153">
            <v>0</v>
          </cell>
          <cell r="AE153">
            <v>0</v>
          </cell>
          <cell r="AF153" t="str">
            <v xml:space="preserve">─ </v>
          </cell>
          <cell r="AG153">
            <v>0</v>
          </cell>
          <cell r="AH153">
            <v>0</v>
          </cell>
          <cell r="AI153" t="str">
            <v xml:space="preserve">─ </v>
          </cell>
        </row>
        <row r="154">
          <cell r="B154" t="str">
            <v xml:space="preserve">  유가증권평가이익</v>
          </cell>
          <cell r="C154">
            <v>0</v>
          </cell>
          <cell r="D154">
            <v>0</v>
          </cell>
          <cell r="F154">
            <v>11</v>
          </cell>
          <cell r="G154">
            <v>3.755689015292483E-3</v>
          </cell>
          <cell r="H154" t="str">
            <v xml:space="preserve">─ </v>
          </cell>
          <cell r="I154">
            <v>2</v>
          </cell>
          <cell r="J154">
            <v>6.0851494969102655E-4</v>
          </cell>
          <cell r="K154">
            <v>-81.818181818181813</v>
          </cell>
          <cell r="L154">
            <v>2</v>
          </cell>
          <cell r="M154">
            <v>4.7920375504062446E-4</v>
          </cell>
          <cell r="N154">
            <v>0</v>
          </cell>
          <cell r="O154">
            <v>0</v>
          </cell>
          <cell r="P154">
            <v>0</v>
          </cell>
          <cell r="Q154">
            <v>-100</v>
          </cell>
          <cell r="R154">
            <v>0</v>
          </cell>
          <cell r="S154">
            <v>0</v>
          </cell>
          <cell r="T154" t="str">
            <v xml:space="preserve">─ </v>
          </cell>
          <cell r="U154">
            <v>1493</v>
          </cell>
          <cell r="V154">
            <v>0.39423409530800696</v>
          </cell>
          <cell r="W154" t="str">
            <v xml:space="preserve">─ </v>
          </cell>
          <cell r="X154">
            <v>461</v>
          </cell>
          <cell r="Y154">
            <v>0.10843053272085371</v>
          </cell>
          <cell r="Z154">
            <v>-69.122572002679163</v>
          </cell>
          <cell r="AA154">
            <v>228</v>
          </cell>
          <cell r="AB154">
            <v>5.2523549209727911E-2</v>
          </cell>
          <cell r="AC154">
            <v>-50.542299349240785</v>
          </cell>
          <cell r="AD154">
            <v>0</v>
          </cell>
          <cell r="AE154">
            <v>0</v>
          </cell>
          <cell r="AF154">
            <v>-100</v>
          </cell>
          <cell r="AG154">
            <v>0</v>
          </cell>
          <cell r="AH154">
            <v>0</v>
          </cell>
          <cell r="AI154" t="str">
            <v xml:space="preserve">─ </v>
          </cell>
        </row>
        <row r="155">
          <cell r="B155" t="str">
            <v xml:space="preserve">  원가차익</v>
          </cell>
          <cell r="C155">
            <v>0</v>
          </cell>
          <cell r="D155">
            <v>0</v>
          </cell>
          <cell r="F155">
            <v>0</v>
          </cell>
          <cell r="G155">
            <v>0</v>
          </cell>
          <cell r="H155" t="str">
            <v xml:space="preserve">─ </v>
          </cell>
          <cell r="I155">
            <v>0</v>
          </cell>
          <cell r="J155">
            <v>0</v>
          </cell>
          <cell r="K155" t="str">
            <v xml:space="preserve">─ </v>
          </cell>
          <cell r="L155">
            <v>0</v>
          </cell>
          <cell r="M155">
            <v>0</v>
          </cell>
          <cell r="N155" t="str">
            <v xml:space="preserve">─ </v>
          </cell>
          <cell r="O155">
            <v>0</v>
          </cell>
          <cell r="P155">
            <v>0</v>
          </cell>
          <cell r="Q155" t="str">
            <v xml:space="preserve">─ </v>
          </cell>
          <cell r="R155">
            <v>0</v>
          </cell>
          <cell r="S155">
            <v>0</v>
          </cell>
          <cell r="T155" t="str">
            <v xml:space="preserve">─ </v>
          </cell>
          <cell r="U155">
            <v>0</v>
          </cell>
          <cell r="V155">
            <v>0</v>
          </cell>
          <cell r="W155" t="str">
            <v xml:space="preserve">─ </v>
          </cell>
          <cell r="X155">
            <v>0</v>
          </cell>
          <cell r="Y155">
            <v>0</v>
          </cell>
          <cell r="Z155" t="str">
            <v xml:space="preserve">─ </v>
          </cell>
          <cell r="AA155">
            <v>0</v>
          </cell>
          <cell r="AB155">
            <v>0</v>
          </cell>
          <cell r="AC155" t="str">
            <v xml:space="preserve">─ </v>
          </cell>
          <cell r="AD155">
            <v>0</v>
          </cell>
          <cell r="AE155">
            <v>0</v>
          </cell>
          <cell r="AF155" t="str">
            <v xml:space="preserve">─ </v>
          </cell>
          <cell r="AG155">
            <v>0</v>
          </cell>
          <cell r="AH155">
            <v>0</v>
          </cell>
          <cell r="AI155" t="str">
            <v xml:space="preserve">─ </v>
          </cell>
        </row>
        <row r="156">
          <cell r="B156" t="str">
            <v xml:space="preserve">  매입할인</v>
          </cell>
          <cell r="C156">
            <v>0</v>
          </cell>
          <cell r="D156">
            <v>0</v>
          </cell>
          <cell r="F156">
            <v>0</v>
          </cell>
          <cell r="G156">
            <v>0</v>
          </cell>
          <cell r="H156" t="str">
            <v xml:space="preserve">─ </v>
          </cell>
          <cell r="I156">
            <v>0</v>
          </cell>
          <cell r="J156">
            <v>0</v>
          </cell>
          <cell r="K156" t="str">
            <v xml:space="preserve">─ </v>
          </cell>
          <cell r="L156">
            <v>0</v>
          </cell>
          <cell r="M156">
            <v>0</v>
          </cell>
          <cell r="N156" t="str">
            <v xml:space="preserve">─ </v>
          </cell>
          <cell r="O156">
            <v>0</v>
          </cell>
          <cell r="P156">
            <v>0</v>
          </cell>
          <cell r="Q156" t="str">
            <v xml:space="preserve">─ </v>
          </cell>
          <cell r="R156">
            <v>0</v>
          </cell>
          <cell r="S156">
            <v>0</v>
          </cell>
          <cell r="T156" t="str">
            <v xml:space="preserve">─ </v>
          </cell>
          <cell r="U156">
            <v>0</v>
          </cell>
          <cell r="V156">
            <v>0</v>
          </cell>
          <cell r="W156" t="str">
            <v xml:space="preserve">─ </v>
          </cell>
          <cell r="X156">
            <v>0</v>
          </cell>
          <cell r="Y156">
            <v>0</v>
          </cell>
          <cell r="Z156" t="str">
            <v xml:space="preserve">─ </v>
          </cell>
          <cell r="AA156">
            <v>0</v>
          </cell>
          <cell r="AB156">
            <v>0</v>
          </cell>
          <cell r="AC156" t="str">
            <v xml:space="preserve">─ </v>
          </cell>
          <cell r="AD156">
            <v>0</v>
          </cell>
          <cell r="AE156">
            <v>0</v>
          </cell>
          <cell r="AF156" t="str">
            <v xml:space="preserve">─ </v>
          </cell>
          <cell r="AG156">
            <v>0</v>
          </cell>
          <cell r="AH156">
            <v>0</v>
          </cell>
          <cell r="AI156" t="str">
            <v xml:space="preserve">─ </v>
          </cell>
        </row>
        <row r="157">
          <cell r="B157" t="str">
            <v xml:space="preserve">  외환차익</v>
          </cell>
          <cell r="C157">
            <v>75</v>
          </cell>
          <cell r="D157">
            <v>3.2759388840841785E-2</v>
          </cell>
          <cell r="F157">
            <v>644</v>
          </cell>
          <cell r="G157">
            <v>0.21987852053166898</v>
          </cell>
          <cell r="H157">
            <v>758.66666666666663</v>
          </cell>
          <cell r="I157">
            <v>511</v>
          </cell>
          <cell r="J157">
            <v>0.15547556964605727</v>
          </cell>
          <cell r="K157">
            <v>-20.652173913043484</v>
          </cell>
          <cell r="L157">
            <v>429</v>
          </cell>
          <cell r="M157">
            <v>0.10278920545621396</v>
          </cell>
          <cell r="N157">
            <v>-16.046966731898237</v>
          </cell>
          <cell r="O157">
            <v>80</v>
          </cell>
          <cell r="P157">
            <v>1.7631942026174616E-2</v>
          </cell>
          <cell r="Q157">
            <v>-81.351981351981351</v>
          </cell>
          <cell r="R157">
            <v>111</v>
          </cell>
          <cell r="S157">
            <v>2.6058540158323241E-2</v>
          </cell>
          <cell r="T157">
            <v>38.75</v>
          </cell>
          <cell r="U157">
            <v>82</v>
          </cell>
          <cell r="V157">
            <v>2.1652508918457179E-2</v>
          </cell>
          <cell r="W157">
            <v>-26.126126126126124</v>
          </cell>
          <cell r="X157">
            <v>74</v>
          </cell>
          <cell r="Y157">
            <v>1.7405334970375649E-2</v>
          </cell>
          <cell r="Z157">
            <v>-9.7560975609756042</v>
          </cell>
          <cell r="AA157">
            <v>31</v>
          </cell>
          <cell r="AB157">
            <v>7.1413597609717777E-3</v>
          </cell>
          <cell r="AC157">
            <v>-58.108108108108105</v>
          </cell>
          <cell r="AD157">
            <v>1</v>
          </cell>
          <cell r="AE157">
            <v>2.034016898612394E-4</v>
          </cell>
          <cell r="AF157">
            <v>-96.774193548387103</v>
          </cell>
          <cell r="AG157">
            <v>0</v>
          </cell>
          <cell r="AH157">
            <v>0</v>
          </cell>
          <cell r="AI157" t="str">
            <v xml:space="preserve">─ </v>
          </cell>
        </row>
        <row r="158">
          <cell r="B158" t="str">
            <v xml:space="preserve">  외화환산이익</v>
          </cell>
          <cell r="C158">
            <v>0</v>
          </cell>
          <cell r="D158">
            <v>0</v>
          </cell>
          <cell r="F158">
            <v>8</v>
          </cell>
          <cell r="G158">
            <v>2.7314101929399874E-3</v>
          </cell>
          <cell r="H158" t="str">
            <v xml:space="preserve">─ </v>
          </cell>
          <cell r="I158">
            <v>33</v>
          </cell>
          <cell r="J158">
            <v>1.0040496669901937E-2</v>
          </cell>
          <cell r="K158">
            <v>312.5</v>
          </cell>
          <cell r="L158">
            <v>497</v>
          </cell>
          <cell r="M158">
            <v>0.11908213312759519</v>
          </cell>
          <cell r="N158">
            <v>1406.060606060606</v>
          </cell>
          <cell r="O158">
            <v>1879</v>
          </cell>
          <cell r="P158">
            <v>0.41413023833977636</v>
          </cell>
          <cell r="Q158">
            <v>278.06841046277663</v>
          </cell>
          <cell r="R158">
            <v>163</v>
          </cell>
          <cell r="S158">
            <v>3.8266144556817011E-2</v>
          </cell>
          <cell r="T158">
            <v>-91.325172964342741</v>
          </cell>
          <cell r="U158">
            <v>40</v>
          </cell>
          <cell r="V158">
            <v>1.0562199472418135E-2</v>
          </cell>
          <cell r="W158">
            <v>-75.460122699386503</v>
          </cell>
          <cell r="X158">
            <v>93</v>
          </cell>
          <cell r="Y158">
            <v>2.187427232763426E-2</v>
          </cell>
          <cell r="Z158">
            <v>132.50000000000003</v>
          </cell>
          <cell r="AA158">
            <v>39</v>
          </cell>
          <cell r="AB158">
            <v>8.9842913121903015E-3</v>
          </cell>
          <cell r="AC158">
            <v>-58.064516129032256</v>
          </cell>
          <cell r="AD158">
            <v>2</v>
          </cell>
          <cell r="AE158">
            <v>4.0680337972247879E-4</v>
          </cell>
          <cell r="AF158">
            <v>-94.871794871794876</v>
          </cell>
          <cell r="AG158">
            <v>0</v>
          </cell>
          <cell r="AH158">
            <v>0</v>
          </cell>
          <cell r="AI158" t="str">
            <v xml:space="preserve">─ </v>
          </cell>
        </row>
        <row r="159">
          <cell r="B159" t="str">
            <v xml:space="preserve">  지분법평가이익</v>
          </cell>
          <cell r="C159">
            <v>0</v>
          </cell>
          <cell r="D159">
            <v>0</v>
          </cell>
          <cell r="F159">
            <v>0</v>
          </cell>
          <cell r="G159">
            <v>0</v>
          </cell>
          <cell r="H159" t="str">
            <v xml:space="preserve">─ </v>
          </cell>
          <cell r="I159">
            <v>0</v>
          </cell>
          <cell r="J159">
            <v>0</v>
          </cell>
          <cell r="K159" t="str">
            <v xml:space="preserve">─ </v>
          </cell>
          <cell r="L159">
            <v>0</v>
          </cell>
          <cell r="M159">
            <v>0</v>
          </cell>
          <cell r="N159" t="str">
            <v xml:space="preserve">─ </v>
          </cell>
          <cell r="O159">
            <v>0</v>
          </cell>
          <cell r="P159">
            <v>0</v>
          </cell>
          <cell r="Q159" t="str">
            <v xml:space="preserve">─ </v>
          </cell>
          <cell r="R159">
            <v>3668</v>
          </cell>
          <cell r="S159">
            <v>0.86110563333990664</v>
          </cell>
          <cell r="T159" t="str">
            <v xml:space="preserve">─ </v>
          </cell>
          <cell r="U159">
            <v>5536</v>
          </cell>
          <cell r="V159">
            <v>1.46180840698267</v>
          </cell>
          <cell r="W159">
            <v>50.92693565976009</v>
          </cell>
          <cell r="X159">
            <v>724</v>
          </cell>
          <cell r="Y159">
            <v>0.17029003403448609</v>
          </cell>
          <cell r="Z159">
            <v>-86.921965317919074</v>
          </cell>
          <cell r="AA159">
            <v>2347</v>
          </cell>
          <cell r="AB159">
            <v>0.54067004383873429</v>
          </cell>
          <cell r="AC159">
            <v>224.17127071823205</v>
          </cell>
          <cell r="AD159">
            <v>3526</v>
          </cell>
          <cell r="AE159">
            <v>0.71719435845072999</v>
          </cell>
          <cell r="AF159">
            <v>50.234341712824886</v>
          </cell>
          <cell r="AG159">
            <v>1814</v>
          </cell>
          <cell r="AH159">
            <v>1.6585294494121088</v>
          </cell>
          <cell r="AI159">
            <v>162.13872832369941</v>
          </cell>
        </row>
        <row r="160">
          <cell r="B160" t="str">
            <v xml:space="preserve">  투자유가증권감액손실환입</v>
          </cell>
          <cell r="C160">
            <v>0</v>
          </cell>
          <cell r="D160">
            <v>0</v>
          </cell>
          <cell r="F160">
            <v>0</v>
          </cell>
          <cell r="G160">
            <v>0</v>
          </cell>
          <cell r="H160" t="str">
            <v xml:space="preserve">─ </v>
          </cell>
          <cell r="I160">
            <v>0</v>
          </cell>
          <cell r="J160">
            <v>0</v>
          </cell>
          <cell r="K160" t="str">
            <v xml:space="preserve">─ </v>
          </cell>
          <cell r="L160">
            <v>0</v>
          </cell>
          <cell r="M160">
            <v>0</v>
          </cell>
          <cell r="N160" t="str">
            <v xml:space="preserve">─ </v>
          </cell>
          <cell r="O160">
            <v>0</v>
          </cell>
          <cell r="P160">
            <v>0</v>
          </cell>
          <cell r="Q160" t="str">
            <v xml:space="preserve">─ </v>
          </cell>
          <cell r="R160">
            <v>0</v>
          </cell>
          <cell r="S160">
            <v>0</v>
          </cell>
          <cell r="T160" t="str">
            <v xml:space="preserve">─ </v>
          </cell>
          <cell r="U160">
            <v>0</v>
          </cell>
          <cell r="V160">
            <v>0</v>
          </cell>
          <cell r="W160" t="str">
            <v xml:space="preserve">─ </v>
          </cell>
          <cell r="X160">
            <v>552</v>
          </cell>
          <cell r="Y160">
            <v>0.12983439058982918</v>
          </cell>
          <cell r="Z160" t="str">
            <v xml:space="preserve">─ </v>
          </cell>
          <cell r="AA160">
            <v>87</v>
          </cell>
          <cell r="AB160">
            <v>2.0041880619501441E-2</v>
          </cell>
          <cell r="AC160">
            <v>-84.239130434782609</v>
          </cell>
          <cell r="AD160">
            <v>0</v>
          </cell>
          <cell r="AE160">
            <v>0</v>
          </cell>
          <cell r="AF160">
            <v>-100</v>
          </cell>
          <cell r="AG160">
            <v>0</v>
          </cell>
          <cell r="AH160">
            <v>0</v>
          </cell>
          <cell r="AI160" t="str">
            <v xml:space="preserve">─ </v>
          </cell>
        </row>
        <row r="161">
          <cell r="B161" t="str">
            <v xml:space="preserve">  선물거래이익</v>
          </cell>
          <cell r="C161">
            <v>0</v>
          </cell>
          <cell r="D161">
            <v>0</v>
          </cell>
          <cell r="F161">
            <v>0</v>
          </cell>
          <cell r="G161">
            <v>0</v>
          </cell>
          <cell r="H161" t="str">
            <v xml:space="preserve">─ </v>
          </cell>
          <cell r="I161">
            <v>0</v>
          </cell>
          <cell r="J161">
            <v>0</v>
          </cell>
          <cell r="K161" t="str">
            <v xml:space="preserve">─ </v>
          </cell>
          <cell r="L161">
            <v>0</v>
          </cell>
          <cell r="M161">
            <v>0</v>
          </cell>
          <cell r="N161" t="str">
            <v xml:space="preserve">─ </v>
          </cell>
          <cell r="O161">
            <v>0</v>
          </cell>
          <cell r="P161">
            <v>0</v>
          </cell>
          <cell r="Q161" t="str">
            <v xml:space="preserve">─ </v>
          </cell>
          <cell r="R161">
            <v>0</v>
          </cell>
          <cell r="S161">
            <v>0</v>
          </cell>
          <cell r="T161" t="str">
            <v xml:space="preserve">─ </v>
          </cell>
          <cell r="U161">
            <v>0</v>
          </cell>
          <cell r="V161">
            <v>0</v>
          </cell>
          <cell r="W161" t="str">
            <v xml:space="preserve">─ </v>
          </cell>
          <cell r="X161">
            <v>0</v>
          </cell>
          <cell r="Y161">
            <v>0</v>
          </cell>
          <cell r="Z161" t="str">
            <v xml:space="preserve">─ </v>
          </cell>
          <cell r="AA161">
            <v>0</v>
          </cell>
          <cell r="AB161">
            <v>0</v>
          </cell>
          <cell r="AC161" t="str">
            <v xml:space="preserve">─ </v>
          </cell>
          <cell r="AD161">
            <v>0</v>
          </cell>
          <cell r="AE161">
            <v>0</v>
          </cell>
          <cell r="AF161" t="str">
            <v xml:space="preserve">─ </v>
          </cell>
          <cell r="AG161">
            <v>0</v>
          </cell>
          <cell r="AH161">
            <v>0</v>
          </cell>
          <cell r="AI161" t="str">
            <v xml:space="preserve">─ </v>
          </cell>
        </row>
        <row r="162">
          <cell r="B162" t="str">
            <v xml:space="preserve">  선물거래대환입</v>
          </cell>
          <cell r="C162">
            <v>0</v>
          </cell>
          <cell r="D162">
            <v>0</v>
          </cell>
          <cell r="F162">
            <v>0</v>
          </cell>
          <cell r="G162">
            <v>0</v>
          </cell>
          <cell r="H162" t="str">
            <v xml:space="preserve">─ </v>
          </cell>
          <cell r="I162">
            <v>0</v>
          </cell>
          <cell r="J162">
            <v>0</v>
          </cell>
          <cell r="K162" t="str">
            <v xml:space="preserve">─ </v>
          </cell>
          <cell r="L162">
            <v>0</v>
          </cell>
          <cell r="M162">
            <v>0</v>
          </cell>
          <cell r="N162" t="str">
            <v xml:space="preserve">─ </v>
          </cell>
          <cell r="O162">
            <v>0</v>
          </cell>
          <cell r="P162">
            <v>0</v>
          </cell>
          <cell r="Q162" t="str">
            <v xml:space="preserve">─ </v>
          </cell>
          <cell r="R162">
            <v>0</v>
          </cell>
          <cell r="S162">
            <v>0</v>
          </cell>
          <cell r="T162" t="str">
            <v xml:space="preserve">─ </v>
          </cell>
          <cell r="U162">
            <v>0</v>
          </cell>
          <cell r="V162">
            <v>0</v>
          </cell>
          <cell r="W162" t="str">
            <v xml:space="preserve">─ </v>
          </cell>
          <cell r="X162">
            <v>0</v>
          </cell>
          <cell r="Y162">
            <v>0</v>
          </cell>
          <cell r="Z162" t="str">
            <v xml:space="preserve">─ </v>
          </cell>
          <cell r="AA162">
            <v>0</v>
          </cell>
          <cell r="AB162">
            <v>0</v>
          </cell>
          <cell r="AC162" t="str">
            <v xml:space="preserve">─ </v>
          </cell>
          <cell r="AD162">
            <v>0</v>
          </cell>
          <cell r="AE162">
            <v>0</v>
          </cell>
          <cell r="AF162" t="str">
            <v xml:space="preserve">─ </v>
          </cell>
          <cell r="AG162">
            <v>0</v>
          </cell>
          <cell r="AH162">
            <v>0</v>
          </cell>
          <cell r="AI162" t="str">
            <v xml:space="preserve">─ </v>
          </cell>
        </row>
        <row r="163">
          <cell r="B163" t="str">
            <v xml:space="preserve">  대손충당금환입</v>
          </cell>
          <cell r="C163">
            <v>0</v>
          </cell>
          <cell r="D163">
            <v>0</v>
          </cell>
          <cell r="F163">
            <v>0</v>
          </cell>
          <cell r="G163">
            <v>0</v>
          </cell>
          <cell r="H163" t="str">
            <v xml:space="preserve">─ </v>
          </cell>
          <cell r="I163">
            <v>0</v>
          </cell>
          <cell r="J163">
            <v>0</v>
          </cell>
          <cell r="K163" t="str">
            <v xml:space="preserve">─ </v>
          </cell>
          <cell r="L163">
            <v>0</v>
          </cell>
          <cell r="M163">
            <v>0</v>
          </cell>
          <cell r="N163" t="str">
            <v xml:space="preserve">─ </v>
          </cell>
          <cell r="O163">
            <v>0</v>
          </cell>
          <cell r="P163">
            <v>0</v>
          </cell>
          <cell r="Q163" t="str">
            <v xml:space="preserve">─ </v>
          </cell>
          <cell r="R163">
            <v>0</v>
          </cell>
          <cell r="S163">
            <v>0</v>
          </cell>
          <cell r="T163" t="str">
            <v xml:space="preserve">─ </v>
          </cell>
          <cell r="U163">
            <v>0</v>
          </cell>
          <cell r="V163">
            <v>0</v>
          </cell>
          <cell r="W163" t="str">
            <v xml:space="preserve">─ </v>
          </cell>
          <cell r="X163">
            <v>0</v>
          </cell>
          <cell r="Y163">
            <v>0</v>
          </cell>
          <cell r="Z163" t="str">
            <v xml:space="preserve">─ </v>
          </cell>
          <cell r="AA163">
            <v>0</v>
          </cell>
          <cell r="AB163">
            <v>0</v>
          </cell>
          <cell r="AC163" t="str">
            <v xml:space="preserve">─ </v>
          </cell>
          <cell r="AD163">
            <v>0</v>
          </cell>
          <cell r="AE163">
            <v>0</v>
          </cell>
          <cell r="AF163" t="str">
            <v xml:space="preserve">─ </v>
          </cell>
          <cell r="AG163">
            <v>0</v>
          </cell>
          <cell r="AH163">
            <v>0</v>
          </cell>
          <cell r="AI163" t="str">
            <v xml:space="preserve">─ </v>
          </cell>
        </row>
        <row r="164">
          <cell r="B164" t="str">
            <v xml:space="preserve">  투자자산처분이익</v>
          </cell>
          <cell r="C164">
            <v>0</v>
          </cell>
          <cell r="D164">
            <v>0</v>
          </cell>
          <cell r="F164">
            <v>0</v>
          </cell>
          <cell r="G164">
            <v>0</v>
          </cell>
          <cell r="H164" t="str">
            <v xml:space="preserve">─ </v>
          </cell>
          <cell r="I164">
            <v>0</v>
          </cell>
          <cell r="J164">
            <v>0</v>
          </cell>
          <cell r="K164" t="str">
            <v xml:space="preserve">─ </v>
          </cell>
          <cell r="L164">
            <v>0</v>
          </cell>
          <cell r="M164">
            <v>0</v>
          </cell>
          <cell r="N164" t="str">
            <v xml:space="preserve">─ </v>
          </cell>
          <cell r="O164">
            <v>30</v>
          </cell>
          <cell r="P164">
            <v>6.6119782598154818E-3</v>
          </cell>
          <cell r="Q164" t="str">
            <v xml:space="preserve">─ </v>
          </cell>
          <cell r="R164">
            <v>59</v>
          </cell>
          <cell r="S164">
            <v>1.3850935759829468E-2</v>
          </cell>
          <cell r="T164">
            <v>96.666666666666657</v>
          </cell>
          <cell r="U164">
            <v>0</v>
          </cell>
          <cell r="V164">
            <v>0</v>
          </cell>
          <cell r="W164">
            <v>-100</v>
          </cell>
          <cell r="X164">
            <v>627</v>
          </cell>
          <cell r="Y164">
            <v>0.14747493278953422</v>
          </cell>
          <cell r="Z164" t="str">
            <v xml:space="preserve">─ </v>
          </cell>
          <cell r="AA164">
            <v>268</v>
          </cell>
          <cell r="AB164">
            <v>6.1738206965820532E-2</v>
          </cell>
          <cell r="AC164">
            <v>-57.256778309409889</v>
          </cell>
          <cell r="AD164">
            <v>0</v>
          </cell>
          <cell r="AE164">
            <v>0</v>
          </cell>
          <cell r="AF164">
            <v>-100</v>
          </cell>
          <cell r="AG164">
            <v>144</v>
          </cell>
          <cell r="AH164">
            <v>0.13165834659059741</v>
          </cell>
          <cell r="AI164" t="str">
            <v xml:space="preserve">─ </v>
          </cell>
        </row>
        <row r="165">
          <cell r="B165" t="str">
            <v xml:space="preserve">  유형자산처분이익</v>
          </cell>
          <cell r="C165">
            <v>0</v>
          </cell>
          <cell r="D165">
            <v>0</v>
          </cell>
          <cell r="F165">
            <v>0</v>
          </cell>
          <cell r="G165">
            <v>0</v>
          </cell>
          <cell r="H165" t="str">
            <v xml:space="preserve">─ </v>
          </cell>
          <cell r="I165">
            <v>0</v>
          </cell>
          <cell r="J165">
            <v>0</v>
          </cell>
          <cell r="K165" t="str">
            <v xml:space="preserve">─ </v>
          </cell>
          <cell r="L165">
            <v>1488</v>
          </cell>
          <cell r="M165">
            <v>0.35652759375022464</v>
          </cell>
          <cell r="N165" t="str">
            <v xml:space="preserve">─ </v>
          </cell>
          <cell r="O165">
            <v>1245</v>
          </cell>
          <cell r="P165">
            <v>0.27439709778234245</v>
          </cell>
          <cell r="Q165">
            <v>-16.33064516129032</v>
          </cell>
          <cell r="R165">
            <v>41</v>
          </cell>
          <cell r="S165">
            <v>9.6252265449662412E-3</v>
          </cell>
          <cell r="T165">
            <v>-96.706827309236942</v>
          </cell>
          <cell r="U165">
            <v>21</v>
          </cell>
          <cell r="V165">
            <v>5.545154723019521E-3</v>
          </cell>
          <cell r="W165">
            <v>-48.780487804878049</v>
          </cell>
          <cell r="X165">
            <v>80</v>
          </cell>
          <cell r="Y165">
            <v>1.8816578346352052E-2</v>
          </cell>
          <cell r="Z165">
            <v>280.95238095238091</v>
          </cell>
          <cell r="AA165">
            <v>648</v>
          </cell>
          <cell r="AB165">
            <v>0.1492774556487004</v>
          </cell>
          <cell r="AC165">
            <v>710</v>
          </cell>
          <cell r="AD165">
            <v>1125</v>
          </cell>
          <cell r="AE165">
            <v>0.22882690109389428</v>
          </cell>
          <cell r="AF165">
            <v>73.611111111111114</v>
          </cell>
          <cell r="AG165">
            <v>0</v>
          </cell>
          <cell r="AH165">
            <v>0</v>
          </cell>
          <cell r="AI165">
            <v>-100</v>
          </cell>
        </row>
        <row r="166">
          <cell r="B166" t="str">
            <v xml:space="preserve">  상각채권추심이익</v>
          </cell>
          <cell r="C166">
            <v>0</v>
          </cell>
          <cell r="D166">
            <v>0</v>
          </cell>
          <cell r="F166">
            <v>0</v>
          </cell>
          <cell r="G166">
            <v>0</v>
          </cell>
          <cell r="H166" t="str">
            <v xml:space="preserve">─ </v>
          </cell>
          <cell r="I166">
            <v>0</v>
          </cell>
          <cell r="J166">
            <v>0</v>
          </cell>
          <cell r="K166" t="str">
            <v xml:space="preserve">─ </v>
          </cell>
          <cell r="L166">
            <v>0</v>
          </cell>
          <cell r="M166">
            <v>0</v>
          </cell>
          <cell r="N166" t="str">
            <v xml:space="preserve">─ </v>
          </cell>
          <cell r="O166">
            <v>0</v>
          </cell>
          <cell r="P166">
            <v>0</v>
          </cell>
          <cell r="Q166" t="str">
            <v xml:space="preserve">─ </v>
          </cell>
          <cell r="R166">
            <v>0</v>
          </cell>
          <cell r="S166">
            <v>0</v>
          </cell>
          <cell r="T166" t="str">
            <v xml:space="preserve">─ </v>
          </cell>
          <cell r="U166">
            <v>0</v>
          </cell>
          <cell r="V166">
            <v>0</v>
          </cell>
          <cell r="W166" t="str">
            <v xml:space="preserve">─ </v>
          </cell>
          <cell r="X166">
            <v>0</v>
          </cell>
          <cell r="Y166">
            <v>0</v>
          </cell>
          <cell r="Z166" t="str">
            <v xml:space="preserve">─ </v>
          </cell>
          <cell r="AA166">
            <v>0</v>
          </cell>
          <cell r="AB166">
            <v>0</v>
          </cell>
          <cell r="AC166" t="str">
            <v xml:space="preserve">─ </v>
          </cell>
          <cell r="AD166">
            <v>0</v>
          </cell>
          <cell r="AE166">
            <v>0</v>
          </cell>
          <cell r="AF166" t="str">
            <v xml:space="preserve">─ </v>
          </cell>
          <cell r="AG166">
            <v>0</v>
          </cell>
          <cell r="AH166">
            <v>0</v>
          </cell>
          <cell r="AI166" t="str">
            <v xml:space="preserve">─ </v>
          </cell>
        </row>
        <row r="167">
          <cell r="B167" t="str">
            <v xml:space="preserve">  사채상환이익</v>
          </cell>
          <cell r="C167">
            <v>0</v>
          </cell>
          <cell r="D167">
            <v>0</v>
          </cell>
          <cell r="F167">
            <v>0</v>
          </cell>
          <cell r="G167">
            <v>0</v>
          </cell>
          <cell r="H167" t="str">
            <v xml:space="preserve">─ </v>
          </cell>
          <cell r="I167">
            <v>0</v>
          </cell>
          <cell r="J167">
            <v>0</v>
          </cell>
          <cell r="K167" t="str">
            <v xml:space="preserve">─ </v>
          </cell>
          <cell r="L167">
            <v>0</v>
          </cell>
          <cell r="M167">
            <v>0</v>
          </cell>
          <cell r="N167" t="str">
            <v xml:space="preserve">─ </v>
          </cell>
          <cell r="O167">
            <v>0</v>
          </cell>
          <cell r="P167">
            <v>0</v>
          </cell>
          <cell r="Q167" t="str">
            <v xml:space="preserve">─ </v>
          </cell>
          <cell r="R167">
            <v>0</v>
          </cell>
          <cell r="S167">
            <v>0</v>
          </cell>
          <cell r="T167" t="str">
            <v xml:space="preserve">─ </v>
          </cell>
          <cell r="U167">
            <v>0</v>
          </cell>
          <cell r="V167">
            <v>0</v>
          </cell>
          <cell r="W167" t="str">
            <v xml:space="preserve">─ </v>
          </cell>
          <cell r="X167">
            <v>0</v>
          </cell>
          <cell r="Y167">
            <v>0</v>
          </cell>
          <cell r="Z167" t="str">
            <v xml:space="preserve">─ </v>
          </cell>
          <cell r="AA167">
            <v>0</v>
          </cell>
          <cell r="AB167">
            <v>0</v>
          </cell>
          <cell r="AC167" t="str">
            <v xml:space="preserve">─ </v>
          </cell>
          <cell r="AD167">
            <v>0</v>
          </cell>
          <cell r="AE167">
            <v>0</v>
          </cell>
          <cell r="AF167" t="str">
            <v xml:space="preserve">─ </v>
          </cell>
          <cell r="AG167">
            <v>0</v>
          </cell>
          <cell r="AH167">
            <v>0</v>
          </cell>
          <cell r="AI167" t="str">
            <v xml:space="preserve">─ </v>
          </cell>
        </row>
        <row r="168">
          <cell r="B168" t="str">
            <v xml:space="preserve">  법인세환급액</v>
          </cell>
          <cell r="C168">
            <v>0</v>
          </cell>
          <cell r="D168">
            <v>0</v>
          </cell>
          <cell r="F168">
            <v>0</v>
          </cell>
          <cell r="G168">
            <v>0</v>
          </cell>
          <cell r="H168" t="str">
            <v xml:space="preserve">─ </v>
          </cell>
          <cell r="I168">
            <v>0</v>
          </cell>
          <cell r="J168">
            <v>0</v>
          </cell>
          <cell r="K168" t="str">
            <v xml:space="preserve">─ </v>
          </cell>
          <cell r="L168">
            <v>0</v>
          </cell>
          <cell r="M168">
            <v>0</v>
          </cell>
          <cell r="N168" t="str">
            <v xml:space="preserve">─ </v>
          </cell>
          <cell r="O168">
            <v>0</v>
          </cell>
          <cell r="P168">
            <v>0</v>
          </cell>
          <cell r="Q168" t="str">
            <v xml:space="preserve">─ </v>
          </cell>
          <cell r="R168">
            <v>0</v>
          </cell>
          <cell r="S168">
            <v>0</v>
          </cell>
          <cell r="T168" t="str">
            <v xml:space="preserve">─ </v>
          </cell>
          <cell r="U168">
            <v>0</v>
          </cell>
          <cell r="V168">
            <v>0</v>
          </cell>
          <cell r="W168" t="str">
            <v xml:space="preserve">─ </v>
          </cell>
          <cell r="X168">
            <v>0</v>
          </cell>
          <cell r="Y168">
            <v>0</v>
          </cell>
          <cell r="Z168" t="str">
            <v xml:space="preserve">─ </v>
          </cell>
          <cell r="AA168">
            <v>1505</v>
          </cell>
          <cell r="AB168">
            <v>0.34670149807298467</v>
          </cell>
          <cell r="AC168" t="str">
            <v xml:space="preserve">─ </v>
          </cell>
          <cell r="AD168">
            <v>12</v>
          </cell>
          <cell r="AE168">
            <v>2.4408202783348723E-3</v>
          </cell>
          <cell r="AF168">
            <v>-99.202657807308967</v>
          </cell>
          <cell r="AG168">
            <v>0</v>
          </cell>
          <cell r="AH168">
            <v>0</v>
          </cell>
          <cell r="AI168" t="str">
            <v xml:space="preserve">─ </v>
          </cell>
        </row>
        <row r="169">
          <cell r="B169" t="str">
            <v xml:space="preserve">  수입수수료</v>
          </cell>
          <cell r="C169">
            <v>0</v>
          </cell>
          <cell r="D169">
            <v>0</v>
          </cell>
          <cell r="F169">
            <v>0</v>
          </cell>
          <cell r="G169">
            <v>0</v>
          </cell>
          <cell r="H169" t="str">
            <v xml:space="preserve">─ </v>
          </cell>
          <cell r="I169">
            <v>0</v>
          </cell>
          <cell r="J169">
            <v>0</v>
          </cell>
          <cell r="K169" t="str">
            <v xml:space="preserve">─ </v>
          </cell>
          <cell r="L169">
            <v>0</v>
          </cell>
          <cell r="M169">
            <v>0</v>
          </cell>
          <cell r="N169" t="str">
            <v xml:space="preserve">─ </v>
          </cell>
          <cell r="O169">
            <v>0</v>
          </cell>
          <cell r="P169">
            <v>0</v>
          </cell>
          <cell r="Q169" t="str">
            <v xml:space="preserve">─ </v>
          </cell>
          <cell r="R169">
            <v>0</v>
          </cell>
          <cell r="S169">
            <v>0</v>
          </cell>
          <cell r="T169" t="str">
            <v xml:space="preserve">─ </v>
          </cell>
          <cell r="U169">
            <v>0</v>
          </cell>
          <cell r="V169">
            <v>0</v>
          </cell>
          <cell r="W169" t="str">
            <v xml:space="preserve">─ </v>
          </cell>
          <cell r="X169">
            <v>0</v>
          </cell>
          <cell r="Y169">
            <v>0</v>
          </cell>
          <cell r="Z169" t="str">
            <v xml:space="preserve">─ </v>
          </cell>
          <cell r="AA169">
            <v>0</v>
          </cell>
          <cell r="AB169">
            <v>0</v>
          </cell>
          <cell r="AC169" t="str">
            <v xml:space="preserve">─ </v>
          </cell>
          <cell r="AD169">
            <v>0</v>
          </cell>
          <cell r="AE169">
            <v>0</v>
          </cell>
          <cell r="AF169" t="str">
            <v xml:space="preserve">─ </v>
          </cell>
          <cell r="AG169">
            <v>0</v>
          </cell>
          <cell r="AH169">
            <v>0</v>
          </cell>
          <cell r="AI169" t="str">
            <v xml:space="preserve">─ </v>
          </cell>
        </row>
        <row r="170">
          <cell r="B170" t="str">
            <v xml:space="preserve">  잡이익</v>
          </cell>
          <cell r="C170">
            <v>1961</v>
          </cell>
          <cell r="D170">
            <v>0.85654882022520984</v>
          </cell>
          <cell r="F170">
            <v>2065</v>
          </cell>
          <cell r="G170">
            <v>0.70504525605263424</v>
          </cell>
          <cell r="H170">
            <v>5.3034166241713336</v>
          </cell>
          <cell r="I170">
            <v>1693</v>
          </cell>
          <cell r="J170">
            <v>0.51510790491345393</v>
          </cell>
          <cell r="K170">
            <v>-18.014527845036326</v>
          </cell>
          <cell r="L170">
            <v>2585</v>
          </cell>
          <cell r="M170">
            <v>0.61937085339000719</v>
          </cell>
          <cell r="N170">
            <v>52.687536916715885</v>
          </cell>
          <cell r="O170">
            <v>2131</v>
          </cell>
          <cell r="P170">
            <v>0.46967085572222639</v>
          </cell>
          <cell r="Q170">
            <v>-17.562862669245646</v>
          </cell>
          <cell r="R170">
            <v>1912</v>
          </cell>
          <cell r="S170">
            <v>0.44886422326769393</v>
          </cell>
          <cell r="T170">
            <v>-10.276865321445328</v>
          </cell>
          <cell r="U170">
            <v>1323</v>
          </cell>
          <cell r="V170">
            <v>0.34934474755022987</v>
          </cell>
          <cell r="W170">
            <v>-30.805439330543933</v>
          </cell>
          <cell r="X170">
            <v>1197</v>
          </cell>
          <cell r="Y170">
            <v>0.28154305350729258</v>
          </cell>
          <cell r="Z170">
            <v>-9.5238095238095184</v>
          </cell>
          <cell r="AA170">
            <v>0</v>
          </cell>
          <cell r="AB170">
            <v>0</v>
          </cell>
          <cell r="AC170">
            <v>-100</v>
          </cell>
          <cell r="AD170">
            <v>0</v>
          </cell>
          <cell r="AE170">
            <v>0</v>
          </cell>
          <cell r="AF170" t="str">
            <v xml:space="preserve">─ </v>
          </cell>
          <cell r="AG170">
            <v>0</v>
          </cell>
          <cell r="AH170">
            <v>0</v>
          </cell>
          <cell r="AI170" t="str">
            <v xml:space="preserve">─ </v>
          </cell>
        </row>
        <row r="171">
          <cell r="B171" t="str">
            <v xml:space="preserve">  환율조정대환입</v>
          </cell>
          <cell r="C171">
            <v>0</v>
          </cell>
          <cell r="D171">
            <v>0</v>
          </cell>
          <cell r="F171">
            <v>0</v>
          </cell>
          <cell r="G171">
            <v>0</v>
          </cell>
          <cell r="H171" t="str">
            <v xml:space="preserve">─ </v>
          </cell>
          <cell r="I171">
            <v>0</v>
          </cell>
          <cell r="J171">
            <v>0</v>
          </cell>
          <cell r="K171" t="str">
            <v xml:space="preserve">─ </v>
          </cell>
          <cell r="L171">
            <v>0</v>
          </cell>
          <cell r="M171">
            <v>0</v>
          </cell>
          <cell r="N171" t="str">
            <v xml:space="preserve">─ </v>
          </cell>
          <cell r="O171">
            <v>0</v>
          </cell>
          <cell r="P171">
            <v>0</v>
          </cell>
          <cell r="Q171" t="str">
            <v xml:space="preserve">─ </v>
          </cell>
          <cell r="R171">
            <v>0</v>
          </cell>
          <cell r="S171">
            <v>0</v>
          </cell>
          <cell r="T171" t="str">
            <v xml:space="preserve">─ </v>
          </cell>
          <cell r="U171">
            <v>0</v>
          </cell>
          <cell r="V171">
            <v>0</v>
          </cell>
          <cell r="W171" t="str">
            <v xml:space="preserve">─ </v>
          </cell>
          <cell r="X171">
            <v>0</v>
          </cell>
          <cell r="Y171">
            <v>0</v>
          </cell>
          <cell r="Z171" t="str">
            <v xml:space="preserve">─ </v>
          </cell>
          <cell r="AA171">
            <v>0</v>
          </cell>
          <cell r="AB171">
            <v>0</v>
          </cell>
          <cell r="AC171" t="str">
            <v xml:space="preserve">─ </v>
          </cell>
          <cell r="AD171">
            <v>0</v>
          </cell>
          <cell r="AE171">
            <v>0</v>
          </cell>
          <cell r="AF171" t="str">
            <v xml:space="preserve">─ </v>
          </cell>
          <cell r="AG171">
            <v>0</v>
          </cell>
          <cell r="AH171">
            <v>0</v>
          </cell>
          <cell r="AI171" t="str">
            <v xml:space="preserve">─ </v>
          </cell>
        </row>
        <row r="172">
          <cell r="B172" t="str">
            <v xml:space="preserve">  파생상품평가이익</v>
          </cell>
          <cell r="C172">
            <v>0</v>
          </cell>
          <cell r="D172">
            <v>0</v>
          </cell>
          <cell r="F172">
            <v>0</v>
          </cell>
          <cell r="G172">
            <v>0</v>
          </cell>
          <cell r="H172" t="str">
            <v xml:space="preserve">─ </v>
          </cell>
          <cell r="I172">
            <v>0</v>
          </cell>
          <cell r="J172">
            <v>0</v>
          </cell>
          <cell r="K172" t="str">
            <v xml:space="preserve">─ </v>
          </cell>
          <cell r="L172">
            <v>0</v>
          </cell>
          <cell r="M172">
            <v>0</v>
          </cell>
          <cell r="N172" t="str">
            <v xml:space="preserve">─ </v>
          </cell>
          <cell r="O172">
            <v>0</v>
          </cell>
          <cell r="P172">
            <v>0</v>
          </cell>
          <cell r="Q172" t="str">
            <v xml:space="preserve">─ </v>
          </cell>
          <cell r="R172">
            <v>0</v>
          </cell>
          <cell r="S172">
            <v>0</v>
          </cell>
          <cell r="T172" t="str">
            <v xml:space="preserve">─ </v>
          </cell>
          <cell r="U172">
            <v>0</v>
          </cell>
          <cell r="V172">
            <v>0</v>
          </cell>
          <cell r="W172" t="str">
            <v xml:space="preserve">─ </v>
          </cell>
          <cell r="X172">
            <v>0</v>
          </cell>
          <cell r="Y172">
            <v>0</v>
          </cell>
          <cell r="Z172" t="str">
            <v xml:space="preserve">─ </v>
          </cell>
          <cell r="AA172">
            <v>0</v>
          </cell>
          <cell r="AB172">
            <v>0</v>
          </cell>
          <cell r="AC172" t="str">
            <v xml:space="preserve">─ </v>
          </cell>
          <cell r="AD172">
            <v>0</v>
          </cell>
          <cell r="AE172">
            <v>0</v>
          </cell>
          <cell r="AF172" t="str">
            <v xml:space="preserve">─ </v>
          </cell>
          <cell r="AG172">
            <v>0</v>
          </cell>
          <cell r="AH172">
            <v>0</v>
          </cell>
          <cell r="AI172" t="str">
            <v xml:space="preserve">─ </v>
          </cell>
        </row>
        <row r="173">
          <cell r="B173" t="str">
            <v xml:space="preserve">  파생상품거래이익</v>
          </cell>
          <cell r="C173">
            <v>0</v>
          </cell>
          <cell r="D173">
            <v>0</v>
          </cell>
          <cell r="F173">
            <v>0</v>
          </cell>
          <cell r="G173">
            <v>0</v>
          </cell>
          <cell r="H173" t="str">
            <v xml:space="preserve">─ </v>
          </cell>
          <cell r="I173">
            <v>0</v>
          </cell>
          <cell r="J173">
            <v>0</v>
          </cell>
          <cell r="K173" t="str">
            <v xml:space="preserve">─ </v>
          </cell>
          <cell r="L173">
            <v>0</v>
          </cell>
          <cell r="M173">
            <v>0</v>
          </cell>
          <cell r="N173" t="str">
            <v xml:space="preserve">─ </v>
          </cell>
          <cell r="O173">
            <v>0</v>
          </cell>
          <cell r="P173">
            <v>0</v>
          </cell>
          <cell r="Q173" t="str">
            <v xml:space="preserve">─ </v>
          </cell>
          <cell r="R173">
            <v>0</v>
          </cell>
          <cell r="S173">
            <v>0</v>
          </cell>
          <cell r="T173" t="str">
            <v xml:space="preserve">─ </v>
          </cell>
          <cell r="U173">
            <v>0</v>
          </cell>
          <cell r="V173">
            <v>0</v>
          </cell>
          <cell r="W173" t="str">
            <v xml:space="preserve">─ </v>
          </cell>
          <cell r="X173">
            <v>0</v>
          </cell>
          <cell r="Y173">
            <v>0</v>
          </cell>
          <cell r="Z173" t="str">
            <v xml:space="preserve">─ </v>
          </cell>
          <cell r="AA173">
            <v>0</v>
          </cell>
          <cell r="AB173">
            <v>0</v>
          </cell>
          <cell r="AC173" t="str">
            <v xml:space="preserve">─ </v>
          </cell>
          <cell r="AD173">
            <v>0</v>
          </cell>
          <cell r="AE173">
            <v>0</v>
          </cell>
          <cell r="AF173" t="str">
            <v xml:space="preserve">─ </v>
          </cell>
          <cell r="AG173">
            <v>0</v>
          </cell>
          <cell r="AH173">
            <v>0</v>
          </cell>
          <cell r="AI173" t="str">
            <v xml:space="preserve">─ </v>
          </cell>
        </row>
        <row r="174">
          <cell r="B174" t="str">
            <v xml:space="preserve">  파생상품거래대환입</v>
          </cell>
          <cell r="C174">
            <v>0</v>
          </cell>
          <cell r="D174">
            <v>0</v>
          </cell>
          <cell r="F174">
            <v>0</v>
          </cell>
          <cell r="G174">
            <v>0</v>
          </cell>
          <cell r="H174" t="str">
            <v xml:space="preserve">─ </v>
          </cell>
          <cell r="I174">
            <v>0</v>
          </cell>
          <cell r="J174">
            <v>0</v>
          </cell>
          <cell r="K174" t="str">
            <v xml:space="preserve">─ </v>
          </cell>
          <cell r="L174">
            <v>0</v>
          </cell>
          <cell r="M174">
            <v>0</v>
          </cell>
          <cell r="N174" t="str">
            <v xml:space="preserve">─ </v>
          </cell>
          <cell r="O174">
            <v>0</v>
          </cell>
          <cell r="P174">
            <v>0</v>
          </cell>
          <cell r="Q174" t="str">
            <v xml:space="preserve">─ </v>
          </cell>
          <cell r="R174">
            <v>0</v>
          </cell>
          <cell r="S174">
            <v>0</v>
          </cell>
          <cell r="T174" t="str">
            <v xml:space="preserve">─ </v>
          </cell>
          <cell r="U174">
            <v>0</v>
          </cell>
          <cell r="V174">
            <v>0</v>
          </cell>
          <cell r="W174" t="str">
            <v xml:space="preserve">─ </v>
          </cell>
          <cell r="X174">
            <v>0</v>
          </cell>
          <cell r="Y174">
            <v>0</v>
          </cell>
          <cell r="Z174" t="str">
            <v xml:space="preserve">─ </v>
          </cell>
          <cell r="AA174">
            <v>0</v>
          </cell>
          <cell r="AB174">
            <v>0</v>
          </cell>
          <cell r="AC174" t="str">
            <v xml:space="preserve">─ </v>
          </cell>
          <cell r="AD174">
            <v>0</v>
          </cell>
          <cell r="AE174">
            <v>0</v>
          </cell>
          <cell r="AF174" t="str">
            <v xml:space="preserve">─ </v>
          </cell>
          <cell r="AG174">
            <v>0</v>
          </cell>
          <cell r="AH174">
            <v>0</v>
          </cell>
          <cell r="AI174" t="str">
            <v xml:space="preserve">─ </v>
          </cell>
        </row>
        <row r="175">
          <cell r="B175" t="str">
            <v xml:space="preserve">  기타</v>
          </cell>
          <cell r="C175">
            <v>0</v>
          </cell>
          <cell r="D175">
            <v>0</v>
          </cell>
          <cell r="F175">
            <v>0</v>
          </cell>
          <cell r="G175">
            <v>0</v>
          </cell>
          <cell r="H175" t="str">
            <v xml:space="preserve">─ </v>
          </cell>
          <cell r="I175">
            <v>0</v>
          </cell>
          <cell r="J175">
            <v>0</v>
          </cell>
          <cell r="K175" t="str">
            <v xml:space="preserve">─ </v>
          </cell>
          <cell r="L175">
            <v>0</v>
          </cell>
          <cell r="M175">
            <v>0</v>
          </cell>
          <cell r="N175" t="str">
            <v xml:space="preserve">─ </v>
          </cell>
          <cell r="O175">
            <v>0</v>
          </cell>
          <cell r="P175">
            <v>0</v>
          </cell>
          <cell r="Q175" t="str">
            <v xml:space="preserve">─ </v>
          </cell>
          <cell r="R175">
            <v>0</v>
          </cell>
          <cell r="S175">
            <v>0</v>
          </cell>
          <cell r="T175" t="str">
            <v xml:space="preserve">─ </v>
          </cell>
          <cell r="U175">
            <v>0</v>
          </cell>
          <cell r="V175">
            <v>0</v>
          </cell>
          <cell r="W175" t="str">
            <v xml:space="preserve">─ </v>
          </cell>
          <cell r="X175">
            <v>564</v>
          </cell>
          <cell r="Y175">
            <v>0.13265687734178197</v>
          </cell>
          <cell r="Z175" t="str">
            <v xml:space="preserve">─ </v>
          </cell>
          <cell r="AA175">
            <v>3756</v>
          </cell>
          <cell r="AB175">
            <v>0.86525636329709676</v>
          </cell>
          <cell r="AC175">
            <v>565.95744680851067</v>
          </cell>
          <cell r="AD175">
            <v>3007</v>
          </cell>
          <cell r="AE175">
            <v>0.61162888141274674</v>
          </cell>
          <cell r="AF175">
            <v>-19.94142705005325</v>
          </cell>
          <cell r="AG175">
            <v>435</v>
          </cell>
          <cell r="AH175">
            <v>0.39771792199242967</v>
          </cell>
          <cell r="AI175">
            <v>-31.818181818181817</v>
          </cell>
        </row>
        <row r="176">
          <cell r="B176" t="str">
            <v>영업외비용</v>
          </cell>
          <cell r="C176">
            <v>15992</v>
          </cell>
          <cell r="D176">
            <v>6.985175284569892</v>
          </cell>
          <cell r="F176">
            <v>20146</v>
          </cell>
          <cell r="G176">
            <v>6.8783737183711242</v>
          </cell>
          <cell r="H176">
            <v>25.975487743871923</v>
          </cell>
          <cell r="I176">
            <v>24806</v>
          </cell>
          <cell r="J176">
            <v>7.5474109210178026</v>
          </cell>
          <cell r="K176">
            <v>23.131142658592282</v>
          </cell>
          <cell r="L176">
            <v>26620</v>
          </cell>
          <cell r="M176">
            <v>6.3782019795907123</v>
          </cell>
          <cell r="N176">
            <v>7.31274691606869</v>
          </cell>
          <cell r="O176">
            <v>35581</v>
          </cell>
          <cell r="P176">
            <v>7.842026615416489</v>
          </cell>
          <cell r="Q176">
            <v>33.662659654395185</v>
          </cell>
          <cell r="R176">
            <v>32756</v>
          </cell>
          <cell r="S176">
            <v>7.6898517245588831</v>
          </cell>
          <cell r="T176">
            <v>-7.9396307017790377</v>
          </cell>
          <cell r="U176">
            <v>28800</v>
          </cell>
          <cell r="V176">
            <v>7.6047836201410579</v>
          </cell>
          <cell r="W176">
            <v>-12.07717670045183</v>
          </cell>
          <cell r="X176">
            <v>32291</v>
          </cell>
          <cell r="Y176">
            <v>7.5950766422756759</v>
          </cell>
          <cell r="Z176">
            <v>12.121527777777771</v>
          </cell>
          <cell r="AA176">
            <v>23414</v>
          </cell>
          <cell r="AB176">
            <v>5.3937999175288134</v>
          </cell>
          <cell r="AC176">
            <v>-27.49063206466198</v>
          </cell>
          <cell r="AD176">
            <v>25957</v>
          </cell>
          <cell r="AE176">
            <v>5.2796976637281903</v>
          </cell>
          <cell r="AF176">
            <v>10.861023319381573</v>
          </cell>
          <cell r="AG176">
            <v>4400</v>
          </cell>
          <cell r="AH176">
            <v>4.022893923601587</v>
          </cell>
          <cell r="AI176">
            <v>6.8220441854819125</v>
          </cell>
        </row>
        <row r="177">
          <cell r="B177" t="str">
            <v xml:space="preserve">  이자비용</v>
          </cell>
          <cell r="C177">
            <v>13960</v>
          </cell>
          <cell r="D177">
            <v>6.0976142429086844</v>
          </cell>
          <cell r="F177">
            <v>18745</v>
          </cell>
          <cell r="G177">
            <v>6.4000355083325076</v>
          </cell>
          <cell r="H177">
            <v>34.276504297994279</v>
          </cell>
          <cell r="I177">
            <v>22096</v>
          </cell>
          <cell r="J177">
            <v>6.7228731641864616</v>
          </cell>
          <cell r="K177">
            <v>17.876767137903443</v>
          </cell>
          <cell r="L177">
            <v>22615</v>
          </cell>
          <cell r="M177">
            <v>5.4185964601218615</v>
          </cell>
          <cell r="N177">
            <v>2.3488414192613902</v>
          </cell>
          <cell r="O177">
            <v>29630</v>
          </cell>
          <cell r="P177">
            <v>6.5304305279444241</v>
          </cell>
          <cell r="Q177">
            <v>31.019235021003766</v>
          </cell>
          <cell r="R177">
            <v>24778</v>
          </cell>
          <cell r="S177">
            <v>5.8169234958822811</v>
          </cell>
          <cell r="T177">
            <v>-16.375295308808631</v>
          </cell>
          <cell r="U177">
            <v>23084</v>
          </cell>
          <cell r="V177">
            <v>6.0954453155325066</v>
          </cell>
          <cell r="W177">
            <v>-6.8367099846638126</v>
          </cell>
          <cell r="X177">
            <v>24464</v>
          </cell>
          <cell r="Y177">
            <v>5.7541096583144578</v>
          </cell>
          <cell r="Z177">
            <v>5.9781666955466903</v>
          </cell>
          <cell r="AA177">
            <v>16041</v>
          </cell>
          <cell r="AB177">
            <v>3.6953081266370416</v>
          </cell>
          <cell r="AC177">
            <v>-34.430183126226282</v>
          </cell>
          <cell r="AD177">
            <v>12975</v>
          </cell>
          <cell r="AE177">
            <v>2.6391369259495807</v>
          </cell>
          <cell r="AF177">
            <v>-19.113521600897698</v>
          </cell>
          <cell r="AG177">
            <v>2477</v>
          </cell>
          <cell r="AH177">
            <v>2.2647064201729847</v>
          </cell>
          <cell r="AI177">
            <v>-33.198489751887813</v>
          </cell>
        </row>
        <row r="178">
          <cell r="B178" t="str">
            <v xml:space="preserve">  이연자산상각비</v>
          </cell>
          <cell r="C178">
            <v>202</v>
          </cell>
          <cell r="D178">
            <v>8.8231953944667207E-2</v>
          </cell>
          <cell r="F178">
            <v>202</v>
          </cell>
          <cell r="G178">
            <v>6.8968107371734685E-2</v>
          </cell>
          <cell r="H178">
            <v>0</v>
          </cell>
          <cell r="I178">
            <v>42</v>
          </cell>
          <cell r="J178">
            <v>1.2778813943511557E-2</v>
          </cell>
          <cell r="K178">
            <v>-79.207920792079207</v>
          </cell>
          <cell r="L178">
            <v>55</v>
          </cell>
          <cell r="M178">
            <v>1.3178103263617173E-2</v>
          </cell>
          <cell r="N178">
            <v>30.952380952380963</v>
          </cell>
          <cell r="O178">
            <v>81</v>
          </cell>
          <cell r="P178">
            <v>1.78523413015018E-2</v>
          </cell>
          <cell r="Q178">
            <v>47.272727272727252</v>
          </cell>
          <cell r="R178">
            <v>0</v>
          </cell>
          <cell r="S178">
            <v>0</v>
          </cell>
          <cell r="T178">
            <v>-100</v>
          </cell>
          <cell r="U178">
            <v>0</v>
          </cell>
          <cell r="V178">
            <v>0</v>
          </cell>
          <cell r="W178" t="str">
            <v xml:space="preserve">─ </v>
          </cell>
          <cell r="X178">
            <v>0</v>
          </cell>
          <cell r="Y178">
            <v>0</v>
          </cell>
          <cell r="Z178" t="str">
            <v xml:space="preserve">─ </v>
          </cell>
          <cell r="AA178">
            <v>0</v>
          </cell>
          <cell r="AB178">
            <v>0</v>
          </cell>
          <cell r="AC178" t="str">
            <v xml:space="preserve">─ </v>
          </cell>
          <cell r="AD178">
            <v>0</v>
          </cell>
          <cell r="AE178">
            <v>0</v>
          </cell>
          <cell r="AF178" t="str">
            <v xml:space="preserve">─ </v>
          </cell>
          <cell r="AG178">
            <v>0</v>
          </cell>
          <cell r="AH178">
            <v>0</v>
          </cell>
          <cell r="AI178" t="str">
            <v xml:space="preserve">─ </v>
          </cell>
        </row>
        <row r="179">
          <cell r="B179" t="str">
            <v xml:space="preserve">    창업비상각</v>
          </cell>
          <cell r="C179">
            <v>0</v>
          </cell>
          <cell r="D179">
            <v>0</v>
          </cell>
          <cell r="F179">
            <v>0</v>
          </cell>
          <cell r="G179">
            <v>0</v>
          </cell>
          <cell r="H179" t="str">
            <v xml:space="preserve">─ </v>
          </cell>
          <cell r="I179">
            <v>0</v>
          </cell>
          <cell r="J179">
            <v>0</v>
          </cell>
          <cell r="K179" t="str">
            <v xml:space="preserve">─ </v>
          </cell>
          <cell r="L179">
            <v>0</v>
          </cell>
          <cell r="M179">
            <v>0</v>
          </cell>
          <cell r="N179" t="str">
            <v xml:space="preserve">─ </v>
          </cell>
          <cell r="O179">
            <v>0</v>
          </cell>
          <cell r="P179">
            <v>0</v>
          </cell>
          <cell r="Q179" t="str">
            <v xml:space="preserve">─ </v>
          </cell>
          <cell r="R179">
            <v>0</v>
          </cell>
          <cell r="S179">
            <v>0</v>
          </cell>
          <cell r="T179" t="str">
            <v xml:space="preserve">─ </v>
          </cell>
          <cell r="U179">
            <v>0</v>
          </cell>
          <cell r="V179">
            <v>0</v>
          </cell>
          <cell r="W179" t="str">
            <v xml:space="preserve">─ </v>
          </cell>
          <cell r="X179">
            <v>0</v>
          </cell>
          <cell r="Y179">
            <v>0</v>
          </cell>
          <cell r="Z179" t="str">
            <v xml:space="preserve">─ </v>
          </cell>
          <cell r="AA179">
            <v>0</v>
          </cell>
          <cell r="AB179">
            <v>0</v>
          </cell>
          <cell r="AC179" t="str">
            <v xml:space="preserve">─ </v>
          </cell>
          <cell r="AD179">
            <v>0</v>
          </cell>
          <cell r="AE179">
            <v>0</v>
          </cell>
          <cell r="AF179" t="str">
            <v xml:space="preserve">─ </v>
          </cell>
          <cell r="AG179">
            <v>0</v>
          </cell>
          <cell r="AH179">
            <v>0</v>
          </cell>
          <cell r="AI179" t="str">
            <v xml:space="preserve">─ </v>
          </cell>
        </row>
        <row r="180">
          <cell r="B180" t="str">
            <v xml:space="preserve">    개업비상각</v>
          </cell>
          <cell r="C180">
            <v>0</v>
          </cell>
          <cell r="D180">
            <v>0</v>
          </cell>
          <cell r="F180">
            <v>0</v>
          </cell>
          <cell r="G180">
            <v>0</v>
          </cell>
          <cell r="H180" t="str">
            <v xml:space="preserve">─ </v>
          </cell>
          <cell r="I180">
            <v>0</v>
          </cell>
          <cell r="J180">
            <v>0</v>
          </cell>
          <cell r="K180" t="str">
            <v xml:space="preserve">─ </v>
          </cell>
          <cell r="L180">
            <v>0</v>
          </cell>
          <cell r="M180">
            <v>0</v>
          </cell>
          <cell r="N180" t="str">
            <v xml:space="preserve">─ </v>
          </cell>
          <cell r="O180">
            <v>0</v>
          </cell>
          <cell r="P180">
            <v>0</v>
          </cell>
          <cell r="Q180" t="str">
            <v xml:space="preserve">─ </v>
          </cell>
          <cell r="R180">
            <v>0</v>
          </cell>
          <cell r="S180">
            <v>0</v>
          </cell>
          <cell r="T180" t="str">
            <v xml:space="preserve">─ </v>
          </cell>
          <cell r="U180">
            <v>0</v>
          </cell>
          <cell r="V180">
            <v>0</v>
          </cell>
          <cell r="W180" t="str">
            <v xml:space="preserve">─ </v>
          </cell>
          <cell r="X180">
            <v>0</v>
          </cell>
          <cell r="Y180">
            <v>0</v>
          </cell>
          <cell r="Z180" t="str">
            <v xml:space="preserve">─ </v>
          </cell>
          <cell r="AA180">
            <v>0</v>
          </cell>
          <cell r="AB180">
            <v>0</v>
          </cell>
          <cell r="AC180" t="str">
            <v xml:space="preserve">─ </v>
          </cell>
          <cell r="AD180">
            <v>0</v>
          </cell>
          <cell r="AE180">
            <v>0</v>
          </cell>
          <cell r="AF180" t="str">
            <v xml:space="preserve">─ </v>
          </cell>
          <cell r="AG180">
            <v>0</v>
          </cell>
          <cell r="AH180">
            <v>0</v>
          </cell>
          <cell r="AI180" t="str">
            <v xml:space="preserve">─ </v>
          </cell>
        </row>
        <row r="181">
          <cell r="B181" t="str">
            <v xml:space="preserve">    신주발행비상각</v>
          </cell>
          <cell r="C181">
            <v>16</v>
          </cell>
          <cell r="D181">
            <v>6.9886696193795809E-3</v>
          </cell>
          <cell r="F181">
            <v>30</v>
          </cell>
          <cell r="G181">
            <v>1.0242788223524953E-2</v>
          </cell>
          <cell r="H181">
            <v>87.5</v>
          </cell>
          <cell r="I181">
            <v>16</v>
          </cell>
          <cell r="J181">
            <v>4.8681195975282124E-3</v>
          </cell>
          <cell r="K181">
            <v>-46.666666666666664</v>
          </cell>
          <cell r="L181">
            <v>15</v>
          </cell>
          <cell r="M181">
            <v>3.5940281628046838E-3</v>
          </cell>
          <cell r="N181">
            <v>-6.25</v>
          </cell>
          <cell r="O181">
            <v>1</v>
          </cell>
          <cell r="P181">
            <v>2.2039927532718271E-4</v>
          </cell>
          <cell r="Q181">
            <v>-93.333333333333329</v>
          </cell>
          <cell r="R181">
            <v>0</v>
          </cell>
          <cell r="S181">
            <v>0</v>
          </cell>
          <cell r="T181">
            <v>-100</v>
          </cell>
          <cell r="U181">
            <v>0</v>
          </cell>
          <cell r="V181">
            <v>0</v>
          </cell>
          <cell r="W181" t="str">
            <v xml:space="preserve">─ </v>
          </cell>
          <cell r="X181">
            <v>0</v>
          </cell>
          <cell r="Y181">
            <v>0</v>
          </cell>
          <cell r="Z181" t="str">
            <v xml:space="preserve">─ </v>
          </cell>
          <cell r="AA181">
            <v>0</v>
          </cell>
          <cell r="AB181">
            <v>0</v>
          </cell>
          <cell r="AC181" t="str">
            <v xml:space="preserve">─ </v>
          </cell>
          <cell r="AD181">
            <v>0</v>
          </cell>
          <cell r="AE181">
            <v>0</v>
          </cell>
          <cell r="AF181" t="str">
            <v xml:space="preserve">─ </v>
          </cell>
          <cell r="AG181">
            <v>0</v>
          </cell>
          <cell r="AH181">
            <v>0</v>
          </cell>
          <cell r="AI181" t="str">
            <v xml:space="preserve">─ </v>
          </cell>
        </row>
        <row r="182">
          <cell r="B182" t="str">
            <v xml:space="preserve">    사채발행비상각</v>
          </cell>
          <cell r="C182">
            <v>19</v>
          </cell>
          <cell r="D182">
            <v>8.2990451730132527E-3</v>
          </cell>
          <cell r="F182">
            <v>19</v>
          </cell>
          <cell r="G182">
            <v>6.4870992082324708E-3</v>
          </cell>
          <cell r="H182">
            <v>0</v>
          </cell>
          <cell r="I182">
            <v>27</v>
          </cell>
          <cell r="J182">
            <v>8.2149518208288579E-3</v>
          </cell>
          <cell r="K182">
            <v>42.10526315789474</v>
          </cell>
          <cell r="L182">
            <v>39</v>
          </cell>
          <cell r="M182">
            <v>9.3444732232921771E-3</v>
          </cell>
          <cell r="N182">
            <v>44.444444444444429</v>
          </cell>
          <cell r="O182">
            <v>80</v>
          </cell>
          <cell r="P182">
            <v>1.7631942026174616E-2</v>
          </cell>
          <cell r="Q182">
            <v>105.12820512820511</v>
          </cell>
          <cell r="R182">
            <v>0</v>
          </cell>
          <cell r="S182">
            <v>0</v>
          </cell>
          <cell r="T182">
            <v>-100</v>
          </cell>
          <cell r="U182">
            <v>0</v>
          </cell>
          <cell r="V182">
            <v>0</v>
          </cell>
          <cell r="W182" t="str">
            <v xml:space="preserve">─ </v>
          </cell>
          <cell r="X182">
            <v>0</v>
          </cell>
          <cell r="Y182">
            <v>0</v>
          </cell>
          <cell r="Z182" t="str">
            <v xml:space="preserve">─ </v>
          </cell>
          <cell r="AA182">
            <v>0</v>
          </cell>
          <cell r="AB182">
            <v>0</v>
          </cell>
          <cell r="AC182" t="str">
            <v xml:space="preserve">─ </v>
          </cell>
          <cell r="AD182">
            <v>0</v>
          </cell>
          <cell r="AE182">
            <v>0</v>
          </cell>
          <cell r="AF182" t="str">
            <v xml:space="preserve">─ </v>
          </cell>
          <cell r="AG182">
            <v>0</v>
          </cell>
          <cell r="AH182">
            <v>0</v>
          </cell>
          <cell r="AI182" t="str">
            <v xml:space="preserve">─ </v>
          </cell>
        </row>
        <row r="183">
          <cell r="B183" t="str">
            <v xml:space="preserve">    연구개발비상각</v>
          </cell>
          <cell r="C183">
            <v>0</v>
          </cell>
          <cell r="D183">
            <v>0</v>
          </cell>
          <cell r="F183">
            <v>0</v>
          </cell>
          <cell r="G183">
            <v>0</v>
          </cell>
          <cell r="H183" t="str">
            <v xml:space="preserve">─ </v>
          </cell>
          <cell r="I183">
            <v>0</v>
          </cell>
          <cell r="J183">
            <v>0</v>
          </cell>
          <cell r="K183" t="str">
            <v xml:space="preserve">─ </v>
          </cell>
          <cell r="L183">
            <v>0</v>
          </cell>
          <cell r="M183">
            <v>0</v>
          </cell>
          <cell r="N183" t="str">
            <v xml:space="preserve">─ </v>
          </cell>
          <cell r="O183">
            <v>0</v>
          </cell>
          <cell r="P183">
            <v>0</v>
          </cell>
          <cell r="Q183" t="str">
            <v xml:space="preserve">─ </v>
          </cell>
          <cell r="R183">
            <v>0</v>
          </cell>
          <cell r="S183">
            <v>0</v>
          </cell>
          <cell r="T183" t="str">
            <v xml:space="preserve">─ </v>
          </cell>
          <cell r="U183">
            <v>0</v>
          </cell>
          <cell r="V183">
            <v>0</v>
          </cell>
          <cell r="W183" t="str">
            <v xml:space="preserve">─ </v>
          </cell>
          <cell r="X183">
            <v>0</v>
          </cell>
          <cell r="Y183">
            <v>0</v>
          </cell>
          <cell r="Z183" t="str">
            <v xml:space="preserve">─ </v>
          </cell>
          <cell r="AA183">
            <v>0</v>
          </cell>
          <cell r="AB183">
            <v>0</v>
          </cell>
          <cell r="AC183" t="str">
            <v xml:space="preserve">─ </v>
          </cell>
          <cell r="AD183">
            <v>0</v>
          </cell>
          <cell r="AE183">
            <v>0</v>
          </cell>
          <cell r="AF183" t="str">
            <v xml:space="preserve">─ </v>
          </cell>
          <cell r="AG183">
            <v>0</v>
          </cell>
          <cell r="AH183">
            <v>0</v>
          </cell>
          <cell r="AI183" t="str">
            <v xml:space="preserve">─ </v>
          </cell>
        </row>
        <row r="184">
          <cell r="B184" t="str">
            <v xml:space="preserve">    환율조정차상각</v>
          </cell>
          <cell r="C184">
            <v>0</v>
          </cell>
          <cell r="D184">
            <v>0</v>
          </cell>
          <cell r="F184">
            <v>0</v>
          </cell>
          <cell r="G184">
            <v>0</v>
          </cell>
          <cell r="H184" t="str">
            <v xml:space="preserve">─ </v>
          </cell>
          <cell r="I184">
            <v>0</v>
          </cell>
          <cell r="J184">
            <v>0</v>
          </cell>
          <cell r="K184" t="str">
            <v xml:space="preserve">─ </v>
          </cell>
          <cell r="L184">
            <v>0</v>
          </cell>
          <cell r="M184">
            <v>0</v>
          </cell>
          <cell r="N184" t="str">
            <v xml:space="preserve">─ </v>
          </cell>
          <cell r="O184">
            <v>0</v>
          </cell>
          <cell r="P184">
            <v>0</v>
          </cell>
          <cell r="Q184" t="str">
            <v xml:space="preserve">─ </v>
          </cell>
          <cell r="R184">
            <v>0</v>
          </cell>
          <cell r="S184">
            <v>0</v>
          </cell>
          <cell r="T184" t="str">
            <v xml:space="preserve">─ </v>
          </cell>
          <cell r="U184">
            <v>0</v>
          </cell>
          <cell r="V184">
            <v>0</v>
          </cell>
          <cell r="W184" t="str">
            <v xml:space="preserve">─ </v>
          </cell>
          <cell r="X184">
            <v>0</v>
          </cell>
          <cell r="Y184">
            <v>0</v>
          </cell>
          <cell r="Z184" t="str">
            <v xml:space="preserve">─ </v>
          </cell>
          <cell r="AA184">
            <v>0</v>
          </cell>
          <cell r="AB184">
            <v>0</v>
          </cell>
          <cell r="AC184" t="str">
            <v xml:space="preserve">─ </v>
          </cell>
          <cell r="AD184">
            <v>0</v>
          </cell>
          <cell r="AE184">
            <v>0</v>
          </cell>
          <cell r="AF184" t="str">
            <v xml:space="preserve">─ </v>
          </cell>
          <cell r="AG184">
            <v>0</v>
          </cell>
          <cell r="AH184">
            <v>0</v>
          </cell>
          <cell r="AI184" t="str">
            <v xml:space="preserve">─ </v>
          </cell>
        </row>
        <row r="185">
          <cell r="B185" t="str">
            <v xml:space="preserve">    기타이연자산상각</v>
          </cell>
          <cell r="C185">
            <v>168</v>
          </cell>
          <cell r="D185">
            <v>7.33810310034856E-2</v>
          </cell>
          <cell r="F185">
            <v>153</v>
          </cell>
          <cell r="G185">
            <v>5.2238219939977258E-2</v>
          </cell>
          <cell r="H185">
            <v>-8.9285714285714306</v>
          </cell>
          <cell r="I185">
            <v>0</v>
          </cell>
          <cell r="J185">
            <v>0</v>
          </cell>
          <cell r="K185">
            <v>-100</v>
          </cell>
          <cell r="L185">
            <v>0</v>
          </cell>
          <cell r="M185">
            <v>0</v>
          </cell>
          <cell r="N185" t="str">
            <v xml:space="preserve">─ </v>
          </cell>
          <cell r="O185">
            <v>0</v>
          </cell>
          <cell r="P185">
            <v>0</v>
          </cell>
          <cell r="Q185" t="str">
            <v xml:space="preserve">─ </v>
          </cell>
          <cell r="R185">
            <v>0</v>
          </cell>
          <cell r="S185">
            <v>0</v>
          </cell>
          <cell r="T185" t="str">
            <v xml:space="preserve">─ </v>
          </cell>
          <cell r="U185">
            <v>0</v>
          </cell>
          <cell r="V185">
            <v>0</v>
          </cell>
          <cell r="W185" t="str">
            <v xml:space="preserve">─ </v>
          </cell>
          <cell r="X185">
            <v>0</v>
          </cell>
          <cell r="Y185">
            <v>0</v>
          </cell>
          <cell r="Z185" t="str">
            <v xml:space="preserve">─ </v>
          </cell>
          <cell r="AA185">
            <v>0</v>
          </cell>
          <cell r="AB185">
            <v>0</v>
          </cell>
          <cell r="AC185" t="str">
            <v xml:space="preserve">─ </v>
          </cell>
          <cell r="AD185">
            <v>0</v>
          </cell>
          <cell r="AE185">
            <v>0</v>
          </cell>
          <cell r="AF185" t="str">
            <v xml:space="preserve">─ </v>
          </cell>
          <cell r="AG185">
            <v>0</v>
          </cell>
          <cell r="AH185">
            <v>0</v>
          </cell>
          <cell r="AI185" t="str">
            <v xml:space="preserve">─ </v>
          </cell>
        </row>
        <row r="186">
          <cell r="B186" t="str">
            <v xml:space="preserve">  기타의대손상각비</v>
          </cell>
          <cell r="C186">
            <v>0</v>
          </cell>
          <cell r="D186">
            <v>0</v>
          </cell>
          <cell r="F186">
            <v>0</v>
          </cell>
          <cell r="G186">
            <v>0</v>
          </cell>
          <cell r="H186" t="str">
            <v xml:space="preserve">─ </v>
          </cell>
          <cell r="I186">
            <v>0</v>
          </cell>
          <cell r="J186">
            <v>0</v>
          </cell>
          <cell r="K186" t="str">
            <v xml:space="preserve">─ </v>
          </cell>
          <cell r="L186">
            <v>0</v>
          </cell>
          <cell r="M186">
            <v>0</v>
          </cell>
          <cell r="N186" t="str">
            <v xml:space="preserve">─ </v>
          </cell>
          <cell r="O186">
            <v>0</v>
          </cell>
          <cell r="P186">
            <v>0</v>
          </cell>
          <cell r="Q186" t="str">
            <v xml:space="preserve">─ </v>
          </cell>
          <cell r="R186">
            <v>0</v>
          </cell>
          <cell r="S186">
            <v>0</v>
          </cell>
          <cell r="T186" t="str">
            <v xml:space="preserve">─ </v>
          </cell>
          <cell r="U186">
            <v>0</v>
          </cell>
          <cell r="V186">
            <v>0</v>
          </cell>
          <cell r="W186" t="str">
            <v xml:space="preserve">─ </v>
          </cell>
          <cell r="X186">
            <v>1785</v>
          </cell>
          <cell r="Y186">
            <v>0.41984490435298022</v>
          </cell>
          <cell r="Z186" t="str">
            <v xml:space="preserve">─ </v>
          </cell>
          <cell r="AA186">
            <v>1392</v>
          </cell>
          <cell r="AB186">
            <v>0.32067008991202306</v>
          </cell>
          <cell r="AC186">
            <v>-22.016806722689068</v>
          </cell>
          <cell r="AD186">
            <v>4929</v>
          </cell>
          <cell r="AE186">
            <v>1.0025669293260489</v>
          </cell>
          <cell r="AF186">
            <v>254.09482758620692</v>
          </cell>
          <cell r="AG186">
            <v>0</v>
          </cell>
          <cell r="AH186">
            <v>0</v>
          </cell>
          <cell r="AI186" t="str">
            <v xml:space="preserve">─ </v>
          </cell>
        </row>
        <row r="187">
          <cell r="B187" t="str">
            <v xml:space="preserve">  유가증권처분손실</v>
          </cell>
          <cell r="C187">
            <v>0</v>
          </cell>
          <cell r="D187">
            <v>0</v>
          </cell>
          <cell r="F187">
            <v>8</v>
          </cell>
          <cell r="G187">
            <v>2.7314101929399874E-3</v>
          </cell>
          <cell r="H187" t="str">
            <v xml:space="preserve">─ </v>
          </cell>
          <cell r="I187">
            <v>0</v>
          </cell>
          <cell r="J187">
            <v>0</v>
          </cell>
          <cell r="K187">
            <v>-100</v>
          </cell>
          <cell r="L187">
            <v>1693</v>
          </cell>
          <cell r="M187">
            <v>0.40564597864188867</v>
          </cell>
          <cell r="N187" t="str">
            <v xml:space="preserve">─ </v>
          </cell>
          <cell r="O187">
            <v>863</v>
          </cell>
          <cell r="P187">
            <v>0.19020457460735868</v>
          </cell>
          <cell r="Q187">
            <v>-49.025398700531596</v>
          </cell>
          <cell r="R187">
            <v>114</v>
          </cell>
          <cell r="S187">
            <v>2.6762825027467112E-2</v>
          </cell>
          <cell r="T187">
            <v>-86.790266512166866</v>
          </cell>
          <cell r="U187">
            <v>229</v>
          </cell>
          <cell r="V187">
            <v>6.0468591979593832E-2</v>
          </cell>
          <cell r="W187">
            <v>100.87719298245611</v>
          </cell>
          <cell r="X187">
            <v>716</v>
          </cell>
          <cell r="Y187">
            <v>0.16840837619985088</v>
          </cell>
          <cell r="Z187">
            <v>212.66375545851531</v>
          </cell>
          <cell r="AA187">
            <v>215</v>
          </cell>
          <cell r="AB187">
            <v>4.9528785438997809E-2</v>
          </cell>
          <cell r="AC187">
            <v>-69.97206703910615</v>
          </cell>
          <cell r="AD187">
            <v>0</v>
          </cell>
          <cell r="AE187">
            <v>0</v>
          </cell>
          <cell r="AF187">
            <v>-100</v>
          </cell>
          <cell r="AG187">
            <v>0</v>
          </cell>
          <cell r="AH187">
            <v>0</v>
          </cell>
          <cell r="AI187" t="str">
            <v xml:space="preserve">─ </v>
          </cell>
        </row>
        <row r="188">
          <cell r="B188" t="str">
            <v xml:space="preserve">  유가증권평가손실</v>
          </cell>
          <cell r="C188">
            <v>0</v>
          </cell>
          <cell r="D188">
            <v>0</v>
          </cell>
          <cell r="F188">
            <v>0</v>
          </cell>
          <cell r="G188">
            <v>0</v>
          </cell>
          <cell r="H188" t="str">
            <v xml:space="preserve">─ </v>
          </cell>
          <cell r="I188">
            <v>0</v>
          </cell>
          <cell r="J188">
            <v>0</v>
          </cell>
          <cell r="K188" t="str">
            <v xml:space="preserve">─ </v>
          </cell>
          <cell r="L188">
            <v>0</v>
          </cell>
          <cell r="M188">
            <v>0</v>
          </cell>
          <cell r="N188" t="str">
            <v xml:space="preserve">─ </v>
          </cell>
          <cell r="O188">
            <v>0</v>
          </cell>
          <cell r="P188">
            <v>0</v>
          </cell>
          <cell r="Q188" t="str">
            <v xml:space="preserve">─ </v>
          </cell>
          <cell r="R188">
            <v>1202</v>
          </cell>
          <cell r="S188">
            <v>0.28218347090364443</v>
          </cell>
          <cell r="T188" t="str">
            <v xml:space="preserve">─ </v>
          </cell>
          <cell r="U188">
            <v>1</v>
          </cell>
          <cell r="V188">
            <v>2.640549868104534E-4</v>
          </cell>
          <cell r="W188">
            <v>-99.916805324459233</v>
          </cell>
          <cell r="X188">
            <v>0</v>
          </cell>
          <cell r="Y188">
            <v>0</v>
          </cell>
          <cell r="Z188">
            <v>-100</v>
          </cell>
          <cell r="AA188">
            <v>0</v>
          </cell>
          <cell r="AB188">
            <v>0</v>
          </cell>
          <cell r="AC188" t="str">
            <v xml:space="preserve">─ </v>
          </cell>
          <cell r="AD188">
            <v>0</v>
          </cell>
          <cell r="AE188">
            <v>0</v>
          </cell>
          <cell r="AF188" t="str">
            <v xml:space="preserve">─ </v>
          </cell>
          <cell r="AG188">
            <v>0</v>
          </cell>
          <cell r="AH188">
            <v>0</v>
          </cell>
          <cell r="AI188" t="str">
            <v xml:space="preserve">─ </v>
          </cell>
        </row>
        <row r="189">
          <cell r="B189" t="str">
            <v xml:space="preserve">  재고자산평가손실</v>
          </cell>
          <cell r="C189">
            <v>3</v>
          </cell>
          <cell r="D189">
            <v>1.3103755536336714E-3</v>
          </cell>
          <cell r="F189">
            <v>0</v>
          </cell>
          <cell r="G189">
            <v>0</v>
          </cell>
          <cell r="H189">
            <v>-100</v>
          </cell>
          <cell r="I189">
            <v>0</v>
          </cell>
          <cell r="J189">
            <v>0</v>
          </cell>
          <cell r="K189" t="str">
            <v xml:space="preserve">─ </v>
          </cell>
          <cell r="L189">
            <v>0</v>
          </cell>
          <cell r="M189">
            <v>0</v>
          </cell>
          <cell r="N189" t="str">
            <v xml:space="preserve">─ </v>
          </cell>
          <cell r="O189">
            <v>0</v>
          </cell>
          <cell r="P189">
            <v>0</v>
          </cell>
          <cell r="Q189" t="str">
            <v xml:space="preserve">─ </v>
          </cell>
          <cell r="R189">
            <v>0</v>
          </cell>
          <cell r="S189">
            <v>0</v>
          </cell>
          <cell r="T189" t="str">
            <v xml:space="preserve">─ </v>
          </cell>
          <cell r="U189">
            <v>0</v>
          </cell>
          <cell r="V189">
            <v>0</v>
          </cell>
          <cell r="W189" t="str">
            <v xml:space="preserve">─ </v>
          </cell>
          <cell r="X189">
            <v>0</v>
          </cell>
          <cell r="Y189">
            <v>0</v>
          </cell>
          <cell r="Z189" t="str">
            <v xml:space="preserve">─ </v>
          </cell>
          <cell r="AA189">
            <v>0</v>
          </cell>
          <cell r="AB189">
            <v>0</v>
          </cell>
          <cell r="AC189" t="str">
            <v xml:space="preserve">─ </v>
          </cell>
          <cell r="AD189">
            <v>0</v>
          </cell>
          <cell r="AE189">
            <v>0</v>
          </cell>
          <cell r="AF189" t="str">
            <v xml:space="preserve">─ </v>
          </cell>
          <cell r="AG189">
            <v>0</v>
          </cell>
          <cell r="AH189">
            <v>0</v>
          </cell>
          <cell r="AI189" t="str">
            <v xml:space="preserve">─ </v>
          </cell>
        </row>
        <row r="190">
          <cell r="B190" t="str">
            <v xml:space="preserve">  투자자산평가손실</v>
          </cell>
          <cell r="C190">
            <v>410</v>
          </cell>
          <cell r="D190">
            <v>0.17908465899660178</v>
          </cell>
          <cell r="F190">
            <v>0</v>
          </cell>
          <cell r="G190">
            <v>0</v>
          </cell>
          <cell r="H190">
            <v>-100</v>
          </cell>
          <cell r="I190">
            <v>0</v>
          </cell>
          <cell r="J190">
            <v>0</v>
          </cell>
          <cell r="K190" t="str">
            <v xml:space="preserve">─ </v>
          </cell>
          <cell r="L190">
            <v>0</v>
          </cell>
          <cell r="M190">
            <v>0</v>
          </cell>
          <cell r="N190" t="str">
            <v xml:space="preserve">─ </v>
          </cell>
          <cell r="O190">
            <v>0</v>
          </cell>
          <cell r="P190">
            <v>0</v>
          </cell>
          <cell r="Q190" t="str">
            <v xml:space="preserve">─ </v>
          </cell>
          <cell r="R190">
            <v>0</v>
          </cell>
          <cell r="S190">
            <v>0</v>
          </cell>
          <cell r="T190" t="str">
            <v xml:space="preserve">─ </v>
          </cell>
          <cell r="U190">
            <v>0</v>
          </cell>
          <cell r="V190">
            <v>0</v>
          </cell>
          <cell r="W190" t="str">
            <v xml:space="preserve">─ </v>
          </cell>
          <cell r="X190">
            <v>0</v>
          </cell>
          <cell r="Y190">
            <v>0</v>
          </cell>
          <cell r="Z190" t="str">
            <v xml:space="preserve">─ </v>
          </cell>
          <cell r="AA190">
            <v>0</v>
          </cell>
          <cell r="AB190">
            <v>0</v>
          </cell>
          <cell r="AC190" t="str">
            <v xml:space="preserve">─ </v>
          </cell>
          <cell r="AD190">
            <v>0</v>
          </cell>
          <cell r="AE190">
            <v>0</v>
          </cell>
          <cell r="AF190" t="str">
            <v xml:space="preserve">─ </v>
          </cell>
          <cell r="AG190">
            <v>0</v>
          </cell>
          <cell r="AH190">
            <v>0</v>
          </cell>
          <cell r="AI190" t="str">
            <v xml:space="preserve">─ </v>
          </cell>
        </row>
        <row r="191">
          <cell r="B191" t="str">
            <v xml:space="preserve">  투자주식감액손실</v>
          </cell>
          <cell r="C191">
            <v>0</v>
          </cell>
          <cell r="D191">
            <v>0</v>
          </cell>
          <cell r="F191">
            <v>0</v>
          </cell>
          <cell r="G191">
            <v>0</v>
          </cell>
          <cell r="H191" t="str">
            <v xml:space="preserve">─ </v>
          </cell>
          <cell r="I191">
            <v>0</v>
          </cell>
          <cell r="J191">
            <v>0</v>
          </cell>
          <cell r="K191" t="str">
            <v xml:space="preserve">─ </v>
          </cell>
          <cell r="L191">
            <v>265</v>
          </cell>
          <cell r="M191">
            <v>6.349449754288275E-2</v>
          </cell>
          <cell r="N191" t="str">
            <v xml:space="preserve">─ </v>
          </cell>
          <cell r="O191">
            <v>629</v>
          </cell>
          <cell r="P191">
            <v>0.13863114418079794</v>
          </cell>
          <cell r="Q191">
            <v>137.35849056603774</v>
          </cell>
          <cell r="R191">
            <v>360</v>
          </cell>
          <cell r="S191">
            <v>8.4514184297264552E-2</v>
          </cell>
          <cell r="T191">
            <v>-42.766295707472182</v>
          </cell>
          <cell r="U191">
            <v>2732</v>
          </cell>
          <cell r="V191">
            <v>0.72139822396615871</v>
          </cell>
          <cell r="W191">
            <v>658.88888888888891</v>
          </cell>
          <cell r="X191">
            <v>0</v>
          </cell>
          <cell r="Y191">
            <v>0</v>
          </cell>
          <cell r="Z191">
            <v>-100</v>
          </cell>
          <cell r="AA191">
            <v>0</v>
          </cell>
          <cell r="AB191">
            <v>0</v>
          </cell>
          <cell r="AC191" t="str">
            <v xml:space="preserve">─ </v>
          </cell>
          <cell r="AD191">
            <v>0</v>
          </cell>
          <cell r="AE191">
            <v>0</v>
          </cell>
          <cell r="AF191" t="str">
            <v xml:space="preserve">─ </v>
          </cell>
          <cell r="AG191">
            <v>0</v>
          </cell>
          <cell r="AH191">
            <v>0</v>
          </cell>
          <cell r="AI191" t="str">
            <v xml:space="preserve">─ </v>
          </cell>
        </row>
        <row r="192">
          <cell r="B192" t="str">
            <v xml:space="preserve">  원가차손</v>
          </cell>
          <cell r="C192">
            <v>0</v>
          </cell>
          <cell r="D192">
            <v>0</v>
          </cell>
          <cell r="F192">
            <v>0</v>
          </cell>
          <cell r="G192">
            <v>0</v>
          </cell>
          <cell r="H192" t="str">
            <v xml:space="preserve">─ </v>
          </cell>
          <cell r="I192">
            <v>0</v>
          </cell>
          <cell r="J192">
            <v>0</v>
          </cell>
          <cell r="K192" t="str">
            <v xml:space="preserve">─ </v>
          </cell>
          <cell r="L192">
            <v>0</v>
          </cell>
          <cell r="M192">
            <v>0</v>
          </cell>
          <cell r="N192" t="str">
            <v xml:space="preserve">─ </v>
          </cell>
          <cell r="O192">
            <v>0</v>
          </cell>
          <cell r="P192">
            <v>0</v>
          </cell>
          <cell r="Q192" t="str">
            <v xml:space="preserve">─ </v>
          </cell>
          <cell r="R192">
            <v>0</v>
          </cell>
          <cell r="S192">
            <v>0</v>
          </cell>
          <cell r="T192" t="str">
            <v xml:space="preserve">─ </v>
          </cell>
          <cell r="U192">
            <v>0</v>
          </cell>
          <cell r="V192">
            <v>0</v>
          </cell>
          <cell r="W192" t="str">
            <v xml:space="preserve">─ </v>
          </cell>
          <cell r="X192">
            <v>0</v>
          </cell>
          <cell r="Y192">
            <v>0</v>
          </cell>
          <cell r="Z192" t="str">
            <v xml:space="preserve">─ </v>
          </cell>
          <cell r="AA192">
            <v>0</v>
          </cell>
          <cell r="AB192">
            <v>0</v>
          </cell>
          <cell r="AC192" t="str">
            <v xml:space="preserve">─ </v>
          </cell>
          <cell r="AD192">
            <v>0</v>
          </cell>
          <cell r="AE192">
            <v>0</v>
          </cell>
          <cell r="AF192" t="str">
            <v xml:space="preserve">─ </v>
          </cell>
          <cell r="AG192">
            <v>0</v>
          </cell>
          <cell r="AH192">
            <v>0</v>
          </cell>
          <cell r="AI192" t="str">
            <v xml:space="preserve">─ </v>
          </cell>
        </row>
        <row r="193">
          <cell r="B193" t="str">
            <v xml:space="preserve">  매출할인</v>
          </cell>
          <cell r="C193">
            <v>0</v>
          </cell>
          <cell r="D193">
            <v>0</v>
          </cell>
          <cell r="F193">
            <v>0</v>
          </cell>
          <cell r="G193">
            <v>0</v>
          </cell>
          <cell r="H193" t="str">
            <v xml:space="preserve">─ </v>
          </cell>
          <cell r="I193">
            <v>0</v>
          </cell>
          <cell r="J193">
            <v>0</v>
          </cell>
          <cell r="K193" t="str">
            <v xml:space="preserve">─ </v>
          </cell>
          <cell r="L193">
            <v>0</v>
          </cell>
          <cell r="M193">
            <v>0</v>
          </cell>
          <cell r="N193" t="str">
            <v xml:space="preserve">─ </v>
          </cell>
          <cell r="O193">
            <v>0</v>
          </cell>
          <cell r="P193">
            <v>0</v>
          </cell>
          <cell r="Q193" t="str">
            <v xml:space="preserve">─ </v>
          </cell>
          <cell r="R193">
            <v>0</v>
          </cell>
          <cell r="S193">
            <v>0</v>
          </cell>
          <cell r="T193" t="str">
            <v xml:space="preserve">─ </v>
          </cell>
          <cell r="U193">
            <v>0</v>
          </cell>
          <cell r="V193">
            <v>0</v>
          </cell>
          <cell r="W193" t="str">
            <v xml:space="preserve">─ </v>
          </cell>
          <cell r="X193">
            <v>0</v>
          </cell>
          <cell r="Y193">
            <v>0</v>
          </cell>
          <cell r="Z193" t="str">
            <v xml:space="preserve">─ </v>
          </cell>
          <cell r="AA193">
            <v>0</v>
          </cell>
          <cell r="AB193">
            <v>0</v>
          </cell>
          <cell r="AC193" t="str">
            <v xml:space="preserve">─ </v>
          </cell>
          <cell r="AD193">
            <v>0</v>
          </cell>
          <cell r="AE193">
            <v>0</v>
          </cell>
          <cell r="AF193" t="str">
            <v xml:space="preserve">─ </v>
          </cell>
          <cell r="AG193">
            <v>0</v>
          </cell>
          <cell r="AH193">
            <v>0</v>
          </cell>
          <cell r="AI193" t="str">
            <v xml:space="preserve">─ </v>
          </cell>
        </row>
        <row r="194">
          <cell r="B194" t="str">
            <v xml:space="preserve">  외환차손</v>
          </cell>
          <cell r="C194">
            <v>174</v>
          </cell>
          <cell r="D194">
            <v>7.6001782110752938E-2</v>
          </cell>
          <cell r="F194">
            <v>279</v>
          </cell>
          <cell r="G194">
            <v>9.5257930478782074E-2</v>
          </cell>
          <cell r="H194">
            <v>60.34482758620689</v>
          </cell>
          <cell r="I194">
            <v>15</v>
          </cell>
          <cell r="J194">
            <v>4.5638621226826992E-3</v>
          </cell>
          <cell r="K194">
            <v>-94.623655913978496</v>
          </cell>
          <cell r="L194">
            <v>405</v>
          </cell>
          <cell r="M194">
            <v>9.7038760395726453E-2</v>
          </cell>
          <cell r="N194">
            <v>2600</v>
          </cell>
          <cell r="O194">
            <v>1402</v>
          </cell>
          <cell r="P194">
            <v>0.30899978400871014</v>
          </cell>
          <cell r="Q194">
            <v>246.17283950617286</v>
          </cell>
          <cell r="R194">
            <v>701</v>
          </cell>
          <cell r="S194">
            <v>0.16456789775661793</v>
          </cell>
          <cell r="T194">
            <v>-50</v>
          </cell>
          <cell r="U194">
            <v>144</v>
          </cell>
          <cell r="V194">
            <v>3.8023918100705295E-2</v>
          </cell>
          <cell r="W194">
            <v>-79.457917261055627</v>
          </cell>
          <cell r="X194">
            <v>1042</v>
          </cell>
          <cell r="Y194">
            <v>0.24508593296123549</v>
          </cell>
          <cell r="Z194">
            <v>623.61111111111109</v>
          </cell>
          <cell r="AA194">
            <v>13</v>
          </cell>
          <cell r="AB194">
            <v>2.9947637707301005E-3</v>
          </cell>
          <cell r="AC194">
            <v>-98.752399232245679</v>
          </cell>
          <cell r="AD194">
            <v>0</v>
          </cell>
          <cell r="AE194">
            <v>0</v>
          </cell>
          <cell r="AF194">
            <v>-100</v>
          </cell>
          <cell r="AG194">
            <v>1</v>
          </cell>
          <cell r="AH194">
            <v>9.1429407354581534E-4</v>
          </cell>
          <cell r="AI194" t="str">
            <v xml:space="preserve">─ </v>
          </cell>
        </row>
        <row r="195">
          <cell r="B195" t="str">
            <v xml:space="preserve">  외화환산손실</v>
          </cell>
          <cell r="C195">
            <v>61</v>
          </cell>
          <cell r="D195">
            <v>2.6644302923884654E-2</v>
          </cell>
          <cell r="F195">
            <v>37</v>
          </cell>
          <cell r="G195">
            <v>1.2632772142347443E-2</v>
          </cell>
          <cell r="H195">
            <v>-39.344262295081968</v>
          </cell>
          <cell r="I195">
            <v>612</v>
          </cell>
          <cell r="J195">
            <v>0.18620557460545412</v>
          </cell>
          <cell r="K195">
            <v>1554.0540540540539</v>
          </cell>
          <cell r="L195">
            <v>261</v>
          </cell>
          <cell r="M195">
            <v>6.25360900328015E-2</v>
          </cell>
          <cell r="N195">
            <v>-57.352941176470587</v>
          </cell>
          <cell r="O195">
            <v>471</v>
          </cell>
          <cell r="P195">
            <v>0.10380805867910307</v>
          </cell>
          <cell r="Q195">
            <v>80.459770114942529</v>
          </cell>
          <cell r="R195">
            <v>415</v>
          </cell>
          <cell r="S195">
            <v>9.7426073564902196E-2</v>
          </cell>
          <cell r="T195">
            <v>-11.889596602972404</v>
          </cell>
          <cell r="U195">
            <v>162</v>
          </cell>
          <cell r="V195">
            <v>4.2776907863293454E-2</v>
          </cell>
          <cell r="W195">
            <v>-60.963855421686745</v>
          </cell>
          <cell r="X195">
            <v>103</v>
          </cell>
          <cell r="Y195">
            <v>2.4226344620928267E-2</v>
          </cell>
          <cell r="Z195">
            <v>-36.419753086419746</v>
          </cell>
          <cell r="AA195">
            <v>7</v>
          </cell>
          <cell r="AB195">
            <v>1.6125651073162078E-3</v>
          </cell>
          <cell r="AC195">
            <v>-93.203883495145632</v>
          </cell>
          <cell r="AD195">
            <v>7</v>
          </cell>
          <cell r="AE195">
            <v>1.4238118290286757E-3</v>
          </cell>
          <cell r="AF195">
            <v>0</v>
          </cell>
          <cell r="AG195">
            <v>0</v>
          </cell>
          <cell r="AH195">
            <v>0</v>
          </cell>
          <cell r="AI195" t="str">
            <v xml:space="preserve">─ </v>
          </cell>
        </row>
        <row r="196">
          <cell r="B196" t="str">
            <v xml:space="preserve">  지분법평가손실</v>
          </cell>
          <cell r="C196">
            <v>0</v>
          </cell>
          <cell r="D196">
            <v>0</v>
          </cell>
          <cell r="F196">
            <v>0</v>
          </cell>
          <cell r="G196">
            <v>0</v>
          </cell>
          <cell r="H196" t="str">
            <v xml:space="preserve">─ </v>
          </cell>
          <cell r="I196">
            <v>0</v>
          </cell>
          <cell r="J196">
            <v>0</v>
          </cell>
          <cell r="K196" t="str">
            <v xml:space="preserve">─ </v>
          </cell>
          <cell r="L196">
            <v>0</v>
          </cell>
          <cell r="M196">
            <v>0</v>
          </cell>
          <cell r="N196" t="str">
            <v xml:space="preserve">─ </v>
          </cell>
          <cell r="O196">
            <v>0</v>
          </cell>
          <cell r="P196">
            <v>0</v>
          </cell>
          <cell r="Q196" t="str">
            <v xml:space="preserve">─ </v>
          </cell>
          <cell r="R196">
            <v>0</v>
          </cell>
          <cell r="S196">
            <v>0</v>
          </cell>
          <cell r="T196" t="str">
            <v xml:space="preserve">─ </v>
          </cell>
          <cell r="U196">
            <v>0</v>
          </cell>
          <cell r="V196">
            <v>0</v>
          </cell>
          <cell r="W196" t="str">
            <v xml:space="preserve">─ </v>
          </cell>
          <cell r="X196">
            <v>0</v>
          </cell>
          <cell r="Y196">
            <v>0</v>
          </cell>
          <cell r="Z196" t="str">
            <v xml:space="preserve">─ </v>
          </cell>
          <cell r="AA196">
            <v>0</v>
          </cell>
          <cell r="AB196">
            <v>0</v>
          </cell>
          <cell r="AC196" t="str">
            <v xml:space="preserve">─ </v>
          </cell>
          <cell r="AD196">
            <v>0</v>
          </cell>
          <cell r="AE196">
            <v>0</v>
          </cell>
          <cell r="AF196" t="str">
            <v xml:space="preserve">─ </v>
          </cell>
          <cell r="AG196">
            <v>802</v>
          </cell>
          <cell r="AH196">
            <v>0.73326384698374392</v>
          </cell>
          <cell r="AI196" t="str">
            <v xml:space="preserve">─ </v>
          </cell>
        </row>
        <row r="197">
          <cell r="B197" t="str">
            <v xml:space="preserve">  투자유가증권감액손실</v>
          </cell>
          <cell r="C197">
            <v>0</v>
          </cell>
          <cell r="D197">
            <v>0</v>
          </cell>
          <cell r="F197">
            <v>0</v>
          </cell>
          <cell r="G197">
            <v>0</v>
          </cell>
          <cell r="H197" t="str">
            <v xml:space="preserve">─ </v>
          </cell>
          <cell r="I197">
            <v>0</v>
          </cell>
          <cell r="J197">
            <v>0</v>
          </cell>
          <cell r="K197" t="str">
            <v xml:space="preserve">─ </v>
          </cell>
          <cell r="L197">
            <v>0</v>
          </cell>
          <cell r="M197">
            <v>0</v>
          </cell>
          <cell r="N197" t="str">
            <v xml:space="preserve">─ </v>
          </cell>
          <cell r="O197">
            <v>0</v>
          </cell>
          <cell r="P197">
            <v>0</v>
          </cell>
          <cell r="Q197" t="str">
            <v xml:space="preserve">─ </v>
          </cell>
          <cell r="R197">
            <v>0</v>
          </cell>
          <cell r="S197">
            <v>0</v>
          </cell>
          <cell r="T197" t="str">
            <v xml:space="preserve">─ </v>
          </cell>
          <cell r="U197">
            <v>0</v>
          </cell>
          <cell r="V197">
            <v>0</v>
          </cell>
          <cell r="W197" t="str">
            <v xml:space="preserve">─ </v>
          </cell>
          <cell r="X197">
            <v>1695</v>
          </cell>
          <cell r="Y197">
            <v>0.39867625371333415</v>
          </cell>
          <cell r="Z197" t="str">
            <v xml:space="preserve">─ </v>
          </cell>
          <cell r="AA197">
            <v>750</v>
          </cell>
          <cell r="AB197">
            <v>0.17277483292673657</v>
          </cell>
          <cell r="AC197">
            <v>-55.752212389380531</v>
          </cell>
          <cell r="AD197">
            <v>210</v>
          </cell>
          <cell r="AE197">
            <v>4.2714354870860269E-2</v>
          </cell>
          <cell r="AF197">
            <v>-72</v>
          </cell>
          <cell r="AG197">
            <v>1000</v>
          </cell>
          <cell r="AH197">
            <v>0.91429407354581527</v>
          </cell>
          <cell r="AI197" t="str">
            <v xml:space="preserve">─ </v>
          </cell>
        </row>
        <row r="198">
          <cell r="B198" t="str">
            <v xml:space="preserve">  선물거래손실</v>
          </cell>
          <cell r="C198">
            <v>0</v>
          </cell>
          <cell r="D198">
            <v>0</v>
          </cell>
          <cell r="F198">
            <v>0</v>
          </cell>
          <cell r="G198">
            <v>0</v>
          </cell>
          <cell r="H198" t="str">
            <v xml:space="preserve">─ </v>
          </cell>
          <cell r="I198">
            <v>0</v>
          </cell>
          <cell r="J198">
            <v>0</v>
          </cell>
          <cell r="K198" t="str">
            <v xml:space="preserve">─ </v>
          </cell>
          <cell r="L198">
            <v>0</v>
          </cell>
          <cell r="M198">
            <v>0</v>
          </cell>
          <cell r="N198" t="str">
            <v xml:space="preserve">─ </v>
          </cell>
          <cell r="O198">
            <v>0</v>
          </cell>
          <cell r="P198">
            <v>0</v>
          </cell>
          <cell r="Q198" t="str">
            <v xml:space="preserve">─ </v>
          </cell>
          <cell r="R198">
            <v>0</v>
          </cell>
          <cell r="S198">
            <v>0</v>
          </cell>
          <cell r="T198" t="str">
            <v xml:space="preserve">─ </v>
          </cell>
          <cell r="U198">
            <v>0</v>
          </cell>
          <cell r="V198">
            <v>0</v>
          </cell>
          <cell r="W198" t="str">
            <v xml:space="preserve">─ </v>
          </cell>
          <cell r="X198">
            <v>0</v>
          </cell>
          <cell r="Y198">
            <v>0</v>
          </cell>
          <cell r="Z198" t="str">
            <v xml:space="preserve">─ </v>
          </cell>
          <cell r="AA198">
            <v>0</v>
          </cell>
          <cell r="AB198">
            <v>0</v>
          </cell>
          <cell r="AC198" t="str">
            <v xml:space="preserve">─ </v>
          </cell>
          <cell r="AD198">
            <v>0</v>
          </cell>
          <cell r="AE198">
            <v>0</v>
          </cell>
          <cell r="AF198" t="str">
            <v xml:space="preserve">─ </v>
          </cell>
          <cell r="AG198">
            <v>0</v>
          </cell>
          <cell r="AH198">
            <v>0</v>
          </cell>
          <cell r="AI198" t="str">
            <v xml:space="preserve">─ </v>
          </cell>
        </row>
        <row r="199">
          <cell r="B199" t="str">
            <v xml:space="preserve">  선물거래차상각</v>
          </cell>
          <cell r="C199">
            <v>0</v>
          </cell>
          <cell r="D199">
            <v>0</v>
          </cell>
          <cell r="F199">
            <v>0</v>
          </cell>
          <cell r="G199">
            <v>0</v>
          </cell>
          <cell r="H199" t="str">
            <v xml:space="preserve">─ </v>
          </cell>
          <cell r="I199">
            <v>0</v>
          </cell>
          <cell r="J199">
            <v>0</v>
          </cell>
          <cell r="K199" t="str">
            <v xml:space="preserve">─ </v>
          </cell>
          <cell r="L199">
            <v>0</v>
          </cell>
          <cell r="M199">
            <v>0</v>
          </cell>
          <cell r="N199" t="str">
            <v xml:space="preserve">─ </v>
          </cell>
          <cell r="O199">
            <v>0</v>
          </cell>
          <cell r="P199">
            <v>0</v>
          </cell>
          <cell r="Q199" t="str">
            <v xml:space="preserve">─ </v>
          </cell>
          <cell r="R199">
            <v>0</v>
          </cell>
          <cell r="S199">
            <v>0</v>
          </cell>
          <cell r="T199" t="str">
            <v xml:space="preserve">─ </v>
          </cell>
          <cell r="U199">
            <v>0</v>
          </cell>
          <cell r="V199">
            <v>0</v>
          </cell>
          <cell r="W199" t="str">
            <v xml:space="preserve">─ </v>
          </cell>
          <cell r="X199">
            <v>0</v>
          </cell>
          <cell r="Y199">
            <v>0</v>
          </cell>
          <cell r="Z199" t="str">
            <v xml:space="preserve">─ </v>
          </cell>
          <cell r="AA199">
            <v>0</v>
          </cell>
          <cell r="AB199">
            <v>0</v>
          </cell>
          <cell r="AC199" t="str">
            <v xml:space="preserve">─ </v>
          </cell>
          <cell r="AD199">
            <v>0</v>
          </cell>
          <cell r="AE199">
            <v>0</v>
          </cell>
          <cell r="AF199" t="str">
            <v xml:space="preserve">─ </v>
          </cell>
          <cell r="AG199">
            <v>0</v>
          </cell>
          <cell r="AH199">
            <v>0</v>
          </cell>
          <cell r="AI199" t="str">
            <v xml:space="preserve">─ </v>
          </cell>
        </row>
        <row r="200">
          <cell r="B200" t="str">
            <v xml:space="preserve">  기부금</v>
          </cell>
          <cell r="C200">
            <v>325</v>
          </cell>
          <cell r="D200">
            <v>0.14195735164364773</v>
          </cell>
          <cell r="F200">
            <v>295</v>
          </cell>
          <cell r="G200">
            <v>0.10072075086466205</v>
          </cell>
          <cell r="H200">
            <v>-9.2307692307692264</v>
          </cell>
          <cell r="I200">
            <v>673</v>
          </cell>
          <cell r="J200">
            <v>0.20476528057103041</v>
          </cell>
          <cell r="K200">
            <v>128.13559322033896</v>
          </cell>
          <cell r="L200">
            <v>178</v>
          </cell>
          <cell r="M200">
            <v>4.2649134198615581E-2</v>
          </cell>
          <cell r="N200">
            <v>-73.551263001485879</v>
          </cell>
          <cell r="O200">
            <v>363</v>
          </cell>
          <cell r="P200">
            <v>8.0004936943767327E-2</v>
          </cell>
          <cell r="Q200">
            <v>103.93258426966293</v>
          </cell>
          <cell r="R200">
            <v>300</v>
          </cell>
          <cell r="S200">
            <v>7.0428486914387134E-2</v>
          </cell>
          <cell r="T200">
            <v>-17.355371900826441</v>
          </cell>
          <cell r="U200">
            <v>298</v>
          </cell>
          <cell r="V200">
            <v>7.8688386069515115E-2</v>
          </cell>
          <cell r="W200">
            <v>-0.6666666666666714</v>
          </cell>
          <cell r="X200">
            <v>247</v>
          </cell>
          <cell r="Y200">
            <v>5.8096185644361961E-2</v>
          </cell>
          <cell r="Z200">
            <v>-17.114093959731548</v>
          </cell>
          <cell r="AA200">
            <v>237</v>
          </cell>
          <cell r="AB200">
            <v>5.4596847204848753E-2</v>
          </cell>
          <cell r="AC200">
            <v>-4.0485829959514206</v>
          </cell>
          <cell r="AD200">
            <v>887</v>
          </cell>
          <cell r="AE200">
            <v>0.18041729890691932</v>
          </cell>
          <cell r="AF200">
            <v>274.26160337552739</v>
          </cell>
          <cell r="AG200">
            <v>29</v>
          </cell>
          <cell r="AH200">
            <v>2.6514528132828646E-2</v>
          </cell>
          <cell r="AI200">
            <v>-57.352941176470587</v>
          </cell>
        </row>
        <row r="201">
          <cell r="B201" t="str">
            <v xml:space="preserve">  매출채권처분손실</v>
          </cell>
          <cell r="C201">
            <v>0</v>
          </cell>
          <cell r="D201">
            <v>0</v>
          </cell>
          <cell r="F201">
            <v>0</v>
          </cell>
          <cell r="G201">
            <v>0</v>
          </cell>
          <cell r="H201" t="str">
            <v xml:space="preserve">─ </v>
          </cell>
          <cell r="I201">
            <v>0</v>
          </cell>
          <cell r="J201">
            <v>0</v>
          </cell>
          <cell r="K201" t="str">
            <v xml:space="preserve">─ </v>
          </cell>
          <cell r="L201">
            <v>0</v>
          </cell>
          <cell r="M201">
            <v>0</v>
          </cell>
          <cell r="N201" t="str">
            <v xml:space="preserve">─ </v>
          </cell>
          <cell r="O201">
            <v>0</v>
          </cell>
          <cell r="P201">
            <v>0</v>
          </cell>
          <cell r="Q201" t="str">
            <v xml:space="preserve">─ </v>
          </cell>
          <cell r="R201">
            <v>192</v>
          </cell>
          <cell r="S201">
            <v>4.5074231625207767E-2</v>
          </cell>
          <cell r="T201" t="str">
            <v xml:space="preserve">─ </v>
          </cell>
          <cell r="U201">
            <v>208</v>
          </cell>
          <cell r="V201">
            <v>5.4923437256574316E-2</v>
          </cell>
          <cell r="W201">
            <v>8.3333333333333286</v>
          </cell>
          <cell r="X201">
            <v>82</v>
          </cell>
          <cell r="Y201">
            <v>1.9286992805010856E-2</v>
          </cell>
          <cell r="Z201">
            <v>-60.57692307692308</v>
          </cell>
          <cell r="AA201">
            <v>42</v>
          </cell>
          <cell r="AB201">
            <v>9.675390643897247E-3</v>
          </cell>
          <cell r="AC201">
            <v>-48.780487804878049</v>
          </cell>
          <cell r="AD201">
            <v>0</v>
          </cell>
          <cell r="AE201">
            <v>0</v>
          </cell>
          <cell r="AF201">
            <v>-100</v>
          </cell>
          <cell r="AG201">
            <v>0</v>
          </cell>
          <cell r="AH201">
            <v>0</v>
          </cell>
          <cell r="AI201" t="str">
            <v xml:space="preserve">─ </v>
          </cell>
        </row>
        <row r="202">
          <cell r="B202" t="str">
            <v xml:space="preserve">  투자자산처분손실</v>
          </cell>
          <cell r="C202">
            <v>0</v>
          </cell>
          <cell r="D202">
            <v>0</v>
          </cell>
          <cell r="F202">
            <v>0</v>
          </cell>
          <cell r="G202">
            <v>0</v>
          </cell>
          <cell r="H202" t="str">
            <v xml:space="preserve">─ </v>
          </cell>
          <cell r="I202">
            <v>0</v>
          </cell>
          <cell r="J202">
            <v>0</v>
          </cell>
          <cell r="K202" t="str">
            <v xml:space="preserve">─ </v>
          </cell>
          <cell r="L202">
            <v>0</v>
          </cell>
          <cell r="M202">
            <v>0</v>
          </cell>
          <cell r="N202" t="str">
            <v xml:space="preserve">─ </v>
          </cell>
          <cell r="O202">
            <v>361</v>
          </cell>
          <cell r="P202">
            <v>7.9564138393112965E-2</v>
          </cell>
          <cell r="Q202" t="str">
            <v xml:space="preserve">─ </v>
          </cell>
          <cell r="R202">
            <v>2060</v>
          </cell>
          <cell r="S202">
            <v>0.48360894347879169</v>
          </cell>
          <cell r="T202">
            <v>470.63711911357336</v>
          </cell>
          <cell r="U202">
            <v>0</v>
          </cell>
          <cell r="V202">
            <v>0</v>
          </cell>
          <cell r="W202">
            <v>-100</v>
          </cell>
          <cell r="X202">
            <v>258</v>
          </cell>
          <cell r="Y202">
            <v>6.0683465166985369E-2</v>
          </cell>
          <cell r="Z202" t="str">
            <v xml:space="preserve">─ </v>
          </cell>
          <cell r="AA202">
            <v>733</v>
          </cell>
          <cell r="AB202">
            <v>0.16885860338039718</v>
          </cell>
          <cell r="AC202">
            <v>184.10852713178298</v>
          </cell>
          <cell r="AD202">
            <v>7</v>
          </cell>
          <cell r="AE202">
            <v>1.4238118290286757E-3</v>
          </cell>
          <cell r="AF202">
            <v>-99.045020463847209</v>
          </cell>
          <cell r="AG202">
            <v>0</v>
          </cell>
          <cell r="AH202">
            <v>0</v>
          </cell>
          <cell r="AI202" t="str">
            <v xml:space="preserve">─ </v>
          </cell>
        </row>
        <row r="203">
          <cell r="B203" t="str">
            <v xml:space="preserve">  유형자산처분손실</v>
          </cell>
          <cell r="C203">
            <v>0</v>
          </cell>
          <cell r="D203">
            <v>0</v>
          </cell>
          <cell r="F203">
            <v>0</v>
          </cell>
          <cell r="G203">
            <v>0</v>
          </cell>
          <cell r="H203" t="str">
            <v xml:space="preserve">─ </v>
          </cell>
          <cell r="I203">
            <v>0</v>
          </cell>
          <cell r="J203">
            <v>0</v>
          </cell>
          <cell r="K203" t="str">
            <v xml:space="preserve">─ </v>
          </cell>
          <cell r="L203">
            <v>48</v>
          </cell>
          <cell r="M203">
            <v>1.1500890120974987E-2</v>
          </cell>
          <cell r="N203" t="str">
            <v xml:space="preserve">─ </v>
          </cell>
          <cell r="O203">
            <v>41</v>
          </cell>
          <cell r="P203">
            <v>9.0363702884144921E-3</v>
          </cell>
          <cell r="Q203">
            <v>-14.583333333333343</v>
          </cell>
          <cell r="R203">
            <v>89</v>
          </cell>
          <cell r="S203">
            <v>2.0893784451268181E-2</v>
          </cell>
          <cell r="T203">
            <v>117.07317073170734</v>
          </cell>
          <cell r="U203">
            <v>6</v>
          </cell>
          <cell r="V203">
            <v>1.5843299208627205E-3</v>
          </cell>
          <cell r="W203">
            <v>-93.258426966292134</v>
          </cell>
          <cell r="X203">
            <v>1187</v>
          </cell>
          <cell r="Y203">
            <v>0.2791909812139986</v>
          </cell>
          <cell r="Z203">
            <v>19683.333333333336</v>
          </cell>
          <cell r="AA203">
            <v>645</v>
          </cell>
          <cell r="AB203">
            <v>0.14858635631699343</v>
          </cell>
          <cell r="AC203">
            <v>-45.66133108677338</v>
          </cell>
          <cell r="AD203">
            <v>3519</v>
          </cell>
          <cell r="AE203">
            <v>0.71577054662170136</v>
          </cell>
          <cell r="AF203">
            <v>445.58139534883719</v>
          </cell>
          <cell r="AG203">
            <v>35</v>
          </cell>
          <cell r="AH203">
            <v>3.2000292574103535E-2</v>
          </cell>
          <cell r="AI203">
            <v>3400</v>
          </cell>
        </row>
        <row r="204">
          <cell r="B204" t="str">
            <v xml:space="preserve">  사채상환손실</v>
          </cell>
          <cell r="C204">
            <v>0</v>
          </cell>
          <cell r="D204">
            <v>0</v>
          </cell>
          <cell r="F204">
            <v>0</v>
          </cell>
          <cell r="G204">
            <v>0</v>
          </cell>
          <cell r="H204" t="str">
            <v xml:space="preserve">─ </v>
          </cell>
          <cell r="I204">
            <v>0</v>
          </cell>
          <cell r="J204">
            <v>0</v>
          </cell>
          <cell r="K204" t="str">
            <v xml:space="preserve">─ </v>
          </cell>
          <cell r="L204">
            <v>0</v>
          </cell>
          <cell r="M204">
            <v>0</v>
          </cell>
          <cell r="N204" t="str">
            <v xml:space="preserve">─ </v>
          </cell>
          <cell r="O204">
            <v>0</v>
          </cell>
          <cell r="P204">
            <v>0</v>
          </cell>
          <cell r="Q204" t="str">
            <v xml:space="preserve">─ </v>
          </cell>
          <cell r="R204">
            <v>0</v>
          </cell>
          <cell r="S204">
            <v>0</v>
          </cell>
          <cell r="T204" t="str">
            <v xml:space="preserve">─ </v>
          </cell>
          <cell r="U204">
            <v>73</v>
          </cell>
          <cell r="V204">
            <v>1.9276014037163097E-2</v>
          </cell>
          <cell r="W204" t="str">
            <v xml:space="preserve">─ </v>
          </cell>
          <cell r="X204">
            <v>0</v>
          </cell>
          <cell r="Y204">
            <v>0</v>
          </cell>
          <cell r="Z204">
            <v>-100</v>
          </cell>
          <cell r="AA204">
            <v>0</v>
          </cell>
          <cell r="AB204">
            <v>0</v>
          </cell>
          <cell r="AC204" t="str">
            <v xml:space="preserve">─ </v>
          </cell>
          <cell r="AD204">
            <v>0</v>
          </cell>
          <cell r="AE204">
            <v>0</v>
          </cell>
          <cell r="AF204" t="str">
            <v xml:space="preserve">─ </v>
          </cell>
          <cell r="AG204">
            <v>0</v>
          </cell>
          <cell r="AH204">
            <v>0</v>
          </cell>
          <cell r="AI204" t="str">
            <v xml:space="preserve">─ </v>
          </cell>
        </row>
        <row r="205">
          <cell r="B205" t="str">
            <v xml:space="preserve">  법인세추납액</v>
          </cell>
          <cell r="C205">
            <v>0</v>
          </cell>
          <cell r="D205">
            <v>0</v>
          </cell>
          <cell r="F205">
            <v>0</v>
          </cell>
          <cell r="G205">
            <v>0</v>
          </cell>
          <cell r="H205" t="str">
            <v xml:space="preserve">─ </v>
          </cell>
          <cell r="I205">
            <v>0</v>
          </cell>
          <cell r="J205">
            <v>0</v>
          </cell>
          <cell r="K205" t="str">
            <v xml:space="preserve">─ </v>
          </cell>
          <cell r="L205">
            <v>0</v>
          </cell>
          <cell r="M205">
            <v>0</v>
          </cell>
          <cell r="N205" t="str">
            <v xml:space="preserve">─ </v>
          </cell>
          <cell r="O205">
            <v>0</v>
          </cell>
          <cell r="P205">
            <v>0</v>
          </cell>
          <cell r="Q205" t="str">
            <v xml:space="preserve">─ </v>
          </cell>
          <cell r="R205">
            <v>850</v>
          </cell>
          <cell r="S205">
            <v>0.19954737959076355</v>
          </cell>
          <cell r="T205" t="str">
            <v xml:space="preserve">─ </v>
          </cell>
          <cell r="U205">
            <v>0</v>
          </cell>
          <cell r="V205">
            <v>0</v>
          </cell>
          <cell r="W205">
            <v>-100</v>
          </cell>
          <cell r="X205">
            <v>451</v>
          </cell>
          <cell r="Y205">
            <v>0.1060784604275597</v>
          </cell>
          <cell r="Z205" t="str">
            <v xml:space="preserve">─ </v>
          </cell>
          <cell r="AA205">
            <v>431</v>
          </cell>
          <cell r="AB205">
            <v>9.9287937321897946E-2</v>
          </cell>
          <cell r="AC205">
            <v>-4.4345898004434616</v>
          </cell>
          <cell r="AD205">
            <v>300</v>
          </cell>
          <cell r="AE205">
            <v>6.1020506958371808E-2</v>
          </cell>
          <cell r="AF205">
            <v>-30.39443155452436</v>
          </cell>
          <cell r="AG205">
            <v>15</v>
          </cell>
          <cell r="AH205">
            <v>1.3714411103187229E-2</v>
          </cell>
          <cell r="AI205">
            <v>-93.023255813953483</v>
          </cell>
        </row>
        <row r="206">
          <cell r="B206" t="str">
            <v xml:space="preserve">  지급수수료</v>
          </cell>
          <cell r="C206">
            <v>0</v>
          </cell>
          <cell r="D206">
            <v>0</v>
          </cell>
          <cell r="F206">
            <v>0</v>
          </cell>
          <cell r="G206">
            <v>0</v>
          </cell>
          <cell r="H206" t="str">
            <v xml:space="preserve">─ </v>
          </cell>
          <cell r="I206">
            <v>0</v>
          </cell>
          <cell r="J206">
            <v>0</v>
          </cell>
          <cell r="K206" t="str">
            <v xml:space="preserve">─ </v>
          </cell>
          <cell r="L206">
            <v>0</v>
          </cell>
          <cell r="M206">
            <v>0</v>
          </cell>
          <cell r="N206" t="str">
            <v xml:space="preserve">─ </v>
          </cell>
          <cell r="O206">
            <v>0</v>
          </cell>
          <cell r="P206">
            <v>0</v>
          </cell>
          <cell r="Q206" t="str">
            <v xml:space="preserve">─ </v>
          </cell>
          <cell r="R206">
            <v>0</v>
          </cell>
          <cell r="S206">
            <v>0</v>
          </cell>
          <cell r="T206" t="str">
            <v xml:space="preserve">─ </v>
          </cell>
          <cell r="U206">
            <v>0</v>
          </cell>
          <cell r="V206">
            <v>0</v>
          </cell>
          <cell r="W206" t="str">
            <v xml:space="preserve">─ </v>
          </cell>
          <cell r="X206">
            <v>0</v>
          </cell>
          <cell r="Y206">
            <v>0</v>
          </cell>
          <cell r="Z206" t="str">
            <v xml:space="preserve">─ </v>
          </cell>
          <cell r="AA206">
            <v>0</v>
          </cell>
          <cell r="AB206">
            <v>0</v>
          </cell>
          <cell r="AC206" t="str">
            <v xml:space="preserve">─ </v>
          </cell>
          <cell r="AD206">
            <v>0</v>
          </cell>
          <cell r="AE206">
            <v>0</v>
          </cell>
          <cell r="AF206" t="str">
            <v xml:space="preserve">─ </v>
          </cell>
          <cell r="AG206">
            <v>0</v>
          </cell>
          <cell r="AH206">
            <v>0</v>
          </cell>
          <cell r="AI206" t="str">
            <v xml:space="preserve">─ </v>
          </cell>
        </row>
        <row r="207">
          <cell r="B207" t="str">
            <v xml:space="preserve">  잡손실</v>
          </cell>
          <cell r="C207">
            <v>209</v>
          </cell>
          <cell r="D207">
            <v>9.1289496903145778E-2</v>
          </cell>
          <cell r="F207">
            <v>66</v>
          </cell>
          <cell r="G207">
            <v>2.2534134091754896E-2</v>
          </cell>
          <cell r="H207">
            <v>-68.421052631578945</v>
          </cell>
          <cell r="I207">
            <v>133</v>
          </cell>
          <cell r="J207">
            <v>4.0466244154453261E-2</v>
          </cell>
          <cell r="K207">
            <v>101.5151515151515</v>
          </cell>
          <cell r="L207">
            <v>171</v>
          </cell>
          <cell r="M207">
            <v>4.0971921055973394E-2</v>
          </cell>
          <cell r="N207">
            <v>28.571428571428584</v>
          </cell>
          <cell r="O207">
            <v>153</v>
          </cell>
          <cell r="P207">
            <v>3.3721089125058959E-2</v>
          </cell>
          <cell r="Q207">
            <v>-10.526315789473685</v>
          </cell>
          <cell r="R207">
            <v>1364</v>
          </cell>
          <cell r="S207">
            <v>0.32021485383741349</v>
          </cell>
          <cell r="T207">
            <v>791.50326797385628</v>
          </cell>
          <cell r="U207">
            <v>290</v>
          </cell>
          <cell r="V207">
            <v>7.6575946175031495E-2</v>
          </cell>
          <cell r="W207">
            <v>-78.739002932551315</v>
          </cell>
          <cell r="X207">
            <v>261</v>
          </cell>
          <cell r="Y207">
            <v>6.138908685497358E-2</v>
          </cell>
          <cell r="Z207">
            <v>-10</v>
          </cell>
          <cell r="AA207">
            <v>0</v>
          </cell>
          <cell r="AB207">
            <v>0</v>
          </cell>
          <cell r="AC207">
            <v>-100</v>
          </cell>
          <cell r="AD207">
            <v>0</v>
          </cell>
          <cell r="AE207">
            <v>0</v>
          </cell>
          <cell r="AF207" t="str">
            <v xml:space="preserve">─ </v>
          </cell>
          <cell r="AG207">
            <v>0</v>
          </cell>
          <cell r="AH207">
            <v>0</v>
          </cell>
          <cell r="AI207" t="str">
            <v xml:space="preserve">─ </v>
          </cell>
        </row>
        <row r="208">
          <cell r="B208" t="str">
            <v xml:space="preserve">  파생상품평가손실</v>
          </cell>
          <cell r="C208">
            <v>0</v>
          </cell>
          <cell r="D208">
            <v>0</v>
          </cell>
          <cell r="F208">
            <v>0</v>
          </cell>
          <cell r="G208">
            <v>0</v>
          </cell>
          <cell r="H208" t="str">
            <v xml:space="preserve">─ </v>
          </cell>
          <cell r="I208">
            <v>0</v>
          </cell>
          <cell r="J208">
            <v>0</v>
          </cell>
          <cell r="K208" t="str">
            <v xml:space="preserve">─ </v>
          </cell>
          <cell r="L208">
            <v>0</v>
          </cell>
          <cell r="M208">
            <v>0</v>
          </cell>
          <cell r="N208" t="str">
            <v xml:space="preserve">─ </v>
          </cell>
          <cell r="O208">
            <v>0</v>
          </cell>
          <cell r="P208">
            <v>0</v>
          </cell>
          <cell r="Q208" t="str">
            <v xml:space="preserve">─ </v>
          </cell>
          <cell r="R208">
            <v>0</v>
          </cell>
          <cell r="S208">
            <v>0</v>
          </cell>
          <cell r="T208" t="str">
            <v xml:space="preserve">─ </v>
          </cell>
          <cell r="U208">
            <v>0</v>
          </cell>
          <cell r="V208">
            <v>0</v>
          </cell>
          <cell r="W208" t="str">
            <v xml:space="preserve">─ </v>
          </cell>
          <cell r="X208">
            <v>0</v>
          </cell>
          <cell r="Y208">
            <v>0</v>
          </cell>
          <cell r="Z208" t="str">
            <v xml:space="preserve">─ </v>
          </cell>
          <cell r="AA208">
            <v>0</v>
          </cell>
          <cell r="AB208">
            <v>0</v>
          </cell>
          <cell r="AC208" t="str">
            <v xml:space="preserve">─ </v>
          </cell>
          <cell r="AD208">
            <v>0</v>
          </cell>
          <cell r="AE208">
            <v>0</v>
          </cell>
          <cell r="AF208" t="str">
            <v xml:space="preserve">─ </v>
          </cell>
          <cell r="AG208">
            <v>0</v>
          </cell>
          <cell r="AH208">
            <v>0</v>
          </cell>
          <cell r="AI208" t="str">
            <v xml:space="preserve">─ </v>
          </cell>
        </row>
        <row r="209">
          <cell r="B209" t="str">
            <v xml:space="preserve">  파생상품거래손실</v>
          </cell>
          <cell r="C209">
            <v>0</v>
          </cell>
          <cell r="D209">
            <v>0</v>
          </cell>
          <cell r="F209">
            <v>0</v>
          </cell>
          <cell r="G209">
            <v>0</v>
          </cell>
          <cell r="H209" t="str">
            <v xml:space="preserve">─ </v>
          </cell>
          <cell r="I209">
            <v>0</v>
          </cell>
          <cell r="J209">
            <v>0</v>
          </cell>
          <cell r="K209" t="str">
            <v xml:space="preserve">─ </v>
          </cell>
          <cell r="L209">
            <v>0</v>
          </cell>
          <cell r="M209">
            <v>0</v>
          </cell>
          <cell r="N209" t="str">
            <v xml:space="preserve">─ </v>
          </cell>
          <cell r="O209">
            <v>0</v>
          </cell>
          <cell r="P209">
            <v>0</v>
          </cell>
          <cell r="Q209" t="str">
            <v xml:space="preserve">─ </v>
          </cell>
          <cell r="R209">
            <v>0</v>
          </cell>
          <cell r="S209">
            <v>0</v>
          </cell>
          <cell r="T209" t="str">
            <v xml:space="preserve">─ </v>
          </cell>
          <cell r="U209">
            <v>0</v>
          </cell>
          <cell r="V209">
            <v>0</v>
          </cell>
          <cell r="W209" t="str">
            <v xml:space="preserve">─ </v>
          </cell>
          <cell r="X209">
            <v>0</v>
          </cell>
          <cell r="Y209">
            <v>0</v>
          </cell>
          <cell r="Z209" t="str">
            <v xml:space="preserve">─ </v>
          </cell>
          <cell r="AA209">
            <v>0</v>
          </cell>
          <cell r="AB209">
            <v>0</v>
          </cell>
          <cell r="AC209" t="str">
            <v xml:space="preserve">─ </v>
          </cell>
          <cell r="AD209">
            <v>0</v>
          </cell>
          <cell r="AE209">
            <v>0</v>
          </cell>
          <cell r="AF209" t="str">
            <v xml:space="preserve">─ </v>
          </cell>
          <cell r="AG209">
            <v>0</v>
          </cell>
          <cell r="AH209">
            <v>0</v>
          </cell>
          <cell r="AI209" t="str">
            <v xml:space="preserve">─ </v>
          </cell>
        </row>
        <row r="210">
          <cell r="B210" t="str">
            <v xml:space="preserve">  파생상품거래차상각</v>
          </cell>
          <cell r="C210">
            <v>0</v>
          </cell>
          <cell r="D210">
            <v>0</v>
          </cell>
          <cell r="F210">
            <v>0</v>
          </cell>
          <cell r="G210">
            <v>0</v>
          </cell>
          <cell r="H210" t="str">
            <v xml:space="preserve">─ </v>
          </cell>
          <cell r="I210">
            <v>0</v>
          </cell>
          <cell r="J210">
            <v>0</v>
          </cell>
          <cell r="K210" t="str">
            <v xml:space="preserve">─ </v>
          </cell>
          <cell r="L210">
            <v>0</v>
          </cell>
          <cell r="M210">
            <v>0</v>
          </cell>
          <cell r="N210" t="str">
            <v xml:space="preserve">─ </v>
          </cell>
          <cell r="O210">
            <v>0</v>
          </cell>
          <cell r="P210">
            <v>0</v>
          </cell>
          <cell r="Q210" t="str">
            <v xml:space="preserve">─ </v>
          </cell>
          <cell r="R210">
            <v>0</v>
          </cell>
          <cell r="S210">
            <v>0</v>
          </cell>
          <cell r="T210" t="str">
            <v xml:space="preserve">─ </v>
          </cell>
          <cell r="U210">
            <v>0</v>
          </cell>
          <cell r="V210">
            <v>0</v>
          </cell>
          <cell r="W210" t="str">
            <v xml:space="preserve">─ </v>
          </cell>
          <cell r="X210">
            <v>0</v>
          </cell>
          <cell r="Y210">
            <v>0</v>
          </cell>
          <cell r="Z210" t="str">
            <v xml:space="preserve">─ </v>
          </cell>
          <cell r="AA210">
            <v>0</v>
          </cell>
          <cell r="AB210">
            <v>0</v>
          </cell>
          <cell r="AC210" t="str">
            <v xml:space="preserve">─ </v>
          </cell>
          <cell r="AD210">
            <v>0</v>
          </cell>
          <cell r="AE210">
            <v>0</v>
          </cell>
          <cell r="AF210" t="str">
            <v xml:space="preserve">─ </v>
          </cell>
          <cell r="AG210">
            <v>0</v>
          </cell>
          <cell r="AH210">
            <v>0</v>
          </cell>
          <cell r="AI210" t="str">
            <v xml:space="preserve">─ </v>
          </cell>
        </row>
        <row r="211">
          <cell r="B211" t="str">
            <v xml:space="preserve">  기타영업외비용</v>
          </cell>
          <cell r="C211">
            <v>648</v>
          </cell>
          <cell r="D211">
            <v>0.28304111958487299</v>
          </cell>
          <cell r="F211">
            <v>513</v>
          </cell>
          <cell r="G211">
            <v>0.17515167862227671</v>
          </cell>
          <cell r="H211">
            <v>-20.833333333333343</v>
          </cell>
          <cell r="I211">
            <v>1235</v>
          </cell>
          <cell r="J211">
            <v>0.37575798143420891</v>
          </cell>
          <cell r="K211">
            <v>140.74074074074073</v>
          </cell>
          <cell r="L211">
            <v>930</v>
          </cell>
          <cell r="M211">
            <v>0.22282974609389039</v>
          </cell>
          <cell r="N211">
            <v>-24.696356275303643</v>
          </cell>
          <cell r="O211">
            <v>1586</v>
          </cell>
          <cell r="P211">
            <v>0.3495532506689118</v>
          </cell>
          <cell r="Q211">
            <v>70.537634408602145</v>
          </cell>
          <cell r="R211">
            <v>331</v>
          </cell>
          <cell r="S211">
            <v>7.7706097228873797E-2</v>
          </cell>
          <cell r="T211">
            <v>-79.129886506935691</v>
          </cell>
          <cell r="U211">
            <v>1573</v>
          </cell>
          <cell r="V211">
            <v>0.41535849425284321</v>
          </cell>
          <cell r="W211">
            <v>375.22658610271901</v>
          </cell>
          <cell r="X211">
            <v>0</v>
          </cell>
          <cell r="Y211">
            <v>0</v>
          </cell>
          <cell r="Z211">
            <v>-100</v>
          </cell>
          <cell r="AA211">
            <v>2789</v>
          </cell>
          <cell r="AB211">
            <v>0.64249201204355766</v>
          </cell>
          <cell r="AC211" t="str">
            <v xml:space="preserve">─ </v>
          </cell>
          <cell r="AD211">
            <v>2057</v>
          </cell>
          <cell r="AE211">
            <v>0.41839727604456933</v>
          </cell>
          <cell r="AF211">
            <v>-26.245966296163502</v>
          </cell>
          <cell r="AG211">
            <v>40</v>
          </cell>
          <cell r="AH211">
            <v>3.6571762941832613E-2</v>
          </cell>
          <cell r="AI211">
            <v>-39.393939393939391</v>
          </cell>
        </row>
        <row r="212">
          <cell r="B212" t="str">
            <v>경상이익</v>
          </cell>
          <cell r="C212">
            <v>2333</v>
          </cell>
          <cell r="D212">
            <v>1.019035388875785</v>
          </cell>
          <cell r="F212">
            <v>3574</v>
          </cell>
          <cell r="G212">
            <v>1.2202575036959393</v>
          </cell>
          <cell r="H212">
            <v>53.193313330475803</v>
          </cell>
          <cell r="I212">
            <v>688</v>
          </cell>
          <cell r="J212">
            <v>0.20932914269371311</v>
          </cell>
          <cell r="K212">
            <v>-80.749860100727474</v>
          </cell>
          <cell r="L212">
            <v>3811</v>
          </cell>
          <cell r="M212">
            <v>0.91312275522990993</v>
          </cell>
          <cell r="N212">
            <v>453.92441860465112</v>
          </cell>
          <cell r="O212">
            <v>1912</v>
          </cell>
          <cell r="P212">
            <v>0.42140341442557333</v>
          </cell>
          <cell r="Q212">
            <v>-49.82944109157701</v>
          </cell>
          <cell r="R212">
            <v>4009</v>
          </cell>
          <cell r="S212">
            <v>0.94115934679926005</v>
          </cell>
          <cell r="T212">
            <v>109.6757322175732</v>
          </cell>
          <cell r="U212">
            <v>11167</v>
          </cell>
          <cell r="V212">
            <v>2.9487020377123332</v>
          </cell>
          <cell r="W212">
            <v>178.54826640059866</v>
          </cell>
          <cell r="X212">
            <v>3005</v>
          </cell>
          <cell r="Y212">
            <v>0.70679772413484898</v>
          </cell>
          <cell r="Z212">
            <v>-73.090355511775769</v>
          </cell>
          <cell r="AA212">
            <v>5179</v>
          </cell>
          <cell r="AB212">
            <v>1.1930678129700916</v>
          </cell>
          <cell r="AC212">
            <v>72.34608985024957</v>
          </cell>
          <cell r="AD212">
            <v>11781</v>
          </cell>
          <cell r="AE212">
            <v>2.396275308255261</v>
          </cell>
          <cell r="AF212">
            <v>127.47634678509363</v>
          </cell>
          <cell r="AG212">
            <v>5709</v>
          </cell>
          <cell r="AH212">
            <v>5.2197048658730596</v>
          </cell>
          <cell r="AI212">
            <v>300.63157894736844</v>
          </cell>
        </row>
        <row r="213">
          <cell r="B213" t="str">
            <v>특별이익</v>
          </cell>
          <cell r="C213">
            <v>2267</v>
          </cell>
          <cell r="D213">
            <v>0.99020712669584432</v>
          </cell>
          <cell r="F213">
            <v>3230</v>
          </cell>
          <cell r="G213">
            <v>1.10280686539952</v>
          </cell>
          <cell r="H213">
            <v>42.479047198941345</v>
          </cell>
          <cell r="I213">
            <v>848</v>
          </cell>
          <cell r="J213">
            <v>0.25801033866899525</v>
          </cell>
          <cell r="K213">
            <v>-73.746130030959748</v>
          </cell>
          <cell r="L213">
            <v>17</v>
          </cell>
          <cell r="M213">
            <v>4.0732319178453076E-3</v>
          </cell>
          <cell r="N213">
            <v>-97.995283018867923</v>
          </cell>
          <cell r="O213">
            <v>72</v>
          </cell>
          <cell r="P213">
            <v>1.5868747823557156E-2</v>
          </cell>
          <cell r="Q213">
            <v>323.52941176470591</v>
          </cell>
          <cell r="R213">
            <v>0</v>
          </cell>
          <cell r="S213">
            <v>0</v>
          </cell>
          <cell r="T213">
            <v>-100</v>
          </cell>
          <cell r="U213">
            <v>0</v>
          </cell>
          <cell r="V213">
            <v>0</v>
          </cell>
          <cell r="W213" t="str">
            <v xml:space="preserve">─ </v>
          </cell>
          <cell r="X213">
            <v>0</v>
          </cell>
          <cell r="Y213">
            <v>0</v>
          </cell>
          <cell r="Z213" t="str">
            <v xml:space="preserve">─ </v>
          </cell>
          <cell r="AA213">
            <v>0</v>
          </cell>
          <cell r="AB213">
            <v>0</v>
          </cell>
          <cell r="AC213" t="str">
            <v xml:space="preserve">─ </v>
          </cell>
          <cell r="AD213">
            <v>0</v>
          </cell>
          <cell r="AE213">
            <v>0</v>
          </cell>
          <cell r="AF213" t="str">
            <v xml:space="preserve">─ </v>
          </cell>
          <cell r="AG213">
            <v>0</v>
          </cell>
          <cell r="AH213">
            <v>0</v>
          </cell>
          <cell r="AI213" t="str">
            <v xml:space="preserve">─ </v>
          </cell>
        </row>
        <row r="214">
          <cell r="B214" t="str">
            <v>특별손실</v>
          </cell>
          <cell r="C214">
            <v>1446</v>
          </cell>
          <cell r="D214">
            <v>0.63160101685142955</v>
          </cell>
          <cell r="F214">
            <v>4577</v>
          </cell>
          <cell r="G214">
            <v>1.5627080566357903</v>
          </cell>
          <cell r="H214">
            <v>216.52835408022128</v>
          </cell>
          <cell r="I214">
            <v>2274</v>
          </cell>
          <cell r="J214">
            <v>0.69188149779869712</v>
          </cell>
          <cell r="K214">
            <v>-50.31680139829583</v>
          </cell>
          <cell r="L214">
            <v>2109</v>
          </cell>
          <cell r="M214">
            <v>0.50532035969033851</v>
          </cell>
          <cell r="N214">
            <v>-7.25593667546174</v>
          </cell>
          <cell r="O214">
            <v>687</v>
          </cell>
          <cell r="P214">
            <v>0.15141430214977453</v>
          </cell>
          <cell r="Q214">
            <v>-67.425320056899011</v>
          </cell>
          <cell r="R214">
            <v>0</v>
          </cell>
          <cell r="S214">
            <v>0</v>
          </cell>
          <cell r="T214">
            <v>-100</v>
          </cell>
          <cell r="U214">
            <v>6441</v>
          </cell>
          <cell r="V214">
            <v>1.7007781700461304</v>
          </cell>
          <cell r="W214" t="str">
            <v xml:space="preserve">─ </v>
          </cell>
          <cell r="X214">
            <v>0</v>
          </cell>
          <cell r="Y214">
            <v>0</v>
          </cell>
          <cell r="Z214">
            <v>-100</v>
          </cell>
          <cell r="AA214">
            <v>0</v>
          </cell>
          <cell r="AB214">
            <v>0</v>
          </cell>
          <cell r="AC214" t="str">
            <v xml:space="preserve">─ </v>
          </cell>
          <cell r="AD214">
            <v>0</v>
          </cell>
          <cell r="AE214">
            <v>0</v>
          </cell>
          <cell r="AF214" t="str">
            <v xml:space="preserve">─ </v>
          </cell>
          <cell r="AG214">
            <v>0</v>
          </cell>
          <cell r="AH214">
            <v>0</v>
          </cell>
          <cell r="AI214" t="str">
            <v xml:space="preserve">─ </v>
          </cell>
        </row>
        <row r="215">
          <cell r="B215" t="str">
            <v>법인세차감전순이익</v>
          </cell>
          <cell r="C215">
            <v>3154</v>
          </cell>
          <cell r="D215">
            <v>1.3776414987201997</v>
          </cell>
          <cell r="F215">
            <v>2228</v>
          </cell>
          <cell r="G215">
            <v>0.76069773873378654</v>
          </cell>
          <cell r="H215">
            <v>-29.359543436905525</v>
          </cell>
          <cell r="I215">
            <v>-738</v>
          </cell>
          <cell r="J215">
            <v>-0.22454201643598878</v>
          </cell>
          <cell r="K215">
            <v>-133.12387791741472</v>
          </cell>
          <cell r="L215">
            <v>1719</v>
          </cell>
          <cell r="M215">
            <v>0.41187562745741674</v>
          </cell>
          <cell r="N215">
            <v>-332.92682926829264</v>
          </cell>
          <cell r="O215">
            <v>1297</v>
          </cell>
          <cell r="P215">
            <v>0.28585786009935599</v>
          </cell>
          <cell r="Q215">
            <v>-24.549156486329267</v>
          </cell>
          <cell r="R215">
            <v>4009</v>
          </cell>
          <cell r="S215">
            <v>0.94115934679926005</v>
          </cell>
          <cell r="T215">
            <v>209.09791827293753</v>
          </cell>
          <cell r="U215">
            <v>4726</v>
          </cell>
          <cell r="V215">
            <v>1.2479238676662028</v>
          </cell>
          <cell r="W215">
            <v>17.884759291593923</v>
          </cell>
          <cell r="X215">
            <v>3005</v>
          </cell>
          <cell r="Y215">
            <v>0.70679772413484898</v>
          </cell>
          <cell r="Z215">
            <v>-36.415573423614042</v>
          </cell>
          <cell r="AA215">
            <v>5179</v>
          </cell>
          <cell r="AB215">
            <v>1.1930678129700916</v>
          </cell>
          <cell r="AC215">
            <v>72.34608985024957</v>
          </cell>
          <cell r="AD215">
            <v>11781</v>
          </cell>
          <cell r="AE215">
            <v>2.396275308255261</v>
          </cell>
          <cell r="AF215">
            <v>127.47634678509363</v>
          </cell>
          <cell r="AG215">
            <v>5709</v>
          </cell>
          <cell r="AH215">
            <v>5.2197048658730596</v>
          </cell>
          <cell r="AI215">
            <v>300.63157894736844</v>
          </cell>
        </row>
        <row r="216">
          <cell r="B216" t="str">
            <v>법인세 등</v>
          </cell>
          <cell r="C216">
            <v>1542</v>
          </cell>
          <cell r="D216">
            <v>0.67353303456770719</v>
          </cell>
          <cell r="F216">
            <v>1699</v>
          </cell>
          <cell r="G216">
            <v>0.58008323972562992</v>
          </cell>
          <cell r="H216">
            <v>10.181582360570701</v>
          </cell>
          <cell r="I216">
            <v>345</v>
          </cell>
          <cell r="J216">
            <v>0.10496882882170208</v>
          </cell>
          <cell r="K216">
            <v>-79.693937610359029</v>
          </cell>
          <cell r="L216">
            <v>1465</v>
          </cell>
          <cell r="M216">
            <v>0.35101675056725745</v>
          </cell>
          <cell r="N216">
            <v>324.63768115942031</v>
          </cell>
          <cell r="O216">
            <v>1166</v>
          </cell>
          <cell r="P216">
            <v>0.25698555503149506</v>
          </cell>
          <cell r="Q216">
            <v>-20.409556313993164</v>
          </cell>
          <cell r="R216">
            <v>2796</v>
          </cell>
          <cell r="S216">
            <v>0.65639349804208802</v>
          </cell>
          <cell r="T216">
            <v>139.79416809605488</v>
          </cell>
          <cell r="U216">
            <v>4005</v>
          </cell>
          <cell r="V216">
            <v>1.0575402221758659</v>
          </cell>
          <cell r="W216">
            <v>43.240343347639481</v>
          </cell>
          <cell r="X216">
            <v>1388</v>
          </cell>
          <cell r="Y216">
            <v>0.32646763430920817</v>
          </cell>
          <cell r="Z216">
            <v>-65.343320848938816</v>
          </cell>
          <cell r="AA216">
            <v>2139</v>
          </cell>
          <cell r="AB216">
            <v>0.49275382350705266</v>
          </cell>
          <cell r="AC216">
            <v>54.106628242074919</v>
          </cell>
          <cell r="AD216">
            <v>4429</v>
          </cell>
          <cell r="AE216">
            <v>0.90086608439542915</v>
          </cell>
          <cell r="AF216">
            <v>107.05937353903693</v>
          </cell>
          <cell r="AG216">
            <v>2030</v>
          </cell>
          <cell r="AH216">
            <v>1.8560169692980049</v>
          </cell>
          <cell r="AI216">
            <v>236.65008291873966</v>
          </cell>
        </row>
        <row r="217">
          <cell r="B217" t="str">
            <v>당기순이익</v>
          </cell>
          <cell r="C217">
            <v>1612</v>
          </cell>
          <cell r="D217">
            <v>0.70410846415249273</v>
          </cell>
          <cell r="F217">
            <v>529</v>
          </cell>
          <cell r="G217">
            <v>0.18061449900815668</v>
          </cell>
          <cell r="H217">
            <v>-67.18362282878411</v>
          </cell>
          <cell r="I217">
            <v>-1083</v>
          </cell>
          <cell r="J217">
            <v>-0.32951084525769087</v>
          </cell>
          <cell r="K217">
            <v>-304.72589792060489</v>
          </cell>
          <cell r="L217">
            <v>254</v>
          </cell>
          <cell r="M217">
            <v>6.0858876890159307E-2</v>
          </cell>
          <cell r="N217">
            <v>-123.4533702677747</v>
          </cell>
          <cell r="O217">
            <v>131</v>
          </cell>
          <cell r="P217">
            <v>2.8872305067860937E-2</v>
          </cell>
          <cell r="Q217">
            <v>-48.425196850393704</v>
          </cell>
          <cell r="R217">
            <v>1214</v>
          </cell>
          <cell r="S217">
            <v>0.28500061038021995</v>
          </cell>
          <cell r="T217">
            <v>826.71755725190849</v>
          </cell>
          <cell r="U217">
            <v>721</v>
          </cell>
          <cell r="V217">
            <v>0.1903836454903369</v>
          </cell>
          <cell r="W217">
            <v>-40.609555189456344</v>
          </cell>
          <cell r="X217">
            <v>1617</v>
          </cell>
          <cell r="Y217">
            <v>0.38033008982564087</v>
          </cell>
          <cell r="Z217">
            <v>124.27184466019418</v>
          </cell>
          <cell r="AA217">
            <v>3040</v>
          </cell>
          <cell r="AB217">
            <v>0.7003139894630388</v>
          </cell>
          <cell r="AC217">
            <v>88.002473716759425</v>
          </cell>
          <cell r="AD217">
            <v>7353</v>
          </cell>
          <cell r="AE217">
            <v>1.4956126255496931</v>
          </cell>
          <cell r="AF217">
            <v>141.87500000000003</v>
          </cell>
          <cell r="AG217">
            <v>3678</v>
          </cell>
          <cell r="AH217">
            <v>3.3627736025015085</v>
          </cell>
          <cell r="AI217">
            <v>346.90157958687723</v>
          </cell>
        </row>
        <row r="218">
          <cell r="B218" t="str">
            <v>(건설자금이자)</v>
          </cell>
          <cell r="D218">
            <v>0</v>
          </cell>
          <cell r="G218">
            <v>0</v>
          </cell>
          <cell r="H218" t="str">
            <v xml:space="preserve">─ </v>
          </cell>
          <cell r="J218">
            <v>0</v>
          </cell>
          <cell r="K218" t="str">
            <v xml:space="preserve">─ </v>
          </cell>
          <cell r="M218">
            <v>0</v>
          </cell>
          <cell r="N218" t="str">
            <v xml:space="preserve">─ </v>
          </cell>
          <cell r="P218">
            <v>0</v>
          </cell>
          <cell r="Q218" t="str">
            <v xml:space="preserve">─ </v>
          </cell>
          <cell r="S218">
            <v>0</v>
          </cell>
          <cell r="T218" t="str">
            <v xml:space="preserve">─ </v>
          </cell>
          <cell r="V218">
            <v>0</v>
          </cell>
          <cell r="W218" t="str">
            <v xml:space="preserve">─ </v>
          </cell>
          <cell r="Y218">
            <v>0</v>
          </cell>
          <cell r="Z218" t="str">
            <v xml:space="preserve">─ </v>
          </cell>
          <cell r="AB218">
            <v>0</v>
          </cell>
          <cell r="AC218" t="str">
            <v xml:space="preserve">─ </v>
          </cell>
          <cell r="AE218">
            <v>0</v>
          </cell>
          <cell r="AF218" t="str">
            <v xml:space="preserve">─ </v>
          </cell>
          <cell r="AH218">
            <v>0</v>
          </cell>
          <cell r="AI218" t="str">
            <v xml:space="preserve">─ </v>
          </cell>
        </row>
        <row r="220">
          <cell r="B220" t="str">
            <v>공사원가명세서</v>
          </cell>
          <cell r="AF220" t="str">
            <v>삼부토건(주)</v>
          </cell>
          <cell r="AI220" t="str">
            <v>삼부토건(주)</v>
          </cell>
        </row>
        <row r="221">
          <cell r="AF221" t="str">
            <v>(단위:백만원,%)</v>
          </cell>
          <cell r="AI221" t="str">
            <v>(단위:백만원,%)</v>
          </cell>
        </row>
        <row r="222">
          <cell r="B222">
            <v>0</v>
          </cell>
          <cell r="C222" t="str">
            <v>'94.1 ~ '94.12</v>
          </cell>
          <cell r="F222" t="str">
            <v>'95.1 ~ '95.12</v>
          </cell>
          <cell r="I222" t="str">
            <v>'96.1 ~ '96.12</v>
          </cell>
          <cell r="L222" t="str">
            <v>'97.1 ~ '97.12</v>
          </cell>
          <cell r="O222" t="str">
            <v>'98.1 ~ '98.12</v>
          </cell>
          <cell r="R222" t="str">
            <v>'99.1 ~ '99.12</v>
          </cell>
          <cell r="U222" t="str">
            <v>'00.1 ~ '00.12</v>
          </cell>
          <cell r="X222" t="str">
            <v>'01.1 ~ '01.12</v>
          </cell>
          <cell r="AA222" t="str">
            <v>'02.1 ~ '02.12</v>
          </cell>
          <cell r="AD222" t="str">
            <v>'03.1 ~ '03.12</v>
          </cell>
          <cell r="AG222" t="str">
            <v>'04.1 ~ '04.3</v>
          </cell>
        </row>
        <row r="223">
          <cell r="C223" t="str">
            <v>금액</v>
          </cell>
          <cell r="D223" t="str">
            <v>구성비</v>
          </cell>
          <cell r="H223" t="str">
            <v>금액   구성비 매출대비</v>
          </cell>
          <cell r="K223" t="str">
            <v>금액   구성비 매출대비</v>
          </cell>
          <cell r="N223" t="str">
            <v>금액   구성비 매출대비</v>
          </cell>
          <cell r="Q223" t="str">
            <v>금액   구성비 매출대비</v>
          </cell>
          <cell r="T223" t="str">
            <v>금액   구성비 매출대비</v>
          </cell>
          <cell r="W223" t="str">
            <v>금액   구성비 매출대비</v>
          </cell>
          <cell r="Z223" t="str">
            <v>금액   구성비 매출대비</v>
          </cell>
          <cell r="AC223" t="str">
            <v>금액   구성비 매출대비</v>
          </cell>
          <cell r="AF223" t="str">
            <v>금액   구성비 매출대비</v>
          </cell>
          <cell r="AI223" t="str">
            <v>금액   구성비 매출대비</v>
          </cell>
        </row>
        <row r="224">
          <cell r="B224" t="str">
            <v>재료비</v>
          </cell>
          <cell r="C224">
            <v>81740</v>
          </cell>
          <cell r="D224">
            <v>38.025148513930304</v>
          </cell>
          <cell r="E224">
            <v>50.151239055875621</v>
          </cell>
          <cell r="F224">
            <v>45677</v>
          </cell>
          <cell r="G224">
            <v>21.303080474780216</v>
          </cell>
          <cell r="H224">
            <v>22.444045893423091</v>
          </cell>
          <cell r="I224">
            <v>98282</v>
          </cell>
          <cell r="J224">
            <v>31.399799362304393</v>
          </cell>
          <cell r="K224">
            <v>38.416767319050464</v>
          </cell>
          <cell r="L224">
            <v>85471</v>
          </cell>
          <cell r="M224">
            <v>22.699169804906809</v>
          </cell>
          <cell r="N224">
            <v>25.09498223670689</v>
          </cell>
          <cell r="O224">
            <v>91861</v>
          </cell>
          <cell r="P224">
            <v>23.053429367330036</v>
          </cell>
          <cell r="Q224">
            <v>24.359140942587196</v>
          </cell>
          <cell r="R224">
            <v>87222</v>
          </cell>
          <cell r="S224">
            <v>22.225902954382136</v>
          </cell>
          <cell r="T224">
            <v>23.776837605905637</v>
          </cell>
          <cell r="U224">
            <v>74853</v>
          </cell>
          <cell r="V224">
            <v>22.287230241532086</v>
          </cell>
          <cell r="W224">
            <v>21.0464014485867</v>
          </cell>
          <cell r="X224">
            <v>82057</v>
          </cell>
          <cell r="Y224">
            <v>22.64459708197997</v>
          </cell>
          <cell r="Z224">
            <v>23.078567310261423</v>
          </cell>
          <cell r="AA224">
            <v>121681</v>
          </cell>
          <cell r="AB224">
            <v>28.900035863490732</v>
          </cell>
          <cell r="AC224">
            <v>32.833070249996624</v>
          </cell>
          <cell r="AD224">
            <v>105219</v>
          </cell>
          <cell r="AE224">
            <v>24.527259503762345</v>
          </cell>
          <cell r="AF224">
            <v>27.954186791640762</v>
          </cell>
          <cell r="AG224">
            <v>0</v>
          </cell>
          <cell r="AH224" t="str">
            <v xml:space="preserve">─ </v>
          </cell>
          <cell r="AI224">
            <v>0</v>
          </cell>
        </row>
        <row r="225">
          <cell r="B225" t="str">
            <v>노무비</v>
          </cell>
          <cell r="C225">
            <v>34689</v>
          </cell>
          <cell r="D225">
            <v>16.13719570344664</v>
          </cell>
          <cell r="E225">
            <v>21.283292532533267</v>
          </cell>
          <cell r="F225">
            <v>45679</v>
          </cell>
          <cell r="G225">
            <v>21.304013245341977</v>
          </cell>
          <cell r="H225">
            <v>22.445028621968895</v>
          </cell>
          <cell r="I225">
            <v>48721</v>
          </cell>
          <cell r="J225">
            <v>15.565715235046421</v>
          </cell>
          <cell r="K225">
            <v>19.044212781093769</v>
          </cell>
          <cell r="L225">
            <v>56875</v>
          </cell>
          <cell r="M225">
            <v>15.104717186578778</v>
          </cell>
          <cell r="N225">
            <v>16.698963563228517</v>
          </cell>
          <cell r="O225">
            <v>52631</v>
          </cell>
          <cell r="P225">
            <v>13.208271639019248</v>
          </cell>
          <cell r="Q225">
            <v>13.956368284139153</v>
          </cell>
          <cell r="R225">
            <v>42188</v>
          </cell>
          <cell r="S225">
            <v>10.750342732790736</v>
          </cell>
          <cell r="T225">
            <v>11.500507038567644</v>
          </cell>
          <cell r="U225">
            <v>44294</v>
          </cell>
          <cell r="V225">
            <v>13.188390262493449</v>
          </cell>
          <cell r="W225">
            <v>12.454134179841814</v>
          </cell>
          <cell r="X225">
            <v>32855</v>
          </cell>
          <cell r="Y225">
            <v>9.0667248026183263</v>
          </cell>
          <cell r="Z225">
            <v>9.2404831882549825</v>
          </cell>
          <cell r="AA225">
            <v>30515</v>
          </cell>
          <cell r="AB225">
            <v>7.2475127125386845</v>
          </cell>
          <cell r="AC225">
            <v>8.2338338662457335</v>
          </cell>
          <cell r="AD225">
            <v>33071</v>
          </cell>
          <cell r="AE225">
            <v>7.7090734472759141</v>
          </cell>
          <cell r="AF225">
            <v>8.7861784600343267</v>
          </cell>
          <cell r="AG225">
            <v>0</v>
          </cell>
          <cell r="AH225" t="str">
            <v xml:space="preserve">─ </v>
          </cell>
          <cell r="AI225">
            <v>0</v>
          </cell>
        </row>
        <row r="226">
          <cell r="B226" t="str">
            <v>경  비</v>
          </cell>
          <cell r="C226">
            <v>98534</v>
          </cell>
          <cell r="D226">
            <v>45.837655782623052</v>
          </cell>
          <cell r="E226">
            <v>60.455128323117791</v>
          </cell>
          <cell r="F226">
            <v>123059</v>
          </cell>
          <cell r="G226">
            <v>57.392906279877806</v>
          </cell>
          <cell r="H226">
            <v>60.466796059258535</v>
          </cell>
          <cell r="I226">
            <v>165999</v>
          </cell>
          <cell r="J226">
            <v>53.034485402649189</v>
          </cell>
          <cell r="K226">
            <v>64.886194401773039</v>
          </cell>
          <cell r="L226">
            <v>234193</v>
          </cell>
          <cell r="M226">
            <v>62.196378585959458</v>
          </cell>
          <cell r="N226">
            <v>68.760973604627267</v>
          </cell>
          <cell r="O226">
            <v>253978</v>
          </cell>
          <cell r="P226">
            <v>63.738298993650709</v>
          </cell>
          <cell r="Q226">
            <v>67.348340409057286</v>
          </cell>
          <cell r="R226">
            <v>263024</v>
          </cell>
          <cell r="S226">
            <v>67.023754312827123</v>
          </cell>
          <cell r="T226">
            <v>71.70070549237262</v>
          </cell>
          <cell r="U226">
            <v>216709</v>
          </cell>
          <cell r="V226">
            <v>64.524379495974458</v>
          </cell>
          <cell r="W226">
            <v>60.93202158259222</v>
          </cell>
          <cell r="X226">
            <v>247457</v>
          </cell>
          <cell r="Y226">
            <v>68.288678115401709</v>
          </cell>
          <cell r="Z226">
            <v>69.597389995921873</v>
          </cell>
          <cell r="AA226">
            <v>268846</v>
          </cell>
          <cell r="AB226">
            <v>63.852688930531713</v>
          </cell>
          <cell r="AC226">
            <v>72.542464348835011</v>
          </cell>
          <cell r="AD226">
            <v>290699</v>
          </cell>
          <cell r="AE226">
            <v>67.763900155715305</v>
          </cell>
          <cell r="AF226">
            <v>77.231813133969894</v>
          </cell>
          <cell r="AG226">
            <v>0</v>
          </cell>
          <cell r="AH226" t="str">
            <v xml:space="preserve">─ </v>
          </cell>
          <cell r="AI226">
            <v>0</v>
          </cell>
        </row>
        <row r="227">
          <cell r="B227" t="str">
            <v xml:space="preserve">  (외주가공비)</v>
          </cell>
          <cell r="C227">
            <v>53553</v>
          </cell>
          <cell r="D227">
            <v>24.91265938789466</v>
          </cell>
          <cell r="E227">
            <v>32.857221741611291</v>
          </cell>
          <cell r="F227">
            <v>78940</v>
          </cell>
          <cell r="G227">
            <v>36.816454072709462</v>
          </cell>
          <cell r="H227">
            <v>38.788295703019429</v>
          </cell>
          <cell r="I227">
            <v>102335</v>
          </cell>
          <cell r="J227">
            <v>32.694679267225126</v>
          </cell>
          <cell r="K227">
            <v>40.001016295914098</v>
          </cell>
          <cell r="L227">
            <v>156141</v>
          </cell>
          <cell r="M227">
            <v>41.467527845795111</v>
          </cell>
          <cell r="N227">
            <v>45.844270236941774</v>
          </cell>
          <cell r="O227">
            <v>173254</v>
          </cell>
          <cell r="P227">
            <v>43.479810274299197</v>
          </cell>
          <cell r="Q227">
            <v>45.942441350159498</v>
          </cell>
          <cell r="R227">
            <v>185852</v>
          </cell>
          <cell r="S227">
            <v>47.358791542017258</v>
          </cell>
          <cell r="T227">
            <v>50.663511760023553</v>
          </cell>
          <cell r="U227">
            <v>163173</v>
          </cell>
          <cell r="V227">
            <v>48.584214663427183</v>
          </cell>
          <cell r="W227">
            <v>45.879316307566</v>
          </cell>
          <cell r="X227">
            <v>177789</v>
          </cell>
          <cell r="Y227">
            <v>49.062971722194781</v>
          </cell>
          <cell r="Z227">
            <v>50.003234380053719</v>
          </cell>
          <cell r="AA227">
            <v>194327</v>
          </cell>
          <cell r="AB227">
            <v>46.153937502523505</v>
          </cell>
          <cell r="AC227">
            <v>52.435072381646229</v>
          </cell>
          <cell r="AD227">
            <v>220093</v>
          </cell>
          <cell r="AE227">
            <v>51.305164713232074</v>
          </cell>
          <cell r="AF227">
            <v>58.473477542388643</v>
          </cell>
          <cell r="AG227">
            <v>0</v>
          </cell>
          <cell r="AH227" t="str">
            <v xml:space="preserve">─ </v>
          </cell>
          <cell r="AI227">
            <v>0</v>
          </cell>
        </row>
        <row r="228">
          <cell r="B228" t="str">
            <v>당기총공사원가</v>
          </cell>
          <cell r="C228">
            <v>214963</v>
          </cell>
          <cell r="D228">
            <v>100</v>
          </cell>
          <cell r="E228">
            <v>131.88965991152668</v>
          </cell>
          <cell r="F228">
            <v>214415</v>
          </cell>
          <cell r="G228">
            <v>100</v>
          </cell>
          <cell r="H228">
            <v>105.35587057465052</v>
          </cell>
          <cell r="I228">
            <v>313002</v>
          </cell>
          <cell r="J228">
            <v>100</v>
          </cell>
          <cell r="K228">
            <v>122.34717450191728</v>
          </cell>
          <cell r="L228">
            <v>376538</v>
          </cell>
          <cell r="M228">
            <v>100</v>
          </cell>
          <cell r="N228">
            <v>110.55462579641211</v>
          </cell>
          <cell r="O228">
            <v>398470</v>
          </cell>
          <cell r="P228">
            <v>100</v>
          </cell>
          <cell r="Q228">
            <v>105.66384963578363</v>
          </cell>
          <cell r="R228">
            <v>392434</v>
          </cell>
          <cell r="S228">
            <v>100</v>
          </cell>
          <cell r="T228">
            <v>106.97805013684589</v>
          </cell>
          <cell r="U228">
            <v>335856</v>
          </cell>
          <cell r="V228">
            <v>100</v>
          </cell>
          <cell r="W228">
            <v>94.432557211020736</v>
          </cell>
          <cell r="X228">
            <v>362369</v>
          </cell>
          <cell r="Y228">
            <v>100</v>
          </cell>
          <cell r="Z228">
            <v>101.91644049443826</v>
          </cell>
          <cell r="AA228">
            <v>421041</v>
          </cell>
          <cell r="AB228">
            <v>100</v>
          </cell>
          <cell r="AC228">
            <v>113.6090986360141</v>
          </cell>
          <cell r="AD228">
            <v>428988</v>
          </cell>
          <cell r="AE228">
            <v>100</v>
          </cell>
          <cell r="AF228">
            <v>113.97191270941929</v>
          </cell>
          <cell r="AG228">
            <v>0</v>
          </cell>
          <cell r="AH228" t="str">
            <v xml:space="preserve">─ </v>
          </cell>
          <cell r="AI228">
            <v>0</v>
          </cell>
        </row>
        <row r="229">
          <cell r="B229" t="str">
            <v>기초재공품재고액</v>
          </cell>
          <cell r="C229">
            <v>31018</v>
          </cell>
          <cell r="D229">
            <v>14.429459953573406</v>
          </cell>
          <cell r="E229">
            <v>19.0309656598379</v>
          </cell>
          <cell r="F229">
            <v>55506</v>
          </cell>
          <cell r="G229">
            <v>25.887181400554997</v>
          </cell>
          <cell r="H229">
            <v>27.273665331793723</v>
          </cell>
          <cell r="I229">
            <v>16505</v>
          </cell>
          <cell r="J229">
            <v>5.2731292451805416</v>
          </cell>
          <cell r="K229">
            <v>6.4515246393126713</v>
          </cell>
          <cell r="L229">
            <v>30450</v>
          </cell>
          <cell r="M229">
            <v>8.0868332014298687</v>
          </cell>
          <cell r="N229">
            <v>8.9403681846208052</v>
          </cell>
          <cell r="O229">
            <v>23712</v>
          </cell>
          <cell r="P229">
            <v>5.9507616633623615</v>
          </cell>
          <cell r="Q229">
            <v>6.2878038561590621</v>
          </cell>
          <cell r="R229">
            <v>9213</v>
          </cell>
          <cell r="S229">
            <v>2.3476559115672955</v>
          </cell>
          <cell r="T229">
            <v>2.5114765181170879</v>
          </cell>
          <cell r="U229">
            <v>12006</v>
          </cell>
          <cell r="V229">
            <v>3.5747463198513652</v>
          </cell>
          <cell r="W229">
            <v>3.3757243636424983</v>
          </cell>
          <cell r="X229">
            <v>7213</v>
          </cell>
          <cell r="Y229">
            <v>1.9905124334587119</v>
          </cell>
          <cell r="Z229">
            <v>2.0286594197803436</v>
          </cell>
          <cell r="AA229">
            <v>25081</v>
          </cell>
          <cell r="AB229">
            <v>5.9569020594193915</v>
          </cell>
          <cell r="AC229">
            <v>6.7675827363365304</v>
          </cell>
          <cell r="AD229">
            <v>36684</v>
          </cell>
          <cell r="AE229">
            <v>8.5512881479202214</v>
          </cell>
          <cell r="AF229">
            <v>9.7460666634785511</v>
          </cell>
          <cell r="AG229">
            <v>0</v>
          </cell>
          <cell r="AH229" t="str">
            <v xml:space="preserve">─ </v>
          </cell>
          <cell r="AI229">
            <v>0</v>
          </cell>
        </row>
        <row r="230">
          <cell r="B230" t="str">
            <v>타계정대체 등</v>
          </cell>
          <cell r="C230">
            <v>-1296</v>
          </cell>
          <cell r="D230">
            <v>-0.60289445160329924</v>
          </cell>
          <cell r="E230">
            <v>-0.79515544184505516</v>
          </cell>
          <cell r="F230">
            <v>-3120</v>
          </cell>
          <cell r="G230">
            <v>-1.4551220763472705</v>
          </cell>
          <cell r="H230">
            <v>-1.5330565314595974</v>
          </cell>
          <cell r="I230">
            <v>-8856</v>
          </cell>
          <cell r="J230">
            <v>-2.8293748921732127</v>
          </cell>
          <cell r="K230">
            <v>-3.4616602366405949</v>
          </cell>
          <cell r="L230">
            <v>-15215</v>
          </cell>
          <cell r="M230">
            <v>-4.0407608262645471</v>
          </cell>
          <cell r="N230">
            <v>-4.4672480108047798</v>
          </cell>
          <cell r="O230">
            <v>-11789</v>
          </cell>
          <cell r="P230">
            <v>-2.958566516927247</v>
          </cell>
          <cell r="Q230">
            <v>-3.1261352758206469</v>
          </cell>
          <cell r="R230">
            <v>-9788</v>
          </cell>
          <cell r="S230">
            <v>-2.494177364856256</v>
          </cell>
          <cell r="T230">
            <v>-2.6682223118777872</v>
          </cell>
          <cell r="U230">
            <v>-10384</v>
          </cell>
          <cell r="V230">
            <v>-3.0918012481539709</v>
          </cell>
          <cell r="W230">
            <v>-2.9196669825140513</v>
          </cell>
          <cell r="X230">
            <v>-10037</v>
          </cell>
          <cell r="Y230">
            <v>-2.7698285449362392</v>
          </cell>
          <cell r="Z230">
            <v>-2.8229106607979073</v>
          </cell>
          <cell r="AA230">
            <v>-15452</v>
          </cell>
          <cell r="AB230">
            <v>-3.6699513824069392</v>
          </cell>
          <cell r="AC230">
            <v>-4.1693986859324621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 t="str">
            <v xml:space="preserve">─ </v>
          </cell>
          <cell r="AI230">
            <v>0</v>
          </cell>
        </row>
        <row r="231">
          <cell r="B231" t="str">
            <v>기말미성공사</v>
          </cell>
          <cell r="C231">
            <v>55506</v>
          </cell>
          <cell r="D231">
            <v>25.821187832324632</v>
          </cell>
          <cell r="E231">
            <v>34.055476817169463</v>
          </cell>
          <cell r="F231">
            <v>16505</v>
          </cell>
          <cell r="G231">
            <v>7.6976890609332367</v>
          </cell>
          <cell r="H231">
            <v>8.1099673242758517</v>
          </cell>
          <cell r="I231">
            <v>30450</v>
          </cell>
          <cell r="J231">
            <v>9.7283723426687363</v>
          </cell>
          <cell r="K231">
            <v>11.902388686281178</v>
          </cell>
          <cell r="L231">
            <v>23154</v>
          </cell>
          <cell r="M231">
            <v>6.1491801624271654</v>
          </cell>
          <cell r="N231">
            <v>6.7982031181185594</v>
          </cell>
          <cell r="O231">
            <v>9814</v>
          </cell>
          <cell r="P231">
            <v>2.4629206715687504</v>
          </cell>
          <cell r="Q231">
            <v>2.6024167950550368</v>
          </cell>
          <cell r="R231">
            <v>12006</v>
          </cell>
          <cell r="S231">
            <v>3.0593679446734989</v>
          </cell>
          <cell r="T231">
            <v>3.2728521737234075</v>
          </cell>
          <cell r="U231">
            <v>7000</v>
          </cell>
          <cell r="V231">
            <v>2.0842265732933161</v>
          </cell>
          <cell r="W231">
            <v>1.9681884512325079</v>
          </cell>
          <cell r="X231">
            <v>6637</v>
          </cell>
          <cell r="Y231">
            <v>1.8315584390496982</v>
          </cell>
          <cell r="Z231">
            <v>1.8666591666549479</v>
          </cell>
          <cell r="AA231">
            <v>44414</v>
          </cell>
          <cell r="AB231">
            <v>10.548616405528202</v>
          </cell>
          <cell r="AC231">
            <v>11.984188016891299</v>
          </cell>
          <cell r="AD231">
            <v>26166</v>
          </cell>
          <cell r="AE231">
            <v>6.0994713138829058</v>
          </cell>
          <cell r="AF231">
            <v>6.9516841215946954</v>
          </cell>
          <cell r="AG231">
            <v>0</v>
          </cell>
          <cell r="AH231" t="str">
            <v xml:space="preserve">─ </v>
          </cell>
          <cell r="AI231">
            <v>0</v>
          </cell>
        </row>
        <row r="232">
          <cell r="B232" t="str">
            <v>당기공사원가</v>
          </cell>
          <cell r="C232">
            <v>189180</v>
          </cell>
          <cell r="D232">
            <v>88.005842865981592</v>
          </cell>
          <cell r="E232">
            <v>116.07060685821568</v>
          </cell>
          <cell r="F232">
            <v>250296</v>
          </cell>
          <cell r="G232">
            <v>116.73437026327449</v>
          </cell>
          <cell r="H232">
            <v>122.98651205070878</v>
          </cell>
          <cell r="I232">
            <v>290200</v>
          </cell>
          <cell r="J232">
            <v>92.715062523562153</v>
          </cell>
          <cell r="K232">
            <v>113.4342593352643</v>
          </cell>
          <cell r="L232">
            <v>368619</v>
          </cell>
          <cell r="M232">
            <v>97.896892212738152</v>
          </cell>
          <cell r="N232">
            <v>108.22954285210957</v>
          </cell>
          <cell r="O232">
            <v>400579</v>
          </cell>
          <cell r="P232">
            <v>100.52927447486637</v>
          </cell>
          <cell r="Q232">
            <v>106.22310142106701</v>
          </cell>
          <cell r="R232">
            <v>379853</v>
          </cell>
          <cell r="S232">
            <v>96.794110602037549</v>
          </cell>
          <cell r="T232">
            <v>103.54845216936179</v>
          </cell>
          <cell r="U232">
            <v>330478</v>
          </cell>
          <cell r="V232">
            <v>98.398718498404079</v>
          </cell>
          <cell r="W232">
            <v>92.920426140916675</v>
          </cell>
          <cell r="X232">
            <v>352908</v>
          </cell>
          <cell r="Y232">
            <v>97.389125449472786</v>
          </cell>
          <cell r="Z232">
            <v>99.255530086765759</v>
          </cell>
          <cell r="AA232">
            <v>386256</v>
          </cell>
          <cell r="AB232">
            <v>91.738334271484248</v>
          </cell>
          <cell r="AC232">
            <v>104.22309466952686</v>
          </cell>
          <cell r="AD232">
            <v>439506</v>
          </cell>
          <cell r="AE232">
            <v>102.45181683403732</v>
          </cell>
          <cell r="AF232">
            <v>116.76629525130313</v>
          </cell>
          <cell r="AG232">
            <v>0</v>
          </cell>
          <cell r="AH232" t="str">
            <v xml:space="preserve">─ </v>
          </cell>
          <cell r="AI232">
            <v>0</v>
          </cell>
        </row>
        <row r="233">
          <cell r="B233" t="str">
            <v>기초제품재고액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 t="str">
            <v xml:space="preserve">─ </v>
          </cell>
          <cell r="AI233">
            <v>0</v>
          </cell>
        </row>
        <row r="234">
          <cell r="B234" t="str">
            <v>타계정대체 등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 t="str">
            <v xml:space="preserve">─ </v>
          </cell>
          <cell r="AI234">
            <v>0</v>
          </cell>
        </row>
        <row r="235">
          <cell r="B235" t="str">
            <v>기말제품재고액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 t="str">
            <v xml:space="preserve">─ </v>
          </cell>
          <cell r="AI235">
            <v>0</v>
          </cell>
        </row>
        <row r="236">
          <cell r="B236" t="str">
            <v>당기제품매출원가</v>
          </cell>
          <cell r="C236">
            <v>1294</v>
          </cell>
          <cell r="D236">
            <v>0.60196405893107185</v>
          </cell>
          <cell r="E236">
            <v>0.7939283501138128</v>
          </cell>
          <cell r="F236">
            <v>3780</v>
          </cell>
          <cell r="G236">
            <v>1.7629363617284239</v>
          </cell>
          <cell r="H236">
            <v>1.8573569515760509</v>
          </cell>
          <cell r="I236">
            <v>9360</v>
          </cell>
          <cell r="J236">
            <v>2.9903962275001437</v>
          </cell>
          <cell r="K236">
            <v>3.6586652907583521</v>
          </cell>
          <cell r="L236">
            <v>8189</v>
          </cell>
          <cell r="M236">
            <v>2.1748136974223056</v>
          </cell>
          <cell r="N236">
            <v>2.4043571449543442</v>
          </cell>
          <cell r="O236">
            <v>8041</v>
          </cell>
          <cell r="P236">
            <v>2.0179687303937559</v>
          </cell>
          <cell r="Q236">
            <v>2.1322634449803903</v>
          </cell>
          <cell r="R236">
            <v>0</v>
          </cell>
          <cell r="S236">
            <v>0</v>
          </cell>
          <cell r="T236">
            <v>0</v>
          </cell>
          <cell r="U236">
            <v>5103</v>
          </cell>
          <cell r="V236">
            <v>1.5194011719308276</v>
          </cell>
          <cell r="W236">
            <v>1.4348093809484981</v>
          </cell>
          <cell r="X236">
            <v>3869</v>
          </cell>
          <cell r="Y236">
            <v>1.067696188139714</v>
          </cell>
          <cell r="Z236">
            <v>1.0881579502467973</v>
          </cell>
          <cell r="AA236">
            <v>7489</v>
          </cell>
          <cell r="AB236">
            <v>1.7786866362183253</v>
          </cell>
          <cell r="AC236">
            <v>2.0207498549668785</v>
          </cell>
          <cell r="AD236">
            <v>14358</v>
          </cell>
          <cell r="AE236">
            <v>3.346946767741755</v>
          </cell>
          <cell r="AF236">
            <v>3.8145792485613632</v>
          </cell>
          <cell r="AG236">
            <v>2015</v>
          </cell>
          <cell r="AH236" t="str">
            <v xml:space="preserve">─ </v>
          </cell>
          <cell r="AI236">
            <v>2.5280088323484762</v>
          </cell>
        </row>
        <row r="237">
          <cell r="A237" t="str">
            <v>주: 매출대비는 제품매출 대비 비중이나, 제품매출이 없을 경우 총매출액 대비 비중임.</v>
          </cell>
        </row>
        <row r="238">
          <cell r="B238" t="str">
            <v>NICE-CASHFLOW표</v>
          </cell>
          <cell r="AF238" t="str">
            <v>삼부토건(주)</v>
          </cell>
        </row>
        <row r="239">
          <cell r="B239">
            <v>0</v>
          </cell>
          <cell r="AF239" t="str">
            <v>(단위:백만원,%)</v>
          </cell>
        </row>
        <row r="240">
          <cell r="B240" t="str">
            <v>항       목</v>
          </cell>
          <cell r="C240" t="str">
            <v>'94.1 ~ '94.12</v>
          </cell>
          <cell r="F240" t="str">
            <v>'95.1 ~ '95.12</v>
          </cell>
          <cell r="I240" t="str">
            <v>'96.1 ~ '96.12</v>
          </cell>
          <cell r="L240" t="str">
            <v>'97.1 ~ '97.12</v>
          </cell>
          <cell r="O240" t="str">
            <v>'98.1 ~ '98.12</v>
          </cell>
          <cell r="R240" t="str">
            <v>'99.1 ~ '99.12</v>
          </cell>
          <cell r="U240" t="str">
            <v>'00.1 ~ '00.12</v>
          </cell>
          <cell r="X240" t="str">
            <v>'01.1 ~ '01.12</v>
          </cell>
          <cell r="AA240" t="str">
            <v>'02.1 ~ '02.12</v>
          </cell>
          <cell r="AD240" t="str">
            <v>'03.1 ~ '03.12</v>
          </cell>
        </row>
        <row r="241">
          <cell r="B241" t="str">
            <v>손익활동상 현금흐름</v>
          </cell>
          <cell r="C241">
            <v>8722</v>
          </cell>
          <cell r="F241">
            <v>7734</v>
          </cell>
          <cell r="I241">
            <v>7522</v>
          </cell>
          <cell r="L241">
            <v>11207</v>
          </cell>
          <cell r="O241">
            <v>12104</v>
          </cell>
          <cell r="R241">
            <v>13143</v>
          </cell>
          <cell r="U241">
            <v>6757</v>
          </cell>
          <cell r="X241">
            <v>17092</v>
          </cell>
          <cell r="AA241">
            <v>10325</v>
          </cell>
          <cell r="AD241">
            <v>20657</v>
          </cell>
        </row>
        <row r="242">
          <cell r="B242" t="str">
            <v xml:space="preserve">  당기순이익</v>
          </cell>
          <cell r="C242">
            <v>1612</v>
          </cell>
          <cell r="F242">
            <v>529</v>
          </cell>
          <cell r="I242">
            <v>-1083</v>
          </cell>
          <cell r="L242">
            <v>254</v>
          </cell>
          <cell r="O242">
            <v>131</v>
          </cell>
          <cell r="R242">
            <v>1214</v>
          </cell>
          <cell r="U242">
            <v>721</v>
          </cell>
          <cell r="X242">
            <v>1617</v>
          </cell>
          <cell r="AA242">
            <v>3040</v>
          </cell>
          <cell r="AD242">
            <v>7353</v>
          </cell>
        </row>
        <row r="243">
          <cell r="B243" t="str">
            <v xml:space="preserve">  감가상각비</v>
          </cell>
          <cell r="C243">
            <v>4380</v>
          </cell>
          <cell r="F243">
            <v>5516</v>
          </cell>
          <cell r="I243">
            <v>5095</v>
          </cell>
          <cell r="L243">
            <v>5713</v>
          </cell>
          <cell r="O243">
            <v>5391</v>
          </cell>
          <cell r="R243">
            <v>4709</v>
          </cell>
          <cell r="U243">
            <v>3917</v>
          </cell>
          <cell r="X243">
            <v>3601</v>
          </cell>
          <cell r="AA243">
            <v>3374</v>
          </cell>
          <cell r="AD243">
            <v>3075</v>
          </cell>
        </row>
        <row r="244">
          <cell r="B244" t="str">
            <v xml:space="preserve">  이연/무형자산상각</v>
          </cell>
          <cell r="C244">
            <v>402</v>
          </cell>
          <cell r="F244">
            <v>426</v>
          </cell>
          <cell r="I244">
            <v>292</v>
          </cell>
          <cell r="L244">
            <v>227</v>
          </cell>
          <cell r="O244">
            <v>799</v>
          </cell>
          <cell r="R244">
            <v>0</v>
          </cell>
          <cell r="U244">
            <v>66</v>
          </cell>
          <cell r="X244">
            <v>66</v>
          </cell>
          <cell r="AA244">
            <v>194</v>
          </cell>
          <cell r="AD244">
            <v>225</v>
          </cell>
        </row>
        <row r="245">
          <cell r="B245" t="str">
            <v xml:space="preserve">  부채성충당금전입액</v>
          </cell>
          <cell r="C245">
            <v>2218</v>
          </cell>
          <cell r="F245">
            <v>1856</v>
          </cell>
          <cell r="I245">
            <v>2603</v>
          </cell>
          <cell r="L245">
            <v>3258</v>
          </cell>
          <cell r="O245">
            <v>3735</v>
          </cell>
          <cell r="R245">
            <v>3759</v>
          </cell>
          <cell r="U245">
            <v>-601</v>
          </cell>
          <cell r="X245">
            <v>5705</v>
          </cell>
          <cell r="AA245">
            <v>3350</v>
          </cell>
          <cell r="AD245">
            <v>2159</v>
          </cell>
        </row>
        <row r="246">
          <cell r="B246" t="str">
            <v xml:space="preserve">  기타 비자금비용/수익</v>
          </cell>
          <cell r="C246">
            <v>110</v>
          </cell>
          <cell r="F246">
            <v>-593</v>
          </cell>
          <cell r="I246">
            <v>615</v>
          </cell>
          <cell r="L246">
            <v>1755</v>
          </cell>
          <cell r="O246">
            <v>2048</v>
          </cell>
          <cell r="R246">
            <v>3461</v>
          </cell>
          <cell r="U246">
            <v>2654</v>
          </cell>
          <cell r="X246">
            <v>6103</v>
          </cell>
          <cell r="AA246">
            <v>367</v>
          </cell>
          <cell r="AD246">
            <v>7845</v>
          </cell>
        </row>
        <row r="247">
          <cell r="B247" t="str">
            <v>운전자금 증가</v>
          </cell>
          <cell r="C247">
            <v>13320</v>
          </cell>
          <cell r="F247">
            <v>-13964</v>
          </cell>
          <cell r="I247">
            <v>9243</v>
          </cell>
          <cell r="L247">
            <v>-33503</v>
          </cell>
          <cell r="O247">
            <v>40940</v>
          </cell>
          <cell r="R247">
            <v>-35198</v>
          </cell>
          <cell r="U247">
            <v>-11389</v>
          </cell>
          <cell r="X247">
            <v>-4700</v>
          </cell>
          <cell r="AA247">
            <v>-19984</v>
          </cell>
          <cell r="AD247">
            <v>-28068</v>
          </cell>
        </row>
        <row r="248">
          <cell r="B248" t="str">
            <v xml:space="preserve">  매출채권증가</v>
          </cell>
          <cell r="C248">
            <v>-12781</v>
          </cell>
          <cell r="F248">
            <v>21673</v>
          </cell>
          <cell r="I248">
            <v>4657</v>
          </cell>
          <cell r="L248">
            <v>-6470</v>
          </cell>
          <cell r="O248">
            <v>34058</v>
          </cell>
          <cell r="R248">
            <v>-45172</v>
          </cell>
          <cell r="U248">
            <v>5550</v>
          </cell>
          <cell r="X248">
            <v>22709</v>
          </cell>
          <cell r="AA248">
            <v>-33077</v>
          </cell>
          <cell r="AD248">
            <v>-27233</v>
          </cell>
        </row>
        <row r="249">
          <cell r="B249" t="str">
            <v xml:space="preserve">  재고자산증가</v>
          </cell>
          <cell r="C249">
            <v>28917</v>
          </cell>
          <cell r="F249">
            <v>-29913</v>
          </cell>
          <cell r="I249">
            <v>13860</v>
          </cell>
          <cell r="L249">
            <v>5304</v>
          </cell>
          <cell r="O249">
            <v>-9298</v>
          </cell>
          <cell r="R249">
            <v>-5378</v>
          </cell>
          <cell r="U249">
            <v>5676</v>
          </cell>
          <cell r="X249">
            <v>-30437</v>
          </cell>
          <cell r="AA249">
            <v>7205</v>
          </cell>
          <cell r="AD249">
            <v>17331</v>
          </cell>
        </row>
        <row r="250">
          <cell r="B250" t="str">
            <v xml:space="preserve">  매입채무증가</v>
          </cell>
          <cell r="C250">
            <v>2816</v>
          </cell>
          <cell r="F250">
            <v>5724</v>
          </cell>
          <cell r="I250">
            <v>9274</v>
          </cell>
          <cell r="L250">
            <v>32337</v>
          </cell>
          <cell r="O250">
            <v>-16180</v>
          </cell>
          <cell r="R250">
            <v>-15352</v>
          </cell>
          <cell r="U250">
            <v>22615</v>
          </cell>
          <cell r="X250">
            <v>-3028</v>
          </cell>
          <cell r="AA250">
            <v>-5888</v>
          </cell>
          <cell r="AD250">
            <v>18166</v>
          </cell>
        </row>
        <row r="251">
          <cell r="B251" t="str">
            <v>기타 영업관련 현금흐름</v>
          </cell>
          <cell r="C251">
            <v>-13860</v>
          </cell>
          <cell r="F251">
            <v>-48133</v>
          </cell>
          <cell r="I251">
            <v>-6021</v>
          </cell>
          <cell r="L251">
            <v>-25547</v>
          </cell>
          <cell r="O251">
            <v>-186</v>
          </cell>
          <cell r="R251">
            <v>-17836</v>
          </cell>
          <cell r="U251">
            <v>13502</v>
          </cell>
          <cell r="X251">
            <v>-9946</v>
          </cell>
          <cell r="AA251">
            <v>14846</v>
          </cell>
          <cell r="AD251">
            <v>27193</v>
          </cell>
        </row>
        <row r="252">
          <cell r="B252" t="str">
            <v xml:space="preserve">  유동자산증가</v>
          </cell>
          <cell r="C252">
            <v>12237</v>
          </cell>
          <cell r="F252">
            <v>58617</v>
          </cell>
          <cell r="I252">
            <v>12776</v>
          </cell>
          <cell r="L252">
            <v>51231</v>
          </cell>
          <cell r="O252">
            <v>2847</v>
          </cell>
          <cell r="R252">
            <v>1118</v>
          </cell>
          <cell r="U252">
            <v>-147</v>
          </cell>
          <cell r="X252">
            <v>2204</v>
          </cell>
          <cell r="AA252">
            <v>-10364</v>
          </cell>
          <cell r="AD252">
            <v>-27127</v>
          </cell>
        </row>
        <row r="253">
          <cell r="B253" t="str">
            <v xml:space="preserve">  유동부채증가</v>
          </cell>
          <cell r="C253">
            <v>-1623</v>
          </cell>
          <cell r="F253">
            <v>10484</v>
          </cell>
          <cell r="I253">
            <v>6755</v>
          </cell>
          <cell r="L253">
            <v>25684</v>
          </cell>
          <cell r="O253">
            <v>2661</v>
          </cell>
          <cell r="R253">
            <v>-16718</v>
          </cell>
          <cell r="U253">
            <v>13355</v>
          </cell>
          <cell r="X253">
            <v>-7742</v>
          </cell>
          <cell r="AA253">
            <v>4482</v>
          </cell>
          <cell r="AD253">
            <v>66</v>
          </cell>
        </row>
        <row r="254">
          <cell r="B254" t="str">
            <v>영업활동 현금흐름</v>
          </cell>
          <cell r="C254">
            <v>-18458</v>
          </cell>
          <cell r="F254">
            <v>-26435</v>
          </cell>
          <cell r="I254">
            <v>-7742</v>
          </cell>
          <cell r="L254">
            <v>19163</v>
          </cell>
          <cell r="O254">
            <v>-29022</v>
          </cell>
          <cell r="R254">
            <v>30505</v>
          </cell>
          <cell r="U254">
            <v>31648</v>
          </cell>
          <cell r="X254">
            <v>11846</v>
          </cell>
          <cell r="AA254">
            <v>45155</v>
          </cell>
          <cell r="AD254">
            <v>75918</v>
          </cell>
        </row>
        <row r="255">
          <cell r="B255" t="str">
            <v>투자활동 현금유입</v>
          </cell>
          <cell r="C255">
            <v>7924</v>
          </cell>
          <cell r="F255">
            <v>558</v>
          </cell>
          <cell r="I255">
            <v>28259</v>
          </cell>
          <cell r="L255">
            <v>54593</v>
          </cell>
          <cell r="O255">
            <v>40828</v>
          </cell>
          <cell r="R255">
            <v>32110</v>
          </cell>
          <cell r="U255">
            <v>15088</v>
          </cell>
          <cell r="X255">
            <v>65672</v>
          </cell>
          <cell r="AA255">
            <v>51677</v>
          </cell>
          <cell r="AD255">
            <v>15151</v>
          </cell>
        </row>
        <row r="256">
          <cell r="B256" t="str">
            <v xml:space="preserve">  유동자산감소</v>
          </cell>
          <cell r="C256">
            <v>3637</v>
          </cell>
          <cell r="F256">
            <v>84</v>
          </cell>
          <cell r="I256">
            <v>22561</v>
          </cell>
          <cell r="L256">
            <v>28479</v>
          </cell>
          <cell r="O256">
            <v>18371</v>
          </cell>
          <cell r="R256">
            <v>26621</v>
          </cell>
          <cell r="U256">
            <v>10011</v>
          </cell>
          <cell r="X256">
            <v>58891</v>
          </cell>
          <cell r="AA256">
            <v>43496</v>
          </cell>
          <cell r="AD256">
            <v>7172</v>
          </cell>
        </row>
        <row r="257">
          <cell r="B257" t="str">
            <v xml:space="preserve">    단기금융상품감소</v>
          </cell>
          <cell r="C257">
            <v>0</v>
          </cell>
          <cell r="F257">
            <v>0</v>
          </cell>
          <cell r="I257">
            <v>0</v>
          </cell>
          <cell r="L257">
            <v>0</v>
          </cell>
          <cell r="O257">
            <v>0</v>
          </cell>
          <cell r="R257">
            <v>7677</v>
          </cell>
          <cell r="U257">
            <v>1044</v>
          </cell>
          <cell r="X257">
            <v>36606</v>
          </cell>
          <cell r="AA257">
            <v>32569</v>
          </cell>
          <cell r="AD257">
            <v>495</v>
          </cell>
        </row>
        <row r="258">
          <cell r="B258" t="str">
            <v xml:space="preserve">  투자자산감소</v>
          </cell>
          <cell r="C258">
            <v>1128</v>
          </cell>
          <cell r="F258">
            <v>0</v>
          </cell>
          <cell r="I258">
            <v>5272</v>
          </cell>
          <cell r="L258">
            <v>24203</v>
          </cell>
          <cell r="O258">
            <v>21058</v>
          </cell>
          <cell r="R258">
            <v>5183</v>
          </cell>
          <cell r="U258">
            <v>5054</v>
          </cell>
          <cell r="X258">
            <v>5278</v>
          </cell>
          <cell r="AA258">
            <v>7621</v>
          </cell>
          <cell r="AD258">
            <v>2592</v>
          </cell>
        </row>
        <row r="259">
          <cell r="B259" t="str">
            <v xml:space="preserve">  유형자산감소</v>
          </cell>
          <cell r="C259">
            <v>3160</v>
          </cell>
          <cell r="F259">
            <v>474</v>
          </cell>
          <cell r="I259">
            <v>426</v>
          </cell>
          <cell r="L259">
            <v>1911</v>
          </cell>
          <cell r="O259">
            <v>1400</v>
          </cell>
          <cell r="R259">
            <v>306</v>
          </cell>
          <cell r="U259">
            <v>23</v>
          </cell>
          <cell r="X259">
            <v>1503</v>
          </cell>
          <cell r="AA259">
            <v>560</v>
          </cell>
          <cell r="AD259">
            <v>4337</v>
          </cell>
        </row>
        <row r="260">
          <cell r="B260" t="str">
            <v xml:space="preserve">  무형/이연자산감소</v>
          </cell>
          <cell r="C260">
            <v>0</v>
          </cell>
          <cell r="F260">
            <v>0</v>
          </cell>
          <cell r="I260">
            <v>0</v>
          </cell>
          <cell r="L260">
            <v>0</v>
          </cell>
          <cell r="O260">
            <v>0</v>
          </cell>
          <cell r="R260">
            <v>0</v>
          </cell>
          <cell r="U260">
            <v>0</v>
          </cell>
          <cell r="X260">
            <v>0</v>
          </cell>
          <cell r="AA260">
            <v>0</v>
          </cell>
          <cell r="AD260">
            <v>0</v>
          </cell>
        </row>
        <row r="261">
          <cell r="B261" t="str">
            <v xml:space="preserve">  기타</v>
          </cell>
          <cell r="C261">
            <v>-1</v>
          </cell>
          <cell r="F261">
            <v>0</v>
          </cell>
          <cell r="I261">
            <v>0</v>
          </cell>
          <cell r="L261">
            <v>0</v>
          </cell>
          <cell r="O261">
            <v>-1</v>
          </cell>
          <cell r="R261">
            <v>-7677</v>
          </cell>
          <cell r="U261">
            <v>-1044</v>
          </cell>
          <cell r="X261">
            <v>0</v>
          </cell>
          <cell r="AA261">
            <v>0</v>
          </cell>
          <cell r="AD261">
            <v>1050</v>
          </cell>
        </row>
        <row r="262">
          <cell r="B262" t="str">
            <v>투자활동 현금유출</v>
          </cell>
          <cell r="C262">
            <v>16601</v>
          </cell>
          <cell r="F262">
            <v>41155</v>
          </cell>
          <cell r="I262">
            <v>46505</v>
          </cell>
          <cell r="L262">
            <v>49344</v>
          </cell>
          <cell r="O262">
            <v>69746</v>
          </cell>
          <cell r="R262">
            <v>65692</v>
          </cell>
          <cell r="U262">
            <v>39476</v>
          </cell>
          <cell r="X262">
            <v>79304</v>
          </cell>
          <cell r="AA262">
            <v>45957</v>
          </cell>
          <cell r="AD262">
            <v>30026</v>
          </cell>
        </row>
        <row r="263">
          <cell r="B263" t="str">
            <v xml:space="preserve">  유동자산증가</v>
          </cell>
          <cell r="C263">
            <v>11796</v>
          </cell>
          <cell r="F263">
            <v>9058</v>
          </cell>
          <cell r="I263">
            <v>26051</v>
          </cell>
          <cell r="L263">
            <v>23629</v>
          </cell>
          <cell r="O263">
            <v>53038</v>
          </cell>
          <cell r="R263">
            <v>18000</v>
          </cell>
          <cell r="U263">
            <v>14299</v>
          </cell>
          <cell r="X263">
            <v>69306</v>
          </cell>
          <cell r="AA263">
            <v>15248</v>
          </cell>
          <cell r="AD263">
            <v>18083</v>
          </cell>
        </row>
        <row r="264">
          <cell r="B264" t="str">
            <v xml:space="preserve">    단기금융상품증가</v>
          </cell>
          <cell r="C264">
            <v>0</v>
          </cell>
          <cell r="F264">
            <v>0</v>
          </cell>
          <cell r="I264">
            <v>0</v>
          </cell>
          <cell r="L264">
            <v>0</v>
          </cell>
          <cell r="O264">
            <v>0</v>
          </cell>
          <cell r="R264">
            <v>5277</v>
          </cell>
          <cell r="U264">
            <v>4805</v>
          </cell>
          <cell r="X264">
            <v>62645</v>
          </cell>
          <cell r="AA264">
            <v>3435</v>
          </cell>
          <cell r="AD264">
            <v>1474</v>
          </cell>
        </row>
        <row r="265">
          <cell r="B265" t="str">
            <v xml:space="preserve">  투자자산증가</v>
          </cell>
          <cell r="C265">
            <v>1017</v>
          </cell>
          <cell r="F265">
            <v>21356</v>
          </cell>
          <cell r="I265">
            <v>14385</v>
          </cell>
          <cell r="L265">
            <v>23748</v>
          </cell>
          <cell r="O265">
            <v>8380</v>
          </cell>
          <cell r="R265">
            <v>38508</v>
          </cell>
          <cell r="U265">
            <v>1797</v>
          </cell>
          <cell r="X265">
            <v>9493</v>
          </cell>
          <cell r="AA265">
            <v>28924</v>
          </cell>
          <cell r="AD265">
            <v>11306</v>
          </cell>
        </row>
        <row r="266">
          <cell r="B266" t="str">
            <v xml:space="preserve">  유형자산증가</v>
          </cell>
          <cell r="C266">
            <v>3787</v>
          </cell>
          <cell r="F266">
            <v>10604</v>
          </cell>
          <cell r="I266">
            <v>6000</v>
          </cell>
          <cell r="L266">
            <v>1967</v>
          </cell>
          <cell r="O266">
            <v>5659</v>
          </cell>
          <cell r="R266">
            <v>9184</v>
          </cell>
          <cell r="U266">
            <v>23380</v>
          </cell>
          <cell r="X266">
            <v>505</v>
          </cell>
          <cell r="AA266">
            <v>992</v>
          </cell>
          <cell r="AD266">
            <v>637</v>
          </cell>
        </row>
        <row r="267">
          <cell r="B267" t="str">
            <v xml:space="preserve">  무형/이연자산증가</v>
          </cell>
          <cell r="C267">
            <v>1</v>
          </cell>
          <cell r="F267">
            <v>137</v>
          </cell>
          <cell r="I267">
            <v>68</v>
          </cell>
          <cell r="L267">
            <v>0</v>
          </cell>
          <cell r="O267">
            <v>574</v>
          </cell>
          <cell r="R267">
            <v>0</v>
          </cell>
          <cell r="U267">
            <v>0</v>
          </cell>
          <cell r="X267">
            <v>0</v>
          </cell>
          <cell r="AA267">
            <v>793</v>
          </cell>
          <cell r="AD267">
            <v>0</v>
          </cell>
        </row>
        <row r="268">
          <cell r="B268" t="str">
            <v xml:space="preserve">  기타</v>
          </cell>
          <cell r="C268">
            <v>0</v>
          </cell>
          <cell r="F268">
            <v>0</v>
          </cell>
          <cell r="I268">
            <v>1</v>
          </cell>
          <cell r="L268">
            <v>0</v>
          </cell>
          <cell r="O268">
            <v>2095</v>
          </cell>
          <cell r="R268">
            <v>-5277</v>
          </cell>
          <cell r="U268">
            <v>-4805</v>
          </cell>
          <cell r="X268">
            <v>0</v>
          </cell>
          <cell r="AA268">
            <v>0</v>
          </cell>
          <cell r="AD268">
            <v>0</v>
          </cell>
        </row>
        <row r="269">
          <cell r="B269" t="str">
            <v>투자활동 현금흐름</v>
          </cell>
          <cell r="C269">
            <v>-8676</v>
          </cell>
          <cell r="F269">
            <v>-40597</v>
          </cell>
          <cell r="I269">
            <v>-18246</v>
          </cell>
          <cell r="L269">
            <v>5248</v>
          </cell>
          <cell r="O269">
            <v>-28919</v>
          </cell>
          <cell r="R269">
            <v>-33582</v>
          </cell>
          <cell r="U269">
            <v>-24388</v>
          </cell>
          <cell r="X269">
            <v>-13632</v>
          </cell>
          <cell r="AA269">
            <v>5720</v>
          </cell>
          <cell r="AD269">
            <v>-14875</v>
          </cell>
        </row>
        <row r="270">
          <cell r="B270" t="str">
            <v>영업/투자활동 현금흐름</v>
          </cell>
          <cell r="C270">
            <v>-27134</v>
          </cell>
          <cell r="F270">
            <v>-67032</v>
          </cell>
          <cell r="I270">
            <v>-25988</v>
          </cell>
          <cell r="L270">
            <v>24411</v>
          </cell>
          <cell r="O270">
            <v>-57941</v>
          </cell>
          <cell r="R270">
            <v>-3077</v>
          </cell>
          <cell r="U270">
            <v>7260</v>
          </cell>
          <cell r="X270">
            <v>-1786</v>
          </cell>
          <cell r="AA270">
            <v>50875</v>
          </cell>
          <cell r="AD270">
            <v>61043</v>
          </cell>
        </row>
        <row r="271">
          <cell r="B271" t="str">
            <v>재무활동 현금유입</v>
          </cell>
          <cell r="C271">
            <v>27196</v>
          </cell>
          <cell r="F271">
            <v>83797</v>
          </cell>
          <cell r="I271">
            <v>38232</v>
          </cell>
          <cell r="L271">
            <v>653428</v>
          </cell>
          <cell r="O271">
            <v>875945</v>
          </cell>
          <cell r="R271">
            <v>405160</v>
          </cell>
          <cell r="U271">
            <v>526651</v>
          </cell>
          <cell r="X271">
            <v>755214</v>
          </cell>
          <cell r="AA271">
            <v>510632</v>
          </cell>
          <cell r="AD271">
            <v>196001</v>
          </cell>
        </row>
        <row r="272">
          <cell r="B272" t="str">
            <v xml:space="preserve">  단기차입금증가</v>
          </cell>
          <cell r="C272">
            <v>21860</v>
          </cell>
          <cell r="F272">
            <v>41933</v>
          </cell>
          <cell r="I272">
            <v>12446</v>
          </cell>
          <cell r="L272">
            <v>630252</v>
          </cell>
          <cell r="O272">
            <v>789983</v>
          </cell>
          <cell r="R272">
            <v>367833</v>
          </cell>
          <cell r="U272">
            <v>476259</v>
          </cell>
          <cell r="X272">
            <v>642459</v>
          </cell>
          <cell r="AA272">
            <v>421387</v>
          </cell>
          <cell r="AD272">
            <v>151618</v>
          </cell>
        </row>
        <row r="273">
          <cell r="B273" t="str">
            <v xml:space="preserve">  사채발행</v>
          </cell>
          <cell r="C273">
            <v>0</v>
          </cell>
          <cell r="F273">
            <v>13000</v>
          </cell>
          <cell r="I273">
            <v>9632</v>
          </cell>
          <cell r="L273">
            <v>15000</v>
          </cell>
          <cell r="O273">
            <v>78700</v>
          </cell>
          <cell r="R273">
            <v>27127</v>
          </cell>
          <cell r="U273">
            <v>25000</v>
          </cell>
          <cell r="X273">
            <v>24126</v>
          </cell>
          <cell r="AA273">
            <v>29920</v>
          </cell>
          <cell r="AD273">
            <v>38000</v>
          </cell>
        </row>
        <row r="274">
          <cell r="B274" t="str">
            <v xml:space="preserve">  장기차입금차입</v>
          </cell>
          <cell r="C274">
            <v>0</v>
          </cell>
          <cell r="F274">
            <v>0</v>
          </cell>
          <cell r="I274">
            <v>13620</v>
          </cell>
          <cell r="L274">
            <v>6560</v>
          </cell>
          <cell r="O274">
            <v>5140</v>
          </cell>
          <cell r="R274">
            <v>10200</v>
          </cell>
          <cell r="U274">
            <v>25392</v>
          </cell>
          <cell r="X274">
            <v>86300</v>
          </cell>
          <cell r="AA274">
            <v>9000</v>
          </cell>
          <cell r="AD274">
            <v>0</v>
          </cell>
        </row>
        <row r="275">
          <cell r="B275" t="str">
            <v xml:space="preserve">  유상증자</v>
          </cell>
          <cell r="C275">
            <v>0</v>
          </cell>
          <cell r="F275">
            <v>28694</v>
          </cell>
          <cell r="I275">
            <v>0</v>
          </cell>
          <cell r="L275">
            <v>0</v>
          </cell>
          <cell r="O275">
            <v>0</v>
          </cell>
          <cell r="R275">
            <v>0</v>
          </cell>
          <cell r="U275">
            <v>0</v>
          </cell>
          <cell r="X275">
            <v>0</v>
          </cell>
          <cell r="AA275">
            <v>0</v>
          </cell>
          <cell r="AD275">
            <v>0</v>
          </cell>
        </row>
        <row r="276">
          <cell r="B276" t="str">
            <v xml:space="preserve">  기타</v>
          </cell>
          <cell r="C276">
            <v>5336</v>
          </cell>
          <cell r="F276">
            <v>170</v>
          </cell>
          <cell r="I276">
            <v>2534</v>
          </cell>
          <cell r="L276">
            <v>1616</v>
          </cell>
          <cell r="O276">
            <v>2122</v>
          </cell>
          <cell r="R276">
            <v>0</v>
          </cell>
          <cell r="U276">
            <v>0</v>
          </cell>
          <cell r="X276">
            <v>2329</v>
          </cell>
          <cell r="AA276">
            <v>50325</v>
          </cell>
          <cell r="AD276">
            <v>6383</v>
          </cell>
        </row>
        <row r="277">
          <cell r="B277" t="str">
            <v>재무활동 현금유출</v>
          </cell>
          <cell r="C277">
            <v>1767</v>
          </cell>
          <cell r="F277">
            <v>12830</v>
          </cell>
          <cell r="I277">
            <v>11662</v>
          </cell>
          <cell r="L277">
            <v>636949</v>
          </cell>
          <cell r="O277">
            <v>828651</v>
          </cell>
          <cell r="R277">
            <v>433229</v>
          </cell>
          <cell r="U277">
            <v>534824</v>
          </cell>
          <cell r="X277">
            <v>754741</v>
          </cell>
          <cell r="AA277">
            <v>563594</v>
          </cell>
          <cell r="AD277">
            <v>245373</v>
          </cell>
        </row>
        <row r="278">
          <cell r="B278" t="str">
            <v xml:space="preserve">  단기차입금상환</v>
          </cell>
          <cell r="C278">
            <v>0</v>
          </cell>
          <cell r="F278">
            <v>9656</v>
          </cell>
          <cell r="I278">
            <v>20</v>
          </cell>
          <cell r="L278">
            <v>630489</v>
          </cell>
          <cell r="O278">
            <v>782156</v>
          </cell>
          <cell r="R278">
            <v>422923</v>
          </cell>
          <cell r="U278">
            <v>478423</v>
          </cell>
          <cell r="X278">
            <v>635623</v>
          </cell>
          <cell r="AA278">
            <v>474000</v>
          </cell>
          <cell r="AD278">
            <v>168000</v>
          </cell>
        </row>
        <row r="279">
          <cell r="B279" t="str">
            <v xml:space="preserve">  유장차상환</v>
          </cell>
          <cell r="C279">
            <v>0</v>
          </cell>
          <cell r="F279">
            <v>2500</v>
          </cell>
          <cell r="I279">
            <v>8000</v>
          </cell>
          <cell r="L279">
            <v>0</v>
          </cell>
          <cell r="O279">
            <v>16000</v>
          </cell>
          <cell r="R279">
            <v>10000</v>
          </cell>
          <cell r="U279">
            <v>45000</v>
          </cell>
          <cell r="X279">
            <v>45000</v>
          </cell>
          <cell r="AA279">
            <v>42000</v>
          </cell>
          <cell r="AD279">
            <v>28000</v>
          </cell>
        </row>
        <row r="280">
          <cell r="B280" t="str">
            <v xml:space="preserve">  사채상환</v>
          </cell>
          <cell r="C280">
            <v>0</v>
          </cell>
          <cell r="F280">
            <v>0</v>
          </cell>
          <cell r="I280">
            <v>0</v>
          </cell>
          <cell r="L280">
            <v>0</v>
          </cell>
          <cell r="O280">
            <v>15000</v>
          </cell>
          <cell r="R280">
            <v>0</v>
          </cell>
          <cell r="U280">
            <v>0</v>
          </cell>
          <cell r="X280">
            <v>0</v>
          </cell>
          <cell r="AA280">
            <v>0</v>
          </cell>
          <cell r="AD280">
            <v>0</v>
          </cell>
        </row>
        <row r="281">
          <cell r="B281" t="str">
            <v xml:space="preserve">  장기차입금상환</v>
          </cell>
          <cell r="C281">
            <v>1250</v>
          </cell>
          <cell r="F281">
            <v>0</v>
          </cell>
          <cell r="I281">
            <v>140</v>
          </cell>
          <cell r="L281">
            <v>2280</v>
          </cell>
          <cell r="O281">
            <v>6788</v>
          </cell>
          <cell r="R281">
            <v>0</v>
          </cell>
          <cell r="U281">
            <v>10500</v>
          </cell>
          <cell r="X281">
            <v>73700</v>
          </cell>
          <cell r="AA281">
            <v>46944</v>
          </cell>
          <cell r="AD281">
            <v>9000</v>
          </cell>
        </row>
        <row r="282">
          <cell r="B282" t="str">
            <v xml:space="preserve">  기타</v>
          </cell>
          <cell r="C282">
            <v>517</v>
          </cell>
          <cell r="F282">
            <v>674</v>
          </cell>
          <cell r="I282">
            <v>3502</v>
          </cell>
          <cell r="L282">
            <v>4180</v>
          </cell>
          <cell r="O282">
            <v>8707</v>
          </cell>
          <cell r="R282">
            <v>306</v>
          </cell>
          <cell r="U282">
            <v>901</v>
          </cell>
          <cell r="X282">
            <v>418</v>
          </cell>
          <cell r="AA282">
            <v>650</v>
          </cell>
          <cell r="AD282">
            <v>40373</v>
          </cell>
        </row>
        <row r="283">
          <cell r="B283" t="str">
            <v>재무활동 현금흐름</v>
          </cell>
          <cell r="C283">
            <v>25429</v>
          </cell>
          <cell r="F283">
            <v>70967</v>
          </cell>
          <cell r="I283">
            <v>26570</v>
          </cell>
          <cell r="L283">
            <v>16479</v>
          </cell>
          <cell r="O283">
            <v>47295</v>
          </cell>
          <cell r="R283">
            <v>-28069</v>
          </cell>
          <cell r="U283">
            <v>-8173</v>
          </cell>
          <cell r="X283">
            <v>473</v>
          </cell>
          <cell r="AA283">
            <v>-52962</v>
          </cell>
          <cell r="AD283">
            <v>-49372</v>
          </cell>
        </row>
        <row r="284">
          <cell r="B284" t="str">
            <v>합병및인수로인한현금의증감</v>
          </cell>
        </row>
        <row r="285">
          <cell r="B285" t="str">
            <v>현금증가액</v>
          </cell>
          <cell r="C285">
            <v>-1704</v>
          </cell>
          <cell r="F285">
            <v>3935</v>
          </cell>
          <cell r="I285">
            <v>581</v>
          </cell>
          <cell r="L285">
            <v>40891</v>
          </cell>
          <cell r="O285">
            <v>-10646</v>
          </cell>
          <cell r="R285">
            <v>-31146</v>
          </cell>
          <cell r="U285">
            <v>-912</v>
          </cell>
          <cell r="X285">
            <v>-1313</v>
          </cell>
          <cell r="AA285">
            <v>-2087</v>
          </cell>
          <cell r="AD285">
            <v>11671</v>
          </cell>
        </row>
        <row r="286">
          <cell r="B286" t="str">
            <v xml:space="preserve">  기초 현금예금</v>
          </cell>
          <cell r="C286">
            <v>8782</v>
          </cell>
          <cell r="F286">
            <v>7234</v>
          </cell>
          <cell r="I286">
            <v>11169</v>
          </cell>
          <cell r="L286">
            <v>11750</v>
          </cell>
          <cell r="O286">
            <v>52641</v>
          </cell>
          <cell r="R286">
            <v>36973</v>
          </cell>
          <cell r="U286">
            <v>5827</v>
          </cell>
          <cell r="X286">
            <v>4915</v>
          </cell>
          <cell r="AA286">
            <v>3602</v>
          </cell>
          <cell r="AD286">
            <v>1515</v>
          </cell>
        </row>
        <row r="287">
          <cell r="B287" t="str">
            <v xml:space="preserve">  기말 현금예금</v>
          </cell>
          <cell r="C287">
            <v>7078</v>
          </cell>
          <cell r="F287">
            <v>11169</v>
          </cell>
          <cell r="I287">
            <v>11750</v>
          </cell>
          <cell r="L287">
            <v>52641</v>
          </cell>
          <cell r="O287">
            <v>41995</v>
          </cell>
          <cell r="R287">
            <v>5827</v>
          </cell>
          <cell r="U287">
            <v>4915</v>
          </cell>
          <cell r="X287">
            <v>3602</v>
          </cell>
          <cell r="AA287">
            <v>1515</v>
          </cell>
          <cell r="AD287">
            <v>13186</v>
          </cell>
        </row>
        <row r="289">
          <cell r="B289" t="str">
            <v xml:space="preserve"> 주요 재무지표 </v>
          </cell>
        </row>
        <row r="290">
          <cell r="B290">
            <v>0</v>
          </cell>
          <cell r="AF290" t="str">
            <v>삼부토건(주)</v>
          </cell>
          <cell r="AI290" t="str">
            <v>삼부토건(주)</v>
          </cell>
        </row>
        <row r="291">
          <cell r="B291">
            <v>0</v>
          </cell>
          <cell r="C291" t="str">
            <v>'94.1 ~ '94.12</v>
          </cell>
          <cell r="F291" t="str">
            <v>'95.1 ~ '95.12</v>
          </cell>
          <cell r="I291" t="str">
            <v>'96.1 ~ '96.12</v>
          </cell>
          <cell r="L291" t="str">
            <v>'97.1 ~ '97.12</v>
          </cell>
          <cell r="O291" t="str">
            <v>'98.1 ~ '98.12</v>
          </cell>
          <cell r="R291" t="str">
            <v>'99.1 ~ '99.12</v>
          </cell>
          <cell r="U291" t="str">
            <v>'00.1 ~ '00.12</v>
          </cell>
          <cell r="X291" t="str">
            <v>'01.1 ~ '01.12</v>
          </cell>
          <cell r="AA291" t="str">
            <v>'02.1 ~ '02.12</v>
          </cell>
          <cell r="AD291" t="str">
            <v>'03.1 ~ '03.12</v>
          </cell>
          <cell r="AG291" t="str">
            <v>'04.1 ~ '04.3</v>
          </cell>
        </row>
        <row r="292">
          <cell r="E292" t="str">
            <v>동사        업계평균</v>
          </cell>
          <cell r="H292" t="str">
            <v>동사        업계평균</v>
          </cell>
          <cell r="K292" t="str">
            <v>동사        업계평균</v>
          </cell>
          <cell r="N292" t="str">
            <v>동사        업계평균</v>
          </cell>
          <cell r="Q292" t="str">
            <v>동사        업계평균</v>
          </cell>
          <cell r="T292" t="str">
            <v>동사        업계평균</v>
          </cell>
          <cell r="W292" t="str">
            <v>동사        업계평균</v>
          </cell>
          <cell r="Z292" t="str">
            <v>동사        업계평균</v>
          </cell>
          <cell r="AC292" t="str">
            <v>동사        업계평균</v>
          </cell>
          <cell r="AF292" t="str">
            <v>동사        업계평균</v>
          </cell>
          <cell r="AI292" t="str">
            <v>동사        업계평균</v>
          </cell>
        </row>
        <row r="293">
          <cell r="B293" t="str">
            <v>&lt;수익성&gt;             (%)</v>
          </cell>
        </row>
        <row r="294">
          <cell r="B294" t="str">
            <v>매출원가율</v>
          </cell>
          <cell r="C294">
            <v>86.319679220064472</v>
          </cell>
          <cell r="E294" t="e">
            <v>#REF!</v>
          </cell>
          <cell r="F294">
            <v>88.192796588468667</v>
          </cell>
          <cell r="H294" t="e">
            <v>#REF!</v>
          </cell>
          <cell r="I294">
            <v>89.674414076167821</v>
          </cell>
          <cell r="K294" t="e">
            <v>#REF!</v>
          </cell>
          <cell r="L294">
            <v>90.31720892564914</v>
          </cell>
          <cell r="N294" t="e">
            <v>#REF!</v>
          </cell>
          <cell r="O294">
            <v>88.570093581532305</v>
          </cell>
          <cell r="Q294" t="e">
            <v>#REF!</v>
          </cell>
          <cell r="R294">
            <v>89.251439088749279</v>
          </cell>
          <cell r="U294">
            <v>85.970230440786992</v>
          </cell>
          <cell r="X294">
            <v>89.072272125356051</v>
          </cell>
          <cell r="AA294">
            <v>90.96364587148777</v>
          </cell>
          <cell r="AD294">
            <v>89.771742623637721</v>
          </cell>
          <cell r="AG294">
            <v>88.020004754329179</v>
          </cell>
        </row>
        <row r="295">
          <cell r="B295" t="str">
            <v>매출액영업이익률</v>
          </cell>
          <cell r="C295">
            <v>5.6983864909016262</v>
          </cell>
          <cell r="E295" t="e">
            <v>#REF!</v>
          </cell>
          <cell r="F295">
            <v>5.2087992379365557</v>
          </cell>
          <cell r="H295" t="e">
            <v>#REF!</v>
          </cell>
          <cell r="I295">
            <v>4.2955070298689568</v>
          </cell>
          <cell r="K295" t="e">
            <v>#REF!</v>
          </cell>
          <cell r="L295">
            <v>4.3248138892416366</v>
          </cell>
          <cell r="N295" t="e">
            <v>#REF!</v>
          </cell>
          <cell r="O295">
            <v>5.4262301585552386</v>
          </cell>
          <cell r="Q295" t="e">
            <v>#REF!</v>
          </cell>
          <cell r="R295">
            <v>5.3185245701514683</v>
          </cell>
          <cell r="U295">
            <v>6.4725158366978341</v>
          </cell>
          <cell r="X295">
            <v>6.2353436495224113</v>
          </cell>
          <cell r="AA295">
            <v>4.0834755846124429</v>
          </cell>
          <cell r="AD295">
            <v>5.65721120011065</v>
          </cell>
          <cell r="AG295">
            <v>6.2437142282443725</v>
          </cell>
        </row>
        <row r="296">
          <cell r="B296" t="str">
            <v>매출액경상이익률</v>
          </cell>
          <cell r="C296">
            <v>1.019035388875785</v>
          </cell>
          <cell r="E296" t="e">
            <v>#REF!</v>
          </cell>
          <cell r="F296">
            <v>1.2202575036959393</v>
          </cell>
          <cell r="H296" t="e">
            <v>#REF!</v>
          </cell>
          <cell r="I296">
            <v>0.20932914269371311</v>
          </cell>
          <cell r="K296" t="e">
            <v>#REF!</v>
          </cell>
          <cell r="L296">
            <v>0.91312275522990993</v>
          </cell>
          <cell r="N296" t="e">
            <v>#REF!</v>
          </cell>
          <cell r="O296">
            <v>0.42140341442557333</v>
          </cell>
          <cell r="Q296" t="e">
            <v>#REF!</v>
          </cell>
          <cell r="R296">
            <v>0.94115934679926005</v>
          </cell>
          <cell r="U296">
            <v>2.9487020377123332</v>
          </cell>
          <cell r="X296">
            <v>0.70679772413484898</v>
          </cell>
          <cell r="AA296">
            <v>1.1930678129700916</v>
          </cell>
          <cell r="AD296">
            <v>2.396275308255261</v>
          </cell>
          <cell r="AG296">
            <v>5.2197048658730596</v>
          </cell>
        </row>
        <row r="297">
          <cell r="B297" t="str">
            <v>투하자본영업이익률</v>
          </cell>
          <cell r="C297">
            <v>6.487222965346116</v>
          </cell>
          <cell r="E297" t="e">
            <v>#REF!</v>
          </cell>
          <cell r="F297">
            <v>6.4470598178629528</v>
          </cell>
          <cell r="H297" t="e">
            <v>#REF!</v>
          </cell>
          <cell r="I297">
            <v>4.953075938042697</v>
          </cell>
          <cell r="K297" t="e">
            <v>#REF!</v>
          </cell>
          <cell r="L297">
            <v>5.8704627908602909</v>
          </cell>
          <cell r="N297" t="e">
            <v>#REF!</v>
          </cell>
          <cell r="O297">
            <v>6.0425630088135032</v>
          </cell>
          <cell r="Q297" t="e">
            <v>#REF!</v>
          </cell>
          <cell r="R297">
            <v>4.6076060583257235</v>
          </cell>
          <cell r="U297">
            <v>5.1051989219765979</v>
          </cell>
          <cell r="X297">
            <v>5.5669477439792026</v>
          </cell>
          <cell r="AA297">
            <v>4.1500780217477571</v>
          </cell>
          <cell r="AD297">
            <v>7.1029445565288452</v>
          </cell>
          <cell r="AG297">
            <v>6.8793915430528623</v>
          </cell>
        </row>
        <row r="298">
          <cell r="B298" t="str">
            <v>자기자본순이익률</v>
          </cell>
          <cell r="C298">
            <v>1.832651205093224</v>
          </cell>
          <cell r="E298" t="e">
            <v>#REF!</v>
          </cell>
          <cell r="F298">
            <v>0.51727594080172878</v>
          </cell>
          <cell r="H298" t="e">
            <v>#REF!</v>
          </cell>
          <cell r="I298">
            <v>-0.93950474306757403</v>
          </cell>
          <cell r="K298" t="e">
            <v>#REF!</v>
          </cell>
          <cell r="L298">
            <v>0.22554121010850839</v>
          </cell>
          <cell r="N298" t="e">
            <v>#REF!</v>
          </cell>
          <cell r="O298">
            <v>7.3846917032143133E-2</v>
          </cell>
          <cell r="Q298" t="e">
            <v>#REF!</v>
          </cell>
          <cell r="R298">
            <v>0.48602283987068751</v>
          </cell>
          <cell r="U298">
            <v>0.28539761706844002</v>
          </cell>
          <cell r="X298">
            <v>0.64754597296085092</v>
          </cell>
          <cell r="AA298">
            <v>1.2120438887471294</v>
          </cell>
          <cell r="AD298">
            <v>2.8726864286760754</v>
          </cell>
          <cell r="AG298">
            <v>5.6253584674798303</v>
          </cell>
        </row>
        <row r="299">
          <cell r="B299" t="str">
            <v>차입금평균이자율</v>
          </cell>
          <cell r="C299">
            <v>12.338368259636036</v>
          </cell>
          <cell r="E299" t="e">
            <v>#REF!</v>
          </cell>
          <cell r="F299">
            <v>13.950442253950889</v>
          </cell>
          <cell r="H299" t="e">
            <v>#REF!</v>
          </cell>
          <cell r="I299">
            <v>13.015907611560925</v>
          </cell>
          <cell r="K299" t="e">
            <v>#REF!</v>
          </cell>
          <cell r="L299">
            <v>11.530999599742</v>
          </cell>
          <cell r="N299" t="e">
            <v>#REF!</v>
          </cell>
          <cell r="O299">
            <v>12.650553541770737</v>
          </cell>
          <cell r="Q299" t="e">
            <v>#REF!</v>
          </cell>
          <cell r="R299">
            <v>10.121545968313491</v>
          </cell>
          <cell r="U299">
            <v>10.000086640847694</v>
          </cell>
          <cell r="X299">
            <v>10.572466383022858</v>
          </cell>
          <cell r="AA299">
            <v>9.0178518724649415</v>
          </cell>
          <cell r="AD299">
            <v>9.5680548642221108</v>
          </cell>
          <cell r="AG299">
            <v>7.3100191825291425</v>
          </cell>
        </row>
        <row r="300">
          <cell r="B300" t="str">
            <v>외환손익/매출액</v>
          </cell>
          <cell r="C300">
            <v>-6.9886696193795813E-4</v>
          </cell>
          <cell r="E300" t="e">
            <v>#REF!</v>
          </cell>
          <cell r="F300">
            <v>1.1471922810347948E-3</v>
          </cell>
          <cell r="H300" t="e">
            <v>#REF!</v>
          </cell>
          <cell r="I300">
            <v>-2.5253370412177601E-4</v>
          </cell>
          <cell r="K300" t="e">
            <v>#REF!</v>
          </cell>
          <cell r="L300">
            <v>6.2296488155281181E-4</v>
          </cell>
          <cell r="N300" t="e">
            <v>#REF!</v>
          </cell>
          <cell r="O300">
            <v>1.8954337678137715E-4</v>
          </cell>
          <cell r="Q300" t="e">
            <v>#REF!</v>
          </cell>
          <cell r="R300">
            <v>-1.9766928660637987E-3</v>
          </cell>
          <cell r="U300">
            <v>-4.8586117573123428E-4</v>
          </cell>
          <cell r="X300">
            <v>-2.3003267028415385E-3</v>
          </cell>
          <cell r="AA300">
            <v>1.151832219511577E-4</v>
          </cell>
          <cell r="AD300">
            <v>-8.1360675944495753E-6</v>
          </cell>
          <cell r="AG300">
            <v>-9.1429407354581536E-6</v>
          </cell>
        </row>
        <row r="301">
          <cell r="B301" t="str">
            <v xml:space="preserve">&lt;고정비부담능력&gt;   </v>
          </cell>
        </row>
        <row r="302">
          <cell r="B302" t="str">
            <v>영업이익/금융비용(배)</v>
          </cell>
          <cell r="C302">
            <v>0.93452722063037252</v>
          </cell>
          <cell r="E302" t="e">
            <v>#REF!</v>
          </cell>
          <cell r="F302">
            <v>0.81387036543078151</v>
          </cell>
          <cell r="H302" t="e">
            <v>#REF!</v>
          </cell>
          <cell r="I302">
            <v>0.63893917451122373</v>
          </cell>
          <cell r="K302" t="e">
            <v>#REF!</v>
          </cell>
          <cell r="L302">
            <v>0.79814282555825777</v>
          </cell>
          <cell r="N302" t="e">
            <v>#REF!</v>
          </cell>
          <cell r="O302">
            <v>0.83091461356733043</v>
          </cell>
          <cell r="Q302" t="e">
            <v>#REF!</v>
          </cell>
          <cell r="R302">
            <v>0.91431915408830411</v>
          </cell>
          <cell r="U302">
            <v>1.0618610292843529</v>
          </cell>
          <cell r="X302">
            <v>1.0836330935251799</v>
          </cell>
          <cell r="AA302">
            <v>1.1050433264759054</v>
          </cell>
          <cell r="AD302">
            <v>2.1435838150289017</v>
          </cell>
          <cell r="AG302">
            <v>2.7569640694388373</v>
          </cell>
        </row>
        <row r="303">
          <cell r="B303" t="str">
            <v>EBITDA/금융비용(배)</v>
          </cell>
          <cell r="C303">
            <v>1.2770773638968482</v>
          </cell>
          <cell r="E303" t="e">
            <v>#REF!</v>
          </cell>
          <cell r="F303">
            <v>1.1308615630834888</v>
          </cell>
          <cell r="H303" t="e">
            <v>#REF!</v>
          </cell>
          <cell r="I303">
            <v>0.88273895727733531</v>
          </cell>
          <cell r="K303" t="e">
            <v>#REF!</v>
          </cell>
          <cell r="L303">
            <v>1.0608003537475128</v>
          </cell>
          <cell r="N303" t="e">
            <v>#REF!</v>
          </cell>
          <cell r="O303">
            <v>1.0398245021937227</v>
          </cell>
          <cell r="Q303" t="e">
            <v>#REF!</v>
          </cell>
          <cell r="R303">
            <v>1.1043667769795786</v>
          </cell>
          <cell r="U303">
            <v>1.2344047825333564</v>
          </cell>
          <cell r="X303">
            <v>1.2335268149117069</v>
          </cell>
          <cell r="AA303">
            <v>1.3274733495417992</v>
          </cell>
          <cell r="AD303">
            <v>2.3979190751445087</v>
          </cell>
          <cell r="AG303">
            <v>3.0734759790068633</v>
          </cell>
        </row>
        <row r="304">
          <cell r="B304" t="str">
            <v>금융비용부담률(%)</v>
          </cell>
          <cell r="C304">
            <v>6.0976142429086844</v>
          </cell>
          <cell r="E304" t="e">
            <v>#REF!</v>
          </cell>
          <cell r="F304">
            <v>6.4000355083325076</v>
          </cell>
          <cell r="H304" t="e">
            <v>#REF!</v>
          </cell>
          <cell r="I304">
            <v>6.7228731641864616</v>
          </cell>
          <cell r="K304" t="e">
            <v>#REF!</v>
          </cell>
          <cell r="L304">
            <v>5.4185964601218615</v>
          </cell>
          <cell r="N304" t="e">
            <v>#REF!</v>
          </cell>
          <cell r="O304">
            <v>6.5304305279444241</v>
          </cell>
          <cell r="Q304" t="e">
            <v>#REF!</v>
          </cell>
          <cell r="R304">
            <v>5.8169234958822811</v>
          </cell>
          <cell r="U304">
            <v>6.0954453155325066</v>
          </cell>
          <cell r="X304">
            <v>5.7541096583144578</v>
          </cell>
          <cell r="AA304">
            <v>3.6953081266370416</v>
          </cell>
          <cell r="AD304">
            <v>2.6391369259495807</v>
          </cell>
          <cell r="AG304">
            <v>2.2647064201729847</v>
          </cell>
        </row>
        <row r="305">
          <cell r="B305" t="str">
            <v>순금융비용부담률(%)</v>
          </cell>
          <cell r="C305">
            <v>4.8322282499497691</v>
          </cell>
          <cell r="E305" t="e">
            <v>#REF!</v>
          </cell>
          <cell r="F305">
            <v>5.1780708732659813</v>
          </cell>
          <cell r="H305" t="e">
            <v>#REF!</v>
          </cell>
          <cell r="I305">
            <v>4.7692359182034201</v>
          </cell>
          <cell r="K305" t="e">
            <v>#REF!</v>
          </cell>
          <cell r="L305">
            <v>4.1877616153000172</v>
          </cell>
          <cell r="N305" t="e">
            <v>#REF!</v>
          </cell>
          <cell r="O305">
            <v>5.1873173441005722</v>
          </cell>
          <cell r="Q305" t="e">
            <v>#REF!</v>
          </cell>
          <cell r="R305">
            <v>3.9827309350085924</v>
          </cell>
          <cell r="U305">
            <v>4.2877248758281423</v>
          </cell>
          <cell r="X305">
            <v>4.7542437264351758</v>
          </cell>
          <cell r="AA305">
            <v>3.2914757504762826</v>
          </cell>
          <cell r="AD305">
            <v>2.245351254378221</v>
          </cell>
          <cell r="AG305">
            <v>1.7088156234571286</v>
          </cell>
        </row>
        <row r="306">
          <cell r="B306" t="str">
            <v>&lt;자산효율성/건전성&gt; (회)</v>
          </cell>
        </row>
        <row r="307">
          <cell r="B307" t="str">
            <v>총자본회전율</v>
          </cell>
          <cell r="C307">
            <v>0.69084116887349278</v>
          </cell>
          <cell r="E307" t="e">
            <v>#REF!</v>
          </cell>
          <cell r="F307">
            <v>0.79412665833376261</v>
          </cell>
          <cell r="H307" t="e">
            <v>#REF!</v>
          </cell>
          <cell r="I307">
            <v>0.77037785359096278</v>
          </cell>
          <cell r="K307" t="e">
            <v>#REF!</v>
          </cell>
          <cell r="L307">
            <v>0.85593667005055318</v>
          </cell>
          <cell r="N307" t="e">
            <v>#REF!</v>
          </cell>
          <cell r="O307">
            <v>0.74763974310913739</v>
          </cell>
          <cell r="Q307" t="e">
            <v>#REF!</v>
          </cell>
          <cell r="R307">
            <v>0.64138454403642653</v>
          </cell>
          <cell r="U307">
            <v>0.57848991294598195</v>
          </cell>
          <cell r="X307">
            <v>0.64091443560057892</v>
          </cell>
          <cell r="AA307">
            <v>0.66918767010414171</v>
          </cell>
          <cell r="AD307">
            <v>0.76883728603900348</v>
          </cell>
          <cell r="AG307">
            <v>0.65417566010665773</v>
          </cell>
        </row>
        <row r="308">
          <cell r="B308" t="str">
            <v>운전자금회전율</v>
          </cell>
          <cell r="C308">
            <v>3.0657632202686234</v>
          </cell>
          <cell r="E308" t="e">
            <v>#REF!</v>
          </cell>
          <cell r="F308">
            <v>3.065472109854571</v>
          </cell>
          <cell r="H308" t="e">
            <v>#REF!</v>
          </cell>
          <cell r="I308">
            <v>2.7064757324725375</v>
          </cell>
          <cell r="K308" t="e">
            <v>#REF!</v>
          </cell>
          <cell r="L308">
            <v>3.53566723849461</v>
          </cell>
          <cell r="N308" t="e">
            <v>#REF!</v>
          </cell>
          <cell r="O308">
            <v>3.2416123685413805</v>
          </cell>
          <cell r="Q308" t="e">
            <v>#REF!</v>
          </cell>
          <cell r="R308">
            <v>2.7892741381003834</v>
          </cell>
          <cell r="U308">
            <v>2.9419089715604096</v>
          </cell>
          <cell r="X308">
            <v>3.57664012517824</v>
          </cell>
          <cell r="AA308">
            <v>4.3449725493336269</v>
          </cell>
          <cell r="AD308">
            <v>9.2325518070252848</v>
          </cell>
          <cell r="AG308">
            <v>17.155696723722134</v>
          </cell>
        </row>
        <row r="309">
          <cell r="B309" t="str">
            <v>매출채권회전율</v>
          </cell>
          <cell r="C309">
            <v>14.133094635471325</v>
          </cell>
          <cell r="E309" t="e">
            <v>#REF!</v>
          </cell>
          <cell r="F309">
            <v>5.6863921408740561</v>
          </cell>
          <cell r="H309" t="e">
            <v>#REF!</v>
          </cell>
          <cell r="I309">
            <v>3.6545171512759214</v>
          </cell>
          <cell r="K309" t="e">
            <v>#REF!</v>
          </cell>
          <cell r="L309">
            <v>3.6479560174461798</v>
          </cell>
          <cell r="N309" t="e">
            <v>#REF!</v>
          </cell>
          <cell r="O309">
            <v>2.9771980131103222</v>
          </cell>
          <cell r="Q309" t="e">
            <v>#REF!</v>
          </cell>
          <cell r="R309">
            <v>2.9063939247139414</v>
          </cell>
          <cell r="U309">
            <v>2.9141212636536071</v>
          </cell>
          <cell r="X309">
            <v>3.0904888074754941</v>
          </cell>
          <cell r="AA309">
            <v>3.717678394025556</v>
          </cell>
          <cell r="AD309">
            <v>7.255792673927802</v>
          </cell>
          <cell r="AG309">
            <v>12.828478015452959</v>
          </cell>
        </row>
        <row r="310">
          <cell r="B310" t="str">
            <v>재고자산회전율</v>
          </cell>
          <cell r="C310">
            <v>2.8701702479753277</v>
          </cell>
          <cell r="E310" t="e">
            <v>#REF!</v>
          </cell>
          <cell r="F310">
            <v>4.2953473877176904</v>
          </cell>
          <cell r="H310" t="e">
            <v>#REF!</v>
          </cell>
          <cell r="I310">
            <v>5.2044115784139855</v>
          </cell>
          <cell r="K310" t="e">
            <v>#REF!</v>
          </cell>
          <cell r="L310">
            <v>5.7688501250915722</v>
          </cell>
          <cell r="N310" t="e">
            <v>#REF!</v>
          </cell>
          <cell r="O310">
            <v>5.6279087075167453</v>
          </cell>
          <cell r="Q310" t="e">
            <v>#REF!</v>
          </cell>
          <cell r="R310">
            <v>5.0982208577942947</v>
          </cell>
          <cell r="U310">
            <v>4.5285764679856264</v>
          </cell>
          <cell r="X310">
            <v>5.7530615282607815</v>
          </cell>
          <cell r="AA310">
            <v>6.6249160612905191</v>
          </cell>
          <cell r="AD310">
            <v>6.642589815302717</v>
          </cell>
          <cell r="AG310">
            <v>5.3183890300385359</v>
          </cell>
        </row>
        <row r="311">
          <cell r="B311" t="str">
            <v>매입채무회전율</v>
          </cell>
          <cell r="C311">
            <v>10.754509582863585</v>
          </cell>
          <cell r="E311" t="e">
            <v>#REF!</v>
          </cell>
          <cell r="F311">
            <v>12.127908902691511</v>
          </cell>
          <cell r="H311" t="e">
            <v>#REF!</v>
          </cell>
          <cell r="I311">
            <v>10.384814686088028</v>
          </cell>
          <cell r="K311" t="e">
            <v>#REF!</v>
          </cell>
          <cell r="L311">
            <v>6.0739010529226425</v>
          </cell>
          <cell r="N311" t="e">
            <v>#REF!</v>
          </cell>
          <cell r="O311">
            <v>4.8760572159353472</v>
          </cell>
          <cell r="Q311" t="e">
            <v>#REF!</v>
          </cell>
          <cell r="R311">
            <v>5.5035886172033983</v>
          </cell>
          <cell r="U311">
            <v>4.4630659721403827</v>
          </cell>
          <cell r="X311">
            <v>4.5913282937365008</v>
          </cell>
          <cell r="AA311">
            <v>5.2692776897725828</v>
          </cell>
          <cell r="AD311">
            <v>5.5539451313537542</v>
          </cell>
          <cell r="AG311">
            <v>4.8148971528564983</v>
          </cell>
        </row>
        <row r="312">
          <cell r="B312" t="str">
            <v>운전자금/매출액(%)</v>
          </cell>
          <cell r="C312">
            <v>32.618305072900561</v>
          </cell>
          <cell r="E312" t="e">
            <v>#REF!</v>
          </cell>
          <cell r="F312">
            <v>39.746115422566234</v>
          </cell>
          <cell r="H312" t="e">
            <v>#REF!</v>
          </cell>
          <cell r="I312">
            <v>38.477617298862988</v>
          </cell>
          <cell r="K312" t="e">
            <v>#REF!</v>
          </cell>
          <cell r="L312">
            <v>26.265397415654153</v>
          </cell>
          <cell r="N312" t="e">
            <v>#REF!</v>
          </cell>
          <cell r="O312">
            <v>37.537302577349124</v>
          </cell>
          <cell r="Q312" t="e">
            <v>#REF!</v>
          </cell>
          <cell r="R312">
            <v>31.719816698124724</v>
          </cell>
          <cell r="U312">
            <v>32.305279251351301</v>
          </cell>
          <cell r="X312">
            <v>27.14244385015418</v>
          </cell>
          <cell r="AA312">
            <v>19.446383362013954</v>
          </cell>
          <cell r="AD312">
            <v>4.4923297222753327</v>
          </cell>
          <cell r="AG312">
            <v>6.6096604311810845</v>
          </cell>
        </row>
        <row r="313">
          <cell r="B313" t="str">
            <v>차입금/매출액(%)</v>
          </cell>
          <cell r="C313">
            <v>49.419940421591498</v>
          </cell>
          <cell r="E313" t="e">
            <v>#REF!</v>
          </cell>
          <cell r="F313">
            <v>53.123879695038056</v>
          </cell>
          <cell r="H313" t="e">
            <v>#REF!</v>
          </cell>
          <cell r="I313">
            <v>55.961773090860412</v>
          </cell>
          <cell r="K313" t="e">
            <v>#REF!</v>
          </cell>
          <cell r="L313">
            <v>49.304795152374815</v>
          </cell>
          <cell r="N313" t="e">
            <v>#REF!</v>
          </cell>
          <cell r="O313">
            <v>56.051943701209105</v>
          </cell>
          <cell r="Q313" t="e">
            <v>#REF!</v>
          </cell>
          <cell r="R313">
            <v>53.875210111652628</v>
          </cell>
          <cell r="U313">
            <v>59.551529010401126</v>
          </cell>
          <cell r="X313">
            <v>53.499295554348159</v>
          </cell>
          <cell r="AA313">
            <v>28.832894485257697</v>
          </cell>
          <cell r="AD313">
            <v>29.707630410993453</v>
          </cell>
          <cell r="AG313">
            <v>28.577632709784773</v>
          </cell>
        </row>
        <row r="314">
          <cell r="B314" t="str">
            <v>&lt;재무구조/안정성&gt;    (%)</v>
          </cell>
        </row>
        <row r="315">
          <cell r="B315" t="str">
            <v>자기자본비율</v>
          </cell>
          <cell r="C315">
            <v>26.54226363625391</v>
          </cell>
          <cell r="E315" t="e">
            <v>#REF!</v>
          </cell>
          <cell r="F315">
            <v>28.695457387468554</v>
          </cell>
          <cell r="H315" t="e">
            <v>#REF!</v>
          </cell>
          <cell r="I315">
            <v>25.496113192774455</v>
          </cell>
          <cell r="K315" t="e">
            <v>#REF!</v>
          </cell>
          <cell r="L315">
            <v>21.064967766975588</v>
          </cell>
          <cell r="N315" t="e">
            <v>#REF!</v>
          </cell>
          <cell r="O315">
            <v>35.52220082851975</v>
          </cell>
          <cell r="Q315" t="e">
            <v>#REF!</v>
          </cell>
          <cell r="R315">
            <v>39.837779133162385</v>
          </cell>
          <cell r="U315">
            <v>37.387000861088694</v>
          </cell>
          <cell r="X315">
            <v>37.902539227597323</v>
          </cell>
          <cell r="AA315">
            <v>39.455625387409867</v>
          </cell>
          <cell r="AD315">
            <v>40.596694864010672</v>
          </cell>
          <cell r="AG315">
            <v>37.731163805305791</v>
          </cell>
        </row>
        <row r="316">
          <cell r="B316" t="str">
            <v>부채비율</v>
          </cell>
          <cell r="C316">
            <v>276.75648021828107</v>
          </cell>
          <cell r="E316" t="e">
            <v>#REF!</v>
          </cell>
          <cell r="F316">
            <v>248.48721402039922</v>
          </cell>
          <cell r="H316" t="e">
            <v>#REF!</v>
          </cell>
          <cell r="I316">
            <v>292.21664590169689</v>
          </cell>
          <cell r="K316" t="e">
            <v>#REF!</v>
          </cell>
          <cell r="L316">
            <v>374.72182775790475</v>
          </cell>
          <cell r="N316" t="e">
            <v>#REF!</v>
          </cell>
          <cell r="O316">
            <v>181.51408884472295</v>
          </cell>
          <cell r="Q316" t="e">
            <v>#REF!</v>
          </cell>
          <cell r="R316">
            <v>151.01800897519519</v>
          </cell>
          <cell r="U316">
            <v>167.47224351077958</v>
          </cell>
          <cell r="X316">
            <v>163.83456633213831</v>
          </cell>
          <cell r="AA316">
            <v>153.44928389326608</v>
          </cell>
          <cell r="AD316">
            <v>146.32547140839014</v>
          </cell>
          <cell r="AG316">
            <v>165.032906262854</v>
          </cell>
        </row>
        <row r="317">
          <cell r="B317" t="str">
            <v>차입금의존도(장기채무포함)</v>
          </cell>
          <cell r="C317">
            <v>34.141329406510643</v>
          </cell>
          <cell r="E317" t="e">
            <v>#REF!</v>
          </cell>
          <cell r="F317">
            <v>38.300815769910542</v>
          </cell>
          <cell r="H317" t="e">
            <v>#REF!</v>
          </cell>
          <cell r="I317">
            <v>41.145126111515019</v>
          </cell>
          <cell r="K317" t="e">
            <v>#REF!</v>
          </cell>
          <cell r="L317">
            <v>38.959455493813721</v>
          </cell>
          <cell r="N317" t="e">
            <v>#REF!</v>
          </cell>
          <cell r="O317">
            <v>37.096680086352762</v>
          </cell>
          <cell r="Q317" t="e">
            <v>#REF!</v>
          </cell>
          <cell r="R317">
            <v>35.706795040951974</v>
          </cell>
          <cell r="U317">
            <v>33.832534751079365</v>
          </cell>
          <cell r="X317">
            <v>34.456661041443851</v>
          </cell>
          <cell r="AA317">
            <v>19.64095442098408</v>
          </cell>
          <cell r="AD317">
            <v>22.761615040799914</v>
          </cell>
          <cell r="AG317">
            <v>17.966577618874492</v>
          </cell>
        </row>
        <row r="318">
          <cell r="B318" t="str">
            <v>차입금/자기자본</v>
          </cell>
          <cell r="C318">
            <v>128.6300591177808</v>
          </cell>
          <cell r="E318" t="e">
            <v>#REF!</v>
          </cell>
          <cell r="F318">
            <v>133.47344582364698</v>
          </cell>
          <cell r="H318" t="e">
            <v>#REF!</v>
          </cell>
          <cell r="I318">
            <v>161.37803358660747</v>
          </cell>
          <cell r="K318" t="e">
            <v>#REF!</v>
          </cell>
          <cell r="L318">
            <v>184.94903920475994</v>
          </cell>
          <cell r="N318" t="e">
            <v>#REF!</v>
          </cell>
          <cell r="O318">
            <v>104.43238093673777</v>
          </cell>
          <cell r="Q318" t="e">
            <v>#REF!</v>
          </cell>
          <cell r="R318">
            <v>89.630485980651386</v>
          </cell>
          <cell r="U318">
            <v>90.492775488421927</v>
          </cell>
          <cell r="X318">
            <v>90.908582231228237</v>
          </cell>
          <cell r="AA318">
            <v>49.779858329786933</v>
          </cell>
          <cell r="AD318">
            <v>56.067655549413431</v>
          </cell>
          <cell r="AG318">
            <v>47.61734281927454</v>
          </cell>
        </row>
        <row r="319">
          <cell r="B319" t="str">
            <v>단기성차입금/총차입금</v>
          </cell>
          <cell r="C319">
            <v>93.084857216089375</v>
          </cell>
          <cell r="E319" t="e">
            <v>#REF!</v>
          </cell>
          <cell r="F319">
            <v>86.825970153090736</v>
          </cell>
          <cell r="H319" t="e">
            <v>#REF!</v>
          </cell>
          <cell r="I319">
            <v>76.171783677397258</v>
          </cell>
          <cell r="K319" t="e">
            <v>#REF!</v>
          </cell>
          <cell r="L319">
            <v>75.684961463324555</v>
          </cell>
          <cell r="N319" t="e">
            <v>#REF!</v>
          </cell>
          <cell r="O319">
            <v>60.702658068575019</v>
          </cell>
          <cell r="Q319" t="e">
            <v>#REF!</v>
          </cell>
          <cell r="R319">
            <v>57.957897764162993</v>
          </cell>
          <cell r="U319">
            <v>57.993499669662604</v>
          </cell>
          <cell r="X319">
            <v>58.785875070343273</v>
          </cell>
          <cell r="AA319">
            <v>55.42461309832936</v>
          </cell>
          <cell r="AD319">
            <v>74.762758979555514</v>
          </cell>
          <cell r="AG319">
            <v>37.724953209732377</v>
          </cell>
        </row>
        <row r="320">
          <cell r="B320" t="str">
            <v>고정장기적합률</v>
          </cell>
          <cell r="C320">
            <v>91.405336486691809</v>
          </cell>
          <cell r="E320" t="e">
            <v>#REF!</v>
          </cell>
          <cell r="F320">
            <v>81.988272152029182</v>
          </cell>
          <cell r="H320" t="e">
            <v>#REF!</v>
          </cell>
          <cell r="I320">
            <v>77.945752023781452</v>
          </cell>
          <cell r="K320" t="e">
            <v>#REF!</v>
          </cell>
          <cell r="L320">
            <v>75.547770700636946</v>
          </cell>
          <cell r="N320" t="e">
            <v>#REF!</v>
          </cell>
          <cell r="O320">
            <v>72.178702236505714</v>
          </cell>
          <cell r="Q320" t="e">
            <v>#REF!</v>
          </cell>
          <cell r="R320">
            <v>82.776837412135436</v>
          </cell>
          <cell r="U320">
            <v>86.097819786006937</v>
          </cell>
          <cell r="X320">
            <v>86.431624457112505</v>
          </cell>
          <cell r="AA320">
            <v>89.183629995945751</v>
          </cell>
          <cell r="AD320">
            <v>104.73036409123718</v>
          </cell>
          <cell r="AG320">
            <v>94.2942833640288</v>
          </cell>
        </row>
        <row r="321">
          <cell r="B321" t="str">
            <v>유동비율</v>
          </cell>
          <cell r="C321">
            <v>106.96966498725162</v>
          </cell>
          <cell r="E321" t="e">
            <v>#REF!</v>
          </cell>
          <cell r="F321">
            <v>116.44405063768417</v>
          </cell>
          <cell r="H321" t="e">
            <v>#REF!</v>
          </cell>
          <cell r="I321">
            <v>120.65342706807327</v>
          </cell>
          <cell r="K321" t="e">
            <v>#REF!</v>
          </cell>
          <cell r="L321">
            <v>117.40416231605843</v>
          </cell>
          <cell r="N321" t="e">
            <v>#REF!</v>
          </cell>
          <cell r="O321">
            <v>139.62953910243468</v>
          </cell>
          <cell r="Q321" t="e">
            <v>#REF!</v>
          </cell>
          <cell r="R321">
            <v>130.34662953699646</v>
          </cell>
          <cell r="U321">
            <v>121.81153220647289</v>
          </cell>
          <cell r="X321">
            <v>121.76410256410257</v>
          </cell>
          <cell r="AA321">
            <v>123.53251904897169</v>
          </cell>
          <cell r="AD321">
            <v>93.617052435800744</v>
          </cell>
          <cell r="AG321">
            <v>108.28596499265248</v>
          </cell>
        </row>
        <row r="322">
          <cell r="B322" t="str">
            <v>현금비율</v>
          </cell>
          <cell r="C322">
            <v>3.9317198357987588</v>
          </cell>
          <cell r="E322" t="e">
            <v>#REF!</v>
          </cell>
          <cell r="F322">
            <v>5.2640757114443808</v>
          </cell>
          <cell r="H322" t="e">
            <v>#REF!</v>
          </cell>
          <cell r="I322">
            <v>5.0927089744367677</v>
          </cell>
          <cell r="K322" t="e">
            <v>#REF!</v>
          </cell>
          <cell r="L322">
            <v>17.069841043367727</v>
          </cell>
          <cell r="N322" t="e">
            <v>#REF!</v>
          </cell>
          <cell r="O322">
            <v>14.87617650913754</v>
          </cell>
          <cell r="Q322" t="e">
            <v>#REF!</v>
          </cell>
          <cell r="R322">
            <v>3.6308863849281043</v>
          </cell>
          <cell r="U322">
            <v>1.8941583616589974</v>
          </cell>
          <cell r="X322">
            <v>1.4209072978303747</v>
          </cell>
          <cell r="AA322">
            <v>0.7549821345811718</v>
          </cell>
          <cell r="AD322">
            <v>4.8276670059384772</v>
          </cell>
          <cell r="AG322">
            <v>2.8977795319432356</v>
          </cell>
        </row>
        <row r="323">
          <cell r="B323" t="str">
            <v>&lt;현금흐름지표&gt;       (%)</v>
          </cell>
        </row>
        <row r="324">
          <cell r="B324" t="str">
            <v>EBITDA(백만원)</v>
          </cell>
          <cell r="C324">
            <v>17828</v>
          </cell>
          <cell r="E324" t="str">
            <v xml:space="preserve">─ </v>
          </cell>
          <cell r="F324">
            <v>21198</v>
          </cell>
          <cell r="H324" t="str">
            <v xml:space="preserve">─ </v>
          </cell>
          <cell r="I324">
            <v>19505</v>
          </cell>
          <cell r="K324" t="str">
            <v xml:space="preserve">─ </v>
          </cell>
          <cell r="L324">
            <v>23990</v>
          </cell>
          <cell r="N324" t="str">
            <v xml:space="preserve">─ </v>
          </cell>
          <cell r="O324">
            <v>30810</v>
          </cell>
          <cell r="Q324" t="str">
            <v xml:space="preserve">─ </v>
          </cell>
          <cell r="R324">
            <v>27364</v>
          </cell>
          <cell r="U324">
            <v>28495</v>
          </cell>
          <cell r="X324">
            <v>30177</v>
          </cell>
          <cell r="AA324">
            <v>21294</v>
          </cell>
          <cell r="AD324">
            <v>31113</v>
          </cell>
          <cell r="AG324">
            <v>7613</v>
          </cell>
        </row>
        <row r="325">
          <cell r="B325" t="str">
            <v>영업활동CF(백만원)</v>
          </cell>
          <cell r="C325">
            <v>-18458</v>
          </cell>
          <cell r="E325" t="str">
            <v xml:space="preserve">─ </v>
          </cell>
          <cell r="F325">
            <v>-26435</v>
          </cell>
          <cell r="H325" t="str">
            <v xml:space="preserve">─ </v>
          </cell>
          <cell r="I325">
            <v>-7742</v>
          </cell>
          <cell r="K325" t="str">
            <v xml:space="preserve">─ </v>
          </cell>
          <cell r="L325">
            <v>19163</v>
          </cell>
          <cell r="N325" t="str">
            <v xml:space="preserve">─ </v>
          </cell>
          <cell r="O325">
            <v>-29022</v>
          </cell>
          <cell r="Q325" t="str">
            <v xml:space="preserve">─ </v>
          </cell>
          <cell r="R325">
            <v>30505</v>
          </cell>
          <cell r="U325">
            <v>31648</v>
          </cell>
          <cell r="X325">
            <v>11846</v>
          </cell>
          <cell r="AA325">
            <v>45155</v>
          </cell>
          <cell r="AD325">
            <v>75918</v>
          </cell>
          <cell r="AG325">
            <v>2969</v>
          </cell>
        </row>
        <row r="326">
          <cell r="B326" t="str">
            <v>부채상환계수</v>
          </cell>
          <cell r="C326">
            <v>-3.7709907024706779</v>
          </cell>
          <cell r="E326" t="e">
            <v>#REF!</v>
          </cell>
          <cell r="F326">
            <v>-4.9986674553597545</v>
          </cell>
          <cell r="H326" t="e">
            <v>#REF!</v>
          </cell>
          <cell r="I326">
            <v>8.849677554593768</v>
          </cell>
          <cell r="K326" t="e">
            <v>#REF!</v>
          </cell>
          <cell r="L326">
            <v>23.42367597752834</v>
          </cell>
          <cell r="N326" t="e">
            <v>#REF!</v>
          </cell>
          <cell r="O326">
            <v>0.33041862082832907</v>
          </cell>
          <cell r="Q326" t="e">
            <v>#REF!</v>
          </cell>
          <cell r="R326">
            <v>35.036917324206989</v>
          </cell>
          <cell r="U326">
            <v>35.569130787977258</v>
          </cell>
          <cell r="X326">
            <v>22.955442039247419</v>
          </cell>
          <cell r="AA326">
            <v>71.648850850593021</v>
          </cell>
          <cell r="AD326">
            <v>72.762321047074124</v>
          </cell>
          <cell r="AG326">
            <v>38.16799243087921</v>
          </cell>
        </row>
        <row r="327">
          <cell r="B327" t="str">
            <v>총CF(손익활동CF)/총부채</v>
          </cell>
          <cell r="C327">
            <v>3.5828866021730645</v>
          </cell>
          <cell r="E327" t="e">
            <v>#REF!</v>
          </cell>
          <cell r="F327">
            <v>2.6699439705318828</v>
          </cell>
          <cell r="H327" t="e">
            <v>#REF!</v>
          </cell>
          <cell r="I327">
            <v>2.2585129604775247</v>
          </cell>
          <cell r="K327" t="e">
            <v>#REF!</v>
          </cell>
          <cell r="L327">
            <v>2.6880263262041191</v>
          </cell>
          <cell r="N327" t="e">
            <v>#REF!</v>
          </cell>
          <cell r="O327">
            <v>2.7382509037766325</v>
          </cell>
          <cell r="Q327" t="e">
            <v>#REF!</v>
          </cell>
          <cell r="R327">
            <v>3.3990663752861008</v>
          </cell>
          <cell r="U327">
            <v>1.6189239438779424</v>
          </cell>
          <cell r="X327">
            <v>4.1696042388862189</v>
          </cell>
          <cell r="AA327">
            <v>2.6761461422025006</v>
          </cell>
          <cell r="AD327">
            <v>5.4193382514980115</v>
          </cell>
          <cell r="AG327">
            <v>6.2550049963421701</v>
          </cell>
        </row>
        <row r="328">
          <cell r="B328" t="str">
            <v>총CF(손익활동CF)/총차입금</v>
          </cell>
          <cell r="C328">
            <v>7.7088286504688757</v>
          </cell>
          <cell r="E328" t="e">
            <v>#REF!</v>
          </cell>
          <cell r="F328">
            <v>4.970628687481522</v>
          </cell>
          <cell r="H328" t="e">
            <v>#REF!</v>
          </cell>
          <cell r="I328">
            <v>4.0896215387459289</v>
          </cell>
          <cell r="K328" t="e">
            <v>#REF!</v>
          </cell>
          <cell r="L328">
            <v>5.4461604253127156</v>
          </cell>
          <cell r="N328" t="e">
            <v>#REF!</v>
          </cell>
          <cell r="O328">
            <v>4.759358288770053</v>
          </cell>
          <cell r="Q328" t="e">
            <v>#REF!</v>
          </cell>
          <cell r="R328">
            <v>5.7270718857984484</v>
          </cell>
          <cell r="U328">
            <v>2.9960935941151172</v>
          </cell>
          <cell r="X328">
            <v>7.5144203714124931</v>
          </cell>
          <cell r="AA328">
            <v>8.2493748052508362</v>
          </cell>
          <cell r="AD328">
            <v>14.143399016802006</v>
          </cell>
          <cell r="AG328">
            <v>21.678690832306881</v>
          </cell>
        </row>
        <row r="329">
          <cell r="B329" t="str">
            <v>순CF(손익활동CF-운전자금변동)/총차입금</v>
          </cell>
          <cell r="C329">
            <v>-4.063883757722528</v>
          </cell>
          <cell r="E329" t="e">
            <v>#REF!</v>
          </cell>
          <cell r="F329">
            <v>13.945267812383511</v>
          </cell>
          <cell r="H329" t="e">
            <v>#REF!</v>
          </cell>
          <cell r="I329">
            <v>-0.93568714014646959</v>
          </cell>
          <cell r="K329" t="e">
            <v>#REF!</v>
          </cell>
          <cell r="L329">
            <v>21.727298350649729</v>
          </cell>
          <cell r="N329" t="e">
            <v>#REF!</v>
          </cell>
          <cell r="O329">
            <v>-11.338471217363951</v>
          </cell>
          <cell r="Q329" t="e">
            <v>#REF!</v>
          </cell>
          <cell r="R329">
            <v>21.064626191233568</v>
          </cell>
          <cell r="U329">
            <v>8.0460432675466791</v>
          </cell>
          <cell r="X329">
            <v>9.5807540799099602</v>
          </cell>
          <cell r="AA329">
            <v>24.216009779404128</v>
          </cell>
          <cell r="AD329">
            <v>33.360948690210471</v>
          </cell>
          <cell r="AG329">
            <v>-246.42874282149313</v>
          </cell>
        </row>
        <row r="330">
          <cell r="B330" t="str">
            <v>영업·투자CF/매출액</v>
          </cell>
          <cell r="C330">
            <v>-11.851910090765347</v>
          </cell>
          <cell r="E330" t="e">
            <v>#REF!</v>
          </cell>
          <cell r="F330">
            <v>-22.886486006644155</v>
          </cell>
          <cell r="H330" t="e">
            <v>#REF!</v>
          </cell>
          <cell r="I330">
            <v>-7.9070432562851982</v>
          </cell>
          <cell r="K330" t="e">
            <v>#REF!</v>
          </cell>
          <cell r="L330">
            <v>5.8489214321483418</v>
          </cell>
          <cell r="N330" t="e">
            <v>#REF!</v>
          </cell>
          <cell r="O330">
            <v>-12.770154411732292</v>
          </cell>
          <cell r="Q330" t="e">
            <v>#REF!</v>
          </cell>
          <cell r="R330">
            <v>-0.72236151411856409</v>
          </cell>
          <cell r="U330">
            <v>1.9170392042438917</v>
          </cell>
          <cell r="X330">
            <v>-0.42008011158230957</v>
          </cell>
          <cell r="AA330">
            <v>11.719892833530295</v>
          </cell>
          <cell r="AD330">
            <v>12.416249354199635</v>
          </cell>
          <cell r="AG330">
            <v>-7.1351509499515426</v>
          </cell>
        </row>
        <row r="331">
          <cell r="B331" t="str">
            <v>&lt;성장성&gt;             (%)</v>
          </cell>
        </row>
        <row r="332">
          <cell r="B332" t="str">
            <v>매출액증가율</v>
          </cell>
          <cell r="C332">
            <v>0</v>
          </cell>
          <cell r="E332" t="e">
            <v>#REF!</v>
          </cell>
          <cell r="F332">
            <v>27.931528509404131</v>
          </cell>
          <cell r="H332" t="e">
            <v>#REF!</v>
          </cell>
          <cell r="I332">
            <v>12.216232087924084</v>
          </cell>
          <cell r="K332" t="e">
            <v>#REF!</v>
          </cell>
          <cell r="L332">
            <v>26.984595444048566</v>
          </cell>
          <cell r="N332" t="e">
            <v>#REF!</v>
          </cell>
          <cell r="O332">
            <v>8.7126430722711063</v>
          </cell>
          <cell r="Q332" t="e">
            <v>#REF!</v>
          </cell>
          <cell r="R332">
            <v>-6.1178430845319411</v>
          </cell>
          <cell r="U332">
            <v>-11.093660497131211</v>
          </cell>
          <cell r="X332">
            <v>12.264826027371939</v>
          </cell>
          <cell r="AA332">
            <v>2.1013413868288637</v>
          </cell>
          <cell r="AD332">
            <v>13.256897747246541</v>
          </cell>
          <cell r="AG332">
            <v>25.837293049691084</v>
          </cell>
        </row>
        <row r="333">
          <cell r="B333" t="str">
            <v>자기자본증가율</v>
          </cell>
          <cell r="C333">
            <v>0</v>
          </cell>
          <cell r="E333" t="e">
            <v>#REF!</v>
          </cell>
          <cell r="F333">
            <v>32.529558890404729</v>
          </cell>
          <cell r="H333" t="e">
            <v>#REF!</v>
          </cell>
          <cell r="I333">
            <v>-2.2295042591337619</v>
          </cell>
          <cell r="K333" t="e">
            <v>#REF!</v>
          </cell>
          <cell r="L333">
            <v>-2.3794900591362875</v>
          </cell>
          <cell r="N333" t="e">
            <v>#REF!</v>
          </cell>
          <cell r="O333">
            <v>118.87616616634608</v>
          </cell>
          <cell r="Q333" t="e">
            <v>#REF!</v>
          </cell>
          <cell r="R333">
            <v>5.1382603910875986</v>
          </cell>
          <cell r="U333">
            <v>-2.6628755775487321</v>
          </cell>
          <cell r="X333">
            <v>0.39402779059550141</v>
          </cell>
          <cell r="AA333">
            <v>0.49000211827996054</v>
          </cell>
          <cell r="AD333">
            <v>3.6061870349084728</v>
          </cell>
          <cell r="AG333">
            <v>0.79387015539586514</v>
          </cell>
        </row>
        <row r="334">
          <cell r="B334" t="str">
            <v>R&amp;D투자비율</v>
          </cell>
          <cell r="C334">
            <v>4.6308672065413949</v>
          </cell>
          <cell r="E334" t="e">
            <v>#REF!</v>
          </cell>
          <cell r="F334">
            <v>1.5756822550522551</v>
          </cell>
          <cell r="H334" t="e">
            <v>#REF!</v>
          </cell>
          <cell r="I334">
            <v>1.5410641100925246</v>
          </cell>
          <cell r="K334" t="e">
            <v>#REF!</v>
          </cell>
          <cell r="L334">
            <v>1.784794385648806</v>
          </cell>
          <cell r="N334" t="e">
            <v>#REF!</v>
          </cell>
          <cell r="O334">
            <v>2.2192003032694032</v>
          </cell>
          <cell r="Q334" t="e">
            <v>#REF!</v>
          </cell>
          <cell r="R334">
            <v>3.9355438487759526</v>
          </cell>
          <cell r="U334">
            <v>2.9228246490049088</v>
          </cell>
          <cell r="X334">
            <v>2.4661477995187657</v>
          </cell>
          <cell r="AA334">
            <v>2.1815702237549273</v>
          </cell>
          <cell r="AD334">
            <v>2.84742025636749</v>
          </cell>
          <cell r="AG334">
            <v>3.5683963134774642E-2</v>
          </cell>
        </row>
        <row r="335">
          <cell r="A335" t="str">
            <v>주: 업계평균은 상장 및 코스닥 건설업체(관리종목 및 워크아웃업체를 제외한 36개사)의 가중평균임.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  <sheetName val="미수수익"/>
      <sheetName val="03"/>
      <sheetName val="01"/>
      <sheetName val="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  <sheetName val="수정양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결산대책 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  <sheetName val="9-2구분손익"/>
      <sheetName val="10분기손익"/>
      <sheetName val="10-1월별매출"/>
      <sheetName val="월별수출"/>
      <sheetName val="월별수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74-AA"/>
      <sheetName val="GA275-AA"/>
      <sheetName val="GA260-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  <sheetName val="Sheet17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10236410000</v>
          </cell>
        </row>
        <row r="20">
          <cell r="B20">
            <v>357800000000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51680294163353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2279447025857</v>
          </cell>
        </row>
        <row r="35">
          <cell r="C35">
            <v>505149455565</v>
          </cell>
        </row>
        <row r="50">
          <cell r="C50">
            <v>1774297570292</v>
          </cell>
        </row>
      </sheetData>
      <sheetData sheetId="31">
        <row r="38">
          <cell r="B38">
            <v>1566183230803</v>
          </cell>
          <cell r="C38">
            <v>6459625184</v>
          </cell>
          <cell r="D38">
            <v>12736112148</v>
          </cell>
          <cell r="E38">
            <v>4028350048</v>
          </cell>
          <cell r="F38">
            <v>20342362265</v>
          </cell>
          <cell r="G38">
            <v>1609749680448</v>
          </cell>
        </row>
      </sheetData>
      <sheetData sheetId="32">
        <row r="38">
          <cell r="H38">
            <v>24854117968</v>
          </cell>
          <cell r="J38">
            <v>-9809475661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13808774935345</v>
          </cell>
        </row>
        <row r="13">
          <cell r="C13">
            <v>8837663945810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2641</v>
          </cell>
        </row>
      </sheetData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126"/>
      <sheetName val="GA130"/>
      <sheetName val="GA140"/>
      <sheetName val="GA141"/>
      <sheetName val="GA142"/>
      <sheetName val="GA143"/>
      <sheetName val="GA144"/>
      <sheetName val="GA145"/>
      <sheetName val="GA146"/>
      <sheetName val="GA248"/>
      <sheetName val="GA249"/>
      <sheetName val="GA147"/>
      <sheetName val="GA148"/>
      <sheetName val="GA149"/>
      <sheetName val="GA150"/>
      <sheetName val="GA151"/>
      <sheetName val="GA152"/>
      <sheetName val="GA153"/>
      <sheetName val="GA154"/>
      <sheetName val="GA155"/>
      <sheetName val="GA263"/>
      <sheetName val="GA264"/>
      <sheetName val="GA265"/>
      <sheetName val="GA266"/>
      <sheetName val="GA267"/>
      <sheetName val="GA268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238543230600</v>
          </cell>
        </row>
        <row r="20">
          <cell r="B20">
            <v>469630000000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53708049505530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2085591516741</v>
          </cell>
        </row>
        <row r="35">
          <cell r="C35">
            <v>490188267673</v>
          </cell>
        </row>
        <row r="50">
          <cell r="C50">
            <v>1595403249068</v>
          </cell>
        </row>
      </sheetData>
      <sheetData sheetId="31">
        <row r="38">
          <cell r="B38">
            <v>2255702165786</v>
          </cell>
          <cell r="C38">
            <v>8533596588</v>
          </cell>
          <cell r="D38">
            <v>5605447989</v>
          </cell>
          <cell r="E38">
            <v>31948742085</v>
          </cell>
          <cell r="F38">
            <v>39359058421</v>
          </cell>
          <cell r="G38">
            <v>2341149010869</v>
          </cell>
        </row>
      </sheetData>
      <sheetData sheetId="32">
        <row r="38">
          <cell r="H38">
            <v>43262288897</v>
          </cell>
          <cell r="J38">
            <v>-32883484534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13814811877413</v>
          </cell>
        </row>
        <row r="13">
          <cell r="C13">
            <v>9577306222196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2597</v>
          </cell>
        </row>
      </sheetData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2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81"/>
      <sheetName val="GA282"/>
      <sheetName val="GA290"/>
      <sheetName val="GA283"/>
      <sheetName val="GA284"/>
      <sheetName val="GA219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3">
          <cell r="B13">
            <v>560885455600</v>
          </cell>
        </row>
        <row r="20">
          <cell r="B20">
            <v>511597000000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82548697007224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3">
          <cell r="C13">
            <v>2235453724585</v>
          </cell>
        </row>
        <row r="34">
          <cell r="C34">
            <v>558284728299</v>
          </cell>
        </row>
        <row r="49">
          <cell r="C49">
            <v>1677168996286</v>
          </cell>
        </row>
      </sheetData>
      <sheetData sheetId="30">
        <row r="38">
          <cell r="B38">
            <v>2555861017761</v>
          </cell>
          <cell r="C38">
            <v>4461652961</v>
          </cell>
          <cell r="D38">
            <v>2206252644</v>
          </cell>
          <cell r="E38">
            <v>35713737788</v>
          </cell>
          <cell r="F38">
            <v>23053969470</v>
          </cell>
          <cell r="G38">
            <v>2621296630624</v>
          </cell>
        </row>
      </sheetData>
      <sheetData sheetId="31">
        <row r="38">
          <cell r="H38">
            <v>31225226833</v>
          </cell>
          <cell r="J38">
            <v>-26699344655</v>
          </cell>
        </row>
      </sheetData>
      <sheetData sheetId="32"/>
      <sheetData sheetId="33"/>
      <sheetData sheetId="34"/>
      <sheetData sheetId="35"/>
      <sheetData sheetId="36"/>
      <sheetData sheetId="37"/>
      <sheetData sheetId="38">
        <row r="12">
          <cell r="C12">
            <v>14462418772924</v>
          </cell>
        </row>
        <row r="13">
          <cell r="C13">
            <v>11029047337362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>
        <row r="13">
          <cell r="B13">
            <v>103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2506</v>
          </cell>
        </row>
      </sheetData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004"/>
      <sheetName val="GA261"/>
      <sheetName val="GA002"/>
      <sheetName val="GA005"/>
      <sheetName val="GA006"/>
      <sheetName val="GA007"/>
      <sheetName val="GA008"/>
      <sheetName val="GA012"/>
      <sheetName val="GA009"/>
      <sheetName val="GA010"/>
      <sheetName val="GA011"/>
      <sheetName val="GA013"/>
      <sheetName val="GA014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331"/>
      <sheetName val="GA333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3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5"/>
      <sheetName val="GA116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3"/>
      <sheetName val="GA124"/>
      <sheetName val="GA125"/>
      <sheetName val="GA126"/>
      <sheetName val="GA127"/>
      <sheetName val="GA128"/>
      <sheetName val="GA129"/>
      <sheetName val="GA130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7"/>
      <sheetName val="GA149"/>
      <sheetName val="GA150"/>
      <sheetName val="GA151"/>
      <sheetName val="GA152"/>
      <sheetName val="GA148"/>
      <sheetName val="GA153"/>
      <sheetName val="GA154"/>
      <sheetName val="GA155"/>
      <sheetName val="GA156"/>
      <sheetName val="GA157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1"/>
      <sheetName val="GA272"/>
      <sheetName val="GA273"/>
      <sheetName val="GA158"/>
      <sheetName val="GA159"/>
      <sheetName val="GA160"/>
      <sheetName val="GA161"/>
      <sheetName val="GA162"/>
      <sheetName val="GA163"/>
      <sheetName val="GA164"/>
      <sheetName val="GA165"/>
      <sheetName val="GA166"/>
      <sheetName val="GA167"/>
      <sheetName val="GA168"/>
      <sheetName val="GA169"/>
      <sheetName val="GA170"/>
      <sheetName val="GA171"/>
      <sheetName val="GA172"/>
      <sheetName val="GA173"/>
      <sheetName val="GA174"/>
      <sheetName val="GA251"/>
      <sheetName val="GA252"/>
      <sheetName val="GA175"/>
      <sheetName val="GA176"/>
      <sheetName val="GA177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X"/>
      <sheetName val="GA274-AC"/>
      <sheetName val="GA274-BG"/>
      <sheetName val="GA274-AD"/>
      <sheetName val="GA274-AI"/>
      <sheetName val="GA274-AG"/>
      <sheetName val="GA274-AK"/>
      <sheetName val="GA274-AH"/>
      <sheetName val="GA274-AW"/>
      <sheetName val="GA274-AF"/>
      <sheetName val="GA274-AE"/>
      <sheetName val="GA274-AN"/>
      <sheetName val="GA274-BI"/>
      <sheetName val="GA274-AX"/>
      <sheetName val="GA274-BC"/>
      <sheetName val="GA274-AY"/>
      <sheetName val="GA274-BB"/>
      <sheetName val="GA274-AP"/>
      <sheetName val="GA274-AA"/>
      <sheetName val="GA274-AQ"/>
      <sheetName val="GA274-AS"/>
      <sheetName val="GA274-AR"/>
      <sheetName val="GA274-AL"/>
      <sheetName val="GA274-AT"/>
      <sheetName val="GA274-AV"/>
      <sheetName val="GA274-BF"/>
      <sheetName val="GA274-BE"/>
      <sheetName val="GA274-AB"/>
      <sheetName val="GA274-BA"/>
      <sheetName val="GA274-BD"/>
      <sheetName val="GA274-AZ"/>
      <sheetName val="GA274-BH"/>
      <sheetName val="GA274-AO"/>
      <sheetName val="GA274-AM"/>
      <sheetName val="GA274-AU"/>
      <sheetName val="GA274-AJ"/>
      <sheetName val="GA260-X"/>
      <sheetName val="GA260-A"/>
      <sheetName val="GA275-AS"/>
      <sheetName val="GA275-AQ"/>
      <sheetName val="GA275-AL"/>
      <sheetName val="GA275-AT"/>
      <sheetName val="GA275-AV"/>
      <sheetName val="GA275-BF"/>
      <sheetName val="GA275-BE"/>
      <sheetName val="GA275-AB"/>
      <sheetName val="GA275-BA"/>
      <sheetName val="GA275-BD"/>
      <sheetName val="GA275-AZ"/>
      <sheetName val="GA275-BH"/>
      <sheetName val="GA275-AO"/>
      <sheetName val="GA275-AM"/>
      <sheetName val="GA275-AU"/>
      <sheetName val="GA275-BG"/>
      <sheetName val="GA275-AC"/>
      <sheetName val="GA275-AJ"/>
      <sheetName val="GA275-AD"/>
      <sheetName val="GA275-AI"/>
      <sheetName val="GA275-AG"/>
      <sheetName val="GA275-AK"/>
      <sheetName val="GA275-AH"/>
      <sheetName val="GA275-AW"/>
      <sheetName val="GA275-AF"/>
      <sheetName val="GA275-AE"/>
      <sheetName val="GA275-AN"/>
      <sheetName val="GA275-BI"/>
      <sheetName val="GA275-AX"/>
      <sheetName val="GA275-BC"/>
      <sheetName val="GA275-AY"/>
      <sheetName val="GA275-BB"/>
      <sheetName val="GA275-AP"/>
      <sheetName val="GA275-AA"/>
      <sheetName val="GA275-AR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30"/>
      <sheetName val="GA225"/>
      <sheetName val="GA226"/>
      <sheetName val="GA227"/>
      <sheetName val="GA228"/>
      <sheetName val="GA229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B13">
            <v>27542225000</v>
          </cell>
        </row>
        <row r="20">
          <cell r="B20">
            <v>591035000000</v>
          </cell>
        </row>
        <row r="21">
          <cell r="B21">
            <v>0</v>
          </cell>
        </row>
        <row r="22">
          <cell r="B22">
            <v>449500000000</v>
          </cell>
        </row>
        <row r="23">
          <cell r="B23">
            <v>449500000000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106436709947056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3">
          <cell r="C13">
            <v>2331971071640</v>
          </cell>
        </row>
        <row r="35">
          <cell r="C35">
            <v>728445614598</v>
          </cell>
        </row>
        <row r="49">
          <cell r="C49">
            <v>1603525457043</v>
          </cell>
        </row>
        <row r="51">
          <cell r="C51">
            <v>268800000000</v>
          </cell>
        </row>
      </sheetData>
      <sheetData sheetId="36">
        <row r="13">
          <cell r="C13">
            <v>24752872385777</v>
          </cell>
        </row>
        <row r="21">
          <cell r="C21">
            <v>3266251876743</v>
          </cell>
        </row>
        <row r="24">
          <cell r="C24">
            <v>757.84</v>
          </cell>
        </row>
      </sheetData>
      <sheetData sheetId="37">
        <row r="38">
          <cell r="B38">
            <v>2963788332218</v>
          </cell>
          <cell r="C38">
            <v>2754443337</v>
          </cell>
          <cell r="D38">
            <v>109825886</v>
          </cell>
          <cell r="E38">
            <v>34508645238</v>
          </cell>
          <cell r="F38">
            <v>29985731999</v>
          </cell>
          <cell r="G38">
            <v>3031146978678</v>
          </cell>
        </row>
      </sheetData>
      <sheetData sheetId="38">
        <row r="38">
          <cell r="H38">
            <v>36953196847</v>
          </cell>
          <cell r="J38">
            <v>-28607514784</v>
          </cell>
        </row>
      </sheetData>
      <sheetData sheetId="39"/>
      <sheetData sheetId="40"/>
      <sheetData sheetId="41"/>
      <sheetData sheetId="42"/>
      <sheetData sheetId="43"/>
      <sheetData sheetId="44"/>
      <sheetData sheetId="45">
        <row r="12">
          <cell r="C12">
            <v>20581376232923</v>
          </cell>
        </row>
        <row r="13">
          <cell r="C13">
            <v>14829015466629</v>
          </cell>
        </row>
      </sheetData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>
        <row r="13">
          <cell r="B13">
            <v>93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2489</v>
          </cell>
        </row>
      </sheetData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2"/>
      <sheetName val="GA005"/>
      <sheetName val="GA009"/>
      <sheetName val="GA011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331"/>
      <sheetName val="GA332"/>
      <sheetName val="GA333"/>
      <sheetName val="GA032"/>
      <sheetName val="GA033"/>
      <sheetName val="GA034"/>
      <sheetName val="GA035"/>
      <sheetName val="GA037"/>
      <sheetName val="GA038"/>
      <sheetName val="GA039"/>
      <sheetName val="GA040"/>
      <sheetName val="GA041"/>
      <sheetName val="GA042"/>
      <sheetName val="GA35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156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B"/>
      <sheetName val="GA258-X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1257999842018</v>
          </cell>
        </row>
        <row r="21">
          <cell r="B21">
            <v>0</v>
          </cell>
        </row>
        <row r="22">
          <cell r="B22">
            <v>1115000000000</v>
          </cell>
        </row>
        <row r="23">
          <cell r="B23">
            <v>1115000000000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119731623971915</v>
          </cell>
        </row>
      </sheetData>
      <sheetData sheetId="17"/>
      <sheetData sheetId="18"/>
      <sheetData sheetId="19"/>
      <sheetData sheetId="20"/>
      <sheetData sheetId="21"/>
      <sheetData sheetId="22"/>
      <sheetData sheetId="23">
        <row r="13">
          <cell r="C13">
            <v>2837546034951</v>
          </cell>
        </row>
        <row r="35">
          <cell r="C35">
            <v>849485183459</v>
          </cell>
        </row>
        <row r="49">
          <cell r="C49">
            <v>1988060851492</v>
          </cell>
        </row>
        <row r="51">
          <cell r="C51">
            <v>134400000000</v>
          </cell>
        </row>
        <row r="52">
          <cell r="C52">
            <v>1479.2</v>
          </cell>
        </row>
      </sheetData>
      <sheetData sheetId="24">
        <row r="13">
          <cell r="C13">
            <v>3056559255225</v>
          </cell>
        </row>
        <row r="35">
          <cell r="C35">
            <v>902696000082</v>
          </cell>
        </row>
        <row r="49">
          <cell r="C49">
            <v>2153863255143</v>
          </cell>
        </row>
        <row r="51">
          <cell r="C51">
            <v>134400000000</v>
          </cell>
        </row>
        <row r="52">
          <cell r="C52">
            <v>1602.6</v>
          </cell>
        </row>
      </sheetData>
      <sheetData sheetId="25">
        <row r="13">
          <cell r="C13">
            <v>28852461419831</v>
          </cell>
        </row>
        <row r="22">
          <cell r="C22">
            <v>4063665447386</v>
          </cell>
        </row>
        <row r="25">
          <cell r="C25">
            <v>710</v>
          </cell>
        </row>
      </sheetData>
      <sheetData sheetId="26">
        <row r="38">
          <cell r="B38">
            <v>4482100994115</v>
          </cell>
          <cell r="C38">
            <v>4837511449</v>
          </cell>
          <cell r="D38">
            <v>88264894</v>
          </cell>
          <cell r="E38">
            <v>7296561984</v>
          </cell>
          <cell r="F38">
            <v>29984962496</v>
          </cell>
          <cell r="G38">
            <v>4524308294938</v>
          </cell>
        </row>
      </sheetData>
      <sheetData sheetId="27">
        <row r="38">
          <cell r="H38">
            <v>37273256060</v>
          </cell>
          <cell r="J38">
            <v>-8994036891</v>
          </cell>
        </row>
      </sheetData>
      <sheetData sheetId="28"/>
      <sheetData sheetId="29"/>
      <sheetData sheetId="30"/>
      <sheetData sheetId="31"/>
      <sheetData sheetId="32"/>
      <sheetData sheetId="33">
        <row r="12">
          <cell r="C12">
            <v>13892033412539</v>
          </cell>
        </row>
        <row r="13">
          <cell r="C13">
            <v>10435948053541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13">
          <cell r="B13">
            <v>88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2502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005"/>
      <sheetName val="GA009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032"/>
      <sheetName val="GA033"/>
      <sheetName val="GA034"/>
      <sheetName val="GA038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078"/>
      <sheetName val="GA079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092"/>
      <sheetName val="GA093"/>
      <sheetName val="GA094"/>
      <sheetName val="GA095"/>
      <sheetName val="GA096"/>
      <sheetName val="GA097"/>
      <sheetName val="GA098"/>
      <sheetName val="GA099"/>
      <sheetName val="GA101"/>
      <sheetName val="GA104"/>
      <sheetName val="GA107"/>
      <sheetName val="GA110"/>
      <sheetName val="GA117"/>
      <sheetName val="GA118"/>
      <sheetName val="GA119"/>
      <sheetName val="GA120"/>
      <sheetName val="GA121"/>
      <sheetName val="GA122"/>
      <sheetName val="GA124"/>
      <sheetName val="GA127"/>
      <sheetName val="GA128"/>
      <sheetName val="GA129"/>
      <sheetName val="GA140"/>
      <sheetName val="GA141"/>
      <sheetName val="GA142"/>
      <sheetName val="GA143"/>
      <sheetName val="GA144"/>
      <sheetName val="GA145"/>
      <sheetName val="GA146"/>
      <sheetName val="GA149"/>
      <sheetName val="GA150"/>
      <sheetName val="GA152"/>
      <sheetName val="GA153"/>
      <sheetName val="GA156"/>
      <sheetName val="GA158"/>
      <sheetName val="GA159"/>
      <sheetName val="GA160"/>
      <sheetName val="GA161"/>
      <sheetName val="GA162"/>
      <sheetName val="GA178"/>
      <sheetName val="GA179"/>
      <sheetName val="GA180"/>
      <sheetName val="GA181"/>
      <sheetName val="GA182"/>
      <sheetName val="GA185"/>
      <sheetName val="GA186"/>
      <sheetName val="GA187"/>
      <sheetName val="GA188"/>
      <sheetName val="GA189"/>
      <sheetName val="GA191"/>
      <sheetName val="GA198"/>
      <sheetName val="GA199"/>
      <sheetName val="GA200"/>
      <sheetName val="GA201"/>
      <sheetName val="GA206"/>
      <sheetName val="GA207"/>
      <sheetName val="GA208"/>
      <sheetName val="GA209"/>
      <sheetName val="GA211"/>
      <sheetName val="GA212"/>
      <sheetName val="GA213"/>
      <sheetName val="GA214"/>
      <sheetName val="GA215"/>
      <sheetName val="GA216"/>
      <sheetName val="GA219"/>
      <sheetName val="GA221"/>
      <sheetName val="GA226"/>
      <sheetName val="GA229"/>
      <sheetName val="GA230"/>
      <sheetName val="GA234"/>
      <sheetName val="GA235"/>
      <sheetName val="GA236"/>
      <sheetName val="GA237"/>
      <sheetName val="GA242"/>
      <sheetName val="GA243"/>
      <sheetName val="GA244"/>
      <sheetName val="GA245"/>
      <sheetName val="GA246"/>
      <sheetName val="GA247"/>
      <sheetName val="GA248"/>
      <sheetName val="GA249"/>
      <sheetName val="GA251"/>
      <sheetName val="GA252"/>
      <sheetName val="GA253"/>
      <sheetName val="GA254"/>
      <sheetName val="GA255"/>
      <sheetName val="GA256"/>
      <sheetName val="GA258-A"/>
      <sheetName val="GA258-B"/>
      <sheetName val="GA258-X"/>
      <sheetName val="GA260-A"/>
      <sheetName val="GA260-B"/>
      <sheetName val="GA260-X"/>
      <sheetName val="GA261"/>
      <sheetName val="GA262"/>
      <sheetName val="GA273"/>
      <sheetName val="GA274"/>
      <sheetName val="GA275"/>
      <sheetName val="GA276"/>
      <sheetName val="GA277"/>
      <sheetName val="GA278"/>
      <sheetName val="GA280"/>
      <sheetName val="GA281"/>
      <sheetName val="GA282"/>
      <sheetName val="GA283"/>
      <sheetName val="GA284"/>
      <sheetName val="GA285"/>
      <sheetName val="GA286"/>
      <sheetName val="GA287"/>
      <sheetName val="GA288"/>
      <sheetName val="GA289"/>
      <sheetName val="GA290"/>
      <sheetName val="GA291"/>
      <sheetName val="GA292"/>
      <sheetName val="GA300"/>
      <sheetName val="GA331"/>
      <sheetName val="GA332"/>
      <sheetName val="GA333"/>
      <sheetName val="GA335"/>
      <sheetName val="GA336"/>
      <sheetName val="GA337"/>
      <sheetName val="GA338"/>
      <sheetName val="GA339"/>
      <sheetName val="GA340"/>
      <sheetName val="GA341"/>
      <sheetName val="GA342"/>
      <sheetName val="GA343"/>
      <sheetName val="GA344"/>
      <sheetName val="GA345"/>
      <sheetName val="GA346"/>
      <sheetName val="GA347"/>
      <sheetName val="GA348"/>
      <sheetName val="GA349"/>
      <sheetName val="GA350"/>
      <sheetName val="GA351"/>
      <sheetName val="GA363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399"/>
      <sheetName val="GA424"/>
      <sheetName val="GA763"/>
      <sheetName val="GA764"/>
      <sheetName val="GA76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">
          <cell r="B13">
            <v>0</v>
          </cell>
        </row>
        <row r="20">
          <cell r="B20">
            <v>1233976683868</v>
          </cell>
        </row>
        <row r="21">
          <cell r="B21">
            <v>0</v>
          </cell>
        </row>
        <row r="22">
          <cell r="B22">
            <v>1971136160748</v>
          </cell>
        </row>
        <row r="23">
          <cell r="B23">
            <v>1875719367718</v>
          </cell>
        </row>
        <row r="24">
          <cell r="B24">
            <v>0</v>
          </cell>
        </row>
        <row r="25">
          <cell r="B25">
            <v>95416793030</v>
          </cell>
        </row>
        <row r="26">
          <cell r="B26">
            <v>0</v>
          </cell>
        </row>
        <row r="28">
          <cell r="B28">
            <v>132390449405559</v>
          </cell>
        </row>
      </sheetData>
      <sheetData sheetId="15">
        <row r="39">
          <cell r="B39">
            <v>6704714741927</v>
          </cell>
          <cell r="C39">
            <v>115</v>
          </cell>
          <cell r="D39">
            <v>80971605</v>
          </cell>
          <cell r="E39">
            <v>9304521511</v>
          </cell>
          <cell r="F39">
            <v>27725826455</v>
          </cell>
          <cell r="G39">
            <v>6741826061613</v>
          </cell>
        </row>
      </sheetData>
      <sheetData sheetId="16">
        <row r="38">
          <cell r="H38">
            <v>37026204631</v>
          </cell>
          <cell r="J38">
            <v>-70238092246</v>
          </cell>
        </row>
      </sheetData>
      <sheetData sheetId="17"/>
      <sheetData sheetId="18"/>
      <sheetData sheetId="19">
        <row r="12">
          <cell r="C12">
            <v>18285740900122</v>
          </cell>
        </row>
        <row r="13">
          <cell r="C13">
            <v>14110660547227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2580</v>
          </cell>
        </row>
      </sheetData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>
        <row r="13">
          <cell r="C13">
            <v>3223658725768</v>
          </cell>
        </row>
        <row r="35">
          <cell r="C35">
            <v>1320490249022</v>
          </cell>
        </row>
        <row r="49">
          <cell r="C49">
            <v>1903168476746</v>
          </cell>
        </row>
        <row r="51">
          <cell r="C51">
            <v>134399999999.99998</v>
          </cell>
        </row>
        <row r="52">
          <cell r="C52">
            <v>1416.048</v>
          </cell>
        </row>
      </sheetData>
      <sheetData sheetId="173">
        <row r="13">
          <cell r="C13">
            <v>3417891139350</v>
          </cell>
        </row>
        <row r="35">
          <cell r="C35">
            <v>1442340346989</v>
          </cell>
        </row>
        <row r="49">
          <cell r="C49">
            <v>1975550792361</v>
          </cell>
        </row>
        <row r="51">
          <cell r="C51">
            <v>134400000000</v>
          </cell>
        </row>
        <row r="52">
          <cell r="C52">
            <v>1469.9</v>
          </cell>
        </row>
      </sheetData>
      <sheetData sheetId="174">
        <row r="13">
          <cell r="C13">
            <v>32767578524344</v>
          </cell>
        </row>
        <row r="23">
          <cell r="C23">
            <v>4171547289809</v>
          </cell>
        </row>
        <row r="26">
          <cell r="C26">
            <v>785.5</v>
          </cell>
        </row>
      </sheetData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1374350516331</v>
          </cell>
        </row>
        <row r="21">
          <cell r="B21">
            <v>0</v>
          </cell>
        </row>
        <row r="22">
          <cell r="B22">
            <v>2153865084299</v>
          </cell>
        </row>
        <row r="23">
          <cell r="B23">
            <v>2076419367718</v>
          </cell>
        </row>
        <row r="24">
          <cell r="B24">
            <v>0</v>
          </cell>
        </row>
        <row r="25">
          <cell r="B25">
            <v>77445716581</v>
          </cell>
        </row>
        <row r="26">
          <cell r="B26">
            <v>0</v>
          </cell>
        </row>
        <row r="28">
          <cell r="B28">
            <v>139109852739189</v>
          </cell>
        </row>
      </sheetData>
      <sheetData sheetId="17"/>
      <sheetData sheetId="18"/>
      <sheetData sheetId="19">
        <row r="13">
          <cell r="C13">
            <v>2647137333610</v>
          </cell>
        </row>
        <row r="35">
          <cell r="C35">
            <v>1404667202445</v>
          </cell>
        </row>
        <row r="49">
          <cell r="C49">
            <v>1242470131165</v>
          </cell>
        </row>
        <row r="51">
          <cell r="C51">
            <v>134400000000</v>
          </cell>
        </row>
        <row r="52">
          <cell r="C52">
            <v>924.5</v>
          </cell>
        </row>
      </sheetData>
      <sheetData sheetId="20">
        <row r="26">
          <cell r="C26">
            <v>71.761695496569573</v>
          </cell>
          <cell r="E26">
            <v>90.50716774587363</v>
          </cell>
        </row>
      </sheetData>
      <sheetData sheetId="21"/>
      <sheetData sheetId="22"/>
      <sheetData sheetId="23">
        <row r="13">
          <cell r="C13">
            <v>2857961414922</v>
          </cell>
        </row>
        <row r="35">
          <cell r="C35">
            <v>1465677259296</v>
          </cell>
        </row>
        <row r="49">
          <cell r="C49">
            <v>1392284155626</v>
          </cell>
        </row>
        <row r="51">
          <cell r="C51">
            <v>134400000000</v>
          </cell>
        </row>
        <row r="52">
          <cell r="C52">
            <v>1035.9000000000001</v>
          </cell>
        </row>
      </sheetData>
      <sheetData sheetId="24"/>
      <sheetData sheetId="25"/>
      <sheetData sheetId="26">
        <row r="39">
          <cell r="B39">
            <v>7843081251054</v>
          </cell>
          <cell r="C39">
            <v>0</v>
          </cell>
          <cell r="D39">
            <v>81975335</v>
          </cell>
          <cell r="E39">
            <v>18975467891</v>
          </cell>
          <cell r="F39">
            <v>27723451977</v>
          </cell>
          <cell r="G39">
            <v>7889862146257</v>
          </cell>
        </row>
      </sheetData>
      <sheetData sheetId="27">
        <row r="38">
          <cell r="H38">
            <v>56185680974</v>
          </cell>
          <cell r="J38">
            <v>-66538061562</v>
          </cell>
        </row>
      </sheetData>
      <sheetData sheetId="28"/>
      <sheetData sheetId="29"/>
      <sheetData sheetId="30">
        <row r="12">
          <cell r="C12">
            <v>16513379462275</v>
          </cell>
        </row>
        <row r="13">
          <cell r="C13">
            <v>14984918678128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2587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1163692652405</v>
          </cell>
        </row>
        <row r="21">
          <cell r="B21">
            <v>0</v>
          </cell>
        </row>
        <row r="22">
          <cell r="B22">
            <v>2411070594949</v>
          </cell>
        </row>
        <row r="23">
          <cell r="B23">
            <v>2309536201044</v>
          </cell>
        </row>
        <row r="24">
          <cell r="B24">
            <v>0</v>
          </cell>
        </row>
        <row r="25">
          <cell r="B25">
            <v>101534393905</v>
          </cell>
        </row>
        <row r="26">
          <cell r="B26">
            <v>0</v>
          </cell>
        </row>
        <row r="28">
          <cell r="B28">
            <v>138364768625415</v>
          </cell>
        </row>
      </sheetData>
      <sheetData sheetId="17"/>
      <sheetData sheetId="18"/>
      <sheetData sheetId="19">
        <row r="13">
          <cell r="C13">
            <v>2843660667216</v>
          </cell>
        </row>
        <row r="35">
          <cell r="C35">
            <v>1561914398841</v>
          </cell>
        </row>
        <row r="49">
          <cell r="C49">
            <v>1281746268375</v>
          </cell>
        </row>
        <row r="51">
          <cell r="C51">
            <v>134400000000</v>
          </cell>
        </row>
        <row r="52">
          <cell r="C52">
            <v>953.7</v>
          </cell>
        </row>
      </sheetData>
      <sheetData sheetId="20">
        <row r="26">
          <cell r="C26">
            <v>76.240262219157813</v>
          </cell>
          <cell r="E26">
            <v>93.700492360140686</v>
          </cell>
        </row>
      </sheetData>
      <sheetData sheetId="21"/>
      <sheetData sheetId="22"/>
      <sheetData sheetId="23">
        <row r="13">
          <cell r="C13">
            <v>3051797054418</v>
          </cell>
        </row>
        <row r="35">
          <cell r="C35">
            <v>1641279949318</v>
          </cell>
        </row>
        <row r="49">
          <cell r="C49">
            <v>1410517105100</v>
          </cell>
        </row>
        <row r="51">
          <cell r="C51">
            <v>134400000000</v>
          </cell>
        </row>
        <row r="52">
          <cell r="C52">
            <v>1049.5</v>
          </cell>
        </row>
      </sheetData>
      <sheetData sheetId="24"/>
      <sheetData sheetId="25"/>
      <sheetData sheetId="26">
        <row r="39">
          <cell r="B39">
            <v>8095730547137</v>
          </cell>
          <cell r="C39">
            <v>0</v>
          </cell>
          <cell r="D39">
            <v>82979065</v>
          </cell>
          <cell r="E39">
            <v>9346275200</v>
          </cell>
          <cell r="F39">
            <v>37552709290</v>
          </cell>
          <cell r="G39">
            <v>8142712510692</v>
          </cell>
        </row>
      </sheetData>
      <sheetData sheetId="27">
        <row r="38">
          <cell r="H38">
            <v>56484133749</v>
          </cell>
          <cell r="J38">
            <v>-71681025656</v>
          </cell>
        </row>
      </sheetData>
      <sheetData sheetId="28"/>
      <sheetData sheetId="29"/>
      <sheetData sheetId="30">
        <row r="12">
          <cell r="C12">
            <v>17913952782221</v>
          </cell>
        </row>
        <row r="13">
          <cell r="C13">
            <v>15899922733108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2605</v>
          </cell>
        </row>
      </sheetData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B"/>
      <sheetName val="GA260-X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1029232266933</v>
          </cell>
        </row>
        <row r="21">
          <cell r="B21">
            <v>0</v>
          </cell>
        </row>
        <row r="22">
          <cell r="B22">
            <v>2566622513438</v>
          </cell>
        </row>
        <row r="23">
          <cell r="B23">
            <v>2449128201044</v>
          </cell>
        </row>
        <row r="24">
          <cell r="B24">
            <v>0</v>
          </cell>
        </row>
        <row r="25">
          <cell r="B25">
            <v>117494312394</v>
          </cell>
        </row>
        <row r="26">
          <cell r="B26">
            <v>0</v>
          </cell>
        </row>
        <row r="28">
          <cell r="B28">
            <v>123838783458954</v>
          </cell>
        </row>
      </sheetData>
      <sheetData sheetId="17"/>
      <sheetData sheetId="18"/>
      <sheetData sheetId="19">
        <row r="26">
          <cell r="C26">
            <v>74.107812779092242</v>
          </cell>
          <cell r="E26">
            <v>94.364069506277644</v>
          </cell>
        </row>
      </sheetData>
      <sheetData sheetId="20"/>
      <sheetData sheetId="21"/>
      <sheetData sheetId="22">
        <row r="13">
          <cell r="C13">
            <v>3203304057666</v>
          </cell>
        </row>
        <row r="35">
          <cell r="C35">
            <v>1661618221082</v>
          </cell>
        </row>
        <row r="49">
          <cell r="C49">
            <v>1541685836584</v>
          </cell>
        </row>
        <row r="51">
          <cell r="C51">
            <v>134400000000</v>
          </cell>
        </row>
        <row r="52">
          <cell r="C52">
            <v>1147.0999999999999</v>
          </cell>
        </row>
      </sheetData>
      <sheetData sheetId="23"/>
      <sheetData sheetId="24"/>
      <sheetData sheetId="25">
        <row r="13">
          <cell r="C13">
            <v>2972313637220</v>
          </cell>
        </row>
        <row r="35">
          <cell r="C35">
            <v>1579140017200</v>
          </cell>
        </row>
        <row r="49">
          <cell r="C49">
            <v>1393173620020</v>
          </cell>
        </row>
        <row r="51">
          <cell r="C51">
            <v>134400000000</v>
          </cell>
        </row>
        <row r="52">
          <cell r="C52">
            <v>1036.5999999999999</v>
          </cell>
        </row>
      </sheetData>
      <sheetData sheetId="26">
        <row r="39">
          <cell r="B39">
            <v>8015107854738</v>
          </cell>
          <cell r="C39">
            <v>2500000000</v>
          </cell>
          <cell r="D39">
            <v>83982795</v>
          </cell>
          <cell r="E39">
            <v>9342843282</v>
          </cell>
          <cell r="F39">
            <v>37656995523</v>
          </cell>
          <cell r="G39">
            <v>8064691676338</v>
          </cell>
        </row>
      </sheetData>
      <sheetData sheetId="27">
        <row r="38">
          <cell r="H38">
            <v>128545511900</v>
          </cell>
          <cell r="J38">
            <v>70073218891</v>
          </cell>
        </row>
      </sheetData>
      <sheetData sheetId="28"/>
      <sheetData sheetId="29"/>
      <sheetData sheetId="30">
        <row r="12">
          <cell r="C12">
            <v>18281875350067</v>
          </cell>
        </row>
        <row r="13">
          <cell r="C13">
            <v>16048875100749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2631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016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763"/>
      <sheetName val="GA764"/>
      <sheetName val="GA765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3">
          <cell r="B13">
            <v>0</v>
          </cell>
        </row>
        <row r="20">
          <cell r="B20">
            <v>1144242544267</v>
          </cell>
        </row>
        <row r="21">
          <cell r="B21">
            <v>0</v>
          </cell>
        </row>
        <row r="22">
          <cell r="B22">
            <v>2794770061441</v>
          </cell>
        </row>
        <row r="23">
          <cell r="B23">
            <v>2562528201044</v>
          </cell>
        </row>
        <row r="24">
          <cell r="B24">
            <v>0</v>
          </cell>
        </row>
        <row r="25">
          <cell r="B25">
            <v>232241860397</v>
          </cell>
        </row>
        <row r="26">
          <cell r="B26">
            <v>0</v>
          </cell>
        </row>
        <row r="28">
          <cell r="B28">
            <v>110844054846978</v>
          </cell>
        </row>
      </sheetData>
      <sheetData sheetId="18"/>
      <sheetData sheetId="19"/>
      <sheetData sheetId="20">
        <row r="26">
          <cell r="C26">
            <v>72.307892736280408</v>
          </cell>
          <cell r="E26">
            <v>90.861398039240385</v>
          </cell>
        </row>
      </sheetData>
      <sheetData sheetId="21"/>
      <sheetData sheetId="22"/>
      <sheetData sheetId="23">
        <row r="13">
          <cell r="C13">
            <v>3257405482827</v>
          </cell>
        </row>
        <row r="35">
          <cell r="C35">
            <v>1890645930877</v>
          </cell>
        </row>
        <row r="49">
          <cell r="C49">
            <v>1366759551950</v>
          </cell>
        </row>
        <row r="51">
          <cell r="C51">
            <v>134400000000</v>
          </cell>
        </row>
        <row r="52">
          <cell r="C52">
            <v>1016.9</v>
          </cell>
        </row>
      </sheetData>
      <sheetData sheetId="24"/>
      <sheetData sheetId="25">
        <row r="13">
          <cell r="C13">
            <v>36177263497161</v>
          </cell>
        </row>
        <row r="23">
          <cell r="C23">
            <v>4278133903842</v>
          </cell>
        </row>
        <row r="26">
          <cell r="C26">
            <v>845.6</v>
          </cell>
        </row>
      </sheetData>
      <sheetData sheetId="26">
        <row r="13">
          <cell r="C13">
            <v>2993551359978</v>
          </cell>
        </row>
        <row r="35">
          <cell r="C35">
            <v>1817286464489</v>
          </cell>
        </row>
        <row r="49">
          <cell r="C49">
            <v>1176264895489</v>
          </cell>
        </row>
        <row r="51">
          <cell r="C51">
            <v>134400000000</v>
          </cell>
        </row>
        <row r="52">
          <cell r="C52">
            <v>875.2</v>
          </cell>
        </row>
      </sheetData>
      <sheetData sheetId="27">
        <row r="39">
          <cell r="B39">
            <v>8252284631091</v>
          </cell>
          <cell r="C39">
            <v>0</v>
          </cell>
          <cell r="D39">
            <v>57437075</v>
          </cell>
          <cell r="E39">
            <v>8722728317</v>
          </cell>
          <cell r="F39">
            <v>37926298840</v>
          </cell>
          <cell r="G39">
            <v>8298991095323</v>
          </cell>
        </row>
      </sheetData>
      <sheetData sheetId="28">
        <row r="38">
          <cell r="H38">
            <v>131127496185</v>
          </cell>
          <cell r="J38">
            <v>72364381277</v>
          </cell>
        </row>
      </sheetData>
      <sheetData sheetId="29"/>
      <sheetData sheetId="30"/>
      <sheetData sheetId="31">
        <row r="12">
          <cell r="C12">
            <v>17343769287873</v>
          </cell>
        </row>
        <row r="13">
          <cell r="C13">
            <v>16352375855066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9">
          <cell r="C19">
            <v>2699</v>
          </cell>
        </row>
      </sheetData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4">
          <cell r="C14">
            <v>0</v>
          </cell>
        </row>
        <row r="21">
          <cell r="C21">
            <v>1023248020725</v>
          </cell>
        </row>
        <row r="22">
          <cell r="C22">
            <v>0</v>
          </cell>
        </row>
        <row r="23">
          <cell r="C23">
            <v>3038944610659</v>
          </cell>
        </row>
        <row r="24">
          <cell r="C24">
            <v>2845153815452</v>
          </cell>
        </row>
        <row r="25">
          <cell r="C25">
            <v>0</v>
          </cell>
        </row>
        <row r="26">
          <cell r="C26">
            <v>193790795207</v>
          </cell>
        </row>
        <row r="27">
          <cell r="C27">
            <v>0</v>
          </cell>
        </row>
        <row r="29">
          <cell r="C29">
            <v>118188084191818</v>
          </cell>
        </row>
      </sheetData>
      <sheetData sheetId="17"/>
      <sheetData sheetId="18"/>
      <sheetData sheetId="19">
        <row r="27">
          <cell r="D27">
            <v>69.130592634006419</v>
          </cell>
          <cell r="F27">
            <v>93.034152381783784</v>
          </cell>
        </row>
      </sheetData>
      <sheetData sheetId="20"/>
      <sheetData sheetId="21"/>
      <sheetData sheetId="22">
        <row r="14">
          <cell r="D14">
            <v>3292817040637</v>
          </cell>
        </row>
        <row r="36">
          <cell r="D36">
            <v>2212936126876</v>
          </cell>
        </row>
        <row r="50">
          <cell r="D50">
            <v>1079880913761</v>
          </cell>
        </row>
        <row r="52">
          <cell r="D52">
            <v>134400000000</v>
          </cell>
        </row>
        <row r="53">
          <cell r="D53">
            <v>803.5</v>
          </cell>
        </row>
      </sheetData>
      <sheetData sheetId="23"/>
      <sheetData sheetId="24">
        <row r="14">
          <cell r="D14">
            <v>35912266554675</v>
          </cell>
        </row>
        <row r="24">
          <cell r="D24">
            <v>4287520923068</v>
          </cell>
        </row>
        <row r="27">
          <cell r="D27">
            <v>837.6</v>
          </cell>
        </row>
      </sheetData>
      <sheetData sheetId="25">
        <row r="14">
          <cell r="D14">
            <v>2672349722085</v>
          </cell>
        </row>
        <row r="36">
          <cell r="D36">
            <v>2113316415329</v>
          </cell>
        </row>
        <row r="50">
          <cell r="D50">
            <v>559033306756</v>
          </cell>
        </row>
        <row r="52">
          <cell r="D52">
            <v>134400000000</v>
          </cell>
        </row>
        <row r="53">
          <cell r="D53">
            <v>415.9</v>
          </cell>
        </row>
      </sheetData>
      <sheetData sheetId="26">
        <row r="40">
          <cell r="C40">
            <v>11768678351438</v>
          </cell>
          <cell r="D40">
            <v>0</v>
          </cell>
          <cell r="E40">
            <v>58277896</v>
          </cell>
          <cell r="F40">
            <v>10404476822</v>
          </cell>
          <cell r="G40">
            <v>37693994216</v>
          </cell>
          <cell r="H40">
            <v>11816835100372</v>
          </cell>
        </row>
      </sheetData>
      <sheetData sheetId="27">
        <row r="39">
          <cell r="I39">
            <v>142869431180</v>
          </cell>
          <cell r="K39">
            <v>80646460583</v>
          </cell>
        </row>
      </sheetData>
      <sheetData sheetId="28"/>
      <sheetData sheetId="29"/>
      <sheetData sheetId="30">
        <row r="13">
          <cell r="D13">
            <v>19911128554550</v>
          </cell>
        </row>
        <row r="14">
          <cell r="D14">
            <v>17778849219284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14">
          <cell r="C14">
            <v>79</v>
          </cell>
        </row>
        <row r="18">
          <cell r="C18">
            <v>2</v>
          </cell>
        </row>
        <row r="19">
          <cell r="C19">
            <v>7</v>
          </cell>
        </row>
        <row r="20">
          <cell r="D20">
            <v>2704</v>
          </cell>
        </row>
      </sheetData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4">
          <cell r="C14">
            <v>0</v>
          </cell>
        </row>
        <row r="21">
          <cell r="C21">
            <v>1033565472741</v>
          </cell>
        </row>
        <row r="22">
          <cell r="C22">
            <v>0</v>
          </cell>
        </row>
        <row r="23">
          <cell r="C23">
            <v>3289234257606</v>
          </cell>
        </row>
        <row r="24">
          <cell r="C24">
            <v>3093053815452</v>
          </cell>
        </row>
        <row r="25">
          <cell r="C25">
            <v>0</v>
          </cell>
        </row>
        <row r="26">
          <cell r="C26">
            <v>196180442154</v>
          </cell>
        </row>
        <row r="27">
          <cell r="C27">
            <v>0</v>
          </cell>
        </row>
        <row r="29">
          <cell r="C29">
            <v>118940385238827</v>
          </cell>
        </row>
      </sheetData>
      <sheetData sheetId="17" refreshError="1"/>
      <sheetData sheetId="18" refreshError="1"/>
      <sheetData sheetId="19">
        <row r="27">
          <cell r="D27">
            <v>66.985226099425731</v>
          </cell>
          <cell r="F27">
            <v>87.165899294779706</v>
          </cell>
        </row>
      </sheetData>
      <sheetData sheetId="20" refreshError="1"/>
      <sheetData sheetId="21" refreshError="1"/>
      <sheetData sheetId="22">
        <row r="14">
          <cell r="D14">
            <v>3687202277926</v>
          </cell>
        </row>
        <row r="36">
          <cell r="D36">
            <v>2501850563390</v>
          </cell>
        </row>
        <row r="50">
          <cell r="D50">
            <v>1185351714536</v>
          </cell>
        </row>
        <row r="52">
          <cell r="D52">
            <v>134225000000</v>
          </cell>
        </row>
        <row r="53">
          <cell r="D53">
            <v>883.1</v>
          </cell>
        </row>
      </sheetData>
      <sheetData sheetId="23" refreshError="1"/>
      <sheetData sheetId="24">
        <row r="14">
          <cell r="D14">
            <v>39644959073127</v>
          </cell>
        </row>
        <row r="24">
          <cell r="D24">
            <v>4479425145135</v>
          </cell>
        </row>
        <row r="27">
          <cell r="D27">
            <v>885</v>
          </cell>
        </row>
      </sheetData>
      <sheetData sheetId="25">
        <row r="14">
          <cell r="D14">
            <v>3028747456686</v>
          </cell>
        </row>
        <row r="36">
          <cell r="D36">
            <v>2436886366088</v>
          </cell>
        </row>
        <row r="50">
          <cell r="D50">
            <v>591861090598</v>
          </cell>
        </row>
        <row r="52">
          <cell r="D52">
            <v>134225000000</v>
          </cell>
        </row>
        <row r="53">
          <cell r="D53">
            <v>440.9</v>
          </cell>
        </row>
      </sheetData>
      <sheetData sheetId="26">
        <row r="40">
          <cell r="C40">
            <v>13344092266459</v>
          </cell>
          <cell r="D40">
            <v>2500000000</v>
          </cell>
          <cell r="E40">
            <v>695970230</v>
          </cell>
          <cell r="F40">
            <v>5215112072</v>
          </cell>
          <cell r="G40">
            <v>40403079603</v>
          </cell>
          <cell r="H40">
            <v>13392906428364</v>
          </cell>
        </row>
      </sheetData>
      <sheetData sheetId="27">
        <row r="39">
          <cell r="I39">
            <v>142242436289</v>
          </cell>
          <cell r="K39">
            <v>83438802460</v>
          </cell>
        </row>
      </sheetData>
      <sheetData sheetId="28" refreshError="1"/>
      <sheetData sheetId="29" refreshError="1"/>
      <sheetData sheetId="30">
        <row r="13">
          <cell r="D13">
            <v>25205317089316</v>
          </cell>
        </row>
        <row r="14">
          <cell r="D14">
            <v>20552475013816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2723</v>
          </cell>
        </row>
      </sheetData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4">
          <cell r="C14">
            <v>0</v>
          </cell>
        </row>
        <row r="21">
          <cell r="C21">
            <v>675971997318</v>
          </cell>
        </row>
        <row r="22">
          <cell r="C22">
            <v>0</v>
          </cell>
        </row>
        <row r="23">
          <cell r="C23">
            <v>3479897519294</v>
          </cell>
        </row>
        <row r="24">
          <cell r="C24">
            <v>3276394418949</v>
          </cell>
        </row>
        <row r="25">
          <cell r="C25">
            <v>0</v>
          </cell>
        </row>
        <row r="26">
          <cell r="C26">
            <v>203503100345</v>
          </cell>
        </row>
        <row r="27">
          <cell r="C27">
            <v>0</v>
          </cell>
        </row>
        <row r="29">
          <cell r="C29">
            <v>116598426929414</v>
          </cell>
        </row>
      </sheetData>
      <sheetData sheetId="17"/>
      <sheetData sheetId="18"/>
      <sheetData sheetId="19"/>
      <sheetData sheetId="20"/>
      <sheetData sheetId="21"/>
      <sheetData sheetId="22">
        <row r="14">
          <cell r="D14">
            <v>3809030325011</v>
          </cell>
        </row>
        <row r="36">
          <cell r="D36">
            <v>2624115709879</v>
          </cell>
        </row>
        <row r="50">
          <cell r="D50">
            <v>1184914615132</v>
          </cell>
        </row>
        <row r="52">
          <cell r="D52">
            <v>134225000000</v>
          </cell>
        </row>
        <row r="53">
          <cell r="D53">
            <v>882.8</v>
          </cell>
        </row>
      </sheetData>
      <sheetData sheetId="23"/>
      <sheetData sheetId="24">
        <row r="14">
          <cell r="D14">
            <v>37552975011802</v>
          </cell>
        </row>
        <row r="24">
          <cell r="D24">
            <v>4560932006477</v>
          </cell>
        </row>
        <row r="27">
          <cell r="D27">
            <v>823.4</v>
          </cell>
        </row>
      </sheetData>
      <sheetData sheetId="25">
        <row r="14">
          <cell r="D14">
            <v>3105890318103</v>
          </cell>
        </row>
        <row r="36">
          <cell r="D36">
            <v>2582528148948</v>
          </cell>
        </row>
        <row r="50">
          <cell r="D50">
            <v>523362169155</v>
          </cell>
        </row>
        <row r="52">
          <cell r="D52">
            <v>134225000000</v>
          </cell>
        </row>
        <row r="53">
          <cell r="D53">
            <v>389.9</v>
          </cell>
        </row>
      </sheetData>
      <sheetData sheetId="26">
        <row r="40">
          <cell r="C40">
            <v>11129662265373</v>
          </cell>
          <cell r="D40">
            <v>0</v>
          </cell>
          <cell r="E40">
            <v>60055087</v>
          </cell>
          <cell r="F40">
            <v>11177698221</v>
          </cell>
          <cell r="G40">
            <v>41889855609</v>
          </cell>
          <cell r="H40">
            <v>11182789874290</v>
          </cell>
        </row>
      </sheetData>
      <sheetData sheetId="27">
        <row r="39">
          <cell r="I39">
            <v>151766954800</v>
          </cell>
          <cell r="K39">
            <v>83347564758</v>
          </cell>
        </row>
      </sheetData>
      <sheetData sheetId="28"/>
      <sheetData sheetId="29"/>
      <sheetData sheetId="30">
        <row r="13">
          <cell r="D13">
            <v>21107641133689</v>
          </cell>
        </row>
        <row r="14">
          <cell r="D14">
            <v>19096555962089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2726</v>
          </cell>
        </row>
      </sheetData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탁거래 FISIS활용"/>
      <sheetName val="총수탁수수료"/>
      <sheetName val="수탁거래 KRX 활용"/>
    </sheetNames>
    <sheetDataSet>
      <sheetData sheetId="0">
        <row r="44">
          <cell r="AH44">
            <v>2743358.95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리스트"/>
      <sheetName val="DB"/>
      <sheetName val="직접"/>
      <sheetName val="BS"/>
      <sheetName val="PL"/>
      <sheetName val="점포"/>
      <sheetName val="자산"/>
      <sheetName val="손익"/>
      <sheetName val="각주"/>
      <sheetName val="구NCR"/>
      <sheetName val="직원"/>
      <sheetName val="신NCR_연결"/>
      <sheetName val="신NCR_개별"/>
      <sheetName val="자본비율"/>
      <sheetName val="건전성"/>
      <sheetName val="유동성"/>
      <sheetName val="고정이하"/>
      <sheetName val="수수료"/>
      <sheetName val="증권거래"/>
      <sheetName val="파생상품"/>
      <sheetName val="파생계약"/>
      <sheetName val="인수수수료"/>
      <sheetName val="금투BS"/>
      <sheetName val="금투PL"/>
    </sheetNames>
    <sheetDataSet>
      <sheetData sheetId="0"/>
      <sheetData sheetId="1">
        <row r="992">
          <cell r="H992">
            <v>198537.91</v>
          </cell>
          <cell r="I992">
            <v>234886.7</v>
          </cell>
          <cell r="J992">
            <v>284796.56</v>
          </cell>
          <cell r="K992">
            <v>328247.34999999998</v>
          </cell>
          <cell r="L992">
            <v>375451.37</v>
          </cell>
          <cell r="M992">
            <v>443513.34</v>
          </cell>
          <cell r="N992">
            <v>496958.29</v>
          </cell>
        </row>
        <row r="1066">
          <cell r="H1066">
            <v>30828.35</v>
          </cell>
          <cell r="I1066">
            <v>31903.42</v>
          </cell>
          <cell r="J1066">
            <v>32948.6</v>
          </cell>
          <cell r="K1066">
            <v>40726.6</v>
          </cell>
          <cell r="L1066">
            <v>42417.86</v>
          </cell>
          <cell r="M1066">
            <v>43504.99</v>
          </cell>
          <cell r="N1066">
            <v>45628.639999999999</v>
          </cell>
        </row>
        <row r="1178">
          <cell r="H1178">
            <v>20855.919999999998</v>
          </cell>
          <cell r="I1178">
            <v>22354.54</v>
          </cell>
        </row>
        <row r="1179">
          <cell r="H1179">
            <v>4901.88</v>
          </cell>
          <cell r="I1179">
            <v>5582.85</v>
          </cell>
        </row>
        <row r="1184">
          <cell r="K1184">
            <v>30565.599999999999</v>
          </cell>
          <cell r="L1184">
            <v>34178.92</v>
          </cell>
          <cell r="M1184">
            <v>32574.06</v>
          </cell>
          <cell r="N1184">
            <v>36872.03</v>
          </cell>
        </row>
        <row r="1185">
          <cell r="K1185">
            <v>9026.9699999999993</v>
          </cell>
          <cell r="L1185">
            <v>14423.41</v>
          </cell>
          <cell r="M1185">
            <v>18906.46</v>
          </cell>
          <cell r="N1185">
            <v>25018.51</v>
          </cell>
        </row>
        <row r="1188">
          <cell r="K1188">
            <v>1602.58</v>
          </cell>
          <cell r="L1188">
            <v>1469.9</v>
          </cell>
          <cell r="M1188">
            <v>1016.93</v>
          </cell>
          <cell r="N1188">
            <v>883.11</v>
          </cell>
        </row>
        <row r="1192">
          <cell r="J1192">
            <v>23319.72</v>
          </cell>
          <cell r="K1192">
            <v>28375.47</v>
          </cell>
          <cell r="L1192">
            <v>32236.59</v>
          </cell>
          <cell r="M1192">
            <v>29935.52</v>
          </cell>
          <cell r="N1192">
            <v>30287.48</v>
          </cell>
        </row>
        <row r="1193">
          <cell r="J1193">
            <v>7284.46</v>
          </cell>
          <cell r="K1193">
            <v>8494.86</v>
          </cell>
          <cell r="L1193">
            <v>13204.91</v>
          </cell>
          <cell r="M1193">
            <v>18172.87</v>
          </cell>
          <cell r="N1193">
            <v>24368.87</v>
          </cell>
        </row>
        <row r="1196">
          <cell r="J1196">
            <v>596.54999999999995</v>
          </cell>
          <cell r="K1196">
            <v>1479.21</v>
          </cell>
          <cell r="L1196">
            <v>1416.05</v>
          </cell>
          <cell r="M1196">
            <v>875.2</v>
          </cell>
          <cell r="N1196">
            <v>440.95</v>
          </cell>
        </row>
        <row r="1410">
          <cell r="H1410">
            <v>138148.12</v>
          </cell>
          <cell r="I1410">
            <v>144624.19</v>
          </cell>
          <cell r="J1410">
            <v>205813.77</v>
          </cell>
          <cell r="K1410">
            <v>138920.34</v>
          </cell>
          <cell r="L1410">
            <v>173190.52</v>
          </cell>
          <cell r="M1410">
            <v>173741.34</v>
          </cell>
          <cell r="N1410">
            <v>252053.18</v>
          </cell>
        </row>
        <row r="1411">
          <cell r="H1411">
            <v>95773.06</v>
          </cell>
          <cell r="I1411">
            <v>110290.48</v>
          </cell>
          <cell r="J1411">
            <v>148290.16</v>
          </cell>
          <cell r="K1411">
            <v>104359.49</v>
          </cell>
          <cell r="L1411">
            <v>143262.92000000001</v>
          </cell>
          <cell r="M1411">
            <v>163142.46</v>
          </cell>
          <cell r="N1411">
            <v>205524.76</v>
          </cell>
        </row>
        <row r="2552">
          <cell r="H2552">
            <v>135.99680055821472</v>
          </cell>
          <cell r="I2552">
            <v>169.06138115316111</v>
          </cell>
          <cell r="J2552">
            <v>165.8082936936818</v>
          </cell>
          <cell r="K2552">
            <v>164.53900493446471</v>
          </cell>
          <cell r="L2552">
            <v>213.75220057966396</v>
          </cell>
          <cell r="M2552">
            <v>214.56386456134084</v>
          </cell>
          <cell r="N2552">
            <v>263.78491143175967</v>
          </cell>
        </row>
        <row r="2553">
          <cell r="H2553">
            <v>98.958563571827753</v>
          </cell>
          <cell r="I2553">
            <v>94.950223869581279</v>
          </cell>
          <cell r="J2553">
            <v>101.43491788307016</v>
          </cell>
          <cell r="K2553">
            <v>123.72758897511554</v>
          </cell>
          <cell r="L2553">
            <v>289.04098515264241</v>
          </cell>
          <cell r="M2553">
            <v>276.29905581604919</v>
          </cell>
          <cell r="N2553">
            <v>304.00958673402374</v>
          </cell>
        </row>
        <row r="2554">
          <cell r="H2554">
            <v>0.30280569670449858</v>
          </cell>
          <cell r="I2554">
            <v>0.23636964312917591</v>
          </cell>
          <cell r="J2554">
            <v>5.5480354248744382E-2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65">
          <cell r="H2565">
            <v>0.51482215832040512</v>
          </cell>
          <cell r="I2565">
            <v>1.0155999217487903</v>
          </cell>
          <cell r="J2565">
            <v>0.98545025290982058</v>
          </cell>
          <cell r="K2565">
            <v>0.79510780883542265</v>
          </cell>
          <cell r="L2565">
            <v>1.3422789798452386</v>
          </cell>
          <cell r="M2565">
            <v>1.2296280751828732</v>
          </cell>
          <cell r="N2565">
            <v>1.7487906573003167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보고서"/>
      <sheetName val="평정"/>
      <sheetName val="NCP"/>
      <sheetName val="추정_19.03"/>
      <sheetName val="2.추정(중립)"/>
      <sheetName val="부표"/>
      <sheetName val="BS"/>
      <sheetName val="IS"/>
      <sheetName val="기타"/>
      <sheetName val="Note"/>
      <sheetName val="추정_master"/>
      <sheetName val="2.추정(긍정)"/>
      <sheetName val="2.추정(부정)"/>
      <sheetName val="추정_New"/>
      <sheetName val="18 연결"/>
    </sheetNames>
    <sheetDataSet>
      <sheetData sheetId="0">
        <row r="1">
          <cell r="A1" t="str">
            <v>미래에셋대우</v>
          </cell>
        </row>
        <row r="180">
          <cell r="K180">
            <v>36191.687622989994</v>
          </cell>
          <cell r="L180">
            <v>35221.558894829999</v>
          </cell>
          <cell r="M180">
            <v>35907.934452129994</v>
          </cell>
          <cell r="N180">
            <v>38567.337741970026</v>
          </cell>
          <cell r="O180">
            <v>48331.313456620032</v>
          </cell>
          <cell r="P180">
            <v>70787.296477349999</v>
          </cell>
          <cell r="Q180">
            <v>79775.547145019984</v>
          </cell>
        </row>
        <row r="361">
          <cell r="K361">
            <v>81.766770141939276</v>
          </cell>
          <cell r="L361">
            <v>80.92088496262852</v>
          </cell>
          <cell r="M361">
            <v>88.267959481805917</v>
          </cell>
          <cell r="N361">
            <v>111.6151177661074</v>
          </cell>
          <cell r="O361">
            <v>104.29902948767713</v>
          </cell>
          <cell r="P361">
            <v>141.52421096565803</v>
          </cell>
          <cell r="Q361">
            <v>165.53303108425754</v>
          </cell>
        </row>
        <row r="364">
          <cell r="K364">
            <v>0.9683403453448316</v>
          </cell>
          <cell r="L364">
            <v>0.69625405899268644</v>
          </cell>
          <cell r="M364">
            <v>0.40872231935481429</v>
          </cell>
          <cell r="N364">
            <v>0</v>
          </cell>
          <cell r="O364">
            <v>1.4212554581652883</v>
          </cell>
          <cell r="P364">
            <v>0</v>
          </cell>
          <cell r="Q364">
            <v>0</v>
          </cell>
        </row>
        <row r="368">
          <cell r="O368">
            <v>1702.3753968072917</v>
          </cell>
          <cell r="P368">
            <v>1661.1084458439248</v>
          </cell>
          <cell r="Q368">
            <v>475.78501388392863</v>
          </cell>
        </row>
        <row r="369">
          <cell r="K369">
            <v>166.88066220937284</v>
          </cell>
          <cell r="L369">
            <v>151.1462291871851</v>
          </cell>
          <cell r="M369">
            <v>119.72898253717024</v>
          </cell>
          <cell r="N369">
            <v>127.05238826567032</v>
          </cell>
          <cell r="O369">
            <v>131.61904635498229</v>
          </cell>
          <cell r="P369">
            <v>133.85382114281339</v>
          </cell>
          <cell r="Q369">
            <v>135.23086568072605</v>
          </cell>
        </row>
        <row r="370">
          <cell r="K370">
            <v>166.88066220937284</v>
          </cell>
          <cell r="L370">
            <v>133.90008352421856</v>
          </cell>
          <cell r="M370">
            <v>111.20650697114773</v>
          </cell>
          <cell r="N370">
            <v>116.72274395047968</v>
          </cell>
          <cell r="O370">
            <v>119.65940927199262</v>
          </cell>
          <cell r="P370">
            <v>118.03380816470525</v>
          </cell>
          <cell r="Q370">
            <v>120.75349050370004</v>
          </cell>
        </row>
        <row r="373">
          <cell r="K373">
            <v>0.41934337108982273</v>
          </cell>
          <cell r="L373">
            <v>-0.1772829472218061</v>
          </cell>
          <cell r="M373">
            <v>0.68597905918008362</v>
          </cell>
          <cell r="N373">
            <v>0.87965321914853267</v>
          </cell>
          <cell r="O373">
            <v>6.1488817004988892E-2</v>
          </cell>
          <cell r="P373">
            <v>0.74877486502477064</v>
          </cell>
          <cell r="Q373">
            <v>0.69956642905299971</v>
          </cell>
        </row>
        <row r="376">
          <cell r="K376">
            <v>123.35516518154091</v>
          </cell>
          <cell r="L376">
            <v>95.088280022210029</v>
          </cell>
          <cell r="M376">
            <v>151.11779579897771</v>
          </cell>
          <cell r="N376">
            <v>167.85646826208267</v>
          </cell>
          <cell r="O376">
            <v>120.69249547157153</v>
          </cell>
          <cell r="P376">
            <v>161.49463669335677</v>
          </cell>
          <cell r="Q376">
            <v>160.7069388530094</v>
          </cell>
        </row>
        <row r="389">
          <cell r="K389">
            <v>622.91014517268479</v>
          </cell>
          <cell r="L389">
            <v>659.93716838943305</v>
          </cell>
          <cell r="M389">
            <v>735.39026422714619</v>
          </cell>
          <cell r="N389">
            <v>799.65734046523721</v>
          </cell>
          <cell r="O389">
            <v>848.29134247621619</v>
          </cell>
          <cell r="P389">
            <v>775.19242183734707</v>
          </cell>
          <cell r="Q389">
            <v>809.73720196024465</v>
          </cell>
        </row>
        <row r="490">
          <cell r="K490">
            <v>7.5439888914702573</v>
          </cell>
          <cell r="L490">
            <v>6.2839000805810254</v>
          </cell>
          <cell r="M490">
            <v>8.3751902071579281</v>
          </cell>
          <cell r="N490">
            <v>8.5002831002216084</v>
          </cell>
          <cell r="O490">
            <v>4.3644464815902122</v>
          </cell>
          <cell r="P490">
            <v>12.260233888359432</v>
          </cell>
          <cell r="Q490">
            <v>11.203903892008556</v>
          </cell>
        </row>
      </sheetData>
      <sheetData sheetId="1"/>
      <sheetData sheetId="2"/>
      <sheetData sheetId="3"/>
      <sheetData sheetId="4"/>
      <sheetData sheetId="5">
        <row r="8">
          <cell r="N8" t="str">
            <v>AAA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377"/>
  <sheetViews>
    <sheetView tabSelected="1" zoomScale="140" zoomScaleNormal="100" workbookViewId="0">
      <pane xSplit="8" ySplit="4" topLeftCell="I92" activePane="bottomRight" state="frozen"/>
      <selection activeCell="AM496" sqref="AM496"/>
      <selection pane="topRight" activeCell="AM496" sqref="AM496"/>
      <selection pane="bottomLeft" activeCell="AM496" sqref="AM496"/>
      <selection pane="bottomRight" activeCell="T104" sqref="T104"/>
    </sheetView>
  </sheetViews>
  <sheetFormatPr baseColWidth="10" defaultColWidth="9.1640625" defaultRowHeight="14" outlineLevelCol="1"/>
  <cols>
    <col min="1" max="1" width="2.5" style="110" customWidth="1"/>
    <col min="2" max="6" width="1.6640625" style="110" customWidth="1"/>
    <col min="7" max="7" width="2.5" style="110" customWidth="1"/>
    <col min="8" max="8" width="27.1640625" style="110" customWidth="1"/>
    <col min="9" max="9" width="9.1640625" style="110"/>
    <col min="10" max="10" width="10.1640625" style="110" hidden="1" customWidth="1" outlineLevel="1"/>
    <col min="11" max="11" width="0" style="110" hidden="1" customWidth="1" outlineLevel="1"/>
    <col min="12" max="12" width="10.1640625" style="110" hidden="1" customWidth="1" outlineLevel="1"/>
    <col min="13" max="13" width="10.1640625" style="110" bestFit="1" customWidth="1" collapsed="1"/>
    <col min="14" max="16" width="10.1640625" style="110" bestFit="1" customWidth="1"/>
    <col min="17" max="18" width="9.1640625" style="110"/>
    <col min="19" max="19" width="10.1640625" style="110" bestFit="1" customWidth="1"/>
    <col min="20" max="21" width="10.1640625" style="110" customWidth="1"/>
    <col min="22" max="26" width="10.1640625" style="110" hidden="1" customWidth="1" outlineLevel="1"/>
    <col min="27" max="28" width="10.1640625" style="110" hidden="1" customWidth="1" outlineLevel="1" collapsed="1"/>
    <col min="29" max="29" width="10.1640625" style="110" bestFit="1" customWidth="1" collapsed="1"/>
    <col min="30" max="33" width="10.1640625" style="110" bestFit="1" customWidth="1"/>
    <col min="34" max="16384" width="9.1640625" style="110"/>
  </cols>
  <sheetData>
    <row r="1" spans="1:38" ht="15">
      <c r="A1" s="1" t="s">
        <v>2138</v>
      </c>
      <c r="B1" s="1"/>
      <c r="C1" s="1"/>
      <c r="D1" s="1"/>
      <c r="E1" s="1"/>
      <c r="F1" s="1"/>
      <c r="G1" s="1"/>
      <c r="H1" s="1"/>
      <c r="I1" s="108"/>
      <c r="J1" s="109" t="s">
        <v>372</v>
      </c>
      <c r="K1" s="109" t="s">
        <v>46</v>
      </c>
      <c r="L1" s="537" t="s">
        <v>46</v>
      </c>
      <c r="M1" s="109" t="s">
        <v>46</v>
      </c>
      <c r="N1" s="109" t="s">
        <v>46</v>
      </c>
      <c r="O1" s="109" t="str">
        <f>V1</f>
        <v>K-IFRS</v>
      </c>
      <c r="P1" s="109" t="str">
        <f>Z1</f>
        <v>K-IFRS</v>
      </c>
      <c r="Q1" s="109" t="str">
        <f t="shared" ref="Q1:Q4" si="0">AD1</f>
        <v>K-IFRS</v>
      </c>
      <c r="R1" s="109" t="str">
        <f>AG1</f>
        <v>K-IFRS</v>
      </c>
      <c r="V1" s="109" t="s">
        <v>372</v>
      </c>
      <c r="W1" s="109" t="s">
        <v>372</v>
      </c>
      <c r="X1" s="109" t="s">
        <v>372</v>
      </c>
      <c r="Y1" s="109" t="s">
        <v>372</v>
      </c>
      <c r="Z1" s="109" t="s">
        <v>372</v>
      </c>
      <c r="AA1" s="109" t="s">
        <v>372</v>
      </c>
      <c r="AB1" s="109" t="s">
        <v>372</v>
      </c>
      <c r="AC1" s="109" t="s">
        <v>372</v>
      </c>
      <c r="AD1" s="109" t="s">
        <v>372</v>
      </c>
      <c r="AE1" s="109" t="s">
        <v>372</v>
      </c>
      <c r="AF1" s="109" t="s">
        <v>372</v>
      </c>
      <c r="AG1" s="109" t="s">
        <v>372</v>
      </c>
      <c r="AI1" s="109" t="s">
        <v>893</v>
      </c>
      <c r="AJ1" s="109"/>
      <c r="AK1" s="109"/>
      <c r="AL1" s="109"/>
    </row>
    <row r="2" spans="1:38" ht="15">
      <c r="A2" s="111"/>
      <c r="B2" s="111"/>
      <c r="C2" s="1897"/>
      <c r="D2" s="111"/>
      <c r="E2" s="111"/>
      <c r="F2" s="111"/>
      <c r="G2" s="111"/>
      <c r="H2" s="112" t="s">
        <v>373</v>
      </c>
      <c r="I2" s="108"/>
      <c r="J2" s="109" t="s">
        <v>48</v>
      </c>
      <c r="K2" s="109" t="s">
        <v>48</v>
      </c>
      <c r="L2" s="537" t="s">
        <v>48</v>
      </c>
      <c r="M2" s="109" t="s">
        <v>448</v>
      </c>
      <c r="N2" s="109" t="s">
        <v>448</v>
      </c>
      <c r="O2" s="109" t="str">
        <f t="shared" ref="O2:O4" si="1">V2</f>
        <v>별도</v>
      </c>
      <c r="P2" s="109" t="str">
        <f>Z2</f>
        <v>별도</v>
      </c>
      <c r="Q2" s="109" t="str">
        <f t="shared" si="0"/>
        <v>별도</v>
      </c>
      <c r="R2" s="109" t="str">
        <f>AG2</f>
        <v>별도</v>
      </c>
      <c r="V2" s="109" t="s">
        <v>448</v>
      </c>
      <c r="W2" s="109" t="s">
        <v>448</v>
      </c>
      <c r="X2" s="109" t="s">
        <v>448</v>
      </c>
      <c r="Y2" s="109" t="s">
        <v>448</v>
      </c>
      <c r="Z2" s="109" t="s">
        <v>448</v>
      </c>
      <c r="AA2" s="109" t="s">
        <v>448</v>
      </c>
      <c r="AB2" s="109" t="s">
        <v>448</v>
      </c>
      <c r="AC2" s="109" t="s">
        <v>448</v>
      </c>
      <c r="AD2" s="109" t="s">
        <v>448</v>
      </c>
      <c r="AE2" s="109" t="s">
        <v>448</v>
      </c>
      <c r="AF2" s="109" t="s">
        <v>448</v>
      </c>
      <c r="AG2" s="109" t="s">
        <v>448</v>
      </c>
      <c r="AI2" s="109"/>
      <c r="AJ2" s="109"/>
      <c r="AK2" s="109"/>
      <c r="AL2" s="109"/>
    </row>
    <row r="3" spans="1:38" ht="15">
      <c r="A3" s="111"/>
      <c r="B3" s="111" t="s">
        <v>374</v>
      </c>
      <c r="C3" s="1897" t="s">
        <v>375</v>
      </c>
      <c r="D3" s="111" t="s">
        <v>376</v>
      </c>
      <c r="E3" s="111" t="s">
        <v>377</v>
      </c>
      <c r="F3" s="111" t="s">
        <v>378</v>
      </c>
      <c r="G3" s="111"/>
      <c r="H3" s="112"/>
      <c r="I3" s="108"/>
      <c r="J3" s="113" t="s">
        <v>242</v>
      </c>
      <c r="K3" s="113" t="s">
        <v>379</v>
      </c>
      <c r="L3" s="538" t="s">
        <v>380</v>
      </c>
      <c r="M3" s="113" t="s">
        <v>381</v>
      </c>
      <c r="N3" s="113" t="s">
        <v>2392</v>
      </c>
      <c r="O3" s="113" t="str">
        <f t="shared" si="1"/>
        <v>FY16</v>
      </c>
      <c r="P3" s="113" t="str">
        <f>Z3</f>
        <v>FY17</v>
      </c>
      <c r="Q3" s="113" t="str">
        <f t="shared" si="0"/>
        <v>FY18</v>
      </c>
      <c r="R3" s="113" t="str">
        <f>AG3</f>
        <v>FY19.1~9</v>
      </c>
      <c r="V3" s="113" t="s">
        <v>1324</v>
      </c>
      <c r="W3" s="113" t="s">
        <v>2359</v>
      </c>
      <c r="X3" s="113" t="s">
        <v>2393</v>
      </c>
      <c r="Y3" s="113" t="s">
        <v>2400</v>
      </c>
      <c r="Z3" s="113" t="s">
        <v>1326</v>
      </c>
      <c r="AA3" s="113" t="s">
        <v>2310</v>
      </c>
      <c r="AB3" s="113" t="s">
        <v>2387</v>
      </c>
      <c r="AC3" s="113" t="s">
        <v>2398</v>
      </c>
      <c r="AD3" s="113" t="s">
        <v>2402</v>
      </c>
      <c r="AE3" s="113" t="s">
        <v>2470</v>
      </c>
      <c r="AF3" s="113" t="s">
        <v>2479</v>
      </c>
      <c r="AG3" s="113" t="s">
        <v>2642</v>
      </c>
      <c r="AI3" s="113"/>
      <c r="AJ3" s="113"/>
      <c r="AK3" s="113"/>
      <c r="AL3" s="113"/>
    </row>
    <row r="4" spans="1:38" ht="15">
      <c r="A4" s="111"/>
      <c r="B4" s="111" t="s">
        <v>382</v>
      </c>
      <c r="C4" s="1897" t="s">
        <v>383</v>
      </c>
      <c r="D4" s="111" t="s">
        <v>384</v>
      </c>
      <c r="E4" s="111" t="s">
        <v>384</v>
      </c>
      <c r="F4" s="111" t="s">
        <v>385</v>
      </c>
      <c r="G4" s="114"/>
      <c r="H4" s="111"/>
      <c r="I4" s="115"/>
      <c r="J4" s="116" t="s">
        <v>386</v>
      </c>
      <c r="K4" s="116" t="s">
        <v>387</v>
      </c>
      <c r="L4" s="539" t="s">
        <v>388</v>
      </c>
      <c r="M4" s="116" t="s">
        <v>389</v>
      </c>
      <c r="N4" s="116" t="s">
        <v>1328</v>
      </c>
      <c r="O4" s="116" t="str">
        <f t="shared" si="1"/>
        <v>'16.12</v>
      </c>
      <c r="P4" s="116" t="str">
        <f>Z4</f>
        <v>'17.12</v>
      </c>
      <c r="Q4" s="116" t="str">
        <f t="shared" si="0"/>
        <v>'18.12</v>
      </c>
      <c r="R4" s="116" t="str">
        <f>AG4</f>
        <v>'19.09</v>
      </c>
      <c r="V4" s="116" t="s">
        <v>1325</v>
      </c>
      <c r="W4" s="116" t="s">
        <v>2360</v>
      </c>
      <c r="X4" s="116" t="s">
        <v>1331</v>
      </c>
      <c r="Y4" s="116" t="s">
        <v>1332</v>
      </c>
      <c r="Z4" s="116" t="s">
        <v>1327</v>
      </c>
      <c r="AA4" s="116" t="s">
        <v>2311</v>
      </c>
      <c r="AB4" s="116" t="s">
        <v>2388</v>
      </c>
      <c r="AC4" s="116" t="s">
        <v>2399</v>
      </c>
      <c r="AD4" s="116" t="s">
        <v>1686</v>
      </c>
      <c r="AE4" s="116" t="s">
        <v>2471</v>
      </c>
      <c r="AF4" s="116" t="s">
        <v>2478</v>
      </c>
      <c r="AG4" s="116" t="s">
        <v>2643</v>
      </c>
      <c r="AI4" s="116"/>
      <c r="AJ4" s="116"/>
      <c r="AK4" s="116"/>
      <c r="AL4" s="116"/>
    </row>
    <row r="5" spans="1:38">
      <c r="C5" s="1895"/>
    </row>
    <row r="6" spans="1:38" s="118" customFormat="1">
      <c r="A6" s="117" t="s">
        <v>390</v>
      </c>
      <c r="B6" s="117"/>
      <c r="C6" s="1898"/>
      <c r="D6" s="117"/>
      <c r="E6" s="117"/>
      <c r="F6" s="117"/>
    </row>
    <row r="7" spans="1:38" s="120" customFormat="1">
      <c r="A7" s="119"/>
      <c r="B7" s="119"/>
      <c r="C7" s="1898"/>
      <c r="D7" s="119"/>
      <c r="E7" s="119"/>
      <c r="F7" s="119"/>
      <c r="L7" s="120">
        <f>4/3</f>
        <v>1.3333333333333333</v>
      </c>
      <c r="V7" s="120">
        <f>4/4</f>
        <v>1</v>
      </c>
      <c r="W7" s="120">
        <f>4/1</f>
        <v>4</v>
      </c>
      <c r="X7" s="120">
        <f>4/2</f>
        <v>2</v>
      </c>
      <c r="Y7" s="120">
        <f>4/3</f>
        <v>1.3333333333333333</v>
      </c>
      <c r="Z7" s="120">
        <f>4/4</f>
        <v>1</v>
      </c>
      <c r="AA7" s="120">
        <f>4/1</f>
        <v>4</v>
      </c>
      <c r="AB7" s="120">
        <f>4/2</f>
        <v>2</v>
      </c>
      <c r="AC7" s="120">
        <f>4/3</f>
        <v>1.3333333333333333</v>
      </c>
      <c r="AD7" s="120">
        <f>4/4</f>
        <v>1</v>
      </c>
      <c r="AE7" s="120">
        <f>4/1</f>
        <v>4</v>
      </c>
      <c r="AF7" s="120">
        <f>4/2</f>
        <v>2</v>
      </c>
      <c r="AG7" s="120">
        <f>4/3</f>
        <v>1.3333333333333333</v>
      </c>
    </row>
    <row r="8" spans="1:38" s="122" customFormat="1">
      <c r="A8" s="121" t="s">
        <v>829</v>
      </c>
      <c r="B8" s="121"/>
      <c r="C8" s="1898"/>
      <c r="D8" s="121"/>
      <c r="E8" s="121"/>
      <c r="F8" s="121"/>
    </row>
    <row r="9" spans="1:38" s="120" customFormat="1">
      <c r="A9" s="119"/>
      <c r="B9" s="119"/>
      <c r="C9" s="1898"/>
      <c r="D9" s="119"/>
      <c r="E9" s="119"/>
      <c r="F9" s="119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</row>
    <row r="10" spans="1:38" s="120" customFormat="1">
      <c r="A10" s="119"/>
      <c r="B10" s="119"/>
      <c r="C10" s="1898"/>
      <c r="D10" s="119"/>
      <c r="E10" s="119"/>
      <c r="F10" s="119"/>
      <c r="H10" s="110" t="s">
        <v>392</v>
      </c>
      <c r="I10" s="123"/>
      <c r="J10" s="1251">
        <v>7797.64</v>
      </c>
      <c r="K10" s="1251">
        <v>4530.0200000000004</v>
      </c>
      <c r="L10" s="1251">
        <v>4225.41</v>
      </c>
      <c r="M10" s="1251">
        <v>6265.87</v>
      </c>
      <c r="N10" s="1251">
        <v>5800.44</v>
      </c>
      <c r="O10" s="125">
        <f t="shared" ref="O10:O16" si="2">V10</f>
        <v>7606.45</v>
      </c>
      <c r="P10" s="125">
        <f>Z10</f>
        <v>3100.18</v>
      </c>
      <c r="Q10" s="125"/>
      <c r="R10" s="125"/>
      <c r="S10" s="123"/>
      <c r="T10" s="123"/>
      <c r="U10" s="123"/>
      <c r="V10" s="1251">
        <v>7606.45</v>
      </c>
      <c r="W10" s="1251"/>
      <c r="X10" s="1251"/>
      <c r="Y10" s="1251"/>
      <c r="Z10" s="1251">
        <v>3100.18</v>
      </c>
      <c r="AA10" s="1251"/>
      <c r="AB10" s="1251"/>
      <c r="AC10" s="1251"/>
      <c r="AD10" s="1251"/>
      <c r="AE10" s="1251"/>
      <c r="AF10" s="1251"/>
      <c r="AG10" s="1251"/>
    </row>
    <row r="11" spans="1:38" s="120" customFormat="1">
      <c r="A11" s="119"/>
      <c r="B11" s="119"/>
      <c r="C11" s="1898"/>
      <c r="D11" s="119"/>
      <c r="E11" s="119"/>
      <c r="F11" s="119"/>
      <c r="H11" s="110" t="s">
        <v>393</v>
      </c>
      <c r="I11" s="123"/>
      <c r="J11" s="1251">
        <v>8412.18</v>
      </c>
      <c r="K11" s="1251">
        <v>7523.52</v>
      </c>
      <c r="L11" s="1251">
        <v>7757.73</v>
      </c>
      <c r="M11" s="1251">
        <v>7620.07</v>
      </c>
      <c r="N11" s="1251">
        <v>18879.36</v>
      </c>
      <c r="O11" s="125">
        <f t="shared" si="2"/>
        <v>39376.1</v>
      </c>
      <c r="P11" s="125">
        <f t="shared" ref="P11:P17" si="3">Z11</f>
        <v>34751.31</v>
      </c>
      <c r="Q11" s="125"/>
      <c r="R11" s="125"/>
      <c r="S11" s="123"/>
      <c r="T11" s="123"/>
      <c r="U11" s="123"/>
      <c r="V11" s="1251">
        <v>39376.1</v>
      </c>
      <c r="W11" s="1251"/>
      <c r="X11" s="1251"/>
      <c r="Y11" s="1251"/>
      <c r="Z11" s="1251">
        <v>34751.31</v>
      </c>
      <c r="AA11" s="1251"/>
      <c r="AB11" s="1251"/>
      <c r="AC11" s="1251"/>
      <c r="AD11" s="1251"/>
      <c r="AE11" s="1251"/>
      <c r="AF11" s="1251"/>
      <c r="AG11" s="1251"/>
    </row>
    <row r="12" spans="1:38" s="120" customFormat="1">
      <c r="A12" s="119"/>
      <c r="B12" s="119"/>
      <c r="C12" s="1898"/>
      <c r="D12" s="119"/>
      <c r="E12" s="119"/>
      <c r="F12" s="119"/>
      <c r="H12" s="1285" t="s">
        <v>2312</v>
      </c>
      <c r="I12" s="123"/>
      <c r="J12" s="128">
        <f t="shared" ref="J12:N12" si="4">J10+J11</f>
        <v>16209.82</v>
      </c>
      <c r="K12" s="128">
        <f t="shared" si="4"/>
        <v>12053.54</v>
      </c>
      <c r="L12" s="128">
        <f t="shared" si="4"/>
        <v>11983.14</v>
      </c>
      <c r="M12" s="128">
        <f t="shared" si="4"/>
        <v>13885.939999999999</v>
      </c>
      <c r="N12" s="128">
        <f t="shared" si="4"/>
        <v>24679.8</v>
      </c>
      <c r="O12" s="125">
        <f t="shared" ref="O12" si="5">V12</f>
        <v>46982.549999999996</v>
      </c>
      <c r="P12" s="125">
        <f t="shared" ref="P12" si="6">Z12</f>
        <v>37851.49</v>
      </c>
      <c r="Q12" s="125">
        <f t="shared" ref="Q12" si="7">AD12</f>
        <v>302493.86</v>
      </c>
      <c r="R12" s="125">
        <f t="shared" ref="R12:R23" si="8">AG12</f>
        <v>315038.54000000004</v>
      </c>
      <c r="S12" s="123"/>
      <c r="T12" s="123"/>
      <c r="U12" s="123"/>
      <c r="V12" s="128">
        <f>V10+V11</f>
        <v>46982.549999999996</v>
      </c>
      <c r="W12" s="128"/>
      <c r="X12" s="128"/>
      <c r="Y12" s="128"/>
      <c r="Z12" s="128">
        <f>Z10+Z11</f>
        <v>37851.49</v>
      </c>
      <c r="AA12" s="128">
        <f t="shared" ref="AA12:AF12" si="9">AA13+AA14</f>
        <v>288006.24</v>
      </c>
      <c r="AB12" s="128">
        <f t="shared" si="9"/>
        <v>289808.46000000002</v>
      </c>
      <c r="AC12" s="128">
        <f t="shared" si="9"/>
        <v>297899.83999999997</v>
      </c>
      <c r="AD12" s="128">
        <f t="shared" si="9"/>
        <v>302493.86</v>
      </c>
      <c r="AE12" s="128">
        <f t="shared" si="9"/>
        <v>304926.63</v>
      </c>
      <c r="AF12" s="128">
        <f t="shared" si="9"/>
        <v>318149.39</v>
      </c>
      <c r="AG12" s="128">
        <f t="shared" ref="AG12" si="10">AG13+AG14</f>
        <v>315038.54000000004</v>
      </c>
    </row>
    <row r="13" spans="1:38" s="120" customFormat="1">
      <c r="A13" s="119"/>
      <c r="B13" s="119"/>
      <c r="C13" s="119"/>
      <c r="D13" s="119"/>
      <c r="E13" s="119"/>
      <c r="F13" s="119"/>
      <c r="H13" s="1285" t="s">
        <v>2313</v>
      </c>
      <c r="I13" s="123"/>
      <c r="J13" s="1251"/>
      <c r="K13" s="1251"/>
      <c r="L13" s="1251"/>
      <c r="M13" s="1251"/>
      <c r="N13" s="1251"/>
      <c r="O13" s="125"/>
      <c r="P13" s="125"/>
      <c r="Q13" s="125">
        <f t="shared" ref="Q13:Q14" si="11">AD13</f>
        <v>266736.06</v>
      </c>
      <c r="R13" s="125">
        <f t="shared" si="8"/>
        <v>287338.78000000003</v>
      </c>
      <c r="S13" s="123"/>
      <c r="T13" s="123"/>
      <c r="U13" s="123"/>
      <c r="V13" s="1251"/>
      <c r="W13" s="1251"/>
      <c r="X13" s="1251"/>
      <c r="Y13" s="1251"/>
      <c r="Z13" s="1251"/>
      <c r="AA13" s="1251">
        <v>256554.08</v>
      </c>
      <c r="AB13" s="1251">
        <v>255292.88</v>
      </c>
      <c r="AC13" s="1251">
        <v>256645.49</v>
      </c>
      <c r="AD13" s="1251">
        <v>266736.06</v>
      </c>
      <c r="AE13" s="1251">
        <v>277446.24</v>
      </c>
      <c r="AF13" s="1251">
        <v>289736.69</v>
      </c>
      <c r="AG13" s="1251">
        <v>287338.78000000003</v>
      </c>
      <c r="AH13" s="120">
        <v>11</v>
      </c>
    </row>
    <row r="14" spans="1:38" s="120" customFormat="1">
      <c r="A14" s="119"/>
      <c r="B14" s="119"/>
      <c r="C14" s="119"/>
      <c r="D14" s="119"/>
      <c r="E14" s="119"/>
      <c r="F14" s="119"/>
      <c r="H14" s="1285" t="s">
        <v>2314</v>
      </c>
      <c r="I14" s="123"/>
      <c r="J14" s="1251"/>
      <c r="K14" s="1251"/>
      <c r="L14" s="1251"/>
      <c r="M14" s="1251"/>
      <c r="N14" s="1251"/>
      <c r="O14" s="125"/>
      <c r="P14" s="125"/>
      <c r="Q14" s="125">
        <f t="shared" si="11"/>
        <v>35757.800000000003</v>
      </c>
      <c r="R14" s="125">
        <f t="shared" si="8"/>
        <v>27699.759999999998</v>
      </c>
      <c r="S14" s="123"/>
      <c r="T14" s="123"/>
      <c r="U14" s="123"/>
      <c r="V14" s="1251"/>
      <c r="W14" s="1251"/>
      <c r="X14" s="1251"/>
      <c r="Y14" s="1251"/>
      <c r="Z14" s="1251"/>
      <c r="AA14" s="1251">
        <v>31452.16</v>
      </c>
      <c r="AB14" s="1251">
        <v>34515.58</v>
      </c>
      <c r="AC14" s="1251">
        <v>41254.35</v>
      </c>
      <c r="AD14" s="1251">
        <v>35757.800000000003</v>
      </c>
      <c r="AE14" s="1251">
        <v>27480.39</v>
      </c>
      <c r="AF14" s="1251">
        <v>28412.7</v>
      </c>
      <c r="AG14" s="1251">
        <v>27699.759999999998</v>
      </c>
      <c r="AI14" s="1352" t="s">
        <v>2431</v>
      </c>
    </row>
    <row r="15" spans="1:38" s="120" customFormat="1">
      <c r="A15" s="119"/>
      <c r="B15" s="119"/>
      <c r="C15" s="119"/>
      <c r="D15" s="119"/>
      <c r="E15" s="119"/>
      <c r="F15" s="159"/>
      <c r="H15" s="110" t="s">
        <v>395</v>
      </c>
      <c r="I15" s="123"/>
      <c r="J15" s="1251">
        <v>168053.16</v>
      </c>
      <c r="K15" s="1251">
        <v>192732.48</v>
      </c>
      <c r="L15" s="1251">
        <v>198537.91</v>
      </c>
      <c r="M15" s="1251">
        <v>234886.69</v>
      </c>
      <c r="N15" s="1251">
        <v>284796.56</v>
      </c>
      <c r="O15" s="125">
        <f t="shared" si="2"/>
        <v>328247.34000000003</v>
      </c>
      <c r="P15" s="125">
        <f t="shared" si="3"/>
        <v>375451.36</v>
      </c>
      <c r="Q15" s="125">
        <f t="shared" ref="Q15:Q23" si="12">AD15</f>
        <v>443513.34</v>
      </c>
      <c r="R15" s="125">
        <f t="shared" si="8"/>
        <v>479378.09</v>
      </c>
      <c r="S15" s="123"/>
      <c r="T15" s="123"/>
      <c r="U15" s="123"/>
      <c r="V15" s="123">
        <v>328247.34000000003</v>
      </c>
      <c r="W15" s="123"/>
      <c r="X15" s="123"/>
      <c r="Y15" s="123">
        <v>367804.19</v>
      </c>
      <c r="Z15" s="123">
        <v>375451.36</v>
      </c>
      <c r="AA15" s="123">
        <v>399979.84</v>
      </c>
      <c r="AB15" s="123">
        <v>412678</v>
      </c>
      <c r="AC15" s="123">
        <v>429039.92</v>
      </c>
      <c r="AD15" s="123">
        <v>443513.34</v>
      </c>
      <c r="AE15" s="123">
        <v>471610.66</v>
      </c>
      <c r="AF15" s="123">
        <v>496958.29</v>
      </c>
      <c r="AG15" s="123">
        <v>479378.09</v>
      </c>
      <c r="AH15" s="1896"/>
      <c r="AI15" s="124">
        <v>640036.74</v>
      </c>
      <c r="AJ15" s="1353">
        <f>AD15/AI15*100</f>
        <v>69.294981409973445</v>
      </c>
    </row>
    <row r="16" spans="1:38">
      <c r="B16" s="119"/>
      <c r="C16" s="119"/>
      <c r="D16" s="119"/>
      <c r="E16" s="119"/>
      <c r="F16" s="119"/>
      <c r="H16" s="110" t="s">
        <v>396</v>
      </c>
      <c r="I16" s="124"/>
      <c r="J16" s="1251">
        <v>136627.69</v>
      </c>
      <c r="K16" s="1251">
        <v>160787.96</v>
      </c>
      <c r="L16" s="1251">
        <v>167709.56</v>
      </c>
      <c r="M16" s="1251">
        <v>202983.27</v>
      </c>
      <c r="N16" s="1251">
        <v>251847.96</v>
      </c>
      <c r="O16" s="125">
        <f t="shared" si="2"/>
        <v>287521</v>
      </c>
      <c r="P16" s="125">
        <f t="shared" si="3"/>
        <v>333033.51</v>
      </c>
      <c r="Q16" s="125">
        <f t="shared" si="12"/>
        <v>400008.36000000004</v>
      </c>
      <c r="R16" s="125">
        <f t="shared" si="8"/>
        <v>432935.29000000004</v>
      </c>
      <c r="S16" s="123"/>
      <c r="T16" s="123"/>
      <c r="U16" s="123"/>
      <c r="V16" s="123">
        <v>287521</v>
      </c>
      <c r="W16" s="123"/>
      <c r="X16" s="123"/>
      <c r="Y16" s="123"/>
      <c r="Z16" s="123">
        <v>333033.51</v>
      </c>
      <c r="AA16" s="125">
        <f t="shared" ref="AA16:AE16" si="13">AA15-AA17</f>
        <v>358524.67000000004</v>
      </c>
      <c r="AB16" s="125">
        <f t="shared" si="13"/>
        <v>369574.25</v>
      </c>
      <c r="AC16" s="125">
        <f t="shared" si="13"/>
        <v>384600.77999999997</v>
      </c>
      <c r="AD16" s="125">
        <f t="shared" si="13"/>
        <v>400008.36000000004</v>
      </c>
      <c r="AE16" s="125">
        <f t="shared" si="13"/>
        <v>427928.99</v>
      </c>
      <c r="AF16" s="125">
        <f>AF15-AF17</f>
        <v>451329.64999999997</v>
      </c>
      <c r="AG16" s="125">
        <f>AG15-AG17</f>
        <v>432935.29000000004</v>
      </c>
      <c r="AH16" s="1896"/>
    </row>
    <row r="17" spans="1:41">
      <c r="B17" s="119"/>
      <c r="C17" s="119"/>
      <c r="D17" s="119"/>
      <c r="E17" s="119"/>
      <c r="F17" s="159"/>
      <c r="H17" s="110" t="s">
        <v>399</v>
      </c>
      <c r="I17" s="124"/>
      <c r="J17" s="1251">
        <v>31425.47</v>
      </c>
      <c r="K17" s="1251">
        <v>31944.52</v>
      </c>
      <c r="L17" s="1251">
        <v>30828.35</v>
      </c>
      <c r="M17" s="1251">
        <v>31903.42</v>
      </c>
      <c r="N17" s="1251">
        <v>32948.589999999997</v>
      </c>
      <c r="O17" s="125">
        <f t="shared" ref="O17:O23" si="14">V17</f>
        <v>40726.589999999997</v>
      </c>
      <c r="P17" s="125">
        <f t="shared" si="3"/>
        <v>42417.85</v>
      </c>
      <c r="Q17" s="125">
        <f t="shared" si="12"/>
        <v>43504.98</v>
      </c>
      <c r="R17" s="125">
        <f t="shared" si="8"/>
        <v>46442.8</v>
      </c>
      <c r="S17" s="123"/>
      <c r="T17" s="123"/>
      <c r="U17" s="123"/>
      <c r="V17" s="123">
        <v>40726.589999999997</v>
      </c>
      <c r="W17" s="123"/>
      <c r="X17" s="123"/>
      <c r="Y17" s="123"/>
      <c r="Z17" s="123">
        <v>42417.85</v>
      </c>
      <c r="AA17" s="123">
        <v>41455.17</v>
      </c>
      <c r="AB17" s="123">
        <v>43103.75</v>
      </c>
      <c r="AC17" s="123">
        <v>44439.14</v>
      </c>
      <c r="AD17" s="123">
        <v>43504.98</v>
      </c>
      <c r="AE17" s="123">
        <v>43681.67</v>
      </c>
      <c r="AF17" s="123">
        <v>45628.639999999999</v>
      </c>
      <c r="AG17" s="123">
        <v>46442.8</v>
      </c>
      <c r="AH17" s="1896"/>
      <c r="AI17" s="124">
        <v>48979.27</v>
      </c>
      <c r="AJ17" s="1353">
        <f>AD17/AI17*100</f>
        <v>88.823251142779398</v>
      </c>
    </row>
    <row r="18" spans="1:41">
      <c r="B18" s="119"/>
      <c r="C18" s="119"/>
      <c r="D18" s="119"/>
      <c r="E18" s="119"/>
      <c r="F18" s="159"/>
      <c r="H18" s="110" t="s">
        <v>404</v>
      </c>
      <c r="J18" s="1251">
        <v>2688.49</v>
      </c>
      <c r="K18" s="1251">
        <v>2095</v>
      </c>
      <c r="L18" s="1251">
        <v>916.4</v>
      </c>
      <c r="M18" s="1251">
        <v>2963.2</v>
      </c>
      <c r="N18" s="1251">
        <v>3144.43</v>
      </c>
      <c r="O18" s="125">
        <f t="shared" si="14"/>
        <v>2998.11</v>
      </c>
      <c r="P18" s="125">
        <f t="shared" ref="P18:P23" si="15">Z18</f>
        <v>6034.56</v>
      </c>
      <c r="Q18" s="125">
        <f t="shared" si="12"/>
        <v>6706.45</v>
      </c>
      <c r="R18" s="125">
        <f t="shared" si="8"/>
        <v>7046.72</v>
      </c>
      <c r="S18" s="124"/>
      <c r="T18" s="124"/>
      <c r="U18" s="124"/>
      <c r="V18" s="124">
        <v>2998.11</v>
      </c>
      <c r="W18" s="124">
        <v>1753.22</v>
      </c>
      <c r="X18" s="124">
        <v>3389.38</v>
      </c>
      <c r="Y18" s="124">
        <v>4815.76</v>
      </c>
      <c r="Z18" s="124">
        <v>6034.56</v>
      </c>
      <c r="AA18" s="124">
        <v>2107.0700000000002</v>
      </c>
      <c r="AB18" s="124">
        <v>3800.63</v>
      </c>
      <c r="AC18" s="124">
        <v>5414.29</v>
      </c>
      <c r="AD18" s="124">
        <v>6706.45</v>
      </c>
      <c r="AE18" s="124">
        <v>3081.98</v>
      </c>
      <c r="AF18" s="124">
        <v>5484.62</v>
      </c>
      <c r="AG18" s="124">
        <v>7046.72</v>
      </c>
      <c r="AH18" s="124"/>
      <c r="AI18" s="124"/>
    </row>
    <row r="19" spans="1:41">
      <c r="B19" s="119"/>
      <c r="C19" s="119"/>
      <c r="D19" s="119"/>
      <c r="E19" s="119"/>
      <c r="F19" s="119"/>
      <c r="H19" s="110" t="s">
        <v>407</v>
      </c>
      <c r="J19" s="128">
        <f t="shared" ref="J19:N19" si="16">J21-J20</f>
        <v>2146.1999999999998</v>
      </c>
      <c r="K19" s="128">
        <f t="shared" si="16"/>
        <v>1590.22</v>
      </c>
      <c r="L19" s="128">
        <f t="shared" si="16"/>
        <v>755.38</v>
      </c>
      <c r="M19" s="128">
        <f t="shared" si="16"/>
        <v>2200.9299999999998</v>
      </c>
      <c r="N19" s="128">
        <f t="shared" si="16"/>
        <v>2560.61</v>
      </c>
      <c r="O19" s="125">
        <f t="shared" si="14"/>
        <v>2437.17</v>
      </c>
      <c r="P19" s="125">
        <f t="shared" si="15"/>
        <v>4722.8</v>
      </c>
      <c r="Q19" s="125">
        <f t="shared" si="12"/>
        <v>5035.1000000000004</v>
      </c>
      <c r="R19" s="125">
        <f t="shared" si="8"/>
        <v>5251.57</v>
      </c>
      <c r="S19" s="124"/>
      <c r="T19" s="124"/>
      <c r="U19" s="124"/>
      <c r="V19" s="128">
        <f>V21-V20</f>
        <v>2437.17</v>
      </c>
      <c r="W19" s="128"/>
      <c r="X19" s="128"/>
      <c r="Y19" s="128"/>
      <c r="Z19" s="128">
        <f t="shared" ref="Z19:AE19" si="17">Z21-Z20</f>
        <v>4722.8</v>
      </c>
      <c r="AA19" s="128">
        <f t="shared" si="17"/>
        <v>1643.72</v>
      </c>
      <c r="AB19" s="128">
        <f t="shared" si="17"/>
        <v>2955.16</v>
      </c>
      <c r="AC19" s="128">
        <f t="shared" si="17"/>
        <v>4135.28</v>
      </c>
      <c r="AD19" s="128">
        <f t="shared" si="17"/>
        <v>5035.1000000000004</v>
      </c>
      <c r="AE19" s="128">
        <f t="shared" si="17"/>
        <v>2360.3200000000002</v>
      </c>
      <c r="AF19" s="128">
        <f t="shared" ref="AF19:AG19" si="18">AF21-AF20</f>
        <v>4111.71</v>
      </c>
      <c r="AG19" s="128">
        <f t="shared" si="18"/>
        <v>5251.57</v>
      </c>
      <c r="AH19" s="124"/>
      <c r="AI19" s="124"/>
    </row>
    <row r="20" spans="1:41">
      <c r="B20" s="119"/>
      <c r="C20" s="119"/>
      <c r="D20" s="119"/>
      <c r="E20" s="119"/>
      <c r="F20" s="119"/>
      <c r="H20" s="110" t="s">
        <v>68</v>
      </c>
      <c r="J20" s="1251">
        <v>0</v>
      </c>
      <c r="K20" s="1251">
        <v>0</v>
      </c>
      <c r="L20" s="1251">
        <v>0</v>
      </c>
      <c r="M20" s="1251">
        <v>0</v>
      </c>
      <c r="N20" s="1251">
        <v>0</v>
      </c>
      <c r="O20" s="125">
        <f t="shared" si="14"/>
        <v>0</v>
      </c>
      <c r="P20" s="125">
        <f t="shared" si="15"/>
        <v>0</v>
      </c>
      <c r="Q20" s="125">
        <f t="shared" si="12"/>
        <v>0</v>
      </c>
      <c r="R20" s="125">
        <f t="shared" si="8"/>
        <v>0</v>
      </c>
      <c r="S20" s="124"/>
      <c r="T20" s="124"/>
      <c r="U20" s="124"/>
      <c r="V20" s="1251">
        <v>0</v>
      </c>
      <c r="W20" s="1251"/>
      <c r="X20" s="1251"/>
      <c r="Y20" s="1251"/>
      <c r="Z20" s="1251">
        <v>0</v>
      </c>
      <c r="AA20" s="1251">
        <v>0</v>
      </c>
      <c r="AB20" s="1251">
        <v>0</v>
      </c>
      <c r="AC20" s="1251">
        <v>0</v>
      </c>
      <c r="AD20" s="1251">
        <v>0</v>
      </c>
      <c r="AE20" s="1251">
        <v>0</v>
      </c>
      <c r="AF20" s="1251">
        <v>0</v>
      </c>
      <c r="AG20" s="1251">
        <v>0</v>
      </c>
      <c r="AH20" s="124"/>
      <c r="AI20" s="124"/>
    </row>
    <row r="21" spans="1:41">
      <c r="B21" s="119"/>
      <c r="C21" s="119"/>
      <c r="D21" s="119"/>
      <c r="E21" s="119"/>
      <c r="F21" s="159"/>
      <c r="H21" s="110" t="s">
        <v>69</v>
      </c>
      <c r="J21" s="1251">
        <v>2146.1999999999998</v>
      </c>
      <c r="K21" s="1251">
        <v>1590.22</v>
      </c>
      <c r="L21" s="1251">
        <v>755.38</v>
      </c>
      <c r="M21" s="1251">
        <v>2200.9299999999998</v>
      </c>
      <c r="N21" s="1251">
        <v>2560.61</v>
      </c>
      <c r="O21" s="125">
        <f t="shared" si="14"/>
        <v>2437.17</v>
      </c>
      <c r="P21" s="125">
        <f t="shared" si="15"/>
        <v>4722.8</v>
      </c>
      <c r="Q21" s="125">
        <f t="shared" si="12"/>
        <v>5035.1000000000004</v>
      </c>
      <c r="R21" s="125">
        <f t="shared" si="8"/>
        <v>5251.57</v>
      </c>
      <c r="S21" s="124"/>
      <c r="T21" s="123"/>
      <c r="U21" s="124"/>
      <c r="V21" s="1251">
        <v>2437.17</v>
      </c>
      <c r="W21" s="1251">
        <v>1432.29</v>
      </c>
      <c r="X21" s="1251">
        <v>2651.99</v>
      </c>
      <c r="Y21" s="1251">
        <v>3754.35</v>
      </c>
      <c r="Z21" s="1251">
        <v>4722.8</v>
      </c>
      <c r="AA21" s="1251">
        <v>1643.72</v>
      </c>
      <c r="AB21" s="1251">
        <v>2955.16</v>
      </c>
      <c r="AC21" s="1251">
        <v>4135.28</v>
      </c>
      <c r="AD21" s="1251">
        <v>5035.1000000000004</v>
      </c>
      <c r="AE21" s="1251">
        <v>2360.3200000000002</v>
      </c>
      <c r="AF21" s="1251">
        <v>4111.71</v>
      </c>
      <c r="AG21" s="1251">
        <v>5251.57</v>
      </c>
      <c r="AH21" s="124"/>
      <c r="AI21" s="124">
        <v>5159.47</v>
      </c>
      <c r="AJ21" s="1353">
        <f>AD21/AI21*100</f>
        <v>97.589481090111974</v>
      </c>
    </row>
    <row r="22" spans="1:41">
      <c r="B22" s="119"/>
      <c r="C22" s="119"/>
      <c r="D22" s="119"/>
      <c r="E22" s="119"/>
      <c r="F22" s="119"/>
      <c r="H22" s="110" t="s">
        <v>70</v>
      </c>
      <c r="J22" s="1251">
        <v>-166.71</v>
      </c>
      <c r="K22" s="1251">
        <v>-70.42</v>
      </c>
      <c r="L22" s="1251">
        <v>-70.209999999999994</v>
      </c>
      <c r="M22" s="1251">
        <v>-525.41999999999996</v>
      </c>
      <c r="N22" s="1251">
        <v>85.76</v>
      </c>
      <c r="O22" s="125">
        <f t="shared" si="14"/>
        <v>43.57</v>
      </c>
      <c r="P22" s="125">
        <f t="shared" si="15"/>
        <v>670.58</v>
      </c>
      <c r="Q22" s="125">
        <f t="shared" si="12"/>
        <v>0.35999999999967258</v>
      </c>
      <c r="R22" s="125">
        <f t="shared" si="8"/>
        <v>-510.67000000000007</v>
      </c>
      <c r="S22" s="124"/>
      <c r="T22" s="124"/>
      <c r="U22" s="124"/>
      <c r="V22" s="1251">
        <v>43.57</v>
      </c>
      <c r="W22" s="1251"/>
      <c r="X22" s="1251"/>
      <c r="Y22" s="1251"/>
      <c r="Z22" s="1251">
        <v>670.58</v>
      </c>
      <c r="AA22" s="1251">
        <v>-258.35000000000002</v>
      </c>
      <c r="AB22" s="128">
        <f t="shared" ref="AB22:AG22" si="19">AB23-AB21</f>
        <v>78.789999999999964</v>
      </c>
      <c r="AC22" s="128">
        <f t="shared" si="19"/>
        <v>234.0600000000004</v>
      </c>
      <c r="AD22" s="128">
        <f t="shared" si="19"/>
        <v>0.35999999999967258</v>
      </c>
      <c r="AE22" s="128">
        <f t="shared" si="19"/>
        <v>-380.55000000000018</v>
      </c>
      <c r="AF22" s="128">
        <f t="shared" si="19"/>
        <v>-184.97000000000025</v>
      </c>
      <c r="AG22" s="128">
        <f t="shared" si="19"/>
        <v>-510.67000000000007</v>
      </c>
      <c r="AH22" s="124"/>
      <c r="AI22" s="124"/>
    </row>
    <row r="23" spans="1:41">
      <c r="B23" s="119"/>
      <c r="C23" s="119"/>
      <c r="D23" s="119"/>
      <c r="E23" s="119"/>
      <c r="F23" s="119"/>
      <c r="H23" s="110" t="s">
        <v>23</v>
      </c>
      <c r="J23" s="1251">
        <v>1979.49</v>
      </c>
      <c r="K23" s="1251">
        <v>1519.8</v>
      </c>
      <c r="L23" s="1251">
        <v>685.18</v>
      </c>
      <c r="M23" s="1251">
        <v>1675.51</v>
      </c>
      <c r="N23" s="1251">
        <v>2646.37</v>
      </c>
      <c r="O23" s="125">
        <f t="shared" si="14"/>
        <v>2480.7399999999998</v>
      </c>
      <c r="P23" s="125">
        <f t="shared" si="15"/>
        <v>5393.38</v>
      </c>
      <c r="Q23" s="125">
        <f t="shared" si="12"/>
        <v>5035.46</v>
      </c>
      <c r="R23" s="125">
        <f t="shared" si="8"/>
        <v>4740.8999999999996</v>
      </c>
      <c r="S23" s="124"/>
      <c r="T23" s="124"/>
      <c r="U23" s="124"/>
      <c r="V23" s="1251">
        <v>2480.7399999999998</v>
      </c>
      <c r="W23" s="1251"/>
      <c r="X23" s="1251"/>
      <c r="Y23" s="1251"/>
      <c r="Z23" s="1251">
        <v>5393.38</v>
      </c>
      <c r="AA23" s="1251">
        <v>1385.37</v>
      </c>
      <c r="AB23" s="1251">
        <v>3033.95</v>
      </c>
      <c r="AC23" s="1251">
        <v>4369.34</v>
      </c>
      <c r="AD23" s="1251">
        <v>5035.46</v>
      </c>
      <c r="AE23" s="1251">
        <v>1979.77</v>
      </c>
      <c r="AF23" s="1251">
        <v>3926.74</v>
      </c>
      <c r="AG23" s="1251">
        <v>4740.8999999999996</v>
      </c>
      <c r="AH23" s="124"/>
      <c r="AI23" s="124"/>
      <c r="AK23" s="124"/>
    </row>
    <row r="24" spans="1:41">
      <c r="B24" s="119"/>
      <c r="C24" s="119"/>
      <c r="D24" s="119"/>
      <c r="E24" s="119"/>
      <c r="F24" s="119"/>
      <c r="I24" s="1253"/>
      <c r="J24" s="1253"/>
      <c r="K24" s="1253"/>
      <c r="L24" s="1253"/>
      <c r="M24" s="1253"/>
      <c r="N24" s="1253"/>
      <c r="O24" s="1253"/>
      <c r="P24" s="1253"/>
      <c r="Q24" s="1253"/>
      <c r="R24" s="1253"/>
      <c r="S24" s="1253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1253"/>
      <c r="AO24" s="1253"/>
    </row>
    <row r="25" spans="1:41">
      <c r="A25" s="500" t="s">
        <v>897</v>
      </c>
      <c r="H25" s="110" t="s">
        <v>896</v>
      </c>
      <c r="I25" s="1253"/>
      <c r="J25" s="1254">
        <f>J15-J57</f>
        <v>4.73980006063357E-4</v>
      </c>
      <c r="K25" s="1254">
        <f>K15-K57</f>
        <v>-1.2476000119931996E-4</v>
      </c>
      <c r="L25" s="1254">
        <f>L15-L57</f>
        <v>-2.5773599918466061E-3</v>
      </c>
      <c r="M25" s="1254">
        <f>M15-M57</f>
        <v>-1.5165699878707528E-3</v>
      </c>
      <c r="N25" s="1254">
        <f>N57-N57</f>
        <v>0</v>
      </c>
      <c r="O25" s="1255">
        <f t="shared" ref="O25:O30" si="20">V25</f>
        <v>0</v>
      </c>
      <c r="P25" s="1255">
        <f>Z25</f>
        <v>0</v>
      </c>
      <c r="Q25" s="1255">
        <f t="shared" ref="Q25:Q30" si="21">AD25</f>
        <v>0</v>
      </c>
      <c r="R25" s="1255">
        <f t="shared" ref="R25:R30" si="22">AG25</f>
        <v>0</v>
      </c>
      <c r="S25" s="1253"/>
      <c r="T25" s="1253"/>
      <c r="U25" s="1253"/>
      <c r="V25" s="1254">
        <f>V57-V57</f>
        <v>0</v>
      </c>
      <c r="W25" s="1254"/>
      <c r="X25" s="1254"/>
      <c r="Y25" s="1254"/>
      <c r="Z25" s="1254">
        <f t="shared" ref="Z25:AE25" si="23">Z57-Z57</f>
        <v>0</v>
      </c>
      <c r="AA25" s="1254">
        <f t="shared" si="23"/>
        <v>0</v>
      </c>
      <c r="AB25" s="1254">
        <f t="shared" si="23"/>
        <v>0</v>
      </c>
      <c r="AC25" s="1254">
        <f t="shared" si="23"/>
        <v>0</v>
      </c>
      <c r="AD25" s="1254">
        <f t="shared" si="23"/>
        <v>0</v>
      </c>
      <c r="AE25" s="1254">
        <f t="shared" si="23"/>
        <v>0</v>
      </c>
      <c r="AF25" s="1254">
        <f t="shared" ref="AF25:AG25" si="24">AF57-AF57</f>
        <v>0</v>
      </c>
      <c r="AG25" s="1254">
        <f t="shared" si="24"/>
        <v>0</v>
      </c>
      <c r="AH25" s="1253"/>
      <c r="AI25" s="1253"/>
      <c r="AJ25" s="1253"/>
      <c r="AK25" s="1253"/>
      <c r="AL25" s="1253"/>
      <c r="AM25" s="1253"/>
      <c r="AN25" s="1253"/>
      <c r="AO25" s="1253"/>
    </row>
    <row r="26" spans="1:41">
      <c r="H26" s="110" t="s">
        <v>898</v>
      </c>
      <c r="I26" s="1253"/>
      <c r="J26" s="1254">
        <f>J17-J58</f>
        <v>1.0332300007576123E-3</v>
      </c>
      <c r="K26" s="1254">
        <f>K17-K58</f>
        <v>-4.4365699977788609E-3</v>
      </c>
      <c r="L26" s="1254">
        <f>L17-L58</f>
        <v>-4.6548999998776708E-3</v>
      </c>
      <c r="M26" s="1254">
        <f>M17-M58</f>
        <v>2.0435299993550871E-3</v>
      </c>
      <c r="N26" s="1254">
        <f>N17-N58</f>
        <v>-3.9152700046543032E-3</v>
      </c>
      <c r="O26" s="1255">
        <f t="shared" si="20"/>
        <v>-4.8427800065837801E-3</v>
      </c>
      <c r="P26" s="1255">
        <f>Z26</f>
        <v>-3.8205500022741035E-3</v>
      </c>
      <c r="Q26" s="1255">
        <f t="shared" si="21"/>
        <v>-2.8511899945442565E-3</v>
      </c>
      <c r="R26" s="1255">
        <f t="shared" si="22"/>
        <v>4.2876500010606833E-3</v>
      </c>
      <c r="S26" s="1253"/>
      <c r="T26" s="1253"/>
      <c r="U26" s="1253"/>
      <c r="V26" s="1254">
        <f>V17-V58</f>
        <v>-4.8427800065837801E-3</v>
      </c>
      <c r="W26" s="1254"/>
      <c r="X26" s="1254"/>
      <c r="Y26" s="1254"/>
      <c r="Z26" s="1254">
        <f t="shared" ref="Z26:AE26" si="25">Z17-Z58</f>
        <v>-3.8205500022741035E-3</v>
      </c>
      <c r="AA26" s="1254">
        <f t="shared" si="25"/>
        <v>-9.58160002483055E-4</v>
      </c>
      <c r="AB26" s="1254">
        <f t="shared" si="25"/>
        <v>-1.2291599996387959E-3</v>
      </c>
      <c r="AC26" s="1254">
        <f t="shared" si="25"/>
        <v>-3.496659999655094E-3</v>
      </c>
      <c r="AD26" s="1254">
        <f t="shared" si="25"/>
        <v>-2.8511899945442565E-3</v>
      </c>
      <c r="AE26" s="1254">
        <f t="shared" si="25"/>
        <v>-3.8365200016414747E-3</v>
      </c>
      <c r="AF26" s="1254">
        <f t="shared" ref="AF26:AG26" si="26">AF17-AF58</f>
        <v>5.2404999587452039E-4</v>
      </c>
      <c r="AG26" s="1254">
        <f t="shared" si="26"/>
        <v>4.2876500010606833E-3</v>
      </c>
      <c r="AH26" s="1253"/>
      <c r="AI26" s="1253"/>
      <c r="AJ26" s="1253"/>
      <c r="AK26" s="1253"/>
      <c r="AL26" s="1253"/>
      <c r="AM26" s="1253"/>
      <c r="AN26" s="1253"/>
      <c r="AO26" s="1253"/>
    </row>
    <row r="27" spans="1:41">
      <c r="H27" s="1252" t="s">
        <v>2140</v>
      </c>
      <c r="I27" s="1253"/>
      <c r="J27" s="1254">
        <f>J18-J233</f>
        <v>-1.8219800003862474E-3</v>
      </c>
      <c r="K27" s="1254">
        <f>K18-K233</f>
        <v>-3.2660199999554607E-3</v>
      </c>
      <c r="L27" s="1254">
        <f>L18-L233</f>
        <v>1.2933699999848614E-3</v>
      </c>
      <c r="M27" s="1254">
        <f>M18-M233</f>
        <v>3.2900199998948665E-3</v>
      </c>
      <c r="N27" s="1254">
        <f>N18-N233</f>
        <v>-4.8777000001791748E-3</v>
      </c>
      <c r="O27" s="1255">
        <f t="shared" ref="O27" si="27">V27</f>
        <v>3.3275099999627855E-3</v>
      </c>
      <c r="P27" s="1255">
        <f t="shared" ref="P27" si="28">Z27</f>
        <v>9.7641000047588022E-4</v>
      </c>
      <c r="Q27" s="1255">
        <f t="shared" si="21"/>
        <v>2.004809999561985E-3</v>
      </c>
      <c r="R27" s="1255">
        <f t="shared" si="22"/>
        <v>4.9631700003374135E-3</v>
      </c>
      <c r="S27" s="1253"/>
      <c r="T27" s="1253"/>
      <c r="U27" s="1253"/>
      <c r="V27" s="1254">
        <f>V18-V233</f>
        <v>3.3275099999627855E-3</v>
      </c>
      <c r="W27" s="1254"/>
      <c r="X27" s="1254"/>
      <c r="Y27" s="1254"/>
      <c r="Z27" s="1254">
        <f t="shared" ref="Z27:AE27" si="29">Z18-Z233</f>
        <v>9.7641000047588022E-4</v>
      </c>
      <c r="AA27" s="1254">
        <f t="shared" si="29"/>
        <v>2.8521799999907671E-3</v>
      </c>
      <c r="AB27" s="1254">
        <f t="shared" si="29"/>
        <v>2.6889099999607424E-3</v>
      </c>
      <c r="AC27" s="1254">
        <f t="shared" si="29"/>
        <v>-4.8862399999052286E-3</v>
      </c>
      <c r="AD27" s="1254">
        <f t="shared" si="29"/>
        <v>2.004809999561985E-3</v>
      </c>
      <c r="AE27" s="1254">
        <f t="shared" si="29"/>
        <v>-2.2390899998754321E-3</v>
      </c>
      <c r="AF27" s="1254">
        <f t="shared" ref="AF27:AG27" si="30">AF18-AF233</f>
        <v>-2.5248399997508386E-3</v>
      </c>
      <c r="AG27" s="1254">
        <f t="shared" si="30"/>
        <v>4.9631700003374135E-3</v>
      </c>
      <c r="AH27" s="1253"/>
      <c r="AI27" s="1253"/>
      <c r="AJ27" s="1253"/>
      <c r="AK27" s="1253"/>
      <c r="AL27" s="1253"/>
      <c r="AM27" s="1253"/>
      <c r="AN27" s="1253"/>
      <c r="AO27" s="1253"/>
    </row>
    <row r="28" spans="1:41">
      <c r="H28" s="1252" t="s">
        <v>2141</v>
      </c>
      <c r="I28" s="1253"/>
      <c r="J28" s="1254">
        <f>J19-J190</f>
        <v>3.3246399998461129E-3</v>
      </c>
      <c r="K28" s="1254">
        <f>K19-K190</f>
        <v>-3.1298100000185514E-3</v>
      </c>
      <c r="L28" s="1254">
        <f>L19-L190</f>
        <v>-2.2858300000052623E-3</v>
      </c>
      <c r="M28" s="1254">
        <f>M19-M190</f>
        <v>2.1577299999080424E-3</v>
      </c>
      <c r="N28" s="1254">
        <f>N19-N190</f>
        <v>3.6335000004328322E-4</v>
      </c>
      <c r="O28" s="1255">
        <f t="shared" ref="O28" si="31">V28</f>
        <v>-2.9977799999869603E-3</v>
      </c>
      <c r="P28" s="1255">
        <f t="shared" ref="P28" si="32">Z28</f>
        <v>4.1310000051453244E-4</v>
      </c>
      <c r="Q28" s="1255">
        <f t="shared" si="21"/>
        <v>-4.1946999954234343E-4</v>
      </c>
      <c r="R28" s="1255">
        <f t="shared" si="22"/>
        <v>1.4331399997900007E-3</v>
      </c>
      <c r="S28" s="1253"/>
      <c r="T28" s="1253"/>
      <c r="U28" s="1253"/>
      <c r="V28" s="1254">
        <f>V19-V190</f>
        <v>-2.9977799999869603E-3</v>
      </c>
      <c r="W28" s="1254"/>
      <c r="X28" s="1254"/>
      <c r="Y28" s="1254"/>
      <c r="Z28" s="1254">
        <f t="shared" ref="Z28:AE28" si="33">Z19-Z190</f>
        <v>4.1310000051453244E-4</v>
      </c>
      <c r="AA28" s="1254">
        <f t="shared" si="33"/>
        <v>1.1205800001334865E-3</v>
      </c>
      <c r="AB28" s="1254">
        <f t="shared" si="33"/>
        <v>-2.731949999997596E-3</v>
      </c>
      <c r="AC28" s="1254">
        <f t="shared" si="33"/>
        <v>-2.3098000001482433E-3</v>
      </c>
      <c r="AD28" s="1254">
        <f t="shared" si="33"/>
        <v>-4.1946999954234343E-4</v>
      </c>
      <c r="AE28" s="1254">
        <f t="shared" si="33"/>
        <v>-4.4793699998990633E-3</v>
      </c>
      <c r="AF28" s="1254">
        <f t="shared" ref="AF28:AG28" si="34">AF19-AF190</f>
        <v>-4.8172200004046317E-3</v>
      </c>
      <c r="AG28" s="1254">
        <f t="shared" si="34"/>
        <v>1.4331399997900007E-3</v>
      </c>
      <c r="AH28" s="1253"/>
      <c r="AI28" s="1253"/>
      <c r="AJ28" s="1253"/>
      <c r="AK28" s="1253"/>
      <c r="AL28" s="1253"/>
      <c r="AM28" s="1253"/>
      <c r="AN28" s="1253"/>
      <c r="AO28" s="1253"/>
    </row>
    <row r="29" spans="1:41">
      <c r="H29" s="110" t="s">
        <v>899</v>
      </c>
      <c r="I29" s="1253"/>
      <c r="J29" s="1254">
        <f>J21-J189</f>
        <v>3.3246399998461129E-3</v>
      </c>
      <c r="K29" s="1254">
        <f>K21-K189</f>
        <v>-3.1298100000185514E-3</v>
      </c>
      <c r="L29" s="1254">
        <f>L21-L189</f>
        <v>-2.2858300000052623E-3</v>
      </c>
      <c r="M29" s="1254">
        <f>M21-M189</f>
        <v>2.1577299999080424E-3</v>
      </c>
      <c r="N29" s="1254">
        <f>N21-N189</f>
        <v>3.6335000004328322E-4</v>
      </c>
      <c r="O29" s="1255">
        <f t="shared" si="20"/>
        <v>-2.9977799999869603E-3</v>
      </c>
      <c r="P29" s="1255">
        <f>Z29</f>
        <v>4.1310000051453244E-4</v>
      </c>
      <c r="Q29" s="1255">
        <f t="shared" si="21"/>
        <v>-4.1946999954234343E-4</v>
      </c>
      <c r="R29" s="1255">
        <f t="shared" si="22"/>
        <v>1.4331399997900007E-3</v>
      </c>
      <c r="S29" s="1253"/>
      <c r="T29" s="1253"/>
      <c r="U29" s="1253"/>
      <c r="V29" s="1254">
        <f>V21-V189</f>
        <v>-2.9977799999869603E-3</v>
      </c>
      <c r="W29" s="1254"/>
      <c r="X29" s="1254"/>
      <c r="Y29" s="1254"/>
      <c r="Z29" s="1254">
        <f t="shared" ref="Z29:AE29" si="35">Z21-Z189</f>
        <v>4.1310000051453244E-4</v>
      </c>
      <c r="AA29" s="1254">
        <f t="shared" si="35"/>
        <v>1.1205800001334865E-3</v>
      </c>
      <c r="AB29" s="1254">
        <f t="shared" si="35"/>
        <v>-2.731949999997596E-3</v>
      </c>
      <c r="AC29" s="1254">
        <f t="shared" si="35"/>
        <v>-2.3098000001482433E-3</v>
      </c>
      <c r="AD29" s="1254">
        <f t="shared" si="35"/>
        <v>-4.1946999954234343E-4</v>
      </c>
      <c r="AE29" s="1254">
        <f t="shared" si="35"/>
        <v>-4.4793699998990633E-3</v>
      </c>
      <c r="AF29" s="1254">
        <f>AF21-AF189</f>
        <v>-4.8172200004046317E-3</v>
      </c>
      <c r="AG29" s="1254">
        <f>AG21-AG189</f>
        <v>1.4331399997900007E-3</v>
      </c>
      <c r="AH29" s="1253"/>
      <c r="AI29" s="1253"/>
      <c r="AJ29" s="1253"/>
      <c r="AK29" s="1253"/>
      <c r="AL29" s="1253"/>
      <c r="AM29" s="1253"/>
      <c r="AN29" s="1253"/>
      <c r="AO29" s="1253"/>
    </row>
    <row r="30" spans="1:41">
      <c r="H30" s="110" t="s">
        <v>900</v>
      </c>
      <c r="I30" s="1253"/>
      <c r="J30" s="1254">
        <f>J23-J191</f>
        <v>4.737040000009074E-3</v>
      </c>
      <c r="K30" s="1254">
        <f>K23-K191</f>
        <v>-3.3298000000741013E-3</v>
      </c>
      <c r="L30" s="1254">
        <f>L23-L191</f>
        <v>3.6336699999992561E-3</v>
      </c>
      <c r="M30" s="1254">
        <f>M23-M191</f>
        <v>-2.0175699999072094E-3</v>
      </c>
      <c r="N30" s="1254">
        <f>N23-N191</f>
        <v>-2.5347999999212334E-3</v>
      </c>
      <c r="O30" s="1255">
        <f t="shared" si="20"/>
        <v>7.2088999968400458E-4</v>
      </c>
      <c r="P30" s="1255">
        <f>Z30</f>
        <v>3.2482300002811826E-3</v>
      </c>
      <c r="Q30" s="1255">
        <f t="shared" si="21"/>
        <v>-1.2751900003422634E-3</v>
      </c>
      <c r="R30" s="1255">
        <f t="shared" si="22"/>
        <v>4.9988399996436783E-3</v>
      </c>
      <c r="S30" s="1253"/>
      <c r="T30" s="1253"/>
      <c r="U30" s="1253"/>
      <c r="V30" s="1254">
        <f>V23-V191</f>
        <v>7.2088999968400458E-4</v>
      </c>
      <c r="W30" s="1254"/>
      <c r="X30" s="1254"/>
      <c r="Y30" s="1254"/>
      <c r="Z30" s="1254">
        <f t="shared" ref="Z30:AE30" si="36">Z23-Z191</f>
        <v>3.2482300002811826E-3</v>
      </c>
      <c r="AA30" s="1254">
        <f t="shared" si="36"/>
        <v>-4.8160000005736947E-5</v>
      </c>
      <c r="AB30" s="1254">
        <f t="shared" si="36"/>
        <v>-3.1916000034470926E-4</v>
      </c>
      <c r="AC30" s="1254">
        <f t="shared" si="36"/>
        <v>-2.5866599999062601E-3</v>
      </c>
      <c r="AD30" s="1254">
        <f t="shared" si="36"/>
        <v>-1.2751900003422634E-3</v>
      </c>
      <c r="AE30" s="1254">
        <f t="shared" si="36"/>
        <v>-3.1253300001026219E-3</v>
      </c>
      <c r="AF30" s="1254">
        <f t="shared" ref="AF30:AG30" si="37">AF23-AF191</f>
        <v>1.2352399999144836E-3</v>
      </c>
      <c r="AG30" s="1254">
        <f t="shared" si="37"/>
        <v>4.9988399996436783E-3</v>
      </c>
      <c r="AH30" s="1253"/>
      <c r="AI30" s="1253"/>
      <c r="AJ30" s="1253"/>
      <c r="AK30" s="1253"/>
      <c r="AL30" s="1253"/>
      <c r="AM30" s="1253"/>
      <c r="AN30" s="1253"/>
      <c r="AO30" s="1253"/>
    </row>
    <row r="31" spans="1:41">
      <c r="I31" s="124"/>
      <c r="J31" s="124"/>
      <c r="K31" s="124"/>
      <c r="L31" s="124"/>
      <c r="M31" s="124"/>
      <c r="N31" s="124"/>
      <c r="O31" s="126"/>
      <c r="P31" s="126"/>
      <c r="Q31" s="126"/>
      <c r="R31" s="126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</row>
    <row r="32" spans="1:41" s="122" customFormat="1">
      <c r="A32" s="121" t="s">
        <v>555</v>
      </c>
      <c r="B32" s="121"/>
      <c r="C32" s="121"/>
      <c r="D32" s="121"/>
      <c r="E32" s="121"/>
      <c r="F32" s="121"/>
    </row>
    <row r="33" spans="1:37">
      <c r="I33" s="124"/>
      <c r="J33" s="124"/>
      <c r="K33" s="124"/>
      <c r="L33" s="124"/>
      <c r="M33" s="124"/>
      <c r="N33" s="124"/>
      <c r="O33" s="126"/>
      <c r="P33" s="126"/>
      <c r="Q33" s="126"/>
      <c r="R33" s="126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</row>
    <row r="34" spans="1:37">
      <c r="B34" s="119"/>
      <c r="C34" s="119"/>
      <c r="D34" s="119"/>
      <c r="E34" s="119"/>
      <c r="F34" s="119"/>
      <c r="H34" s="110" t="s">
        <v>557</v>
      </c>
      <c r="I34" s="124"/>
      <c r="J34" s="1251" t="s">
        <v>2139</v>
      </c>
      <c r="K34" s="1251">
        <v>1000.75</v>
      </c>
      <c r="L34" s="1251">
        <v>1801.35</v>
      </c>
      <c r="M34" s="1251">
        <v>600.45000000000005</v>
      </c>
      <c r="N34" s="1251">
        <v>1601.2</v>
      </c>
      <c r="O34" s="125">
        <f t="shared" ref="O34:O35" si="38">V34</f>
        <v>2001.5</v>
      </c>
      <c r="P34" s="125">
        <f>Z34</f>
        <v>10823</v>
      </c>
      <c r="Q34" s="125">
        <f>AD34</f>
        <v>3902.46</v>
      </c>
      <c r="R34" s="125">
        <f>AG34</f>
        <v>1803.08</v>
      </c>
      <c r="S34" s="124"/>
      <c r="T34" s="124"/>
      <c r="U34" s="124"/>
      <c r="V34" s="1251">
        <v>2001.5</v>
      </c>
      <c r="W34" s="1251"/>
      <c r="X34" s="1251"/>
      <c r="Y34" s="1251"/>
      <c r="Z34" s="1251">
        <f>1202+9621</f>
        <v>10823</v>
      </c>
      <c r="AA34" s="1251">
        <v>3902.46</v>
      </c>
      <c r="AB34" s="1251">
        <v>3902.46</v>
      </c>
      <c r="AC34" s="1251">
        <v>3902.46</v>
      </c>
      <c r="AD34" s="1251">
        <v>3902.46</v>
      </c>
      <c r="AE34" s="1251">
        <v>1803.08</v>
      </c>
      <c r="AF34" s="1251">
        <v>1803.08</v>
      </c>
      <c r="AG34" s="1251">
        <v>1803.08</v>
      </c>
      <c r="AI34" s="1317" t="s">
        <v>2414</v>
      </c>
      <c r="AJ34" s="1251">
        <v>1803.08</v>
      </c>
      <c r="AK34" s="1317" t="s">
        <v>2413</v>
      </c>
    </row>
    <row r="35" spans="1:37">
      <c r="B35" s="119"/>
      <c r="C35" s="119"/>
      <c r="D35" s="119"/>
      <c r="E35" s="119"/>
      <c r="F35" s="119"/>
      <c r="H35" s="110" t="s">
        <v>556</v>
      </c>
      <c r="I35" s="124"/>
      <c r="J35" s="1251" t="s">
        <v>2139</v>
      </c>
      <c r="K35" s="1251">
        <v>0</v>
      </c>
      <c r="L35" s="1251">
        <v>0</v>
      </c>
      <c r="M35" s="1251">
        <v>0</v>
      </c>
      <c r="N35" s="1251">
        <v>0</v>
      </c>
      <c r="O35" s="125">
        <f t="shared" si="38"/>
        <v>16919.98</v>
      </c>
      <c r="P35" s="125">
        <f>Z35</f>
        <v>0</v>
      </c>
      <c r="Q35" s="125">
        <f>AD35</f>
        <v>0</v>
      </c>
      <c r="R35" s="125">
        <f>AG35</f>
        <v>0</v>
      </c>
      <c r="S35" s="124"/>
      <c r="T35" s="124"/>
      <c r="U35" s="124"/>
      <c r="V35" s="1251">
        <v>16919.98</v>
      </c>
      <c r="W35" s="1251"/>
      <c r="X35" s="1251"/>
      <c r="Y35" s="1251"/>
      <c r="Z35" s="1251">
        <v>0</v>
      </c>
      <c r="AA35" s="1251">
        <v>0</v>
      </c>
      <c r="AB35" s="1251">
        <v>0</v>
      </c>
      <c r="AC35" s="1251">
        <v>0</v>
      </c>
      <c r="AD35" s="1251">
        <v>0</v>
      </c>
      <c r="AE35" s="1251">
        <v>0</v>
      </c>
      <c r="AF35" s="1251">
        <v>0</v>
      </c>
      <c r="AG35" s="1251">
        <v>0</v>
      </c>
    </row>
    <row r="36" spans="1:37"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</row>
    <row r="37" spans="1:37" s="122" customFormat="1">
      <c r="A37" s="121" t="s">
        <v>1712</v>
      </c>
      <c r="B37" s="121"/>
      <c r="C37" s="121"/>
      <c r="D37" s="121"/>
      <c r="E37" s="121"/>
      <c r="F37" s="121"/>
    </row>
    <row r="38" spans="1:37"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</row>
    <row r="39" spans="1:37">
      <c r="F39" s="159"/>
      <c r="H39" s="1256" t="s">
        <v>2142</v>
      </c>
      <c r="I39" s="124"/>
      <c r="J39" s="124"/>
      <c r="K39" s="124"/>
      <c r="L39" s="124"/>
      <c r="M39" s="124"/>
      <c r="N39" s="124"/>
      <c r="O39" s="1251">
        <v>100</v>
      </c>
      <c r="P39" s="130">
        <f>Z39</f>
        <v>100</v>
      </c>
      <c r="Q39" s="130">
        <f>AD39</f>
        <v>100</v>
      </c>
      <c r="R39" s="130">
        <f>AG39</f>
        <v>100</v>
      </c>
      <c r="S39" s="124"/>
      <c r="T39" s="124"/>
      <c r="U39" s="124"/>
      <c r="V39" s="124"/>
      <c r="W39" s="1251"/>
      <c r="X39" s="1251"/>
      <c r="Y39" s="1251"/>
      <c r="Z39" s="1251">
        <v>100</v>
      </c>
      <c r="AA39" s="1251">
        <v>100</v>
      </c>
      <c r="AB39" s="1251">
        <v>100</v>
      </c>
      <c r="AC39" s="1251">
        <v>100</v>
      </c>
      <c r="AD39" s="1251">
        <v>100</v>
      </c>
      <c r="AE39" s="1251">
        <v>100</v>
      </c>
      <c r="AF39" s="1251">
        <v>100</v>
      </c>
      <c r="AG39" s="1251">
        <v>100</v>
      </c>
      <c r="AI39" s="1232"/>
    </row>
    <row r="40" spans="1:37"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</row>
    <row r="41" spans="1:37" s="122" customFormat="1">
      <c r="A41" s="121" t="s">
        <v>408</v>
      </c>
      <c r="B41" s="121"/>
      <c r="C41" s="121"/>
      <c r="D41" s="121"/>
      <c r="E41" s="121"/>
      <c r="F41" s="121"/>
    </row>
    <row r="42" spans="1:37"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</row>
    <row r="43" spans="1:37">
      <c r="A43" s="1303" t="s">
        <v>2363</v>
      </c>
      <c r="H43" s="1303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</row>
    <row r="44" spans="1:37">
      <c r="H44" s="1303" t="s">
        <v>2362</v>
      </c>
      <c r="I44" s="124"/>
      <c r="J44" s="124"/>
      <c r="K44" s="124"/>
      <c r="L44" s="124"/>
      <c r="M44" s="124"/>
      <c r="N44" s="124"/>
      <c r="O44" s="124"/>
      <c r="P44" s="125">
        <f t="shared" ref="P44:P48" si="39">Z44</f>
        <v>13000</v>
      </c>
      <c r="Q44" s="125">
        <f t="shared" ref="Q44:Q48" si="40">AD44</f>
        <v>12000</v>
      </c>
      <c r="R44" s="125">
        <f>AG44</f>
        <v>12000</v>
      </c>
      <c r="S44" s="124"/>
      <c r="T44" s="124"/>
      <c r="U44" s="124"/>
      <c r="V44" s="124"/>
      <c r="W44" s="124"/>
      <c r="X44" s="124"/>
      <c r="Y44" s="124"/>
      <c r="Z44" s="128">
        <f t="shared" ref="Z44:AE44" si="41">Z45+Z46+Z47+Z48</f>
        <v>13000</v>
      </c>
      <c r="AA44" s="128">
        <f t="shared" si="41"/>
        <v>13000</v>
      </c>
      <c r="AB44" s="128">
        <f t="shared" si="41"/>
        <v>12000</v>
      </c>
      <c r="AC44" s="128">
        <f t="shared" si="41"/>
        <v>12000</v>
      </c>
      <c r="AD44" s="128">
        <f t="shared" si="41"/>
        <v>12000</v>
      </c>
      <c r="AE44" s="128">
        <f t="shared" si="41"/>
        <v>12000</v>
      </c>
      <c r="AF44" s="128">
        <f t="shared" ref="AF44:AG44" si="42">AF45+AF46+AF47+AF48</f>
        <v>12000</v>
      </c>
      <c r="AG44" s="128">
        <f t="shared" si="42"/>
        <v>12000</v>
      </c>
    </row>
    <row r="45" spans="1:37">
      <c r="H45" s="1303" t="s">
        <v>2364</v>
      </c>
      <c r="I45" s="124"/>
      <c r="J45" s="124"/>
      <c r="K45" s="124"/>
      <c r="L45" s="124"/>
      <c r="M45" s="124"/>
      <c r="N45" s="124"/>
      <c r="O45" s="124"/>
      <c r="P45" s="125">
        <f t="shared" si="39"/>
        <v>5000</v>
      </c>
      <c r="Q45" s="125">
        <f t="shared" si="40"/>
        <v>5000</v>
      </c>
      <c r="R45" s="125">
        <f>AG45</f>
        <v>5000</v>
      </c>
      <c r="S45" s="124"/>
      <c r="T45" s="124"/>
      <c r="U45" s="124"/>
      <c r="V45" s="124"/>
      <c r="W45" s="124"/>
      <c r="X45" s="124"/>
      <c r="Y45" s="124"/>
      <c r="Z45" s="124">
        <v>5000</v>
      </c>
      <c r="AA45" s="124">
        <v>5000</v>
      </c>
      <c r="AB45" s="124">
        <v>5000</v>
      </c>
      <c r="AC45" s="124">
        <v>5000</v>
      </c>
      <c r="AD45" s="124">
        <v>5000</v>
      </c>
      <c r="AE45" s="124">
        <v>5000</v>
      </c>
      <c r="AF45" s="124">
        <v>5000</v>
      </c>
      <c r="AG45" s="124">
        <v>5000</v>
      </c>
    </row>
    <row r="46" spans="1:37">
      <c r="H46" s="1303" t="s">
        <v>2365</v>
      </c>
      <c r="I46" s="124"/>
      <c r="J46" s="124"/>
      <c r="K46" s="124"/>
      <c r="L46" s="124"/>
      <c r="M46" s="124"/>
      <c r="N46" s="124"/>
      <c r="O46" s="124"/>
      <c r="P46" s="125">
        <f t="shared" si="39"/>
        <v>2000</v>
      </c>
      <c r="Q46" s="125">
        <f t="shared" si="40"/>
        <v>2000</v>
      </c>
      <c r="R46" s="125">
        <f>AG46</f>
        <v>2000</v>
      </c>
      <c r="S46" s="124"/>
      <c r="T46" s="124"/>
      <c r="U46" s="124"/>
      <c r="V46" s="124"/>
      <c r="W46" s="124"/>
      <c r="X46" s="124"/>
      <c r="Y46" s="124"/>
      <c r="Z46" s="124">
        <v>2000</v>
      </c>
      <c r="AA46" s="124">
        <v>2000</v>
      </c>
      <c r="AB46" s="124">
        <v>2000</v>
      </c>
      <c r="AC46" s="124">
        <v>2000</v>
      </c>
      <c r="AD46" s="124">
        <v>2000</v>
      </c>
      <c r="AE46" s="124">
        <v>2000</v>
      </c>
      <c r="AF46" s="124">
        <v>2000</v>
      </c>
      <c r="AG46" s="124">
        <v>2000</v>
      </c>
    </row>
    <row r="47" spans="1:37">
      <c r="H47" s="1303" t="s">
        <v>2366</v>
      </c>
      <c r="I47" s="124"/>
      <c r="J47" s="124"/>
      <c r="K47" s="124"/>
      <c r="L47" s="124"/>
      <c r="M47" s="124"/>
      <c r="N47" s="124"/>
      <c r="O47" s="124"/>
      <c r="P47" s="125">
        <f t="shared" si="39"/>
        <v>5000</v>
      </c>
      <c r="Q47" s="125">
        <f t="shared" si="40"/>
        <v>5000</v>
      </c>
      <c r="R47" s="125">
        <f>AG47</f>
        <v>5000</v>
      </c>
      <c r="S47" s="124"/>
      <c r="T47" s="124"/>
      <c r="U47" s="124"/>
      <c r="V47" s="124"/>
      <c r="W47" s="124"/>
      <c r="X47" s="124"/>
      <c r="Y47" s="124"/>
      <c r="Z47" s="124">
        <v>5000</v>
      </c>
      <c r="AA47" s="124">
        <v>5000</v>
      </c>
      <c r="AB47" s="124">
        <v>5000</v>
      </c>
      <c r="AC47" s="124">
        <v>5000</v>
      </c>
      <c r="AD47" s="124">
        <v>5000</v>
      </c>
      <c r="AE47" s="124">
        <v>5000</v>
      </c>
      <c r="AF47" s="124">
        <v>5000</v>
      </c>
      <c r="AG47" s="124">
        <v>5000</v>
      </c>
    </row>
    <row r="48" spans="1:37">
      <c r="H48" s="1303" t="s">
        <v>2367</v>
      </c>
      <c r="I48" s="124"/>
      <c r="J48" s="124"/>
      <c r="K48" s="124"/>
      <c r="L48" s="124"/>
      <c r="M48" s="124"/>
      <c r="N48" s="124"/>
      <c r="O48" s="124"/>
      <c r="P48" s="125">
        <f t="shared" si="39"/>
        <v>1000</v>
      </c>
      <c r="Q48" s="125">
        <f t="shared" si="40"/>
        <v>0</v>
      </c>
      <c r="R48" s="125">
        <f>AG48</f>
        <v>0</v>
      </c>
      <c r="S48" s="124"/>
      <c r="T48" s="124"/>
      <c r="U48" s="124"/>
      <c r="V48" s="124"/>
      <c r="W48" s="124"/>
      <c r="X48" s="124"/>
      <c r="Y48" s="124"/>
      <c r="Z48" s="124">
        <v>1000</v>
      </c>
      <c r="AA48" s="124">
        <v>1000</v>
      </c>
      <c r="AB48" s="124">
        <v>0</v>
      </c>
      <c r="AC48" s="124">
        <v>0</v>
      </c>
      <c r="AD48" s="124">
        <v>0</v>
      </c>
      <c r="AE48" s="124">
        <v>0</v>
      </c>
      <c r="AF48" s="124">
        <v>0</v>
      </c>
      <c r="AG48" s="124">
        <v>0</v>
      </c>
    </row>
    <row r="49" spans="1:35"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</row>
    <row r="50" spans="1:35">
      <c r="A50" s="1306" t="s">
        <v>2389</v>
      </c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</row>
    <row r="51" spans="1:35">
      <c r="H51" s="1265" t="s">
        <v>2169</v>
      </c>
      <c r="I51" s="124"/>
      <c r="J51" s="124"/>
      <c r="K51" s="124"/>
      <c r="L51" s="124"/>
      <c r="M51" s="124"/>
      <c r="N51" s="124"/>
      <c r="O51" s="125">
        <f t="shared" ref="O51:O52" si="43">V51</f>
        <v>240.24</v>
      </c>
      <c r="P51" s="125">
        <f t="shared" ref="P51:P52" si="44">Z51</f>
        <v>228.36</v>
      </c>
      <c r="Q51" s="125">
        <f>AD51</f>
        <v>237.6</v>
      </c>
      <c r="R51" s="125">
        <f>AG51</f>
        <v>343.2</v>
      </c>
      <c r="S51" s="124"/>
      <c r="T51" s="124"/>
      <c r="U51" s="124"/>
      <c r="V51" s="124">
        <v>240.24</v>
      </c>
      <c r="W51" s="124"/>
      <c r="X51" s="124"/>
      <c r="Y51" s="124"/>
      <c r="Z51" s="124">
        <v>228.36</v>
      </c>
      <c r="AA51" s="124">
        <v>237.6</v>
      </c>
      <c r="AB51" s="124">
        <v>237.6</v>
      </c>
      <c r="AC51" s="124">
        <v>237.6</v>
      </c>
      <c r="AD51" s="124">
        <v>237.6</v>
      </c>
      <c r="AE51" s="124">
        <v>343.2</v>
      </c>
      <c r="AF51" s="124">
        <v>343.2</v>
      </c>
      <c r="AG51" s="124">
        <v>343.2</v>
      </c>
    </row>
    <row r="52" spans="1:35">
      <c r="H52" s="1265" t="s">
        <v>2170</v>
      </c>
      <c r="I52" s="124"/>
      <c r="J52" s="124"/>
      <c r="K52" s="124"/>
      <c r="L52" s="124"/>
      <c r="M52" s="124"/>
      <c r="N52" s="124"/>
      <c r="O52" s="125">
        <f t="shared" si="43"/>
        <v>100</v>
      </c>
      <c r="P52" s="125">
        <f t="shared" si="44"/>
        <v>130</v>
      </c>
      <c r="Q52" s="125">
        <f>AD52</f>
        <v>100</v>
      </c>
      <c r="R52" s="125">
        <f>AG52</f>
        <v>60</v>
      </c>
      <c r="S52" s="124"/>
      <c r="T52" s="124"/>
      <c r="U52" s="124"/>
      <c r="V52" s="124">
        <v>100</v>
      </c>
      <c r="W52" s="124"/>
      <c r="X52" s="124"/>
      <c r="Y52" s="124"/>
      <c r="Z52" s="124">
        <v>130</v>
      </c>
      <c r="AA52" s="124">
        <v>100</v>
      </c>
      <c r="AB52" s="124">
        <v>100</v>
      </c>
      <c r="AC52" s="124">
        <v>100</v>
      </c>
      <c r="AD52" s="124">
        <v>100</v>
      </c>
      <c r="AE52" s="124">
        <v>60</v>
      </c>
      <c r="AF52" s="124">
        <v>60</v>
      </c>
      <c r="AG52" s="124">
        <v>60</v>
      </c>
    </row>
    <row r="53" spans="1:35">
      <c r="H53" s="1306" t="s">
        <v>2378</v>
      </c>
      <c r="I53" s="124"/>
      <c r="J53" s="124"/>
      <c r="K53" s="124"/>
      <c r="L53" s="124"/>
      <c r="M53" s="124"/>
      <c r="N53" s="124"/>
      <c r="O53" s="125">
        <f t="shared" ref="O53:P53" si="45">O51+O52</f>
        <v>340.24</v>
      </c>
      <c r="P53" s="125">
        <f t="shared" si="45"/>
        <v>358.36</v>
      </c>
      <c r="Q53" s="125">
        <f>Q51+Q52</f>
        <v>337.6</v>
      </c>
      <c r="R53" s="125">
        <f>R51+R52</f>
        <v>403.2</v>
      </c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</row>
    <row r="54" spans="1:35"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</row>
    <row r="55" spans="1:35" s="118" customFormat="1">
      <c r="A55" s="117" t="s">
        <v>525</v>
      </c>
      <c r="B55" s="117"/>
      <c r="C55" s="117"/>
      <c r="D55" s="117"/>
      <c r="E55" s="117"/>
      <c r="F55" s="117"/>
    </row>
    <row r="56" spans="1:35"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</row>
    <row r="57" spans="1:35">
      <c r="A57" s="110" t="s">
        <v>901</v>
      </c>
      <c r="H57" s="110" t="s">
        <v>896</v>
      </c>
      <c r="I57" s="124"/>
      <c r="J57" s="150">
        <f>BS!D$17/100000000</f>
        <v>168053.15952602</v>
      </c>
      <c r="K57" s="150">
        <f>BS!H$17/100000000</f>
        <v>192732.48012476001</v>
      </c>
      <c r="L57" s="150">
        <f>BS!K$17/100000000</f>
        <v>198537.91257736</v>
      </c>
      <c r="M57" s="150">
        <f>BS!O$17/100000000</f>
        <v>234886.69151656999</v>
      </c>
      <c r="N57" s="150">
        <f>BS!S$17/100000000</f>
        <v>284796.55827083002</v>
      </c>
      <c r="O57" s="125">
        <f t="shared" ref="O57:O58" si="46">V57</f>
        <v>328247.34181303001</v>
      </c>
      <c r="P57" s="125">
        <f>Z57</f>
        <v>375451.36065609002</v>
      </c>
      <c r="Q57" s="125">
        <f>AD57</f>
        <v>443513.33784827002</v>
      </c>
      <c r="R57" s="125">
        <f>AG57</f>
        <v>479378.09206569003</v>
      </c>
      <c r="S57" s="124"/>
      <c r="T57" s="124"/>
      <c r="U57" s="124"/>
      <c r="V57" s="150">
        <f>BS!$W$17/100000000</f>
        <v>328247.34181303001</v>
      </c>
      <c r="W57" s="150">
        <f>BS!$X$17/100000000</f>
        <v>351753.14025300002</v>
      </c>
      <c r="X57" s="150">
        <f>BS!$Y$17/100000000</f>
        <v>359027.76705794001</v>
      </c>
      <c r="Y57" s="150">
        <f>BS!$Z$17/100000000</f>
        <v>367804.18752774002</v>
      </c>
      <c r="Z57" s="150">
        <f>BS!$AA$17/100000000</f>
        <v>375451.36065609002</v>
      </c>
      <c r="AA57" s="150">
        <f>BS!$AB$17/100000000</f>
        <v>399979.84129549999</v>
      </c>
      <c r="AB57" s="150">
        <f>BS!$AC$17/100000000</f>
        <v>412677.99658287002</v>
      </c>
      <c r="AC57" s="150">
        <f>BS!$AD$17/100000000</f>
        <v>429039.92480777</v>
      </c>
      <c r="AD57" s="150">
        <f>BS!$AE$17/100000000</f>
        <v>443513.33784827002</v>
      </c>
      <c r="AE57" s="150">
        <f>BS!$AF$17/100000000</f>
        <v>471610.65740421001</v>
      </c>
      <c r="AF57" s="150">
        <f>BS!$AG$17/100000000</f>
        <v>496958.28974212997</v>
      </c>
      <c r="AG57" s="150">
        <f>BS!$AH$17/100000000</f>
        <v>479378.09206569003</v>
      </c>
    </row>
    <row r="58" spans="1:35">
      <c r="H58" s="110" t="s">
        <v>898</v>
      </c>
      <c r="I58" s="124"/>
      <c r="J58" s="150">
        <f>BS!D$414/100000000</f>
        <v>31425.46896677</v>
      </c>
      <c r="K58" s="150">
        <f>BS!H$414/100000000</f>
        <v>31944.524436569998</v>
      </c>
      <c r="L58" s="150">
        <f>BS!K$414/100000000</f>
        <v>30828.354654899998</v>
      </c>
      <c r="M58" s="150">
        <f>BS!O$414/100000000</f>
        <v>31903.417956469999</v>
      </c>
      <c r="N58" s="150">
        <f>BS!S$414/100000000</f>
        <v>32948.593915270001</v>
      </c>
      <c r="O58" s="125">
        <f t="shared" si="46"/>
        <v>40726.594842780003</v>
      </c>
      <c r="P58" s="125">
        <f>Z58</f>
        <v>42417.853820550001</v>
      </c>
      <c r="Q58" s="125">
        <f>AD58</f>
        <v>43504.982851189998</v>
      </c>
      <c r="R58" s="125">
        <f>AG58</f>
        <v>46442.795712350002</v>
      </c>
      <c r="S58" s="124"/>
      <c r="T58" s="124"/>
      <c r="U58" s="124"/>
      <c r="V58" s="150">
        <f>BS!$W$414/100000000</f>
        <v>40726.594842780003</v>
      </c>
      <c r="W58" s="150">
        <f>BS!$X$414/100000000</f>
        <v>41049.282483989999</v>
      </c>
      <c r="X58" s="150">
        <f>BS!$Y$414/100000000</f>
        <v>43449.875277229999</v>
      </c>
      <c r="Y58" s="150">
        <f>BS!$Z$414/100000000</f>
        <v>41907.714642539999</v>
      </c>
      <c r="Z58" s="150">
        <f>BS!$AA$414/100000000</f>
        <v>42417.853820550001</v>
      </c>
      <c r="AA58" s="150">
        <f>BS!$AB$414/100000000</f>
        <v>41455.170958160001</v>
      </c>
      <c r="AB58" s="150">
        <f>BS!$AC$414/100000000</f>
        <v>43103.75122916</v>
      </c>
      <c r="AC58" s="150">
        <f>BS!$AD$414/100000000</f>
        <v>44439.143496659999</v>
      </c>
      <c r="AD58" s="150">
        <f>BS!$AE$414/100000000</f>
        <v>43504.982851189998</v>
      </c>
      <c r="AE58" s="150">
        <f>BS!$AF$414/100000000</f>
        <v>43681.67383652</v>
      </c>
      <c r="AF58" s="150">
        <f>BS!$AG$414/100000000</f>
        <v>45628.639475950004</v>
      </c>
      <c r="AG58" s="150">
        <f>BS!$AH$414/100000000</f>
        <v>46442.795712350002</v>
      </c>
    </row>
    <row r="59" spans="1:35">
      <c r="B59" s="119"/>
      <c r="C59" s="119"/>
      <c r="D59" s="119"/>
      <c r="E59" s="119"/>
      <c r="F59" s="119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</row>
    <row r="60" spans="1:35">
      <c r="B60" s="119"/>
      <c r="C60" s="119"/>
      <c r="D60" s="119"/>
      <c r="E60" s="119"/>
      <c r="F60" s="119"/>
      <c r="H60" s="1150" t="s">
        <v>1703</v>
      </c>
      <c r="I60" s="124"/>
      <c r="J60" s="150">
        <f>BS!D$18/100000000</f>
        <v>29148.29246878</v>
      </c>
      <c r="K60" s="150">
        <f>BS!H$18/100000000</f>
        <v>26451.918282170001</v>
      </c>
      <c r="L60" s="150">
        <f>BS!K$18/100000000</f>
        <v>28803.621683000001</v>
      </c>
      <c r="M60" s="150">
        <f>BS!O$18/100000000</f>
        <v>54949.72964189</v>
      </c>
      <c r="N60" s="150">
        <f>BS!S$18/100000000</f>
        <v>71525.409081530001</v>
      </c>
      <c r="O60" s="125">
        <f t="shared" ref="O60:O64" si="47">V60</f>
        <v>79920.55563612</v>
      </c>
      <c r="P60" s="125">
        <f>Z60</f>
        <v>66740.875042920001</v>
      </c>
      <c r="Q60" s="125">
        <f t="shared" ref="Q60:Q64" si="48">AD60</f>
        <v>86841.800944770002</v>
      </c>
      <c r="R60" s="125">
        <f>AG60</f>
        <v>71135.583654090005</v>
      </c>
      <c r="S60" s="124"/>
      <c r="T60" s="124"/>
      <c r="U60" s="124"/>
      <c r="V60" s="150">
        <f>BS!$W$18/100000000</f>
        <v>79920.55563612</v>
      </c>
      <c r="W60" s="150">
        <f>BS!$X$18/100000000</f>
        <v>76861.533545369995</v>
      </c>
      <c r="X60" s="150">
        <f>BS!$Y$18/100000000</f>
        <v>80868.750529619996</v>
      </c>
      <c r="Y60" s="150">
        <f>BS!$Z$18/100000000</f>
        <v>73692.950088960002</v>
      </c>
      <c r="Z60" s="150">
        <f>BS!$AA$18/100000000</f>
        <v>66740.875042920001</v>
      </c>
      <c r="AA60" s="150">
        <f>BS!$AB$18/100000000</f>
        <v>65418.582023089999</v>
      </c>
      <c r="AB60" s="150">
        <f>BS!$AC$18/100000000</f>
        <v>75198.422552749995</v>
      </c>
      <c r="AC60" s="150">
        <f>BS!$AD$18/100000000</f>
        <v>81517.128609959997</v>
      </c>
      <c r="AD60" s="150">
        <f>BS!$AE$18/100000000</f>
        <v>86841.800944770002</v>
      </c>
      <c r="AE60" s="150">
        <f>BS!$AF$18/100000000</f>
        <v>81979.75847303</v>
      </c>
      <c r="AF60" s="150">
        <f>BS!$AG$18/100000000</f>
        <v>70070.683188170005</v>
      </c>
      <c r="AG60" s="150">
        <f>BS!$AH$18/100000000</f>
        <v>71135.583654090005</v>
      </c>
    </row>
    <row r="61" spans="1:35">
      <c r="B61" s="119"/>
      <c r="C61" s="119"/>
      <c r="D61" s="119"/>
      <c r="E61" s="119"/>
      <c r="F61" s="119"/>
      <c r="H61" s="1150" t="s">
        <v>1704</v>
      </c>
      <c r="I61" s="124"/>
      <c r="J61" s="150">
        <f>BS!D$38/100000000</f>
        <v>11951.16317098</v>
      </c>
      <c r="K61" s="150">
        <f>BS!H$38/100000000</f>
        <v>11468.865951059999</v>
      </c>
      <c r="L61" s="150">
        <f>BS!K$38/100000000</f>
        <v>11204.84958389</v>
      </c>
      <c r="M61" s="150">
        <f>BS!O$38/100000000</f>
        <v>12687.93632259</v>
      </c>
      <c r="N61" s="150">
        <f>BS!S$38/100000000</f>
        <v>15933.149766320001</v>
      </c>
      <c r="O61" s="125">
        <f t="shared" si="47"/>
        <v>18765.495650159999</v>
      </c>
      <c r="P61" s="125">
        <f>Z61</f>
        <v>20490.056630039999</v>
      </c>
      <c r="Q61" s="125">
        <f t="shared" si="48"/>
        <v>17510.331190739998</v>
      </c>
      <c r="R61" s="125">
        <f>AG61</f>
        <v>17658.1062208</v>
      </c>
      <c r="S61" s="124"/>
      <c r="T61" s="124"/>
      <c r="U61" s="124"/>
      <c r="V61" s="150">
        <f>BS!$W$38/100000000</f>
        <v>18765.495650159999</v>
      </c>
      <c r="W61" s="150">
        <f>BS!$X$38/100000000</f>
        <v>18917.8343279</v>
      </c>
      <c r="X61" s="150">
        <f>BS!$Y$38/100000000</f>
        <v>19914.59810485</v>
      </c>
      <c r="Y61" s="150">
        <f>BS!$Z$38/100000000</f>
        <v>19912.456222159999</v>
      </c>
      <c r="Z61" s="150">
        <f>BS!$AA$38/100000000</f>
        <v>20490.056630039999</v>
      </c>
      <c r="AA61" s="150">
        <f>BS!$AB$38/100000000</f>
        <v>21403.363994480002</v>
      </c>
      <c r="AB61" s="150">
        <f>BS!$AC$38/100000000</f>
        <v>20209.220888989999</v>
      </c>
      <c r="AC61" s="150">
        <f>BS!$AD$38/100000000</f>
        <v>19366.49876002</v>
      </c>
      <c r="AD61" s="150">
        <f>BS!$AE$38/100000000</f>
        <v>17510.331190739998</v>
      </c>
      <c r="AE61" s="150">
        <f>BS!$AF$38/100000000</f>
        <v>21453.544058349999</v>
      </c>
      <c r="AF61" s="150">
        <f>BS!$AG$38/100000000</f>
        <v>19178.575893059999</v>
      </c>
      <c r="AG61" s="150">
        <f>BS!$AH$38/100000000</f>
        <v>17658.1062208</v>
      </c>
    </row>
    <row r="62" spans="1:35" s="120" customFormat="1">
      <c r="A62" s="119"/>
      <c r="B62" s="119"/>
      <c r="C62" s="119"/>
      <c r="D62" s="119"/>
      <c r="E62" s="119"/>
      <c r="F62" s="119"/>
      <c r="H62" s="110" t="s">
        <v>391</v>
      </c>
      <c r="I62" s="123"/>
      <c r="J62" s="162">
        <f>J60-J61</f>
        <v>17197.129297799998</v>
      </c>
      <c r="K62" s="162">
        <f>K60-K61</f>
        <v>14983.052331110002</v>
      </c>
      <c r="L62" s="162">
        <f>L60-L61</f>
        <v>17598.77209911</v>
      </c>
      <c r="M62" s="162">
        <f>M60-M61</f>
        <v>42261.793319299999</v>
      </c>
      <c r="N62" s="162">
        <f>N60-N61</f>
        <v>55592.259315210002</v>
      </c>
      <c r="O62" s="125">
        <f t="shared" si="47"/>
        <v>61155.059985960004</v>
      </c>
      <c r="P62" s="125">
        <f>Z62</f>
        <v>46250.818412880006</v>
      </c>
      <c r="Q62" s="125">
        <f t="shared" si="48"/>
        <v>69331.469754029997</v>
      </c>
      <c r="R62" s="125">
        <f>AG62</f>
        <v>53477.477433290005</v>
      </c>
      <c r="S62" s="124"/>
      <c r="T62" s="124"/>
      <c r="U62" s="124"/>
      <c r="V62" s="162">
        <f t="shared" ref="V62:AC62" si="49">V60-V61</f>
        <v>61155.059985960004</v>
      </c>
      <c r="W62" s="162">
        <f t="shared" si="49"/>
        <v>57943.699217469999</v>
      </c>
      <c r="X62" s="162">
        <f t="shared" si="49"/>
        <v>60954.15242477</v>
      </c>
      <c r="Y62" s="162">
        <f t="shared" si="49"/>
        <v>53780.493866800003</v>
      </c>
      <c r="Z62" s="162">
        <f t="shared" si="49"/>
        <v>46250.818412880006</v>
      </c>
      <c r="AA62" s="162">
        <f t="shared" si="49"/>
        <v>44015.218028609997</v>
      </c>
      <c r="AB62" s="162">
        <f t="shared" si="49"/>
        <v>54989.201663759995</v>
      </c>
      <c r="AC62" s="162">
        <f t="shared" si="49"/>
        <v>62150.62984994</v>
      </c>
      <c r="AD62" s="162">
        <f t="shared" ref="AD62:AE62" si="50">AD60-AD61</f>
        <v>69331.469754029997</v>
      </c>
      <c r="AE62" s="162">
        <f t="shared" si="50"/>
        <v>60526.214414679998</v>
      </c>
      <c r="AF62" s="162">
        <f t="shared" ref="AF62:AG62" si="51">AF60-AF61</f>
        <v>50892.107295110007</v>
      </c>
      <c r="AG62" s="162">
        <f t="shared" si="51"/>
        <v>53477.477433290005</v>
      </c>
      <c r="AH62" s="110"/>
    </row>
    <row r="63" spans="1:35" s="120" customFormat="1">
      <c r="A63" s="119"/>
      <c r="B63" s="119"/>
      <c r="C63" s="119"/>
      <c r="D63" s="119"/>
      <c r="E63" s="119"/>
      <c r="F63" s="119"/>
      <c r="H63" s="110" t="s">
        <v>394</v>
      </c>
      <c r="I63" s="123"/>
      <c r="J63" s="150">
        <f>BS!D$96/100000000</f>
        <v>1099.7406575499999</v>
      </c>
      <c r="K63" s="150">
        <f>BS!H$96/100000000</f>
        <v>4254.2978276599997</v>
      </c>
      <c r="L63" s="150">
        <f>BS!K$96/100000000</f>
        <v>4577.35865233</v>
      </c>
      <c r="M63" s="150">
        <f>BS!O$96/100000000</f>
        <v>5935.2910772300002</v>
      </c>
      <c r="N63" s="150">
        <f>BS!S$96/100000000</f>
        <v>6906.80568881</v>
      </c>
      <c r="O63" s="125">
        <f t="shared" si="47"/>
        <v>7611.50325342</v>
      </c>
      <c r="P63" s="125">
        <f>Z63</f>
        <v>8117.4936839600005</v>
      </c>
      <c r="Q63" s="125">
        <f t="shared" si="48"/>
        <v>18164.449087659999</v>
      </c>
      <c r="R63" s="125">
        <f>AG63</f>
        <v>33719.470408540001</v>
      </c>
      <c r="S63" s="124"/>
      <c r="T63" s="124"/>
      <c r="U63" s="124"/>
      <c r="V63" s="150">
        <f>BS!$W$96/100000000</f>
        <v>7611.50325342</v>
      </c>
      <c r="W63" s="150">
        <f>BS!$X$96/100000000</f>
        <v>8015.6676090600004</v>
      </c>
      <c r="X63" s="150">
        <f>BS!$Y$96/100000000</f>
        <v>8084.99872142</v>
      </c>
      <c r="Y63" s="150">
        <f>BS!$Z$96/100000000</f>
        <v>8196.1584249700009</v>
      </c>
      <c r="Z63" s="150">
        <f>BS!$AA$96/100000000</f>
        <v>8117.4936839600005</v>
      </c>
      <c r="AA63" s="150">
        <f>BS!$AB$96/100000000</f>
        <v>8566.4333017000008</v>
      </c>
      <c r="AB63" s="150">
        <f>BS!$AC$96/100000000</f>
        <v>13004.07023693</v>
      </c>
      <c r="AC63" s="150">
        <f>BS!$AD$96/100000000</f>
        <v>12304.704889099999</v>
      </c>
      <c r="AD63" s="150">
        <f>BS!$AE$96/100000000</f>
        <v>18164.449087659999</v>
      </c>
      <c r="AE63" s="150">
        <f>BS!$AF$96/100000000</f>
        <v>25770.668915269998</v>
      </c>
      <c r="AF63" s="150">
        <f>BS!$AG$96/100000000</f>
        <v>30648.196754199998</v>
      </c>
      <c r="AG63" s="150">
        <f>BS!$AH$96/100000000</f>
        <v>33719.470408540001</v>
      </c>
    </row>
    <row r="64" spans="1:35" s="120" customFormat="1">
      <c r="A64" s="119"/>
      <c r="B64" s="119"/>
      <c r="C64" s="119"/>
      <c r="D64" s="119"/>
      <c r="E64" s="119"/>
      <c r="F64" s="119"/>
      <c r="H64" s="110" t="s">
        <v>250</v>
      </c>
      <c r="I64" s="123"/>
      <c r="J64" s="150">
        <f>BS!D$137/100000000</f>
        <v>11362.955513860001</v>
      </c>
      <c r="K64" s="150">
        <f>BS!H$137/100000000</f>
        <v>14697.519643600001</v>
      </c>
      <c r="L64" s="150">
        <f>BS!K$137/100000000</f>
        <v>14787.290585070001</v>
      </c>
      <c r="M64" s="150">
        <f>BS!O$137/100000000</f>
        <v>13957.09317111</v>
      </c>
      <c r="N64" s="150">
        <f>BS!S$137/100000000</f>
        <v>17554.358424450002</v>
      </c>
      <c r="O64" s="125">
        <f t="shared" si="47"/>
        <v>19972.17555177</v>
      </c>
      <c r="P64" s="125">
        <f>Z64</f>
        <v>33520.247614970001</v>
      </c>
      <c r="Q64" s="125">
        <f t="shared" si="48"/>
        <v>39926.181118230001</v>
      </c>
      <c r="R64" s="125">
        <f>AG64</f>
        <v>45222.263071120004</v>
      </c>
      <c r="S64" s="124"/>
      <c r="T64" s="124"/>
      <c r="U64" s="124"/>
      <c r="V64" s="150">
        <f>BS!$W$137/100000000</f>
        <v>19972.17555177</v>
      </c>
      <c r="W64" s="150">
        <f>BS!$X$137/100000000</f>
        <v>22741.812711070001</v>
      </c>
      <c r="X64" s="150">
        <f>BS!$Y$137/100000000</f>
        <v>29608.824615699999</v>
      </c>
      <c r="Y64" s="150">
        <f>BS!$Z$137/100000000</f>
        <v>28188.036118929998</v>
      </c>
      <c r="Z64" s="150">
        <f>BS!$AA$137/100000000</f>
        <v>33520.247614970001</v>
      </c>
      <c r="AA64" s="150">
        <f>BS!$AB$137/100000000</f>
        <v>40094.594443820002</v>
      </c>
      <c r="AB64" s="150">
        <f>BS!$AC$137/100000000</f>
        <v>42127.566268280003</v>
      </c>
      <c r="AC64" s="150">
        <f>BS!$AD$137/100000000</f>
        <v>40660.459973509998</v>
      </c>
      <c r="AD64" s="150">
        <f>BS!$AE$137/100000000</f>
        <v>39926.181118230001</v>
      </c>
      <c r="AE64" s="150">
        <f>BS!$AF$137/100000000</f>
        <v>47081.08111087</v>
      </c>
      <c r="AF64" s="150">
        <f>BS!$AG$137/100000000</f>
        <v>44418.965668340003</v>
      </c>
      <c r="AG64" s="150">
        <f>BS!$AH$137/100000000</f>
        <v>45222.263071120004</v>
      </c>
      <c r="AI64" s="1211" t="s">
        <v>1709</v>
      </c>
    </row>
    <row r="65" spans="2:33">
      <c r="B65" s="119"/>
      <c r="C65" s="119"/>
      <c r="D65" s="119"/>
      <c r="E65" s="119"/>
      <c r="F65" s="119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62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</row>
    <row r="66" spans="2:33">
      <c r="B66" s="119"/>
      <c r="C66" s="119"/>
      <c r="D66" s="119"/>
      <c r="E66" s="119"/>
      <c r="F66" s="119"/>
      <c r="H66" s="110" t="s">
        <v>508</v>
      </c>
      <c r="I66" s="124"/>
      <c r="J66" s="150">
        <f>BS!D19/100000000</f>
        <v>666.64128778999998</v>
      </c>
      <c r="K66" s="150">
        <f>BS!H19/100000000</f>
        <v>510.94093144999999</v>
      </c>
      <c r="L66" s="150">
        <f>BS!K19/100000000</f>
        <v>3057.5530965600001</v>
      </c>
      <c r="M66" s="150">
        <f>BS!O19/100000000</f>
        <v>1576.0755837500001</v>
      </c>
      <c r="N66" s="150">
        <f>BS!S19/100000000</f>
        <v>4314.93205674</v>
      </c>
      <c r="O66" s="125">
        <f t="shared" ref="O66:O69" si="52">V66</f>
        <v>8202.9710002200009</v>
      </c>
      <c r="P66" s="125">
        <f>Z66</f>
        <v>6756.2453954499997</v>
      </c>
      <c r="Q66" s="125">
        <f t="shared" ref="Q66:Q69" si="53">AD66</f>
        <v>7881.87205206</v>
      </c>
      <c r="R66" s="125">
        <f>AG66</f>
        <v>7137.3195511699996</v>
      </c>
      <c r="S66" s="124"/>
      <c r="T66" s="124"/>
      <c r="U66" s="124"/>
      <c r="V66" s="150">
        <f>BS!$W19/100000000</f>
        <v>8202.9710002200009</v>
      </c>
      <c r="W66" s="150">
        <f>BS!$X19/100000000</f>
        <v>7651.2923486999998</v>
      </c>
      <c r="X66" s="150">
        <f>BS!$Y19/100000000</f>
        <v>7894.4895165300004</v>
      </c>
      <c r="Y66" s="150">
        <f>BS!$Z19/100000000</f>
        <v>6158.8416289200004</v>
      </c>
      <c r="Z66" s="150">
        <f>BS!$AA19/100000000</f>
        <v>6756.2453954499997</v>
      </c>
      <c r="AA66" s="150">
        <f>BS!$AB19/100000000</f>
        <v>3771.19500328</v>
      </c>
      <c r="AB66" s="150">
        <f>BS!$AC19/100000000</f>
        <v>7879.0199649100005</v>
      </c>
      <c r="AC66" s="150">
        <f>BS!$AD19/100000000</f>
        <v>10441.54816588</v>
      </c>
      <c r="AD66" s="150">
        <f>BS!$AE19/100000000</f>
        <v>7881.87205206</v>
      </c>
      <c r="AE66" s="150">
        <f>BS!$AF19/100000000</f>
        <v>7926.9913980299998</v>
      </c>
      <c r="AF66" s="150">
        <f>BS!$AG19/100000000</f>
        <v>7087.0751153199999</v>
      </c>
      <c r="AG66" s="150">
        <f>BS!$AH19/100000000</f>
        <v>7137.3195511699996</v>
      </c>
    </row>
    <row r="67" spans="2:33">
      <c r="B67" s="119"/>
      <c r="C67" s="119"/>
      <c r="D67" s="119"/>
      <c r="E67" s="119"/>
      <c r="F67" s="119"/>
      <c r="H67" s="110" t="s">
        <v>510</v>
      </c>
      <c r="I67" s="124"/>
      <c r="J67" s="162">
        <f>BS!D148/100000000-BS!D172/100000000</f>
        <v>0</v>
      </c>
      <c r="K67" s="162">
        <f>BS!H148/100000000-BS!H172/100000000</f>
        <v>0</v>
      </c>
      <c r="L67" s="162">
        <f>BS!K148/100000000-BS!K172/100000000</f>
        <v>0</v>
      </c>
      <c r="M67" s="162">
        <f>BS!O148/100000000-BS!O172/100000000</f>
        <v>0</v>
      </c>
      <c r="N67" s="162">
        <f>BS!S148/100000000-BS!S172/100000000</f>
        <v>0</v>
      </c>
      <c r="O67" s="125">
        <f t="shared" si="52"/>
        <v>0</v>
      </c>
      <c r="P67" s="125">
        <f>Z67</f>
        <v>0</v>
      </c>
      <c r="Q67" s="125">
        <f t="shared" si="53"/>
        <v>0</v>
      </c>
      <c r="R67" s="125">
        <f>AG67</f>
        <v>0</v>
      </c>
      <c r="S67" s="124"/>
      <c r="T67" s="124"/>
      <c r="U67" s="124"/>
      <c r="V67" s="162">
        <f>BS!$W148/100000000-BS!$W172/100000000</f>
        <v>0</v>
      </c>
      <c r="W67" s="162">
        <f>BS!$X148/100000000-BS!$X172/100000000</f>
        <v>0</v>
      </c>
      <c r="X67" s="162">
        <f>BS!$Y148/100000000-BS!$Y172/100000000</f>
        <v>0</v>
      </c>
      <c r="Y67" s="162">
        <f>BS!$Z148/100000000-BS!$Z172/100000000</f>
        <v>0</v>
      </c>
      <c r="Z67" s="162">
        <f>BS!$AA148/100000000-BS!$AA172/100000000</f>
        <v>0</v>
      </c>
      <c r="AA67" s="162">
        <f>BS!$AB148/100000000-BS!$AB172/100000000</f>
        <v>0</v>
      </c>
      <c r="AB67" s="162">
        <f>BS!$AC148/100000000-BS!$AC172/100000000</f>
        <v>0</v>
      </c>
      <c r="AC67" s="162">
        <f>BS!$AD148/100000000-BS!$AD172/100000000</f>
        <v>0</v>
      </c>
      <c r="AD67" s="162">
        <f>BS!$AE148/100000000-BS!$AE172/100000000</f>
        <v>0</v>
      </c>
      <c r="AE67" s="162">
        <f>BS!$AF148/100000000-BS!$AF172/100000000</f>
        <v>0</v>
      </c>
      <c r="AF67" s="162">
        <f>BS!$AG148/100000000-BS!$AG172/100000000</f>
        <v>0</v>
      </c>
      <c r="AG67" s="162">
        <f>BS!$AH148/100000000-BS!$AH172/100000000</f>
        <v>0</v>
      </c>
    </row>
    <row r="68" spans="2:33">
      <c r="B68" s="119"/>
      <c r="C68" s="119"/>
      <c r="D68" s="119"/>
      <c r="E68" s="119"/>
      <c r="F68" s="119"/>
      <c r="H68" s="110" t="s">
        <v>509</v>
      </c>
      <c r="I68" s="124"/>
      <c r="J68" s="150">
        <f>BS!D172/100000000</f>
        <v>0</v>
      </c>
      <c r="K68" s="150">
        <f>BS!H172/100000000</f>
        <v>0</v>
      </c>
      <c r="L68" s="150">
        <f>BS!K172/100000000</f>
        <v>0</v>
      </c>
      <c r="M68" s="150">
        <f>BS!O172/100000000</f>
        <v>0</v>
      </c>
      <c r="N68" s="150">
        <f>BS!S172/100000000</f>
        <v>0</v>
      </c>
      <c r="O68" s="125">
        <f t="shared" si="52"/>
        <v>0</v>
      </c>
      <c r="P68" s="125">
        <f>Z68</f>
        <v>0</v>
      </c>
      <c r="Q68" s="125">
        <f t="shared" si="53"/>
        <v>0</v>
      </c>
      <c r="R68" s="125">
        <f>AG68</f>
        <v>0</v>
      </c>
      <c r="S68" s="124"/>
      <c r="T68" s="124"/>
      <c r="U68" s="124"/>
      <c r="V68" s="150">
        <f>BS!$W172/100000000</f>
        <v>0</v>
      </c>
      <c r="W68" s="150">
        <f>BS!$X172/100000000</f>
        <v>0</v>
      </c>
      <c r="X68" s="150">
        <f>BS!$Y172/100000000</f>
        <v>0</v>
      </c>
      <c r="Y68" s="150">
        <f>BS!$Z172/100000000</f>
        <v>0</v>
      </c>
      <c r="Z68" s="150">
        <f>BS!$AA172/100000000</f>
        <v>0</v>
      </c>
      <c r="AA68" s="150">
        <f>BS!$AB172/100000000</f>
        <v>0</v>
      </c>
      <c r="AB68" s="150">
        <f>BS!$AC172/100000000</f>
        <v>0</v>
      </c>
      <c r="AC68" s="150">
        <f>BS!$AD172/100000000</f>
        <v>0</v>
      </c>
      <c r="AD68" s="150">
        <f>BS!$AE172/100000000</f>
        <v>0</v>
      </c>
      <c r="AE68" s="150">
        <f>BS!$AF172/100000000</f>
        <v>0</v>
      </c>
      <c r="AF68" s="150">
        <f>BS!$AG172/100000000</f>
        <v>0</v>
      </c>
      <c r="AG68" s="150">
        <f>BS!$AH172/100000000</f>
        <v>0</v>
      </c>
    </row>
    <row r="69" spans="2:33">
      <c r="B69" s="119"/>
      <c r="C69" s="119"/>
      <c r="D69" s="119"/>
      <c r="E69" s="119"/>
      <c r="F69" s="119"/>
      <c r="H69" s="110" t="s">
        <v>511</v>
      </c>
      <c r="I69" s="124"/>
      <c r="J69" s="162">
        <f t="shared" ref="J69:M69" si="54">J66+J67</f>
        <v>666.64128778999998</v>
      </c>
      <c r="K69" s="162">
        <f t="shared" si="54"/>
        <v>510.94093144999999</v>
      </c>
      <c r="L69" s="162">
        <f t="shared" si="54"/>
        <v>3057.5530965600001</v>
      </c>
      <c r="M69" s="162">
        <f t="shared" si="54"/>
        <v>1576.0755837500001</v>
      </c>
      <c r="N69" s="162">
        <f t="shared" ref="N69" si="55">N66+N67</f>
        <v>4314.93205674</v>
      </c>
      <c r="O69" s="125">
        <f t="shared" si="52"/>
        <v>8202.9710002200009</v>
      </c>
      <c r="P69" s="125">
        <f>Z69</f>
        <v>6756.2453954499997</v>
      </c>
      <c r="Q69" s="125">
        <f t="shared" si="53"/>
        <v>7881.87205206</v>
      </c>
      <c r="R69" s="125">
        <f>AG69</f>
        <v>7137.3195511699996</v>
      </c>
      <c r="S69" s="124"/>
      <c r="T69" s="124"/>
      <c r="U69" s="124"/>
      <c r="V69" s="162">
        <f t="shared" ref="V69:AC69" si="56">V66+V67</f>
        <v>8202.9710002200009</v>
      </c>
      <c r="W69" s="162">
        <f t="shared" si="56"/>
        <v>7651.2923486999998</v>
      </c>
      <c r="X69" s="162">
        <f t="shared" si="56"/>
        <v>7894.4895165300004</v>
      </c>
      <c r="Y69" s="162">
        <f t="shared" si="56"/>
        <v>6158.8416289200004</v>
      </c>
      <c r="Z69" s="162">
        <f t="shared" si="56"/>
        <v>6756.2453954499997</v>
      </c>
      <c r="AA69" s="162">
        <f t="shared" si="56"/>
        <v>3771.19500328</v>
      </c>
      <c r="AB69" s="162">
        <f t="shared" si="56"/>
        <v>7879.0199649100005</v>
      </c>
      <c r="AC69" s="162">
        <f t="shared" si="56"/>
        <v>10441.54816588</v>
      </c>
      <c r="AD69" s="162">
        <f t="shared" ref="AD69:AE69" si="57">AD66+AD67</f>
        <v>7881.87205206</v>
      </c>
      <c r="AE69" s="162">
        <f t="shared" si="57"/>
        <v>7926.9913980299998</v>
      </c>
      <c r="AF69" s="162">
        <f t="shared" ref="AF69:AG69" si="58">AF66+AF67</f>
        <v>7087.0751153199999</v>
      </c>
      <c r="AG69" s="162">
        <f t="shared" si="58"/>
        <v>7137.3195511699996</v>
      </c>
    </row>
    <row r="70" spans="2:33"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62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</row>
    <row r="71" spans="2:33">
      <c r="B71" s="119"/>
      <c r="C71" s="119"/>
      <c r="D71" s="119"/>
      <c r="E71" s="119"/>
      <c r="F71" s="119"/>
      <c r="H71" s="110" t="s">
        <v>500</v>
      </c>
      <c r="I71" s="124"/>
      <c r="J71" s="162">
        <f t="shared" ref="J71:M71" si="59">J72+J73+J74+J75+J76+J77+J78+J79+J80+J81</f>
        <v>96.166003649999993</v>
      </c>
      <c r="K71" s="162">
        <f t="shared" si="59"/>
        <v>182.46993633</v>
      </c>
      <c r="L71" s="162">
        <f t="shared" si="59"/>
        <v>1182.2265464899999</v>
      </c>
      <c r="M71" s="162">
        <f t="shared" si="59"/>
        <v>2340.2251491799998</v>
      </c>
      <c r="N71" s="162">
        <f t="shared" ref="N71" si="60">N72+N73+N74+N75+N76+N77+N78+N79+N80+N81</f>
        <v>2701.3804724899996</v>
      </c>
      <c r="O71" s="125">
        <f t="shared" ref="O71:O82" si="61">V71</f>
        <v>3243.6524765500003</v>
      </c>
      <c r="P71" s="125">
        <f t="shared" ref="P71:P82" si="62">Z71</f>
        <v>9580.1813765299994</v>
      </c>
      <c r="Q71" s="125">
        <f t="shared" ref="Q71:Q82" si="63">AD71</f>
        <v>17409.704401030001</v>
      </c>
      <c r="R71" s="125">
        <f t="shared" ref="R71:R82" si="64">AG71</f>
        <v>19304.32638237</v>
      </c>
      <c r="S71" s="124"/>
      <c r="T71" s="124"/>
      <c r="U71" s="124"/>
      <c r="V71" s="162">
        <f t="shared" ref="V71:AC71" si="65">V72+V73+V74+V75+V76+V77+V78+V79+V80+V81</f>
        <v>3243.6524765500003</v>
      </c>
      <c r="W71" s="162">
        <f t="shared" si="65"/>
        <v>4187.7223116100004</v>
      </c>
      <c r="X71" s="162">
        <f t="shared" si="65"/>
        <v>8045.4608327599999</v>
      </c>
      <c r="Y71" s="162">
        <f t="shared" si="65"/>
        <v>6970.745021069999</v>
      </c>
      <c r="Z71" s="162">
        <f t="shared" si="65"/>
        <v>9580.1813765299994</v>
      </c>
      <c r="AA71" s="162">
        <f t="shared" si="65"/>
        <v>13615.591603229999</v>
      </c>
      <c r="AB71" s="162">
        <f t="shared" si="65"/>
        <v>15165.57732258</v>
      </c>
      <c r="AC71" s="162">
        <f t="shared" si="65"/>
        <v>13889.66792011</v>
      </c>
      <c r="AD71" s="162">
        <f t="shared" ref="AD71:AE71" si="66">AD72+AD73+AD74+AD75+AD76+AD77+AD78+AD79+AD80+AD81</f>
        <v>17409.704401030001</v>
      </c>
      <c r="AE71" s="162">
        <f t="shared" si="66"/>
        <v>21023.947775839999</v>
      </c>
      <c r="AF71" s="162">
        <f t="shared" ref="AF71:AG71" si="67">AF72+AF73+AF74+AF75+AF76+AF77+AF78+AF79+AF80+AF81</f>
        <v>17506.30787619</v>
      </c>
      <c r="AG71" s="162">
        <f t="shared" si="67"/>
        <v>19304.32638237</v>
      </c>
    </row>
    <row r="72" spans="2:33">
      <c r="B72" s="119"/>
      <c r="C72" s="119"/>
      <c r="D72" s="119"/>
      <c r="E72" s="119"/>
      <c r="F72" s="119"/>
      <c r="H72" s="110" t="s">
        <v>137</v>
      </c>
      <c r="I72" s="124"/>
      <c r="J72" s="150">
        <f>BS!D149/100000000</f>
        <v>21.901925439999999</v>
      </c>
      <c r="K72" s="150">
        <f>BS!H149/100000000</f>
        <v>18.191175940000001</v>
      </c>
      <c r="L72" s="150">
        <f>BS!K149/100000000</f>
        <v>15.47659282</v>
      </c>
      <c r="M72" s="150">
        <f>BS!O149/100000000</f>
        <v>13.20275219</v>
      </c>
      <c r="N72" s="150">
        <f>BS!S149/100000000</f>
        <v>9.4440787499999992</v>
      </c>
      <c r="O72" s="125">
        <f t="shared" si="61"/>
        <v>428.07774869999997</v>
      </c>
      <c r="P72" s="125">
        <f t="shared" si="62"/>
        <v>3.3838030099999998</v>
      </c>
      <c r="Q72" s="125">
        <f t="shared" si="63"/>
        <v>2.0490361300000002</v>
      </c>
      <c r="R72" s="125">
        <f t="shared" si="64"/>
        <v>1.50904112</v>
      </c>
      <c r="S72" s="124"/>
      <c r="T72" s="124"/>
      <c r="U72" s="124"/>
      <c r="V72" s="150">
        <f>BS!$W149/100000000</f>
        <v>428.07774869999997</v>
      </c>
      <c r="W72" s="150">
        <f>BS!$X149/100000000</f>
        <v>395.25971258999999</v>
      </c>
      <c r="X72" s="150">
        <f>BS!$Y149/100000000</f>
        <v>403.05626087000002</v>
      </c>
      <c r="Y72" s="150">
        <f>BS!$Z149/100000000</f>
        <v>404.96003194000002</v>
      </c>
      <c r="Z72" s="150">
        <f>BS!$AA149/100000000</f>
        <v>3.3838030099999998</v>
      </c>
      <c r="AA72" s="150">
        <f>BS!$AB149/100000000</f>
        <v>3.1021958399999998</v>
      </c>
      <c r="AB72" s="150">
        <f>BS!$AC149/100000000</f>
        <v>2.8622537299999999</v>
      </c>
      <c r="AC72" s="150">
        <f>BS!$AD149/100000000</f>
        <v>2.3028670899999999</v>
      </c>
      <c r="AD72" s="150">
        <f>BS!$AE149/100000000</f>
        <v>2.0490361300000002</v>
      </c>
      <c r="AE72" s="150">
        <f>BS!$AF149/100000000</f>
        <v>1.8535383400000001</v>
      </c>
      <c r="AF72" s="150">
        <f>BS!$AG149/100000000</f>
        <v>1.6709162500000001</v>
      </c>
      <c r="AG72" s="150">
        <f>BS!$AH149/100000000</f>
        <v>1.50904112</v>
      </c>
    </row>
    <row r="73" spans="2:33">
      <c r="B73" s="119"/>
      <c r="C73" s="119"/>
      <c r="D73" s="119"/>
      <c r="E73" s="119"/>
      <c r="F73" s="119"/>
      <c r="H73" s="110" t="s">
        <v>499</v>
      </c>
      <c r="I73" s="124"/>
      <c r="J73" s="150">
        <f>BS!D153/100000000</f>
        <v>0</v>
      </c>
      <c r="K73" s="150">
        <f>BS!H153/100000000</f>
        <v>0</v>
      </c>
      <c r="L73" s="150">
        <f>BS!K153/100000000</f>
        <v>894.58333332999996</v>
      </c>
      <c r="M73" s="150">
        <f>BS!O153/100000000</f>
        <v>2077.9268023099999</v>
      </c>
      <c r="N73" s="150">
        <f>BS!S153/100000000</f>
        <v>2574.23691822</v>
      </c>
      <c r="O73" s="125">
        <f t="shared" si="61"/>
        <v>2694.8872352100002</v>
      </c>
      <c r="P73" s="125">
        <f t="shared" si="62"/>
        <v>7458.2436587000002</v>
      </c>
      <c r="Q73" s="125">
        <f t="shared" si="63"/>
        <v>12483.53078592</v>
      </c>
      <c r="R73" s="125">
        <f t="shared" si="64"/>
        <v>17377.754000500001</v>
      </c>
      <c r="S73" s="124"/>
      <c r="T73" s="124"/>
      <c r="U73" s="124"/>
      <c r="V73" s="150">
        <f>BS!$W153/100000000</f>
        <v>2694.8872352100002</v>
      </c>
      <c r="W73" s="150">
        <f>BS!$X153/100000000</f>
        <v>3683.06624186</v>
      </c>
      <c r="X73" s="150">
        <f>BS!$Y153/100000000</f>
        <v>7533.0823070699998</v>
      </c>
      <c r="Y73" s="150">
        <f>BS!$Z153/100000000</f>
        <v>6456.0236803099997</v>
      </c>
      <c r="Z73" s="150">
        <f>BS!$AA153/100000000</f>
        <v>7458.2436587000002</v>
      </c>
      <c r="AA73" s="150">
        <f>BS!$AB153/100000000</f>
        <v>7344.9566747299996</v>
      </c>
      <c r="AB73" s="150">
        <f>BS!$AC153/100000000</f>
        <v>9246.7660695800005</v>
      </c>
      <c r="AC73" s="150">
        <f>BS!$AD153/100000000</f>
        <v>7866.4450537499997</v>
      </c>
      <c r="AD73" s="150">
        <f>BS!$AE153/100000000</f>
        <v>12483.53078592</v>
      </c>
      <c r="AE73" s="150">
        <f>BS!$AF153/100000000</f>
        <v>16065.169716439999</v>
      </c>
      <c r="AF73" s="150">
        <f>BS!$AG153/100000000</f>
        <v>14978.76549788</v>
      </c>
      <c r="AG73" s="150">
        <f>BS!$AH153/100000000</f>
        <v>17377.754000500001</v>
      </c>
    </row>
    <row r="74" spans="2:33">
      <c r="B74" s="119"/>
      <c r="C74" s="119"/>
      <c r="D74" s="119"/>
      <c r="E74" s="119"/>
      <c r="F74" s="119"/>
      <c r="H74" s="110" t="s">
        <v>138</v>
      </c>
      <c r="I74" s="124"/>
      <c r="J74" s="150">
        <f>BS!D154/100000000</f>
        <v>0</v>
      </c>
      <c r="K74" s="150">
        <f>BS!H154/100000000</f>
        <v>0</v>
      </c>
      <c r="L74" s="150">
        <f>BS!K154/100000000</f>
        <v>0</v>
      </c>
      <c r="M74" s="150">
        <f>BS!O154/100000000</f>
        <v>0</v>
      </c>
      <c r="N74" s="150">
        <f>BS!S154/100000000</f>
        <v>0</v>
      </c>
      <c r="O74" s="125">
        <f t="shared" si="61"/>
        <v>0</v>
      </c>
      <c r="P74" s="125">
        <f t="shared" si="62"/>
        <v>0</v>
      </c>
      <c r="Q74" s="125">
        <f t="shared" si="63"/>
        <v>0</v>
      </c>
      <c r="R74" s="125">
        <f t="shared" si="64"/>
        <v>0</v>
      </c>
      <c r="S74" s="124"/>
      <c r="T74" s="124"/>
      <c r="U74" s="124"/>
      <c r="V74" s="150">
        <f>BS!$W154/100000000</f>
        <v>0</v>
      </c>
      <c r="W74" s="150">
        <f>BS!$X154/100000000</f>
        <v>0</v>
      </c>
      <c r="X74" s="150">
        <f>BS!$Y154/100000000</f>
        <v>0</v>
      </c>
      <c r="Y74" s="150">
        <f>BS!$Z154/100000000</f>
        <v>0</v>
      </c>
      <c r="Z74" s="150">
        <f>BS!$AA154/100000000</f>
        <v>0</v>
      </c>
      <c r="AA74" s="150">
        <f>BS!$AB154/100000000</f>
        <v>0</v>
      </c>
      <c r="AB74" s="150">
        <f>BS!$AC154/100000000</f>
        <v>0</v>
      </c>
      <c r="AC74" s="150">
        <f>BS!$AD154/100000000</f>
        <v>0</v>
      </c>
      <c r="AD74" s="150">
        <f>BS!$AE154/100000000</f>
        <v>0</v>
      </c>
      <c r="AE74" s="150">
        <f>BS!$AF154/100000000</f>
        <v>0</v>
      </c>
      <c r="AF74" s="150">
        <f>BS!$AG154/100000000</f>
        <v>0</v>
      </c>
      <c r="AG74" s="150">
        <f>BS!$AH154/100000000</f>
        <v>0</v>
      </c>
    </row>
    <row r="75" spans="2:33">
      <c r="B75" s="119"/>
      <c r="C75" s="119"/>
      <c r="D75" s="119"/>
      <c r="E75" s="119"/>
      <c r="F75" s="119"/>
      <c r="H75" s="110" t="s">
        <v>139</v>
      </c>
      <c r="I75" s="124"/>
      <c r="J75" s="150">
        <f>BS!D155/100000000</f>
        <v>0</v>
      </c>
      <c r="K75" s="150">
        <f>BS!H155/100000000</f>
        <v>0</v>
      </c>
      <c r="L75" s="150">
        <f>BS!K155/100000000</f>
        <v>0</v>
      </c>
      <c r="M75" s="150">
        <f>BS!O155/100000000</f>
        <v>0</v>
      </c>
      <c r="N75" s="150">
        <f>BS!S155/100000000</f>
        <v>0</v>
      </c>
      <c r="O75" s="125">
        <f t="shared" si="61"/>
        <v>0</v>
      </c>
      <c r="P75" s="125">
        <f t="shared" si="62"/>
        <v>0</v>
      </c>
      <c r="Q75" s="125">
        <f t="shared" si="63"/>
        <v>0</v>
      </c>
      <c r="R75" s="125">
        <f t="shared" si="64"/>
        <v>0</v>
      </c>
      <c r="S75" s="124"/>
      <c r="T75" s="124"/>
      <c r="U75" s="124"/>
      <c r="V75" s="150">
        <f>BS!$W155/100000000</f>
        <v>0</v>
      </c>
      <c r="W75" s="150">
        <f>BS!$X155/100000000</f>
        <v>0</v>
      </c>
      <c r="X75" s="150">
        <f>BS!$Y155/100000000</f>
        <v>0</v>
      </c>
      <c r="Y75" s="150">
        <f>BS!$Z155/100000000</f>
        <v>0</v>
      </c>
      <c r="Z75" s="150">
        <f>BS!$AA155/100000000</f>
        <v>0</v>
      </c>
      <c r="AA75" s="150">
        <f>BS!$AB155/100000000</f>
        <v>0</v>
      </c>
      <c r="AB75" s="150">
        <f>BS!$AC155/100000000</f>
        <v>0</v>
      </c>
      <c r="AC75" s="150">
        <f>BS!$AD155/100000000</f>
        <v>0</v>
      </c>
      <c r="AD75" s="150">
        <f>BS!$AE155/100000000</f>
        <v>0</v>
      </c>
      <c r="AE75" s="150">
        <f>BS!$AF155/100000000</f>
        <v>0</v>
      </c>
      <c r="AF75" s="150">
        <f>BS!$AG155/100000000</f>
        <v>0</v>
      </c>
      <c r="AG75" s="150">
        <f>BS!$AH155/100000000</f>
        <v>0</v>
      </c>
    </row>
    <row r="76" spans="2:33">
      <c r="B76" s="119"/>
      <c r="C76" s="119"/>
      <c r="D76" s="119"/>
      <c r="E76" s="119"/>
      <c r="F76" s="119"/>
      <c r="H76" s="110" t="s">
        <v>140</v>
      </c>
      <c r="I76" s="124"/>
      <c r="J76" s="150">
        <f>BS!D157/100000000</f>
        <v>44.264078210000001</v>
      </c>
      <c r="K76" s="150">
        <f>BS!H157/100000000</f>
        <v>50.22799448</v>
      </c>
      <c r="L76" s="150">
        <f>BS!K157/100000000</f>
        <v>67.166620339999994</v>
      </c>
      <c r="M76" s="150">
        <f>BS!O157/100000000</f>
        <v>104.09559468</v>
      </c>
      <c r="N76" s="150">
        <f>BS!S157/100000000</f>
        <v>117.69947551999999</v>
      </c>
      <c r="O76" s="125">
        <f t="shared" si="61"/>
        <v>120.68749264</v>
      </c>
      <c r="P76" s="125">
        <f t="shared" si="62"/>
        <v>108.55391482</v>
      </c>
      <c r="Q76" s="125">
        <f t="shared" si="63"/>
        <v>107.52457898</v>
      </c>
      <c r="R76" s="125">
        <f t="shared" si="64"/>
        <v>101.46334075</v>
      </c>
      <c r="S76" s="124"/>
      <c r="T76" s="124"/>
      <c r="U76" s="124"/>
      <c r="V76" s="150">
        <f>BS!$W157/100000000</f>
        <v>120.68749264</v>
      </c>
      <c r="W76" s="150">
        <f>BS!$X157/100000000</f>
        <v>109.39635715999999</v>
      </c>
      <c r="X76" s="150">
        <f>BS!$Y157/100000000</f>
        <v>109.32226482</v>
      </c>
      <c r="Y76" s="150">
        <f>BS!$Z157/100000000</f>
        <v>109.76130882</v>
      </c>
      <c r="Z76" s="150">
        <f>BS!$AA157/100000000</f>
        <v>108.55391482</v>
      </c>
      <c r="AA76" s="150">
        <f>BS!$AB157/100000000</f>
        <v>109.53273265999999</v>
      </c>
      <c r="AB76" s="150">
        <f>BS!$AC157/100000000</f>
        <v>107.94899927</v>
      </c>
      <c r="AC76" s="150">
        <f>BS!$AD157/100000000</f>
        <v>107.91999927000001</v>
      </c>
      <c r="AD76" s="150">
        <f>BS!$AE157/100000000</f>
        <v>107.52457898</v>
      </c>
      <c r="AE76" s="150">
        <f>BS!$AF157/100000000</f>
        <v>125.32452106</v>
      </c>
      <c r="AF76" s="150">
        <f>BS!$AG157/100000000</f>
        <v>102.27146206</v>
      </c>
      <c r="AG76" s="150">
        <f>BS!$AH157/100000000</f>
        <v>101.46334075</v>
      </c>
    </row>
    <row r="77" spans="2:33">
      <c r="B77" s="119"/>
      <c r="C77" s="119"/>
      <c r="D77" s="119"/>
      <c r="E77" s="119"/>
      <c r="F77" s="119"/>
      <c r="H77" s="110" t="s">
        <v>141</v>
      </c>
      <c r="I77" s="124"/>
      <c r="J77" s="150">
        <f>BS!D163/100000000</f>
        <v>0</v>
      </c>
      <c r="K77" s="150">
        <f>BS!H163/100000000</f>
        <v>11.289045590000001</v>
      </c>
      <c r="L77" s="150">
        <f>BS!K163/100000000</f>
        <v>0</v>
      </c>
      <c r="M77" s="150">
        <f>BS!O163/100000000</f>
        <v>0</v>
      </c>
      <c r="N77" s="150">
        <f>BS!S163/100000000</f>
        <v>0</v>
      </c>
      <c r="O77" s="125">
        <f t="shared" si="61"/>
        <v>0</v>
      </c>
      <c r="P77" s="125">
        <f t="shared" si="62"/>
        <v>0</v>
      </c>
      <c r="Q77" s="125">
        <f t="shared" si="63"/>
        <v>0</v>
      </c>
      <c r="R77" s="125">
        <f t="shared" si="64"/>
        <v>0</v>
      </c>
      <c r="S77" s="124"/>
      <c r="T77" s="124"/>
      <c r="U77" s="124"/>
      <c r="V77" s="150">
        <f>BS!$W163/100000000</f>
        <v>0</v>
      </c>
      <c r="W77" s="150">
        <f>BS!$X163/100000000</f>
        <v>0</v>
      </c>
      <c r="X77" s="150">
        <f>BS!$Y163/100000000</f>
        <v>0</v>
      </c>
      <c r="Y77" s="150">
        <f>BS!$Z163/100000000</f>
        <v>0</v>
      </c>
      <c r="Z77" s="150">
        <f>BS!$AA163/100000000</f>
        <v>0</v>
      </c>
      <c r="AA77" s="150">
        <f>BS!$AB163/100000000</f>
        <v>0</v>
      </c>
      <c r="AB77" s="150">
        <f>BS!$AC163/100000000</f>
        <v>0</v>
      </c>
      <c r="AC77" s="150">
        <f>BS!$AD163/100000000</f>
        <v>0</v>
      </c>
      <c r="AD77" s="150">
        <f>BS!$AE163/100000000</f>
        <v>0</v>
      </c>
      <c r="AE77" s="150">
        <f>BS!$AF163/100000000</f>
        <v>0</v>
      </c>
      <c r="AF77" s="150">
        <f>BS!$AG163/100000000</f>
        <v>0</v>
      </c>
      <c r="AG77" s="150">
        <f>BS!$AH163/100000000</f>
        <v>0</v>
      </c>
    </row>
    <row r="78" spans="2:33">
      <c r="B78" s="119"/>
      <c r="C78" s="119"/>
      <c r="D78" s="119"/>
      <c r="E78" s="119"/>
      <c r="F78" s="119"/>
      <c r="H78" s="110" t="s">
        <v>142</v>
      </c>
      <c r="I78" s="124"/>
      <c r="J78" s="150">
        <f>BS!D164/100000000</f>
        <v>0</v>
      </c>
      <c r="K78" s="150">
        <f>BS!H164/100000000</f>
        <v>52.761720320000002</v>
      </c>
      <c r="L78" s="150">
        <f>BS!K164/100000000</f>
        <v>0</v>
      </c>
      <c r="M78" s="150">
        <f>BS!O164/100000000</f>
        <v>0</v>
      </c>
      <c r="N78" s="150">
        <f>BS!S164/100000000</f>
        <v>0</v>
      </c>
      <c r="O78" s="125">
        <f t="shared" si="61"/>
        <v>0</v>
      </c>
      <c r="P78" s="125">
        <f t="shared" si="62"/>
        <v>0</v>
      </c>
      <c r="Q78" s="125">
        <f t="shared" si="63"/>
        <v>0</v>
      </c>
      <c r="R78" s="125">
        <f t="shared" si="64"/>
        <v>0</v>
      </c>
      <c r="S78" s="124"/>
      <c r="T78" s="124"/>
      <c r="U78" s="124"/>
      <c r="V78" s="150">
        <f>BS!$W164/100000000</f>
        <v>0</v>
      </c>
      <c r="W78" s="150">
        <f>BS!$X164/100000000</f>
        <v>0</v>
      </c>
      <c r="X78" s="150">
        <f>BS!$Y164/100000000</f>
        <v>0</v>
      </c>
      <c r="Y78" s="150">
        <f>BS!$Z164/100000000</f>
        <v>0</v>
      </c>
      <c r="Z78" s="150">
        <f>BS!$AA164/100000000</f>
        <v>0</v>
      </c>
      <c r="AA78" s="150">
        <f>BS!$AB164/100000000</f>
        <v>0</v>
      </c>
      <c r="AB78" s="150">
        <f>BS!$AC164/100000000</f>
        <v>0</v>
      </c>
      <c r="AC78" s="150">
        <f>BS!$AD164/100000000</f>
        <v>0</v>
      </c>
      <c r="AD78" s="150">
        <f>BS!$AE164/100000000</f>
        <v>0</v>
      </c>
      <c r="AE78" s="150">
        <f>BS!$AF164/100000000</f>
        <v>0</v>
      </c>
      <c r="AF78" s="150">
        <f>BS!$AG164/100000000</f>
        <v>0</v>
      </c>
      <c r="AG78" s="150">
        <f>BS!$AH164/100000000</f>
        <v>0</v>
      </c>
    </row>
    <row r="79" spans="2:33">
      <c r="B79" s="119"/>
      <c r="C79" s="119"/>
      <c r="D79" s="119"/>
      <c r="E79" s="119"/>
      <c r="F79" s="119"/>
      <c r="H79" s="110" t="s">
        <v>143</v>
      </c>
      <c r="I79" s="124"/>
      <c r="J79" s="150">
        <f>BS!D165/100000000</f>
        <v>30</v>
      </c>
      <c r="K79" s="150">
        <f>BS!H165/100000000</f>
        <v>50</v>
      </c>
      <c r="L79" s="150">
        <f>BS!K165/100000000</f>
        <v>205</v>
      </c>
      <c r="M79" s="150">
        <f>BS!O165/100000000</f>
        <v>145</v>
      </c>
      <c r="N79" s="150">
        <f>BS!S165/100000000</f>
        <v>0</v>
      </c>
      <c r="O79" s="125">
        <f t="shared" si="61"/>
        <v>0</v>
      </c>
      <c r="P79" s="125">
        <f t="shared" si="62"/>
        <v>2010</v>
      </c>
      <c r="Q79" s="125">
        <f t="shared" si="63"/>
        <v>4816.6000000000004</v>
      </c>
      <c r="R79" s="125">
        <f t="shared" si="64"/>
        <v>1823.6</v>
      </c>
      <c r="S79" s="124"/>
      <c r="T79" s="124"/>
      <c r="U79" s="124"/>
      <c r="V79" s="150">
        <f>BS!$W165/100000000</f>
        <v>0</v>
      </c>
      <c r="W79" s="150">
        <f>BS!$X165/100000000</f>
        <v>0</v>
      </c>
      <c r="X79" s="150">
        <f>BS!$Y165/100000000</f>
        <v>0</v>
      </c>
      <c r="Y79" s="150">
        <f>BS!$Z165/100000000</f>
        <v>0</v>
      </c>
      <c r="Z79" s="150">
        <f>BS!$AA165/100000000</f>
        <v>2010</v>
      </c>
      <c r="AA79" s="150">
        <f>BS!$AB165/100000000</f>
        <v>6158</v>
      </c>
      <c r="AB79" s="150">
        <f>BS!$AC165/100000000</f>
        <v>5808</v>
      </c>
      <c r="AC79" s="150">
        <f>BS!$AD165/100000000</f>
        <v>5913</v>
      </c>
      <c r="AD79" s="150">
        <f>BS!$AE165/100000000</f>
        <v>4816.6000000000004</v>
      </c>
      <c r="AE79" s="150">
        <f>BS!$AF165/100000000</f>
        <v>4831.6000000000004</v>
      </c>
      <c r="AF79" s="150">
        <f>BS!$AG165/100000000</f>
        <v>2423.6</v>
      </c>
      <c r="AG79" s="150">
        <f>BS!$AH165/100000000</f>
        <v>1823.6</v>
      </c>
    </row>
    <row r="80" spans="2:33">
      <c r="B80" s="119"/>
      <c r="C80" s="119"/>
      <c r="D80" s="119"/>
      <c r="E80" s="119"/>
      <c r="F80" s="119"/>
      <c r="H80" s="110" t="s">
        <v>144</v>
      </c>
      <c r="I80" s="124"/>
      <c r="J80" s="150">
        <f>BS!D166/100000000</f>
        <v>0</v>
      </c>
      <c r="K80" s="150">
        <f>BS!H166/100000000</f>
        <v>0</v>
      </c>
      <c r="L80" s="150">
        <f>BS!K166/100000000</f>
        <v>0</v>
      </c>
      <c r="M80" s="150">
        <f>BS!O166/100000000</f>
        <v>0</v>
      </c>
      <c r="N80" s="150">
        <f>BS!S166/100000000</f>
        <v>0</v>
      </c>
      <c r="O80" s="125">
        <f t="shared" si="61"/>
        <v>0</v>
      </c>
      <c r="P80" s="125">
        <f t="shared" si="62"/>
        <v>0</v>
      </c>
      <c r="Q80" s="125">
        <f t="shared" si="63"/>
        <v>0</v>
      </c>
      <c r="R80" s="125">
        <f t="shared" si="64"/>
        <v>0</v>
      </c>
      <c r="S80" s="124"/>
      <c r="T80" s="124"/>
      <c r="U80" s="124"/>
      <c r="V80" s="150">
        <f>BS!$W166/100000000</f>
        <v>0</v>
      </c>
      <c r="W80" s="150">
        <f>BS!$X166/100000000</f>
        <v>0</v>
      </c>
      <c r="X80" s="150">
        <f>BS!$Y166/100000000</f>
        <v>0</v>
      </c>
      <c r="Y80" s="150">
        <f>BS!$Z166/100000000</f>
        <v>0</v>
      </c>
      <c r="Z80" s="150">
        <f>BS!$AA166/100000000</f>
        <v>0</v>
      </c>
      <c r="AA80" s="150">
        <f>BS!$AB166/100000000</f>
        <v>0</v>
      </c>
      <c r="AB80" s="150">
        <f>BS!$AC166/100000000</f>
        <v>0</v>
      </c>
      <c r="AC80" s="150">
        <f>BS!$AD166/100000000</f>
        <v>0</v>
      </c>
      <c r="AD80" s="150">
        <f>BS!$AE166/100000000</f>
        <v>0</v>
      </c>
      <c r="AE80" s="150">
        <f>BS!$AF166/100000000</f>
        <v>0</v>
      </c>
      <c r="AF80" s="150">
        <f>BS!$AG166/100000000</f>
        <v>0</v>
      </c>
      <c r="AG80" s="150">
        <f>BS!$AH166/100000000</f>
        <v>0</v>
      </c>
    </row>
    <row r="81" spans="2:33">
      <c r="B81" s="119"/>
      <c r="C81" s="119"/>
      <c r="D81" s="119"/>
      <c r="E81" s="119"/>
      <c r="F81" s="119"/>
      <c r="H81" s="110" t="s">
        <v>145</v>
      </c>
      <c r="I81" s="124"/>
      <c r="J81" s="150">
        <f>BS!D167/100000000</f>
        <v>0</v>
      </c>
      <c r="K81" s="150">
        <f>BS!H167/100000000</f>
        <v>0</v>
      </c>
      <c r="L81" s="150">
        <f>BS!K167/100000000</f>
        <v>0</v>
      </c>
      <c r="M81" s="150">
        <f>BS!O167/100000000</f>
        <v>0</v>
      </c>
      <c r="N81" s="150">
        <f>BS!S167/100000000</f>
        <v>0</v>
      </c>
      <c r="O81" s="125">
        <f t="shared" si="61"/>
        <v>0</v>
      </c>
      <c r="P81" s="125">
        <f t="shared" si="62"/>
        <v>0</v>
      </c>
      <c r="Q81" s="125">
        <f t="shared" si="63"/>
        <v>0</v>
      </c>
      <c r="R81" s="125">
        <f t="shared" si="64"/>
        <v>0</v>
      </c>
      <c r="S81" s="124"/>
      <c r="T81" s="124"/>
      <c r="U81" s="124"/>
      <c r="V81" s="150">
        <f>BS!$W167/100000000</f>
        <v>0</v>
      </c>
      <c r="W81" s="150">
        <f>BS!$X167/100000000</f>
        <v>0</v>
      </c>
      <c r="X81" s="150">
        <f>BS!$Y167/100000000</f>
        <v>0</v>
      </c>
      <c r="Y81" s="150">
        <f>BS!$Z167/100000000</f>
        <v>0</v>
      </c>
      <c r="Z81" s="150">
        <f>BS!$AA167/100000000</f>
        <v>0</v>
      </c>
      <c r="AA81" s="150">
        <f>BS!$AB167/100000000</f>
        <v>0</v>
      </c>
      <c r="AB81" s="150">
        <f>BS!$AC167/100000000</f>
        <v>0</v>
      </c>
      <c r="AC81" s="150">
        <f>BS!$AD167/100000000</f>
        <v>0</v>
      </c>
      <c r="AD81" s="150">
        <f>BS!$AE167/100000000</f>
        <v>0</v>
      </c>
      <c r="AE81" s="150">
        <f>BS!$AF167/100000000</f>
        <v>0</v>
      </c>
      <c r="AF81" s="150">
        <f>BS!$AG167/100000000</f>
        <v>0</v>
      </c>
      <c r="AG81" s="150">
        <f>BS!$AH167/100000000</f>
        <v>0</v>
      </c>
    </row>
    <row r="82" spans="2:33">
      <c r="B82" s="119"/>
      <c r="C82" s="119"/>
      <c r="D82" s="119"/>
      <c r="E82" s="119"/>
      <c r="F82" s="119"/>
      <c r="H82" s="110" t="s">
        <v>146</v>
      </c>
      <c r="I82" s="124"/>
      <c r="J82" s="150">
        <f>BS!D168/100000000</f>
        <v>1838.7682556300001</v>
      </c>
      <c r="K82" s="150">
        <f>BS!H168/100000000</f>
        <v>94.641890180000004</v>
      </c>
      <c r="L82" s="150">
        <f>BS!K168/100000000</f>
        <v>261.46899428</v>
      </c>
      <c r="M82" s="150">
        <f>BS!O168/100000000</f>
        <v>134.5019331</v>
      </c>
      <c r="N82" s="150">
        <f>BS!S168/100000000</f>
        <v>150.87225688000001</v>
      </c>
      <c r="O82" s="125">
        <f t="shared" si="61"/>
        <v>136.78530351000001</v>
      </c>
      <c r="P82" s="125">
        <f t="shared" si="62"/>
        <v>131.55891732000001</v>
      </c>
      <c r="Q82" s="125">
        <f t="shared" si="63"/>
        <v>115.85116579</v>
      </c>
      <c r="R82" s="125">
        <f t="shared" si="64"/>
        <v>115.85116579</v>
      </c>
      <c r="S82" s="124"/>
      <c r="T82" s="124"/>
      <c r="U82" s="124"/>
      <c r="V82" s="150">
        <f>BS!$W168/100000000</f>
        <v>136.78530351000001</v>
      </c>
      <c r="W82" s="150">
        <f>BS!$X168/100000000</f>
        <v>136.78530351000001</v>
      </c>
      <c r="X82" s="150">
        <f>BS!$Y168/100000000</f>
        <v>136.78530351000001</v>
      </c>
      <c r="Y82" s="150">
        <f>BS!$Z168/100000000</f>
        <v>131.55891732000001</v>
      </c>
      <c r="Z82" s="150">
        <f>BS!$AA168/100000000</f>
        <v>131.55891732000001</v>
      </c>
      <c r="AA82" s="150">
        <f>BS!$AB168/100000000</f>
        <v>131.55891617</v>
      </c>
      <c r="AB82" s="150">
        <f>BS!$AC168/100000000</f>
        <v>131.55891617</v>
      </c>
      <c r="AC82" s="150">
        <f>BS!$AD168/100000000</f>
        <v>131.55891617</v>
      </c>
      <c r="AD82" s="150">
        <f>BS!$AE168/100000000</f>
        <v>115.85116579</v>
      </c>
      <c r="AE82" s="150">
        <f>BS!$AF168/100000000</f>
        <v>115.85116579</v>
      </c>
      <c r="AF82" s="150">
        <f>BS!$AG168/100000000</f>
        <v>115.85116579</v>
      </c>
      <c r="AG82" s="150">
        <f>BS!$AH168/100000000</f>
        <v>115.85116579</v>
      </c>
    </row>
    <row r="83" spans="2:33">
      <c r="B83" s="119"/>
      <c r="C83" s="119"/>
      <c r="D83" s="119"/>
      <c r="E83" s="119"/>
      <c r="F83" s="119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</row>
    <row r="84" spans="2:33">
      <c r="B84" s="119"/>
      <c r="C84" s="119"/>
      <c r="D84" s="119"/>
      <c r="E84" s="119"/>
      <c r="F84" s="119"/>
      <c r="H84" s="110" t="s">
        <v>119</v>
      </c>
      <c r="I84" s="124"/>
      <c r="J84" s="150">
        <f>BS!$D$60/100000000</f>
        <v>110664.99736143999</v>
      </c>
      <c r="K84" s="150">
        <f>BS!$H$60/100000000</f>
        <v>138158.16205314</v>
      </c>
      <c r="L84" s="150">
        <f>BS!$K$60/100000000</f>
        <v>141137.38937639</v>
      </c>
      <c r="M84" s="150">
        <f>BS!$O$60/100000000</f>
        <v>151715.90287553999</v>
      </c>
      <c r="N84" s="150">
        <f>BS!$S$60/100000000</f>
        <v>181381.28420828999</v>
      </c>
      <c r="O84" s="125">
        <f t="shared" ref="O84:O90" si="68">V84</f>
        <v>214897.04632433</v>
      </c>
      <c r="P84" s="125">
        <f>Z84</f>
        <v>258551.74957541001</v>
      </c>
      <c r="Q84" s="125">
        <f t="shared" ref="Q84:Q90" si="69">AD84</f>
        <v>296182.67243576999</v>
      </c>
      <c r="R84" s="125">
        <f t="shared" ref="R84:R90" si="70">AG84</f>
        <v>323145.73965358001</v>
      </c>
      <c r="S84" s="124"/>
      <c r="T84" s="124"/>
      <c r="U84" s="124"/>
      <c r="V84" s="150">
        <f>BS!$W$60/100000000</f>
        <v>214897.04632433</v>
      </c>
      <c r="W84" s="150">
        <f>BS!$X$60/100000000</f>
        <v>228446.05224660001</v>
      </c>
      <c r="X84" s="150">
        <f>BS!$Y$60/100000000</f>
        <v>227719.57147269999</v>
      </c>
      <c r="Y84" s="150">
        <f>BS!$Z$60/100000000</f>
        <v>243957.14186973</v>
      </c>
      <c r="Z84" s="150">
        <f>BS!$AA$60/100000000</f>
        <v>258551.74957541001</v>
      </c>
      <c r="AA84" s="150">
        <f>BS!$AB$60/100000000</f>
        <v>272842.01085220999</v>
      </c>
      <c r="AB84" s="150">
        <f>BS!$AC$60/100000000</f>
        <v>276089.52882887999</v>
      </c>
      <c r="AC84" s="150">
        <f>BS!$AD$60/100000000</f>
        <v>285500.97534175997</v>
      </c>
      <c r="AD84" s="150">
        <f>BS!$AE$60/100000000</f>
        <v>296182.67243576999</v>
      </c>
      <c r="AE84" s="150">
        <f>BS!$AF$60/100000000</f>
        <v>300327.49406469002</v>
      </c>
      <c r="AF84" s="150">
        <f>BS!$AG$60/100000000</f>
        <v>321856.71014745999</v>
      </c>
      <c r="AG84" s="150">
        <f>BS!$AH$60/100000000</f>
        <v>323145.73965358001</v>
      </c>
    </row>
    <row r="85" spans="2:33">
      <c r="B85" s="119"/>
      <c r="C85" s="119"/>
      <c r="D85" s="119"/>
      <c r="E85" s="119"/>
      <c r="F85" s="119"/>
      <c r="H85" s="1214" t="s">
        <v>1717</v>
      </c>
      <c r="I85" s="124"/>
      <c r="J85" s="162">
        <f>J84-J116</f>
        <v>103098.51578546999</v>
      </c>
      <c r="K85" s="162">
        <f t="shared" ref="K85:N85" si="71">K84-K116</f>
        <v>133789.94143144999</v>
      </c>
      <c r="L85" s="162">
        <f t="shared" si="71"/>
        <v>136967.49490324999</v>
      </c>
      <c r="M85" s="162">
        <f t="shared" si="71"/>
        <v>145479.28302325998</v>
      </c>
      <c r="N85" s="162">
        <f t="shared" si="71"/>
        <v>175630.16143712</v>
      </c>
      <c r="O85" s="125">
        <f t="shared" ref="O85" si="72">V85</f>
        <v>207506.39159386</v>
      </c>
      <c r="P85" s="125">
        <f t="shared" ref="P85" si="73">Z85</f>
        <v>255765.67062868</v>
      </c>
      <c r="Q85" s="125">
        <f t="shared" si="69"/>
        <v>293398.73485904996</v>
      </c>
      <c r="R85" s="125">
        <f t="shared" si="70"/>
        <v>321090.19111911999</v>
      </c>
      <c r="S85" s="124"/>
      <c r="T85" s="124"/>
      <c r="U85" s="124"/>
      <c r="V85" s="162">
        <f t="shared" ref="V85:Z85" si="74">V84-V116</f>
        <v>207506.39159386</v>
      </c>
      <c r="W85" s="162">
        <f t="shared" si="74"/>
        <v>222411.59144555</v>
      </c>
      <c r="X85" s="162">
        <f t="shared" ref="X85:Y85" si="75">X84-X116</f>
        <v>222321.39632368999</v>
      </c>
      <c r="Y85" s="162">
        <f t="shared" si="75"/>
        <v>239784.06341439</v>
      </c>
      <c r="Z85" s="162">
        <f t="shared" si="74"/>
        <v>255765.67062868</v>
      </c>
      <c r="AA85" s="162">
        <f t="shared" ref="AA85:AB85" si="76">AA84-AA116</f>
        <v>269794.74897076999</v>
      </c>
      <c r="AB85" s="162">
        <f t="shared" si="76"/>
        <v>273264.49674281001</v>
      </c>
      <c r="AC85" s="162">
        <f t="shared" ref="AC85:AD85" si="77">AC84-AC116</f>
        <v>282389.52901119995</v>
      </c>
      <c r="AD85" s="162">
        <f t="shared" si="77"/>
        <v>293398.73485904996</v>
      </c>
      <c r="AE85" s="162">
        <f t="shared" ref="AE85:AF85" si="78">AE84-AE116</f>
        <v>297669.65660562</v>
      </c>
      <c r="AF85" s="162">
        <f t="shared" si="78"/>
        <v>319167.97325415001</v>
      </c>
      <c r="AG85" s="162">
        <f t="shared" ref="AG85" si="79">AG84-AG116</f>
        <v>321090.19111911999</v>
      </c>
    </row>
    <row r="86" spans="2:33">
      <c r="B86" s="119"/>
      <c r="C86" s="119"/>
      <c r="D86" s="119"/>
      <c r="E86" s="119"/>
      <c r="F86" s="119"/>
      <c r="H86" s="110" t="s">
        <v>529</v>
      </c>
      <c r="I86" s="124"/>
      <c r="J86" s="162">
        <f>J95+J96+J105+J106+J113+J114</f>
        <v>56600.1472545</v>
      </c>
      <c r="K86" s="162">
        <f>K95+K96+K105+K106+K113+K114</f>
        <v>75263.785046339995</v>
      </c>
      <c r="L86" s="162">
        <f>L95+L96+L105+L106+L113+L114</f>
        <v>75900.998141299991</v>
      </c>
      <c r="M86" s="162">
        <f>M95+M96+M105+M106+M113+M114</f>
        <v>74648.21986107</v>
      </c>
      <c r="N86" s="162">
        <f>N95+N96+N105+N106+N113+N114</f>
        <v>96644.599331699996</v>
      </c>
      <c r="O86" s="125">
        <f t="shared" si="68"/>
        <v>117758.73625013999</v>
      </c>
      <c r="P86" s="125">
        <f>Z86</f>
        <v>121089.75469137001</v>
      </c>
      <c r="Q86" s="125">
        <f t="shared" si="69"/>
        <v>114103.81581357999</v>
      </c>
      <c r="R86" s="125">
        <f t="shared" si="70"/>
        <v>114095.14203344</v>
      </c>
      <c r="S86" s="124"/>
      <c r="T86" s="124"/>
      <c r="U86" s="124"/>
      <c r="V86" s="162">
        <f t="shared" ref="V86:AC86" si="80">V95+V96+V105+V106+V113+V114</f>
        <v>117758.73625013999</v>
      </c>
      <c r="W86" s="162">
        <f t="shared" si="80"/>
        <v>120557.27101387001</v>
      </c>
      <c r="X86" s="162">
        <f t="shared" si="80"/>
        <v>117305.58854137</v>
      </c>
      <c r="Y86" s="162">
        <f t="shared" si="80"/>
        <v>124820.21342490999</v>
      </c>
      <c r="Z86" s="162">
        <f t="shared" si="80"/>
        <v>121089.75469137001</v>
      </c>
      <c r="AA86" s="162">
        <f t="shared" si="80"/>
        <v>133393.91532442</v>
      </c>
      <c r="AB86" s="162">
        <f t="shared" si="80"/>
        <v>133587.76406046998</v>
      </c>
      <c r="AC86" s="162">
        <f t="shared" si="80"/>
        <v>130607.80830095</v>
      </c>
      <c r="AD86" s="162">
        <f t="shared" ref="AD86:AE86" si="81">AD95+AD96+AD105+AD106+AD113+AD114</f>
        <v>114103.81581357999</v>
      </c>
      <c r="AE86" s="162">
        <f t="shared" si="81"/>
        <v>114278.56204368001</v>
      </c>
      <c r="AF86" s="162">
        <f t="shared" ref="AF86:AG86" si="82">AF95+AF96+AF105+AF106+AF113+AF114</f>
        <v>118835.38843390999</v>
      </c>
      <c r="AG86" s="162">
        <f t="shared" si="82"/>
        <v>114095.14203344</v>
      </c>
    </row>
    <row r="87" spans="2:33">
      <c r="B87" s="119"/>
      <c r="C87" s="119"/>
      <c r="D87" s="119"/>
      <c r="E87" s="119"/>
      <c r="F87" s="119"/>
      <c r="H87" s="1214" t="s">
        <v>1723</v>
      </c>
      <c r="I87" s="124"/>
      <c r="J87" s="162">
        <f t="shared" ref="J87:M87" si="83">J93+J103+J94+J104</f>
        <v>10233.605089890001</v>
      </c>
      <c r="K87" s="162">
        <f t="shared" si="83"/>
        <v>12802.45203412</v>
      </c>
      <c r="L87" s="162">
        <f t="shared" si="83"/>
        <v>11322.814006269999</v>
      </c>
      <c r="M87" s="162">
        <f t="shared" si="83"/>
        <v>8292.78932317</v>
      </c>
      <c r="N87" s="162">
        <f>N93+N103+N94+N104</f>
        <v>8231.5084349600002</v>
      </c>
      <c r="O87" s="125">
        <f t="shared" si="68"/>
        <v>15484.251934370001</v>
      </c>
      <c r="P87" s="125">
        <f>Z87</f>
        <v>27143.255864540002</v>
      </c>
      <c r="Q87" s="125">
        <f t="shared" si="69"/>
        <v>26464.605493169998</v>
      </c>
      <c r="R87" s="125">
        <f t="shared" si="70"/>
        <v>26691.39464395</v>
      </c>
      <c r="S87" s="124"/>
      <c r="T87" s="124"/>
      <c r="U87" s="124"/>
      <c r="V87" s="162">
        <f t="shared" ref="V87:AC87" si="84">V93+V103+V94+V104</f>
        <v>15484.251934370001</v>
      </c>
      <c r="W87" s="162">
        <f t="shared" si="84"/>
        <v>15389.561727810002</v>
      </c>
      <c r="X87" s="162">
        <f t="shared" si="84"/>
        <v>18179.534522149999</v>
      </c>
      <c r="Y87" s="162">
        <f t="shared" si="84"/>
        <v>24197.02064703</v>
      </c>
      <c r="Z87" s="162">
        <f t="shared" si="84"/>
        <v>27143.255864540002</v>
      </c>
      <c r="AA87" s="162">
        <f t="shared" si="84"/>
        <v>22121.689448990001</v>
      </c>
      <c r="AB87" s="162">
        <f t="shared" si="84"/>
        <v>21766.424070320001</v>
      </c>
      <c r="AC87" s="162">
        <f t="shared" si="84"/>
        <v>23900.781459319998</v>
      </c>
      <c r="AD87" s="162">
        <f t="shared" ref="AD87:AE87" si="85">AD93+AD103+AD94+AD104</f>
        <v>26464.605493169998</v>
      </c>
      <c r="AE87" s="162">
        <f t="shared" si="85"/>
        <v>25600.11667173</v>
      </c>
      <c r="AF87" s="162">
        <f t="shared" ref="AF87:AG87" si="86">AF93+AF103+AF94+AF104</f>
        <v>24813.30530864</v>
      </c>
      <c r="AG87" s="162">
        <f t="shared" si="86"/>
        <v>26691.39464395</v>
      </c>
    </row>
    <row r="88" spans="2:33">
      <c r="B88" s="119"/>
      <c r="C88" s="119"/>
      <c r="D88" s="119"/>
      <c r="E88" s="119"/>
      <c r="F88" s="119"/>
      <c r="H88" s="110" t="s">
        <v>671</v>
      </c>
      <c r="I88" s="124"/>
      <c r="J88" s="162">
        <f>J97+J107</f>
        <v>26941.546541</v>
      </c>
      <c r="K88" s="162">
        <f t="shared" ref="K88:M88" si="87">K97+K107</f>
        <v>35239.599492739995</v>
      </c>
      <c r="L88" s="162">
        <f t="shared" si="87"/>
        <v>38356.321998489999</v>
      </c>
      <c r="M88" s="162">
        <f t="shared" si="87"/>
        <v>42828.928302230001</v>
      </c>
      <c r="N88" s="162">
        <f t="shared" ref="N88" si="88">N97+N107</f>
        <v>52007.043772139994</v>
      </c>
      <c r="O88" s="125">
        <f t="shared" si="68"/>
        <v>52619.848694090004</v>
      </c>
      <c r="P88" s="125">
        <f>Z88</f>
        <v>73064.226804440012</v>
      </c>
      <c r="Q88" s="125">
        <f t="shared" si="69"/>
        <v>94518.738588210006</v>
      </c>
      <c r="R88" s="125">
        <f t="shared" si="70"/>
        <v>97510.310558690006</v>
      </c>
      <c r="S88" s="124"/>
      <c r="T88" s="124"/>
      <c r="U88" s="124"/>
      <c r="V88" s="162">
        <f t="shared" ref="V88" si="89">V97+V107</f>
        <v>52619.848694090004</v>
      </c>
      <c r="W88" s="162">
        <f t="shared" ref="W88:AC88" si="90">W97+W107</f>
        <v>62982.064786120005</v>
      </c>
      <c r="X88" s="162">
        <f t="shared" si="90"/>
        <v>62380.629228990001</v>
      </c>
      <c r="Y88" s="162">
        <f t="shared" si="90"/>
        <v>60697.936466569998</v>
      </c>
      <c r="Z88" s="162">
        <f t="shared" si="90"/>
        <v>73064.226804440012</v>
      </c>
      <c r="AA88" s="162">
        <f t="shared" si="90"/>
        <v>76891.45166431999</v>
      </c>
      <c r="AB88" s="162">
        <f t="shared" si="90"/>
        <v>77403.91582522</v>
      </c>
      <c r="AC88" s="162">
        <f t="shared" si="90"/>
        <v>76289.098523480003</v>
      </c>
      <c r="AD88" s="162">
        <f t="shared" ref="AD88:AE88" si="91">AD97+AD107</f>
        <v>94518.738588210006</v>
      </c>
      <c r="AE88" s="162">
        <f t="shared" si="91"/>
        <v>95726.542391099996</v>
      </c>
      <c r="AF88" s="162">
        <f t="shared" ref="AF88:AG88" si="92">AF97+AF107</f>
        <v>106293.63498151999</v>
      </c>
      <c r="AG88" s="162">
        <f t="shared" si="92"/>
        <v>97510.310558690006</v>
      </c>
    </row>
    <row r="89" spans="2:33">
      <c r="B89" s="119"/>
      <c r="C89" s="119"/>
      <c r="D89" s="119"/>
      <c r="E89" s="119"/>
      <c r="F89" s="119"/>
      <c r="H89" s="110" t="s">
        <v>672</v>
      </c>
      <c r="I89" s="124"/>
      <c r="J89" s="162">
        <f>J98+J108</f>
        <v>1831.39021054</v>
      </c>
      <c r="K89" s="162">
        <f t="shared" ref="K89:M89" si="93">K98+K108</f>
        <v>2325.8243542200003</v>
      </c>
      <c r="L89" s="162">
        <f t="shared" si="93"/>
        <v>3046.6593204300002</v>
      </c>
      <c r="M89" s="162">
        <f t="shared" si="93"/>
        <v>4599.2447164599998</v>
      </c>
      <c r="N89" s="162">
        <f t="shared" ref="N89" si="94">N98+N108</f>
        <v>4528.0506034700002</v>
      </c>
      <c r="O89" s="125">
        <f t="shared" si="68"/>
        <v>4624.4748117700001</v>
      </c>
      <c r="P89" s="125">
        <f>Z89</f>
        <v>6660.6259803200001</v>
      </c>
      <c r="Q89" s="125">
        <f t="shared" si="69"/>
        <v>4128.8031887400002</v>
      </c>
      <c r="R89" s="125">
        <f t="shared" si="70"/>
        <v>5349.5934354999999</v>
      </c>
      <c r="S89" s="124"/>
      <c r="T89" s="124"/>
      <c r="U89" s="124"/>
      <c r="V89" s="162">
        <f t="shared" ref="V89:W89" si="95">V98+V108</f>
        <v>4624.4748117700001</v>
      </c>
      <c r="W89" s="162">
        <f t="shared" si="95"/>
        <v>5651.0836246099998</v>
      </c>
      <c r="X89" s="162">
        <f t="shared" ref="X89:Y89" si="96">X98+X108</f>
        <v>4415.3364372199994</v>
      </c>
      <c r="Y89" s="162">
        <f t="shared" si="96"/>
        <v>4655.94755996</v>
      </c>
      <c r="Z89" s="162">
        <f t="shared" ref="Z89:AA89" si="97">Z98+Z108</f>
        <v>6660.6259803200001</v>
      </c>
      <c r="AA89" s="162">
        <f t="shared" si="97"/>
        <v>6722.2462502600001</v>
      </c>
      <c r="AB89" s="162">
        <f t="shared" ref="AB89:AC89" si="98">AB98+AB108</f>
        <v>7130.7006812299996</v>
      </c>
      <c r="AC89" s="162">
        <f t="shared" si="98"/>
        <v>7642.9797677200004</v>
      </c>
      <c r="AD89" s="162">
        <f t="shared" ref="AD89:AE89" si="99">AD98+AD108</f>
        <v>4128.8031887400002</v>
      </c>
      <c r="AE89" s="162">
        <f t="shared" si="99"/>
        <v>3897.6534578599999</v>
      </c>
      <c r="AF89" s="162">
        <f t="shared" ref="AF89:AG89" si="100">AF98+AF108</f>
        <v>5517.8680028299996</v>
      </c>
      <c r="AG89" s="162">
        <f t="shared" si="100"/>
        <v>5349.5934354999999</v>
      </c>
    </row>
    <row r="90" spans="2:33">
      <c r="B90" s="119"/>
      <c r="C90" s="119"/>
      <c r="D90" s="119"/>
      <c r="E90" s="119"/>
      <c r="F90" s="119"/>
      <c r="H90" s="110" t="s">
        <v>673</v>
      </c>
      <c r="I90" s="124"/>
      <c r="J90" s="162">
        <f>J99+J109</f>
        <v>2863.2503692700002</v>
      </c>
      <c r="K90" s="162">
        <f t="shared" ref="K90:M90" si="101">K99+K109</f>
        <v>2088.9450984599998</v>
      </c>
      <c r="L90" s="162">
        <f t="shared" si="101"/>
        <v>1780.35516379</v>
      </c>
      <c r="M90" s="162">
        <f t="shared" si="101"/>
        <v>6096.1577878099997</v>
      </c>
      <c r="N90" s="162">
        <f t="shared" ref="N90" si="102">N99+N109</f>
        <v>3520.8962621999999</v>
      </c>
      <c r="O90" s="125">
        <f t="shared" si="68"/>
        <v>4535.2114165100002</v>
      </c>
      <c r="P90" s="125">
        <f>Z90</f>
        <v>7681.0428739199997</v>
      </c>
      <c r="Q90" s="125">
        <f t="shared" si="69"/>
        <v>21703.189120399999</v>
      </c>
      <c r="R90" s="125">
        <f t="shared" si="70"/>
        <v>21851.617138140002</v>
      </c>
      <c r="S90" s="124"/>
      <c r="T90" s="124"/>
      <c r="U90" s="124"/>
      <c r="V90" s="162">
        <f t="shared" ref="V90:W90" si="103">V99+V109</f>
        <v>4535.2114165100002</v>
      </c>
      <c r="W90" s="162">
        <f t="shared" si="103"/>
        <v>3540.63348073</v>
      </c>
      <c r="X90" s="162">
        <f t="shared" ref="X90:Y90" si="104">X99+X109</f>
        <v>4339.6651009799998</v>
      </c>
      <c r="Y90" s="162">
        <f t="shared" si="104"/>
        <v>6374.0160757200001</v>
      </c>
      <c r="Z90" s="162">
        <f t="shared" ref="Z90:AA90" si="105">Z99+Z109</f>
        <v>7681.0428739199997</v>
      </c>
      <c r="AA90" s="162">
        <f t="shared" si="105"/>
        <v>8370.8220072200002</v>
      </c>
      <c r="AB90" s="162">
        <f t="shared" ref="AB90:AC90" si="106">AB99+AB109</f>
        <v>9877.2399908900006</v>
      </c>
      <c r="AC90" s="162">
        <f t="shared" si="106"/>
        <v>19209.267876540001</v>
      </c>
      <c r="AD90" s="162">
        <f t="shared" ref="AD90:AE90" si="107">AD99+AD109</f>
        <v>21703.189120399999</v>
      </c>
      <c r="AE90" s="162">
        <f t="shared" si="107"/>
        <v>15311.938776159999</v>
      </c>
      <c r="AF90" s="162">
        <f t="shared" ref="AF90:AG90" si="108">AF99+AF109</f>
        <v>12777.772124790001</v>
      </c>
      <c r="AG90" s="162">
        <f t="shared" si="108"/>
        <v>21851.617138140002</v>
      </c>
    </row>
    <row r="91" spans="2:33">
      <c r="B91" s="119"/>
      <c r="C91" s="119"/>
      <c r="D91" s="119"/>
      <c r="E91" s="119"/>
      <c r="F91" s="119"/>
      <c r="I91" s="124"/>
      <c r="J91" s="162"/>
      <c r="K91" s="162"/>
      <c r="L91" s="162"/>
      <c r="M91" s="162"/>
      <c r="N91" s="162"/>
      <c r="O91" s="125"/>
      <c r="P91" s="125"/>
      <c r="Q91" s="125"/>
      <c r="R91" s="125"/>
      <c r="S91" s="124"/>
      <c r="T91" s="124"/>
      <c r="U91" s="124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</row>
    <row r="92" spans="2:33">
      <c r="B92" s="119"/>
      <c r="C92" s="119"/>
      <c r="D92" s="119"/>
      <c r="E92" s="119"/>
      <c r="F92" s="119"/>
      <c r="H92" s="110" t="s">
        <v>120</v>
      </c>
      <c r="I92" s="124"/>
      <c r="J92" s="150"/>
      <c r="K92" s="150"/>
      <c r="L92" s="150"/>
      <c r="M92" s="150"/>
      <c r="N92" s="150"/>
      <c r="O92" s="125"/>
      <c r="P92" s="125"/>
      <c r="Q92" s="125"/>
      <c r="R92" s="125"/>
      <c r="S92" s="124"/>
      <c r="T92" s="124"/>
      <c r="U92" s="124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</row>
    <row r="93" spans="2:33">
      <c r="B93" s="119"/>
      <c r="C93" s="119"/>
      <c r="D93" s="119"/>
      <c r="E93" s="119"/>
      <c r="F93" s="119"/>
      <c r="H93" s="110" t="s">
        <v>121</v>
      </c>
      <c r="I93" s="124"/>
      <c r="J93" s="150">
        <f>BS!$D$62/100000000</f>
        <v>6042.3854030499997</v>
      </c>
      <c r="K93" s="150">
        <f>BS!$H$62/100000000</f>
        <v>8464.2534132300007</v>
      </c>
      <c r="L93" s="150">
        <f>BS!$K$62/100000000</f>
        <v>6714.3680272900001</v>
      </c>
      <c r="M93" s="150">
        <f>BS!$O$62/100000000</f>
        <v>3887.5828545899999</v>
      </c>
      <c r="N93" s="150">
        <f>BS!$S$62/100000000</f>
        <v>3962.30470087</v>
      </c>
      <c r="O93" s="125">
        <f t="shared" ref="O93:O101" si="109">V93</f>
        <v>7892.7634877500004</v>
      </c>
      <c r="P93" s="125">
        <f t="shared" ref="P93:P101" si="110">Z93</f>
        <v>19237.184114790001</v>
      </c>
      <c r="Q93" s="125">
        <f t="shared" ref="Q93:Q101" si="111">AD93</f>
        <v>20493.533663599999</v>
      </c>
      <c r="R93" s="125">
        <f t="shared" ref="R93:R101" si="112">AG93</f>
        <v>21457.738631079999</v>
      </c>
      <c r="S93" s="124"/>
      <c r="T93" s="124"/>
      <c r="U93" s="124"/>
      <c r="V93" s="150">
        <f>BS!$W$62/100000000</f>
        <v>7892.7634877500004</v>
      </c>
      <c r="W93" s="150">
        <f>BS!$X$62/100000000</f>
        <v>7659.6602897700004</v>
      </c>
      <c r="X93" s="150">
        <f>BS!$Y$62/100000000</f>
        <v>9569.5462000900006</v>
      </c>
      <c r="Y93" s="150">
        <f>BS!$Z$62/100000000</f>
        <v>15016.02191329</v>
      </c>
      <c r="Z93" s="150">
        <f>BS!$AA$62/100000000</f>
        <v>19237.184114790001</v>
      </c>
      <c r="AA93" s="150">
        <f>BS!$AB$62/100000000</f>
        <v>16241.99643949</v>
      </c>
      <c r="AB93" s="150">
        <f>BS!$AC$62/100000000</f>
        <v>15457.188852040001</v>
      </c>
      <c r="AC93" s="150">
        <f>BS!$AD$62/100000000</f>
        <v>17390.582756209998</v>
      </c>
      <c r="AD93" s="150">
        <f>BS!$AE$62/100000000</f>
        <v>20493.533663599999</v>
      </c>
      <c r="AE93" s="150">
        <f>BS!$AF$62/100000000</f>
        <v>20124.056388180001</v>
      </c>
      <c r="AF93" s="150">
        <f>BS!$AG$62/100000000</f>
        <v>19145.652695289999</v>
      </c>
      <c r="AG93" s="150">
        <f>BS!$AH$62/100000000</f>
        <v>21457.738631079999</v>
      </c>
    </row>
    <row r="94" spans="2:33">
      <c r="B94" s="119"/>
      <c r="C94" s="119"/>
      <c r="D94" s="119"/>
      <c r="E94" s="119"/>
      <c r="F94" s="119"/>
      <c r="H94" s="110" t="s">
        <v>122</v>
      </c>
      <c r="I94" s="124"/>
      <c r="J94" s="150">
        <f>BS!$D$6/100000000</f>
        <v>0</v>
      </c>
      <c r="K94" s="150">
        <f>BS!$H$6/100000000</f>
        <v>0</v>
      </c>
      <c r="L94" s="150">
        <f>BS!$K$6/100000000</f>
        <v>0</v>
      </c>
      <c r="M94" s="150">
        <f>BS!$O$6/100000000</f>
        <v>0</v>
      </c>
      <c r="N94" s="150">
        <f>BS!$S$6/100000000</f>
        <v>0</v>
      </c>
      <c r="O94" s="125">
        <f t="shared" si="109"/>
        <v>0</v>
      </c>
      <c r="P94" s="125">
        <f t="shared" si="110"/>
        <v>0</v>
      </c>
      <c r="Q94" s="125">
        <f t="shared" si="111"/>
        <v>0</v>
      </c>
      <c r="R94" s="125">
        <f t="shared" si="112"/>
        <v>0</v>
      </c>
      <c r="S94" s="124"/>
      <c r="T94" s="124"/>
      <c r="U94" s="124"/>
      <c r="V94" s="150">
        <f>BS!$W$6/100000000</f>
        <v>0</v>
      </c>
      <c r="W94" s="150">
        <f>BS!$X$6/100000000</f>
        <v>0</v>
      </c>
      <c r="X94" s="150">
        <f>BS!$Y$6/100000000</f>
        <v>0</v>
      </c>
      <c r="Y94" s="150">
        <f>BS!$Z$6/100000000</f>
        <v>0</v>
      </c>
      <c r="Z94" s="150">
        <f>BS!$AA$6/100000000</f>
        <v>0</v>
      </c>
      <c r="AA94" s="150">
        <f>BS!$AB$6/100000000</f>
        <v>0</v>
      </c>
      <c r="AB94" s="150">
        <f>BS!$AC$6/100000000</f>
        <v>0</v>
      </c>
      <c r="AC94" s="150">
        <f>BS!$AD$6/100000000</f>
        <v>0</v>
      </c>
      <c r="AD94" s="150">
        <f>BS!$AE$6/100000000</f>
        <v>0</v>
      </c>
      <c r="AE94" s="150">
        <f>BS!$AF$6/100000000</f>
        <v>0</v>
      </c>
      <c r="AF94" s="150">
        <f>BS!$AG$6/100000000</f>
        <v>0</v>
      </c>
      <c r="AG94" s="150">
        <f>BS!$AH$6/100000000</f>
        <v>0</v>
      </c>
    </row>
    <row r="95" spans="2:33">
      <c r="B95" s="119"/>
      <c r="C95" s="119"/>
      <c r="D95" s="119"/>
      <c r="E95" s="119"/>
      <c r="F95" s="119"/>
      <c r="H95" s="110" t="s">
        <v>123</v>
      </c>
      <c r="I95" s="124"/>
      <c r="J95" s="150">
        <f>BS!$D$64/100000000</f>
        <v>10648.553327359999</v>
      </c>
      <c r="K95" s="150">
        <f>BS!$H$64/100000000</f>
        <v>20962.94022945</v>
      </c>
      <c r="L95" s="150">
        <f>BS!$K$64/100000000</f>
        <v>9893.3442922100003</v>
      </c>
      <c r="M95" s="150">
        <f>BS!$O$64/100000000</f>
        <v>20576.72266707</v>
      </c>
      <c r="N95" s="150">
        <f>BS!$S$64/100000000</f>
        <v>22461.147876989999</v>
      </c>
      <c r="O95" s="125">
        <f t="shared" si="109"/>
        <v>29345.59464607</v>
      </c>
      <c r="P95" s="125">
        <f t="shared" si="110"/>
        <v>44947.764624080002</v>
      </c>
      <c r="Q95" s="125">
        <f t="shared" si="111"/>
        <v>47105.423621529997</v>
      </c>
      <c r="R95" s="125">
        <f t="shared" si="112"/>
        <v>54795.625576660001</v>
      </c>
      <c r="S95" s="124"/>
      <c r="T95" s="124"/>
      <c r="U95" s="124"/>
      <c r="V95" s="150">
        <f>BS!$W$64/100000000</f>
        <v>29345.59464607</v>
      </c>
      <c r="W95" s="150">
        <f>BS!$X$64/100000000</f>
        <v>39747.889792430004</v>
      </c>
      <c r="X95" s="150">
        <f>BS!$Y$64/100000000</f>
        <v>37604.843210719999</v>
      </c>
      <c r="Y95" s="150">
        <f>BS!$Z$64/100000000</f>
        <v>40237.359633139997</v>
      </c>
      <c r="Z95" s="150">
        <f>BS!$AA$64/100000000</f>
        <v>44947.764624080002</v>
      </c>
      <c r="AA95" s="150">
        <f>BS!$AB$64/100000000</f>
        <v>50766.170980559997</v>
      </c>
      <c r="AB95" s="150">
        <f>BS!$AC$64/100000000</f>
        <v>47913.909156900001</v>
      </c>
      <c r="AC95" s="150">
        <f>BS!$AD$64/100000000</f>
        <v>53999.877039480001</v>
      </c>
      <c r="AD95" s="150">
        <f>BS!$AE$64/100000000</f>
        <v>47105.423621529997</v>
      </c>
      <c r="AE95" s="150">
        <f>BS!$AF$64/100000000</f>
        <v>56219.21539361</v>
      </c>
      <c r="AF95" s="150">
        <f>BS!$AG$64/100000000</f>
        <v>54287.490531759999</v>
      </c>
      <c r="AG95" s="150">
        <f>BS!$AH$64/100000000</f>
        <v>54795.625576660001</v>
      </c>
    </row>
    <row r="96" spans="2:33">
      <c r="B96" s="119"/>
      <c r="C96" s="119"/>
      <c r="D96" s="119"/>
      <c r="E96" s="119"/>
      <c r="F96" s="119"/>
      <c r="H96" s="110" t="s">
        <v>124</v>
      </c>
      <c r="I96" s="124"/>
      <c r="J96" s="150">
        <f>BS!$D$65/100000000</f>
        <v>45951.593927139998</v>
      </c>
      <c r="K96" s="150">
        <f>BS!$H$65/100000000</f>
        <v>54300.844816889999</v>
      </c>
      <c r="L96" s="150">
        <f>BS!$K$65/100000000</f>
        <v>66007.653849089998</v>
      </c>
      <c r="M96" s="150">
        <f>BS!$O$65/100000000</f>
        <v>54071.497194000003</v>
      </c>
      <c r="N96" s="150">
        <f>BS!$S$65/100000000</f>
        <v>66379.958282349995</v>
      </c>
      <c r="O96" s="125">
        <f t="shared" si="109"/>
        <v>65853.987736380004</v>
      </c>
      <c r="P96" s="125">
        <f t="shared" si="110"/>
        <v>60453.714326709996</v>
      </c>
      <c r="Q96" s="125">
        <f t="shared" si="111"/>
        <v>40930.788625189998</v>
      </c>
      <c r="R96" s="125">
        <f t="shared" si="112"/>
        <v>38774.838240570003</v>
      </c>
      <c r="S96" s="124"/>
      <c r="T96" s="124"/>
      <c r="U96" s="124"/>
      <c r="V96" s="150">
        <f>BS!$W$65/100000000</f>
        <v>65853.987736380004</v>
      </c>
      <c r="W96" s="150">
        <f>BS!$X$65/100000000</f>
        <v>57801.453932650002</v>
      </c>
      <c r="X96" s="150">
        <f>BS!$Y$65/100000000</f>
        <v>64604.345428770001</v>
      </c>
      <c r="Y96" s="150">
        <f>BS!$Z$65/100000000</f>
        <v>69089.222393859993</v>
      </c>
      <c r="Z96" s="150">
        <f>BS!$AA$65/100000000</f>
        <v>60453.714326709996</v>
      </c>
      <c r="AA96" s="150">
        <f>BS!$AB$65/100000000</f>
        <v>64044.507838630001</v>
      </c>
      <c r="AB96" s="150">
        <f>BS!$AC$65/100000000</f>
        <v>62065.902198130003</v>
      </c>
      <c r="AC96" s="150">
        <f>BS!$AD$65/100000000</f>
        <v>45272.741513540001</v>
      </c>
      <c r="AD96" s="150">
        <f>BS!$AE$65/100000000</f>
        <v>40930.788625189998</v>
      </c>
      <c r="AE96" s="150">
        <f>BS!$AF$65/100000000</f>
        <v>40292.65322416</v>
      </c>
      <c r="AF96" s="150">
        <f>BS!$AG$65/100000000</f>
        <v>45653.007667129998</v>
      </c>
      <c r="AG96" s="150">
        <f>BS!$AH$65/100000000</f>
        <v>38774.838240570003</v>
      </c>
    </row>
    <row r="97" spans="2:33">
      <c r="B97" s="119"/>
      <c r="C97" s="119"/>
      <c r="D97" s="119"/>
      <c r="E97" s="119"/>
      <c r="F97" s="119"/>
      <c r="H97" s="110" t="s">
        <v>125</v>
      </c>
      <c r="I97" s="124"/>
      <c r="J97" s="150">
        <f>BS!$D$66/100000000</f>
        <v>26755.2867811</v>
      </c>
      <c r="K97" s="150">
        <f>BS!$H$66/100000000</f>
        <v>34259.262028329998</v>
      </c>
      <c r="L97" s="150">
        <f>BS!$K$66/100000000</f>
        <v>38174.853800320001</v>
      </c>
      <c r="M97" s="150">
        <f>BS!$O$66/100000000</f>
        <v>42660.44601906</v>
      </c>
      <c r="N97" s="150">
        <f>BS!$S$66/100000000</f>
        <v>50057.070395889998</v>
      </c>
      <c r="O97" s="125">
        <f t="shared" si="109"/>
        <v>48189.620141140003</v>
      </c>
      <c r="P97" s="125">
        <f t="shared" si="110"/>
        <v>68377.732081320006</v>
      </c>
      <c r="Q97" s="125">
        <f t="shared" si="111"/>
        <v>90607.561015850006</v>
      </c>
      <c r="R97" s="125">
        <f t="shared" si="112"/>
        <v>95375.521454770002</v>
      </c>
      <c r="S97" s="124"/>
      <c r="T97" s="124"/>
      <c r="U97" s="124"/>
      <c r="V97" s="150">
        <f>BS!$W$66/100000000</f>
        <v>48189.620141140003</v>
      </c>
      <c r="W97" s="150">
        <f>BS!$X$66/100000000</f>
        <v>58470.074975620002</v>
      </c>
      <c r="X97" s="150">
        <f>BS!$Y$66/100000000</f>
        <v>58272.720847279998</v>
      </c>
      <c r="Y97" s="150">
        <f>BS!$Z$66/100000000</f>
        <v>57102.258058009997</v>
      </c>
      <c r="Z97" s="150">
        <f>BS!$AA$66/100000000</f>
        <v>68377.732081320006</v>
      </c>
      <c r="AA97" s="150">
        <f>BS!$AB$66/100000000</f>
        <v>69711.448302129997</v>
      </c>
      <c r="AB97" s="150">
        <f>BS!$AC$66/100000000</f>
        <v>72614.336458160004</v>
      </c>
      <c r="AC97" s="150">
        <f>BS!$AD$66/100000000</f>
        <v>72688.522011630004</v>
      </c>
      <c r="AD97" s="150">
        <f>BS!$AE$66/100000000</f>
        <v>90607.561015850006</v>
      </c>
      <c r="AE97" s="150">
        <f>BS!$AF$66/100000000</f>
        <v>91296.420175289997</v>
      </c>
      <c r="AF97" s="150">
        <f>BS!$AG$66/100000000</f>
        <v>102250.56687758</v>
      </c>
      <c r="AG97" s="150">
        <f>BS!$AH$66/100000000</f>
        <v>95375.521454770002</v>
      </c>
    </row>
    <row r="98" spans="2:33">
      <c r="B98" s="119"/>
      <c r="C98" s="119"/>
      <c r="D98" s="119"/>
      <c r="E98" s="119"/>
      <c r="F98" s="119"/>
      <c r="H98" s="110" t="s">
        <v>126</v>
      </c>
      <c r="I98" s="124"/>
      <c r="J98" s="150">
        <f>BS!$D$67/100000000</f>
        <v>203.55602160999999</v>
      </c>
      <c r="K98" s="150">
        <f>BS!$H$67/100000000</f>
        <v>194.51181097</v>
      </c>
      <c r="L98" s="150">
        <f>BS!$K$67/100000000</f>
        <v>142.34668671</v>
      </c>
      <c r="M98" s="150">
        <f>BS!$O$67/100000000</f>
        <v>1634.2176287100001</v>
      </c>
      <c r="N98" s="150">
        <f>BS!$S$67/100000000</f>
        <v>52.167099759999999</v>
      </c>
      <c r="O98" s="125">
        <f t="shared" si="109"/>
        <v>48.459200600000003</v>
      </c>
      <c r="P98" s="125">
        <f t="shared" si="110"/>
        <v>319.50537181999999</v>
      </c>
      <c r="Q98" s="125">
        <f t="shared" si="111"/>
        <v>4128.8031887400002</v>
      </c>
      <c r="R98" s="125">
        <f t="shared" si="112"/>
        <v>5349.5934354999999</v>
      </c>
      <c r="S98" s="124"/>
      <c r="T98" s="124"/>
      <c r="U98" s="124"/>
      <c r="V98" s="150">
        <f>BS!$W$67/100000000</f>
        <v>48.459200600000003</v>
      </c>
      <c r="W98" s="150">
        <f>BS!$X$67/100000000</f>
        <v>78.261011210000007</v>
      </c>
      <c r="X98" s="150">
        <f>BS!$Y$67/100000000</f>
        <v>107.72935867</v>
      </c>
      <c r="Y98" s="150">
        <f>BS!$Z$67/100000000</f>
        <v>74.494277650000001</v>
      </c>
      <c r="Z98" s="150">
        <f>BS!$AA$67/100000000</f>
        <v>319.50537181999999</v>
      </c>
      <c r="AA98" s="150">
        <f>BS!$AB$67/100000000</f>
        <v>6722.2462502600001</v>
      </c>
      <c r="AB98" s="150">
        <f>BS!$AC$67/100000000</f>
        <v>7130.7006812299996</v>
      </c>
      <c r="AC98" s="150">
        <f>BS!$AD$67/100000000</f>
        <v>7642.9797677200004</v>
      </c>
      <c r="AD98" s="150">
        <f>BS!$AE$67/100000000</f>
        <v>4128.8031887400002</v>
      </c>
      <c r="AE98" s="150">
        <f>BS!$AF$67/100000000</f>
        <v>3897.6534578599999</v>
      </c>
      <c r="AF98" s="150">
        <f>BS!$AG$67/100000000</f>
        <v>5517.8680028299996</v>
      </c>
      <c r="AG98" s="150">
        <f>BS!$AH$67/100000000</f>
        <v>5349.5934354999999</v>
      </c>
    </row>
    <row r="99" spans="2:33">
      <c r="B99" s="119"/>
      <c r="C99" s="119"/>
      <c r="D99" s="119"/>
      <c r="E99" s="119"/>
      <c r="F99" s="119"/>
      <c r="H99" s="110" t="s">
        <v>127</v>
      </c>
      <c r="I99" s="124"/>
      <c r="J99" s="150">
        <f>BS!$D$70/100000000</f>
        <v>2863.2503692700002</v>
      </c>
      <c r="K99" s="150">
        <f>BS!$H$70/100000000</f>
        <v>2088.9450984599998</v>
      </c>
      <c r="L99" s="150">
        <f>BS!$K$70/100000000</f>
        <v>1780.35516379</v>
      </c>
      <c r="M99" s="150">
        <f>BS!$O$70/100000000</f>
        <v>6096.1577878099997</v>
      </c>
      <c r="N99" s="150">
        <f>BS!$S$70/100000000</f>
        <v>3520.8962621999999</v>
      </c>
      <c r="O99" s="125">
        <f t="shared" si="109"/>
        <v>4535.2114165100002</v>
      </c>
      <c r="P99" s="125">
        <f t="shared" si="110"/>
        <v>7681.0428739199997</v>
      </c>
      <c r="Q99" s="125">
        <f t="shared" si="111"/>
        <v>21703.189120399999</v>
      </c>
      <c r="R99" s="125">
        <f t="shared" si="112"/>
        <v>21851.617138140002</v>
      </c>
      <c r="S99" s="124"/>
      <c r="T99" s="124"/>
      <c r="U99" s="124"/>
      <c r="V99" s="150">
        <f>BS!$W$70/100000000</f>
        <v>4535.2114165100002</v>
      </c>
      <c r="W99" s="150">
        <f>BS!$X$70/100000000</f>
        <v>3540.63348073</v>
      </c>
      <c r="X99" s="150">
        <f>BS!$Y$70/100000000</f>
        <v>4339.6651009799998</v>
      </c>
      <c r="Y99" s="150">
        <f>BS!$Z$70/100000000</f>
        <v>6374.0160757200001</v>
      </c>
      <c r="Z99" s="150">
        <f>BS!$AA$70/100000000</f>
        <v>7681.0428739199997</v>
      </c>
      <c r="AA99" s="150">
        <f>BS!$AB$70/100000000</f>
        <v>8370.8220072200002</v>
      </c>
      <c r="AB99" s="150">
        <f>BS!$AC$70/100000000</f>
        <v>9877.2399908900006</v>
      </c>
      <c r="AC99" s="150">
        <f>BS!$AD$70/100000000</f>
        <v>19209.267876540001</v>
      </c>
      <c r="AD99" s="150">
        <f>BS!$AE$70/100000000</f>
        <v>21703.189120399999</v>
      </c>
      <c r="AE99" s="150">
        <f>BS!$AF$70/100000000</f>
        <v>15311.938776159999</v>
      </c>
      <c r="AF99" s="150">
        <f>BS!$AG$70/100000000</f>
        <v>12777.772124790001</v>
      </c>
      <c r="AG99" s="150">
        <f>BS!$AH$70/100000000</f>
        <v>21851.617138140002</v>
      </c>
    </row>
    <row r="100" spans="2:33">
      <c r="B100" s="119"/>
      <c r="C100" s="119"/>
      <c r="D100" s="119"/>
      <c r="E100" s="119"/>
      <c r="F100" s="119"/>
      <c r="H100" s="110" t="s">
        <v>128</v>
      </c>
      <c r="I100" s="124"/>
      <c r="J100" s="150">
        <f>BS!$D$71/100000000</f>
        <v>1195.5241711199999</v>
      </c>
      <c r="K100" s="150">
        <f>BS!$H$71/100000000</f>
        <v>1815.03757791</v>
      </c>
      <c r="L100" s="150">
        <f>BS!$K$71/100000000</f>
        <v>1982.9876206399999</v>
      </c>
      <c r="M100" s="150">
        <f>BS!$O$71/100000000</f>
        <v>3078.6519552899999</v>
      </c>
      <c r="N100" s="150">
        <f>BS!$S$71/100000000</f>
        <v>3500.5885727599998</v>
      </c>
      <c r="O100" s="125">
        <f t="shared" si="109"/>
        <v>4653.1540923000002</v>
      </c>
      <c r="P100" s="125">
        <f t="shared" si="110"/>
        <v>11879.927640600001</v>
      </c>
      <c r="Q100" s="125">
        <f t="shared" si="111"/>
        <v>11320.71549988</v>
      </c>
      <c r="R100" s="125">
        <f t="shared" si="112"/>
        <v>18598.441302849998</v>
      </c>
      <c r="S100" s="124"/>
      <c r="T100" s="124"/>
      <c r="U100" s="124"/>
      <c r="V100" s="150">
        <f>BS!$W$71/100000000</f>
        <v>4653.1540923000002</v>
      </c>
      <c r="W100" s="150">
        <f>BS!$X$71/100000000</f>
        <v>6070.8918138700001</v>
      </c>
      <c r="X100" s="150">
        <f>BS!$Y$71/100000000</f>
        <v>7403.6122114099999</v>
      </c>
      <c r="Y100" s="150">
        <f>BS!$Z$71/100000000</f>
        <v>10723.09875503</v>
      </c>
      <c r="Z100" s="150">
        <f>BS!$AA$71/100000000</f>
        <v>11879.927640600001</v>
      </c>
      <c r="AA100" s="150">
        <f>BS!$AB$71/100000000</f>
        <v>13023.68407386</v>
      </c>
      <c r="AB100" s="150">
        <f>BS!$AC$71/100000000</f>
        <v>9436.2506277499997</v>
      </c>
      <c r="AC100" s="150">
        <f>BS!$AD$71/100000000</f>
        <v>10364.558210409999</v>
      </c>
      <c r="AD100" s="150">
        <f>BS!$AE$71/100000000</f>
        <v>11320.71549988</v>
      </c>
      <c r="AE100" s="150">
        <f>BS!$AF$71/100000000</f>
        <v>14083.566974490001</v>
      </c>
      <c r="AF100" s="150">
        <f>BS!$AG$71/100000000</f>
        <v>17015.740459299999</v>
      </c>
      <c r="AG100" s="150">
        <f>BS!$AH$71/100000000</f>
        <v>18598.441302849998</v>
      </c>
    </row>
    <row r="101" spans="2:33">
      <c r="B101" s="119"/>
      <c r="C101" s="119"/>
      <c r="D101" s="119"/>
      <c r="E101" s="119"/>
      <c r="F101" s="119"/>
      <c r="H101" s="110" t="s">
        <v>129</v>
      </c>
      <c r="I101" s="124"/>
      <c r="J101" s="150">
        <f>BS!$D$75/100000000</f>
        <v>0</v>
      </c>
      <c r="K101" s="150">
        <f>BS!$H$75/100000000</f>
        <v>0</v>
      </c>
      <c r="L101" s="150">
        <f>BS!$K$75/100000000</f>
        <v>0</v>
      </c>
      <c r="M101" s="150">
        <f>BS!$O$75/100000000</f>
        <v>0</v>
      </c>
      <c r="N101" s="150">
        <f>BS!$S$75/100000000</f>
        <v>0</v>
      </c>
      <c r="O101" s="125">
        <f t="shared" si="109"/>
        <v>0</v>
      </c>
      <c r="P101" s="125">
        <f t="shared" si="110"/>
        <v>0</v>
      </c>
      <c r="Q101" s="125">
        <f t="shared" si="111"/>
        <v>2126.7154674100002</v>
      </c>
      <c r="R101" s="125">
        <f t="shared" si="112"/>
        <v>2406.5537076000001</v>
      </c>
      <c r="S101" s="124"/>
      <c r="T101" s="124"/>
      <c r="U101" s="124"/>
      <c r="V101" s="150">
        <f>BS!$W$75/100000000</f>
        <v>0</v>
      </c>
      <c r="W101" s="150">
        <f>BS!$X$75/100000000</f>
        <v>0</v>
      </c>
      <c r="X101" s="150">
        <f>BS!$Y$75/100000000</f>
        <v>0</v>
      </c>
      <c r="Y101" s="150">
        <f>BS!$Z$75/100000000</f>
        <v>0</v>
      </c>
      <c r="Z101" s="150">
        <f>BS!$AA$75/100000000</f>
        <v>0</v>
      </c>
      <c r="AA101" s="150">
        <f>BS!$AB$75/100000000</f>
        <v>704.51289999999995</v>
      </c>
      <c r="AB101" s="150">
        <f>BS!$AC$75/100000000</f>
        <v>959.08225000000004</v>
      </c>
      <c r="AC101" s="150">
        <f>BS!$AD$75/100000000</f>
        <v>1762.1989836800001</v>
      </c>
      <c r="AD101" s="150">
        <f>BS!$AE$75/100000000</f>
        <v>2126.7154674100002</v>
      </c>
      <c r="AE101" s="150">
        <f>BS!$AF$75/100000000</f>
        <v>2132.7589189999999</v>
      </c>
      <c r="AF101" s="150">
        <f>BS!$AG$75/100000000</f>
        <v>2398.21873263</v>
      </c>
      <c r="AG101" s="150">
        <f>BS!$AH$75/100000000</f>
        <v>2406.5537076000001</v>
      </c>
    </row>
    <row r="102" spans="2:33">
      <c r="B102" s="119"/>
      <c r="C102" s="119"/>
      <c r="D102" s="119"/>
      <c r="E102" s="119"/>
      <c r="F102" s="119"/>
      <c r="H102" s="110" t="s">
        <v>130</v>
      </c>
      <c r="I102" s="124"/>
      <c r="J102" s="150"/>
      <c r="K102" s="150"/>
      <c r="L102" s="150"/>
      <c r="M102" s="150"/>
      <c r="N102" s="150"/>
      <c r="O102" s="125"/>
      <c r="P102" s="125"/>
      <c r="Q102" s="125"/>
      <c r="R102" s="125"/>
      <c r="S102" s="124"/>
      <c r="T102" s="124"/>
      <c r="U102" s="124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</row>
    <row r="103" spans="2:33">
      <c r="B103" s="119"/>
      <c r="C103" s="119"/>
      <c r="D103" s="119"/>
      <c r="E103" s="119"/>
      <c r="F103" s="119"/>
      <c r="H103" s="110" t="s">
        <v>121</v>
      </c>
      <c r="I103" s="124"/>
      <c r="J103" s="150">
        <f>BS!$D$77/100000000</f>
        <v>4165.6089670000001</v>
      </c>
      <c r="K103" s="150">
        <f>BS!$H$77/100000000</f>
        <v>4308.4925962400002</v>
      </c>
      <c r="L103" s="150">
        <f>BS!$K$77/100000000</f>
        <v>4100.51687898</v>
      </c>
      <c r="M103" s="150">
        <f>BS!$O$77/100000000</f>
        <v>3852.9398000599999</v>
      </c>
      <c r="N103" s="150">
        <f>BS!$S$77/100000000</f>
        <v>3675.2524696599999</v>
      </c>
      <c r="O103" s="125">
        <f t="shared" ref="O103:O111" si="113">V103</f>
        <v>6820.1925626000002</v>
      </c>
      <c r="P103" s="125">
        <f t="shared" ref="P103:P111" si="114">Z103</f>
        <v>7025.8613049799997</v>
      </c>
      <c r="Q103" s="125">
        <f t="shared" ref="Q103:Q111" si="115">AD103</f>
        <v>5971.0718295699999</v>
      </c>
      <c r="R103" s="125">
        <f t="shared" ref="R103:R111" si="116">AG103</f>
        <v>5233.6560128700003</v>
      </c>
      <c r="S103" s="124"/>
      <c r="T103" s="124"/>
      <c r="U103" s="124"/>
      <c r="V103" s="150">
        <f>BS!$W$77/100000000</f>
        <v>6820.1925626000002</v>
      </c>
      <c r="W103" s="150">
        <f>BS!$X$77/100000000</f>
        <v>6955.2134885100004</v>
      </c>
      <c r="X103" s="150">
        <f>BS!$Y$77/100000000</f>
        <v>7767.4812933900002</v>
      </c>
      <c r="Y103" s="150">
        <f>BS!$Z$77/100000000</f>
        <v>8318.0804912200001</v>
      </c>
      <c r="Z103" s="150">
        <f>BS!$AA$77/100000000</f>
        <v>7025.8613049799997</v>
      </c>
      <c r="AA103" s="150">
        <f>BS!$AB$77/100000000</f>
        <v>5879.6930094999998</v>
      </c>
      <c r="AB103" s="150">
        <f>BS!$AC$77/100000000</f>
        <v>6309.2352182799996</v>
      </c>
      <c r="AC103" s="150">
        <f>BS!$AD$77/100000000</f>
        <v>6510.1987031099998</v>
      </c>
      <c r="AD103" s="150">
        <f>BS!$AE$77/100000000</f>
        <v>5971.0718295699999</v>
      </c>
      <c r="AE103" s="150">
        <f>BS!$AF$77/100000000</f>
        <v>5476.0602835500003</v>
      </c>
      <c r="AF103" s="150">
        <f>BS!$AG$77/100000000</f>
        <v>5667.6526133500001</v>
      </c>
      <c r="AG103" s="150">
        <f>BS!$AH$77/100000000</f>
        <v>5233.6560128700003</v>
      </c>
    </row>
    <row r="104" spans="2:33">
      <c r="B104" s="119"/>
      <c r="C104" s="119"/>
      <c r="D104" s="119"/>
      <c r="E104" s="119"/>
      <c r="F104" s="119"/>
      <c r="H104" s="110" t="s">
        <v>122</v>
      </c>
      <c r="I104" s="124"/>
      <c r="J104" s="150">
        <f>BS!$D$78/100000000</f>
        <v>25.610719840000002</v>
      </c>
      <c r="K104" s="150">
        <f>BS!$H$78/100000000</f>
        <v>29.70602465</v>
      </c>
      <c r="L104" s="150">
        <f>BS!$K$78/100000000</f>
        <v>507.92910000000001</v>
      </c>
      <c r="M104" s="150">
        <f>BS!$O$78/100000000</f>
        <v>552.26666852000005</v>
      </c>
      <c r="N104" s="150">
        <f>BS!$S$78/100000000</f>
        <v>593.95126443000004</v>
      </c>
      <c r="O104" s="125">
        <f t="shared" si="113"/>
        <v>771.29588402000002</v>
      </c>
      <c r="P104" s="125">
        <f t="shared" si="114"/>
        <v>880.21044476999998</v>
      </c>
      <c r="Q104" s="125">
        <f t="shared" si="115"/>
        <v>0</v>
      </c>
      <c r="R104" s="125">
        <f t="shared" si="116"/>
        <v>0</v>
      </c>
      <c r="S104" s="124"/>
      <c r="T104" s="124"/>
      <c r="U104" s="124"/>
      <c r="V104" s="150">
        <f>BS!$W$78/100000000</f>
        <v>771.29588402000002</v>
      </c>
      <c r="W104" s="150">
        <f>BS!$X$78/100000000</f>
        <v>774.68794952999997</v>
      </c>
      <c r="X104" s="150">
        <f>BS!$Y$78/100000000</f>
        <v>842.50702866999995</v>
      </c>
      <c r="Y104" s="150">
        <f>BS!$Z$78/100000000</f>
        <v>862.91824252000004</v>
      </c>
      <c r="Z104" s="150">
        <f>BS!$AA$78/100000000</f>
        <v>880.21044476999998</v>
      </c>
      <c r="AA104" s="150">
        <f>BS!$AB$78/100000000</f>
        <v>0</v>
      </c>
      <c r="AB104" s="150">
        <f>BS!$AC$78/100000000</f>
        <v>0</v>
      </c>
      <c r="AC104" s="150">
        <f>BS!$AD$78/100000000</f>
        <v>0</v>
      </c>
      <c r="AD104" s="150">
        <f>BS!$AE$78/100000000</f>
        <v>0</v>
      </c>
      <c r="AE104" s="150">
        <f>BS!$AF$78/100000000</f>
        <v>0</v>
      </c>
      <c r="AF104" s="150">
        <f>BS!$AG$78/100000000</f>
        <v>0</v>
      </c>
      <c r="AG104" s="150">
        <f>BS!$AH$78/100000000</f>
        <v>0</v>
      </c>
    </row>
    <row r="105" spans="2:33">
      <c r="B105" s="119"/>
      <c r="C105" s="119"/>
      <c r="D105" s="119"/>
      <c r="E105" s="119"/>
      <c r="F105" s="119"/>
      <c r="H105" s="110" t="s">
        <v>123</v>
      </c>
      <c r="I105" s="124"/>
      <c r="J105" s="150">
        <f>BS!$D$79/100000000</f>
        <v>0</v>
      </c>
      <c r="K105" s="150">
        <f>BS!$H$79/100000000</f>
        <v>0</v>
      </c>
      <c r="L105" s="150">
        <f>BS!$K$79/100000000</f>
        <v>0</v>
      </c>
      <c r="M105" s="150">
        <f>BS!$O$79/100000000</f>
        <v>0</v>
      </c>
      <c r="N105" s="150">
        <f>BS!$S$79/100000000</f>
        <v>0</v>
      </c>
      <c r="O105" s="125">
        <f t="shared" si="113"/>
        <v>1300.2879499999999</v>
      </c>
      <c r="P105" s="125">
        <f t="shared" si="114"/>
        <v>3631.90973846</v>
      </c>
      <c r="Q105" s="125">
        <f t="shared" si="115"/>
        <v>3103.1514466799999</v>
      </c>
      <c r="R105" s="125">
        <f t="shared" si="116"/>
        <v>2741.3642634100001</v>
      </c>
      <c r="S105" s="124"/>
      <c r="T105" s="124"/>
      <c r="U105" s="124"/>
      <c r="V105" s="150">
        <f>BS!$W$79/100000000</f>
        <v>1300.2879499999999</v>
      </c>
      <c r="W105" s="150">
        <f>BS!$X$79/100000000</f>
        <v>2515.3148961500001</v>
      </c>
      <c r="X105" s="150">
        <f>BS!$Y$79/100000000</f>
        <v>1001.5590218900001</v>
      </c>
      <c r="Y105" s="150">
        <f>BS!$Z$79/100000000</f>
        <v>1917.09170367</v>
      </c>
      <c r="Z105" s="150">
        <f>BS!$AA$79/100000000</f>
        <v>3631.90973846</v>
      </c>
      <c r="AA105" s="150">
        <f>BS!$AB$79/100000000</f>
        <v>4525.5905810300001</v>
      </c>
      <c r="AB105" s="150">
        <f>BS!$AC$79/100000000</f>
        <v>4322.3254567599997</v>
      </c>
      <c r="AC105" s="150">
        <f>BS!$AD$79/100000000</f>
        <v>2704.55208533</v>
      </c>
      <c r="AD105" s="150">
        <f>BS!$AE$79/100000000</f>
        <v>3103.1514466799999</v>
      </c>
      <c r="AE105" s="150">
        <f>BS!$AF$79/100000000</f>
        <v>403.23021088000002</v>
      </c>
      <c r="AF105" s="150">
        <f>BS!$AG$79/100000000</f>
        <v>2714.3914390199998</v>
      </c>
      <c r="AG105" s="150">
        <f>BS!$AH$79/100000000</f>
        <v>2741.3642634100001</v>
      </c>
    </row>
    <row r="106" spans="2:33">
      <c r="B106" s="119"/>
      <c r="C106" s="119"/>
      <c r="D106" s="119"/>
      <c r="E106" s="119"/>
      <c r="F106" s="119"/>
      <c r="H106" s="110" t="s">
        <v>124</v>
      </c>
      <c r="I106" s="124"/>
      <c r="J106" s="150">
        <f>BS!$D$80/100000000</f>
        <v>0</v>
      </c>
      <c r="K106" s="150">
        <f>BS!$H$80/100000000</f>
        <v>0</v>
      </c>
      <c r="L106" s="150">
        <f>BS!$K$80/100000000</f>
        <v>0</v>
      </c>
      <c r="M106" s="150">
        <f>BS!$O$80/100000000</f>
        <v>0</v>
      </c>
      <c r="N106" s="150">
        <f>BS!$S$80/100000000</f>
        <v>7803.4931723600002</v>
      </c>
      <c r="O106" s="125">
        <f t="shared" si="113"/>
        <v>21258.86591769</v>
      </c>
      <c r="P106" s="125">
        <f t="shared" si="114"/>
        <v>12056.366002119999</v>
      </c>
      <c r="Q106" s="125">
        <f t="shared" si="115"/>
        <v>22772.400449199999</v>
      </c>
      <c r="R106" s="125">
        <f t="shared" si="116"/>
        <v>17589.95543695</v>
      </c>
      <c r="S106" s="124"/>
      <c r="T106" s="124"/>
      <c r="U106" s="124"/>
      <c r="V106" s="150">
        <f>BS!$W$80/100000000</f>
        <v>21258.86591769</v>
      </c>
      <c r="W106" s="150">
        <f>BS!$X$80/100000000</f>
        <v>20492.61239264</v>
      </c>
      <c r="X106" s="150">
        <f>BS!$Y$80/100000000</f>
        <v>14094.840879990001</v>
      </c>
      <c r="Y106" s="150">
        <f>BS!$Z$80/100000000</f>
        <v>13576.53969424</v>
      </c>
      <c r="Z106" s="150">
        <f>BS!$AA$80/100000000</f>
        <v>12056.366002119999</v>
      </c>
      <c r="AA106" s="150">
        <f>BS!$AB$80/100000000</f>
        <v>13866.87177156</v>
      </c>
      <c r="AB106" s="150">
        <f>BS!$AC$80/100000000</f>
        <v>19094.444043920001</v>
      </c>
      <c r="AC106" s="150">
        <f>BS!$AD$80/100000000</f>
        <v>28439.027259260001</v>
      </c>
      <c r="AD106" s="150">
        <f>BS!$AE$80/100000000</f>
        <v>22772.400449199999</v>
      </c>
      <c r="AE106" s="150">
        <f>BS!$AF$80/100000000</f>
        <v>17170.97843064</v>
      </c>
      <c r="AF106" s="150">
        <f>BS!$AG$80/100000000</f>
        <v>15987.5864867</v>
      </c>
      <c r="AG106" s="150">
        <f>BS!$AH$80/100000000</f>
        <v>17589.95543695</v>
      </c>
    </row>
    <row r="107" spans="2:33">
      <c r="B107" s="119"/>
      <c r="C107" s="119"/>
      <c r="D107" s="119"/>
      <c r="E107" s="119"/>
      <c r="F107" s="119"/>
      <c r="H107" s="110" t="s">
        <v>125</v>
      </c>
      <c r="I107" s="124"/>
      <c r="J107" s="150">
        <f>BS!$D$81/100000000</f>
        <v>186.25975990000001</v>
      </c>
      <c r="K107" s="150">
        <f>BS!$H$81/100000000</f>
        <v>980.33746441000005</v>
      </c>
      <c r="L107" s="150">
        <f>BS!$K$81/100000000</f>
        <v>181.46819816999999</v>
      </c>
      <c r="M107" s="150">
        <f>BS!$O$81/100000000</f>
        <v>168.48228316999999</v>
      </c>
      <c r="N107" s="150">
        <f>BS!$S$81/100000000</f>
        <v>1949.97337625</v>
      </c>
      <c r="O107" s="125">
        <f t="shared" si="113"/>
        <v>4430.2285529500004</v>
      </c>
      <c r="P107" s="125">
        <f t="shared" si="114"/>
        <v>4686.4947231200003</v>
      </c>
      <c r="Q107" s="125">
        <f t="shared" si="115"/>
        <v>3911.1775723599999</v>
      </c>
      <c r="R107" s="125">
        <f t="shared" si="116"/>
        <v>2134.7891039199999</v>
      </c>
      <c r="S107" s="124"/>
      <c r="T107" s="124"/>
      <c r="U107" s="124"/>
      <c r="V107" s="150">
        <f>BS!$W$81/100000000</f>
        <v>4430.2285529500004</v>
      </c>
      <c r="W107" s="150">
        <f>BS!$X$81/100000000</f>
        <v>4511.9898105000002</v>
      </c>
      <c r="X107" s="150">
        <f>BS!$Y$81/100000000</f>
        <v>4107.90838171</v>
      </c>
      <c r="Y107" s="150">
        <f>BS!$Z$81/100000000</f>
        <v>3595.6784085600002</v>
      </c>
      <c r="Z107" s="150">
        <f>BS!$AA$81/100000000</f>
        <v>4686.4947231200003</v>
      </c>
      <c r="AA107" s="150">
        <f>BS!$AB$81/100000000</f>
        <v>7180.0033621900002</v>
      </c>
      <c r="AB107" s="150">
        <f>BS!$AC$81/100000000</f>
        <v>4789.5793670599996</v>
      </c>
      <c r="AC107" s="150">
        <f>BS!$AD$81/100000000</f>
        <v>3600.5765118499999</v>
      </c>
      <c r="AD107" s="150">
        <f>BS!$AE$81/100000000</f>
        <v>3911.1775723599999</v>
      </c>
      <c r="AE107" s="150">
        <f>BS!$AF$81/100000000</f>
        <v>4430.1222158099999</v>
      </c>
      <c r="AF107" s="150">
        <f>BS!$AG$81/100000000</f>
        <v>4043.0681039400001</v>
      </c>
      <c r="AG107" s="150">
        <f>BS!$AH$81/100000000</f>
        <v>2134.7891039199999</v>
      </c>
    </row>
    <row r="108" spans="2:33">
      <c r="B108" s="119"/>
      <c r="C108" s="119"/>
      <c r="D108" s="119"/>
      <c r="E108" s="119"/>
      <c r="F108" s="119"/>
      <c r="H108" s="110" t="s">
        <v>126</v>
      </c>
      <c r="I108" s="124"/>
      <c r="J108" s="150">
        <f>BS!$D$82/100000000</f>
        <v>1627.83418893</v>
      </c>
      <c r="K108" s="150">
        <f>BS!$H$82/100000000</f>
        <v>2131.3125432500001</v>
      </c>
      <c r="L108" s="150">
        <f>BS!$K$82/100000000</f>
        <v>2904.3126337200001</v>
      </c>
      <c r="M108" s="150">
        <f>BS!$O$82/100000000</f>
        <v>2965.0270877500002</v>
      </c>
      <c r="N108" s="150">
        <f>BS!$S$82/100000000</f>
        <v>4475.8835037099998</v>
      </c>
      <c r="O108" s="125">
        <f t="shared" si="113"/>
        <v>4576.0156111699998</v>
      </c>
      <c r="P108" s="125">
        <f t="shared" si="114"/>
        <v>6341.1206085000003</v>
      </c>
      <c r="Q108" s="125">
        <f t="shared" si="115"/>
        <v>0</v>
      </c>
      <c r="R108" s="125">
        <f t="shared" si="116"/>
        <v>0</v>
      </c>
      <c r="S108" s="124"/>
      <c r="T108" s="124"/>
      <c r="U108" s="124"/>
      <c r="V108" s="150">
        <f>BS!$W$82/100000000</f>
        <v>4576.0156111699998</v>
      </c>
      <c r="W108" s="150">
        <f>BS!$X$82/100000000</f>
        <v>5572.8226133999997</v>
      </c>
      <c r="X108" s="150">
        <f>BS!$Y$82/100000000</f>
        <v>4307.6070785499996</v>
      </c>
      <c r="Y108" s="150">
        <f>BS!$Z$82/100000000</f>
        <v>4581.4532823099998</v>
      </c>
      <c r="Z108" s="150">
        <f>BS!$AA$82/100000000</f>
        <v>6341.1206085000003</v>
      </c>
      <c r="AA108" s="150">
        <f>BS!$AB$82/100000000</f>
        <v>0</v>
      </c>
      <c r="AB108" s="150">
        <f>BS!$AC$82/100000000</f>
        <v>0</v>
      </c>
      <c r="AC108" s="150">
        <f>BS!$AD$82/100000000</f>
        <v>0</v>
      </c>
      <c r="AD108" s="150">
        <f>BS!$AE$82/100000000</f>
        <v>0</v>
      </c>
      <c r="AE108" s="150">
        <f>BS!$AF$82/100000000</f>
        <v>0</v>
      </c>
      <c r="AF108" s="150">
        <f>BS!$AG$82/100000000</f>
        <v>0</v>
      </c>
      <c r="AG108" s="150">
        <f>BS!$AH$82/100000000</f>
        <v>0</v>
      </c>
    </row>
    <row r="109" spans="2:33">
      <c r="B109" s="119"/>
      <c r="C109" s="119"/>
      <c r="D109" s="119"/>
      <c r="E109" s="119"/>
      <c r="F109" s="119"/>
      <c r="H109" s="110" t="s">
        <v>127</v>
      </c>
      <c r="I109" s="124"/>
      <c r="J109" s="150">
        <f>BS!$D$85/100000000</f>
        <v>0</v>
      </c>
      <c r="K109" s="150">
        <f>BS!$H$85/100000000</f>
        <v>0</v>
      </c>
      <c r="L109" s="150">
        <f>BS!$K$85/100000000</f>
        <v>0</v>
      </c>
      <c r="M109" s="150">
        <f>BS!$O$85/100000000</f>
        <v>0</v>
      </c>
      <c r="N109" s="150">
        <f>BS!$S$85/100000000</f>
        <v>0</v>
      </c>
      <c r="O109" s="125">
        <f t="shared" si="113"/>
        <v>0</v>
      </c>
      <c r="P109" s="125">
        <f t="shared" si="114"/>
        <v>0</v>
      </c>
      <c r="Q109" s="125">
        <f t="shared" si="115"/>
        <v>0</v>
      </c>
      <c r="R109" s="125">
        <f t="shared" si="116"/>
        <v>0</v>
      </c>
      <c r="S109" s="124"/>
      <c r="T109" s="124"/>
      <c r="U109" s="124"/>
      <c r="V109" s="150">
        <f>BS!$W$85/100000000</f>
        <v>0</v>
      </c>
      <c r="W109" s="150">
        <f>BS!$X$85/100000000</f>
        <v>0</v>
      </c>
      <c r="X109" s="150">
        <f>BS!$Y$85/100000000</f>
        <v>0</v>
      </c>
      <c r="Y109" s="150">
        <f>BS!$Z$85/100000000</f>
        <v>0</v>
      </c>
      <c r="Z109" s="150">
        <f>BS!$AA$85/100000000</f>
        <v>0</v>
      </c>
      <c r="AA109" s="150">
        <f>BS!$AB$85/100000000</f>
        <v>0</v>
      </c>
      <c r="AB109" s="150">
        <f>BS!$AC$85/100000000</f>
        <v>0</v>
      </c>
      <c r="AC109" s="150">
        <f>BS!$AD$85/100000000</f>
        <v>0</v>
      </c>
      <c r="AD109" s="150">
        <f>BS!$AE$85/100000000</f>
        <v>0</v>
      </c>
      <c r="AE109" s="150">
        <f>BS!$AF$85/100000000</f>
        <v>0</v>
      </c>
      <c r="AF109" s="150">
        <f>BS!$AG$85/100000000</f>
        <v>0</v>
      </c>
      <c r="AG109" s="150">
        <f>BS!$AH$85/100000000</f>
        <v>0</v>
      </c>
    </row>
    <row r="110" spans="2:33">
      <c r="B110" s="119"/>
      <c r="C110" s="119"/>
      <c r="D110" s="119"/>
      <c r="E110" s="119"/>
      <c r="F110" s="119"/>
      <c r="H110" s="110" t="s">
        <v>128</v>
      </c>
      <c r="I110" s="124"/>
      <c r="J110" s="150">
        <f>BS!$D$86/100000000</f>
        <v>2333.3114916</v>
      </c>
      <c r="K110" s="150">
        <f>BS!$H$86/100000000</f>
        <v>0</v>
      </c>
      <c r="L110" s="150">
        <f>BS!$K$86/100000000</f>
        <v>0</v>
      </c>
      <c r="M110" s="150">
        <f>BS!$O$86/100000000</f>
        <v>0</v>
      </c>
      <c r="N110" s="150">
        <f>BS!$S$86/100000000</f>
        <v>290.66877108</v>
      </c>
      <c r="O110" s="125">
        <f t="shared" si="113"/>
        <v>219.21114126000001</v>
      </c>
      <c r="P110" s="125">
        <f t="shared" si="114"/>
        <v>129.34308952999999</v>
      </c>
      <c r="Q110" s="125">
        <f t="shared" si="115"/>
        <v>0</v>
      </c>
      <c r="R110" s="125">
        <f t="shared" si="116"/>
        <v>0</v>
      </c>
      <c r="S110" s="124"/>
      <c r="T110" s="124"/>
      <c r="U110" s="124"/>
      <c r="V110" s="150">
        <f>BS!$W$86/100000000</f>
        <v>219.21114126000001</v>
      </c>
      <c r="W110" s="150">
        <f>BS!$X$86/100000000</f>
        <v>204.41738948</v>
      </c>
      <c r="X110" s="150">
        <f>BS!$Y$86/100000000</f>
        <v>212.03156014999999</v>
      </c>
      <c r="Y110" s="150">
        <f>BS!$Z$86/100000000</f>
        <v>119.6720602</v>
      </c>
      <c r="Z110" s="150">
        <f>BS!$AA$86/100000000</f>
        <v>129.34308952999999</v>
      </c>
      <c r="AA110" s="150">
        <f>BS!$AB$86/100000000</f>
        <v>0</v>
      </c>
      <c r="AB110" s="150">
        <f>BS!$AC$86/100000000</f>
        <v>0</v>
      </c>
      <c r="AC110" s="150">
        <f>BS!$AD$86/100000000</f>
        <v>0</v>
      </c>
      <c r="AD110" s="150">
        <f>BS!$AE$86/100000000</f>
        <v>0</v>
      </c>
      <c r="AE110" s="150">
        <f>BS!$AF$86/100000000</f>
        <v>0</v>
      </c>
      <c r="AF110" s="150">
        <f>BS!$AG$86/100000000</f>
        <v>0</v>
      </c>
      <c r="AG110" s="150">
        <f>BS!$AH$86/100000000</f>
        <v>0</v>
      </c>
    </row>
    <row r="111" spans="2:33">
      <c r="B111" s="119"/>
      <c r="C111" s="119"/>
      <c r="D111" s="119"/>
      <c r="E111" s="119"/>
      <c r="F111" s="119"/>
      <c r="H111" s="110" t="s">
        <v>129</v>
      </c>
      <c r="I111" s="124"/>
      <c r="J111" s="150">
        <f>BS!$D$90/100000000</f>
        <v>0</v>
      </c>
      <c r="K111" s="150">
        <f>BS!$H$90/100000000</f>
        <v>0</v>
      </c>
      <c r="L111" s="150">
        <f>BS!$K$90/100000000</f>
        <v>0</v>
      </c>
      <c r="M111" s="150">
        <f>BS!$O$90/100000000</f>
        <v>0</v>
      </c>
      <c r="N111" s="150">
        <f>BS!$S$90/100000000</f>
        <v>0</v>
      </c>
      <c r="O111" s="125">
        <f t="shared" si="113"/>
        <v>0</v>
      </c>
      <c r="P111" s="125">
        <f t="shared" si="114"/>
        <v>0</v>
      </c>
      <c r="Q111" s="125">
        <f t="shared" si="115"/>
        <v>0</v>
      </c>
      <c r="R111" s="125">
        <f t="shared" si="116"/>
        <v>0</v>
      </c>
      <c r="S111" s="124"/>
      <c r="T111" s="124"/>
      <c r="U111" s="124"/>
      <c r="V111" s="150">
        <f>BS!$W$90/100000000</f>
        <v>0</v>
      </c>
      <c r="W111" s="150">
        <f>BS!$X$90/100000000</f>
        <v>0</v>
      </c>
      <c r="X111" s="150">
        <f>BS!$Y$90/100000000</f>
        <v>0</v>
      </c>
      <c r="Y111" s="150">
        <f>BS!$Z$90/100000000</f>
        <v>0</v>
      </c>
      <c r="Z111" s="150">
        <f>BS!$AA$90/100000000</f>
        <v>0</v>
      </c>
      <c r="AA111" s="150">
        <f>BS!$AB$90/100000000</f>
        <v>0</v>
      </c>
      <c r="AB111" s="150">
        <f>BS!$AC$90/100000000</f>
        <v>0</v>
      </c>
      <c r="AC111" s="150">
        <f>BS!$AD$90/100000000</f>
        <v>0</v>
      </c>
      <c r="AD111" s="150">
        <f>BS!$AE$90/100000000</f>
        <v>0</v>
      </c>
      <c r="AE111" s="150">
        <f>BS!$AF$90/100000000</f>
        <v>0</v>
      </c>
      <c r="AF111" s="150">
        <f>BS!$AG$90/100000000</f>
        <v>0</v>
      </c>
      <c r="AG111" s="150">
        <f>BS!$AH$90/100000000</f>
        <v>0</v>
      </c>
    </row>
    <row r="112" spans="2:33">
      <c r="B112" s="119"/>
      <c r="C112" s="119"/>
      <c r="D112" s="119"/>
      <c r="E112" s="119"/>
      <c r="F112" s="119"/>
      <c r="H112" s="110" t="s">
        <v>131</v>
      </c>
      <c r="I112" s="124"/>
      <c r="J112" s="150"/>
      <c r="K112" s="150"/>
      <c r="L112" s="150"/>
      <c r="M112" s="150"/>
      <c r="N112" s="150"/>
      <c r="O112" s="125"/>
      <c r="P112" s="125"/>
      <c r="Q112" s="125"/>
      <c r="R112" s="125"/>
      <c r="S112" s="124"/>
      <c r="T112" s="124"/>
      <c r="U112" s="124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</row>
    <row r="113" spans="2:33">
      <c r="B113" s="119"/>
      <c r="C113" s="119"/>
      <c r="D113" s="119"/>
      <c r="E113" s="119"/>
      <c r="F113" s="119"/>
      <c r="H113" s="110" t="s">
        <v>123</v>
      </c>
      <c r="I113" s="124"/>
      <c r="J113" s="150">
        <f>BS!$D$92/100000000</f>
        <v>0</v>
      </c>
      <c r="K113" s="150">
        <f>BS!$H$92/100000000</f>
        <v>0</v>
      </c>
      <c r="L113" s="150">
        <f>BS!$K$92/100000000</f>
        <v>0</v>
      </c>
      <c r="M113" s="150">
        <f>BS!$O$92/100000000</f>
        <v>0</v>
      </c>
      <c r="N113" s="150">
        <f>BS!$S$92/100000000</f>
        <v>0</v>
      </c>
      <c r="O113" s="125">
        <f t="shared" ref="O113:O131" si="117">V113</f>
        <v>0</v>
      </c>
      <c r="P113" s="125">
        <f t="shared" ref="P113:P131" si="118">Z113</f>
        <v>0</v>
      </c>
      <c r="Q113" s="125">
        <f t="shared" ref="Q113:Q125" si="119">AD113</f>
        <v>192.05167098000001</v>
      </c>
      <c r="R113" s="125">
        <f t="shared" ref="R113:R125" si="120">AG113</f>
        <v>193.35851585</v>
      </c>
      <c r="S113" s="124"/>
      <c r="T113" s="124"/>
      <c r="U113" s="124"/>
      <c r="V113" s="150">
        <f>BS!$W$92/100000000</f>
        <v>0</v>
      </c>
      <c r="W113" s="150">
        <f>BS!$X$92/100000000</f>
        <v>0</v>
      </c>
      <c r="X113" s="150">
        <f>BS!$Y$92/100000000</f>
        <v>0</v>
      </c>
      <c r="Y113" s="150">
        <f>BS!$Z$92/100000000</f>
        <v>0</v>
      </c>
      <c r="Z113" s="150">
        <f>BS!$AA$92/100000000</f>
        <v>0</v>
      </c>
      <c r="AA113" s="150">
        <f>BS!$AB$92/100000000</f>
        <v>190.77415264000001</v>
      </c>
      <c r="AB113" s="150">
        <f>BS!$AC$92/100000000</f>
        <v>191.18320476</v>
      </c>
      <c r="AC113" s="150">
        <f>BS!$AD$92/100000000</f>
        <v>191.61040334</v>
      </c>
      <c r="AD113" s="150">
        <f>BS!$AE$92/100000000</f>
        <v>192.05167098000001</v>
      </c>
      <c r="AE113" s="150">
        <f>BS!$AF$92/100000000</f>
        <v>192.48478438999999</v>
      </c>
      <c r="AF113" s="150">
        <f>BS!$AG$92/100000000</f>
        <v>192.9123093</v>
      </c>
      <c r="AG113" s="150">
        <f>BS!$AH$92/100000000</f>
        <v>193.35851585</v>
      </c>
    </row>
    <row r="114" spans="2:33">
      <c r="B114" s="119"/>
      <c r="C114" s="119"/>
      <c r="D114" s="119"/>
      <c r="E114" s="119"/>
      <c r="F114" s="119"/>
      <c r="H114" s="110" t="s">
        <v>124</v>
      </c>
      <c r="I114" s="124"/>
      <c r="J114" s="150">
        <f>BS!$D$93/100000000</f>
        <v>0</v>
      </c>
      <c r="K114" s="150">
        <f>BS!$H$93/100000000</f>
        <v>0</v>
      </c>
      <c r="L114" s="150">
        <f>BS!$K$93/100000000</f>
        <v>0</v>
      </c>
      <c r="M114" s="150">
        <f>BS!$O$93/100000000</f>
        <v>0</v>
      </c>
      <c r="N114" s="150">
        <f>BS!$S$93/100000000</f>
        <v>0</v>
      </c>
      <c r="O114" s="125">
        <f t="shared" si="117"/>
        <v>0</v>
      </c>
      <c r="P114" s="125">
        <f t="shared" si="118"/>
        <v>0</v>
      </c>
      <c r="Q114" s="125">
        <f t="shared" si="119"/>
        <v>0</v>
      </c>
      <c r="R114" s="125">
        <f t="shared" si="120"/>
        <v>0</v>
      </c>
      <c r="S114" s="124"/>
      <c r="T114" s="124"/>
      <c r="U114" s="124"/>
      <c r="V114" s="150">
        <f>BS!$W$93/100000000</f>
        <v>0</v>
      </c>
      <c r="W114" s="150">
        <f>BS!$X$93/100000000</f>
        <v>0</v>
      </c>
      <c r="X114" s="150">
        <f>BS!$Y$93/100000000</f>
        <v>0</v>
      </c>
      <c r="Y114" s="150">
        <f>BS!$Z$93/100000000</f>
        <v>0</v>
      </c>
      <c r="Z114" s="150">
        <f>BS!$AA$93/100000000</f>
        <v>0</v>
      </c>
      <c r="AA114" s="150">
        <f>BS!$AB$93/100000000</f>
        <v>0</v>
      </c>
      <c r="AB114" s="150">
        <f>BS!$AC$93/100000000</f>
        <v>0</v>
      </c>
      <c r="AC114" s="150">
        <f>BS!$AD$93/100000000</f>
        <v>0</v>
      </c>
      <c r="AD114" s="150">
        <f>BS!$AE$93/100000000</f>
        <v>0</v>
      </c>
      <c r="AE114" s="150">
        <f>BS!$AF$93/100000000</f>
        <v>0</v>
      </c>
      <c r="AF114" s="150">
        <f>BS!$AG$93/100000000</f>
        <v>0</v>
      </c>
      <c r="AG114" s="150">
        <f>BS!$AH$93/100000000</f>
        <v>0</v>
      </c>
    </row>
    <row r="115" spans="2:33">
      <c r="B115" s="119"/>
      <c r="C115" s="119"/>
      <c r="D115" s="119"/>
      <c r="E115" s="119"/>
      <c r="F115" s="119"/>
      <c r="H115" s="110" t="s">
        <v>132</v>
      </c>
      <c r="I115" s="124"/>
      <c r="J115" s="150">
        <f>BS!$D$96/100000000</f>
        <v>1099.7406575499999</v>
      </c>
      <c r="K115" s="150">
        <f>BS!$H$96/100000000</f>
        <v>4254.2978276599997</v>
      </c>
      <c r="L115" s="150">
        <f>BS!$K$96/100000000</f>
        <v>4577.35865233</v>
      </c>
      <c r="M115" s="150">
        <f>BS!$O$96/100000000</f>
        <v>5935.2910772300002</v>
      </c>
      <c r="N115" s="150">
        <f>BS!$S$96/100000000</f>
        <v>6906.80568881</v>
      </c>
      <c r="O115" s="125">
        <f t="shared" si="117"/>
        <v>7611.50325342</v>
      </c>
      <c r="P115" s="125">
        <f t="shared" si="118"/>
        <v>8117.4936839600005</v>
      </c>
      <c r="Q115" s="125">
        <f t="shared" si="119"/>
        <v>18164.449087659999</v>
      </c>
      <c r="R115" s="125">
        <f t="shared" si="120"/>
        <v>33719.470408540001</v>
      </c>
      <c r="S115" s="124"/>
      <c r="T115" s="124"/>
      <c r="U115" s="124"/>
      <c r="V115" s="150">
        <f>BS!$W$96/100000000</f>
        <v>7611.50325342</v>
      </c>
      <c r="W115" s="150">
        <f>BS!$X$96/100000000</f>
        <v>8015.6676090600004</v>
      </c>
      <c r="X115" s="150">
        <f>BS!$Y$96/100000000</f>
        <v>8084.99872142</v>
      </c>
      <c r="Y115" s="150">
        <f>BS!$Z$96/100000000</f>
        <v>8196.1584249700009</v>
      </c>
      <c r="Z115" s="150">
        <f>BS!$AA$96/100000000</f>
        <v>8117.4936839600005</v>
      </c>
      <c r="AA115" s="150">
        <f>BS!$AB$96/100000000</f>
        <v>8566.4333017000008</v>
      </c>
      <c r="AB115" s="150">
        <f>BS!$AC$96/100000000</f>
        <v>13004.07023693</v>
      </c>
      <c r="AC115" s="150">
        <f>BS!$AD$96/100000000</f>
        <v>12304.704889099999</v>
      </c>
      <c r="AD115" s="150">
        <f>BS!$AE$96/100000000</f>
        <v>18164.449087659999</v>
      </c>
      <c r="AE115" s="150">
        <f>BS!$AF$96/100000000</f>
        <v>25770.668915269998</v>
      </c>
      <c r="AF115" s="150">
        <f>BS!$AG$96/100000000</f>
        <v>30648.196754199998</v>
      </c>
      <c r="AG115" s="150">
        <f>BS!$AH$96/100000000</f>
        <v>33719.470408540001</v>
      </c>
    </row>
    <row r="116" spans="2:33">
      <c r="B116" s="119"/>
      <c r="C116" s="119"/>
      <c r="D116" s="119"/>
      <c r="E116" s="119"/>
      <c r="F116" s="119"/>
      <c r="H116" s="110" t="s">
        <v>8</v>
      </c>
      <c r="I116" s="124"/>
      <c r="J116" s="150">
        <f>BS!$D$105/100000000</f>
        <v>7566.4815759700004</v>
      </c>
      <c r="K116" s="150">
        <f>BS!$H$105/100000000</f>
        <v>4368.2206216900004</v>
      </c>
      <c r="L116" s="150">
        <f>BS!$K$105/100000000</f>
        <v>4169.8944731399997</v>
      </c>
      <c r="M116" s="150">
        <f>BS!$O$105/100000000</f>
        <v>6236.6198522799996</v>
      </c>
      <c r="N116" s="150">
        <f>BS!$S$105/100000000</f>
        <v>5751.1227711700003</v>
      </c>
      <c r="O116" s="125">
        <f t="shared" si="117"/>
        <v>7390.6547304699998</v>
      </c>
      <c r="P116" s="125">
        <f t="shared" si="118"/>
        <v>2786.0789467300001</v>
      </c>
      <c r="Q116" s="125">
        <f t="shared" si="119"/>
        <v>2783.9375767199999</v>
      </c>
      <c r="R116" s="125">
        <f t="shared" si="120"/>
        <v>2055.5485344600002</v>
      </c>
      <c r="S116" s="124"/>
      <c r="T116" s="124"/>
      <c r="U116" s="124"/>
      <c r="V116" s="150">
        <f>BS!$W$105/100000000</f>
        <v>7390.6547304699998</v>
      </c>
      <c r="W116" s="150">
        <f>BS!$X$105/100000000</f>
        <v>6034.4608010499996</v>
      </c>
      <c r="X116" s="150">
        <f>BS!$Y$105/100000000</f>
        <v>5398.1751490099996</v>
      </c>
      <c r="Y116" s="150">
        <f>BS!$Z$105/100000000</f>
        <v>4173.0784553399999</v>
      </c>
      <c r="Z116" s="150">
        <f>BS!$AA$105/100000000</f>
        <v>2786.0789467300001</v>
      </c>
      <c r="AA116" s="150">
        <f>BS!$AB$105/100000000</f>
        <v>3047.2618814399998</v>
      </c>
      <c r="AB116" s="150">
        <f>BS!$AC$105/100000000</f>
        <v>2825.0320860699999</v>
      </c>
      <c r="AC116" s="150">
        <f>BS!$AD$105/100000000</f>
        <v>3111.4463305600002</v>
      </c>
      <c r="AD116" s="150">
        <f>BS!$AE$105/100000000</f>
        <v>2783.9375767199999</v>
      </c>
      <c r="AE116" s="150">
        <f>BS!$AF$105/100000000</f>
        <v>2657.83745907</v>
      </c>
      <c r="AF116" s="150">
        <f>BS!$AG$105/100000000</f>
        <v>2688.7368933100001</v>
      </c>
      <c r="AG116" s="150">
        <f>BS!$AH$105/100000000</f>
        <v>2055.5485344600002</v>
      </c>
    </row>
    <row r="117" spans="2:33">
      <c r="B117" s="119"/>
      <c r="C117" s="119"/>
      <c r="D117" s="119"/>
      <c r="E117" s="119"/>
      <c r="F117" s="119"/>
      <c r="H117" s="110" t="s">
        <v>133</v>
      </c>
      <c r="I117" s="124"/>
      <c r="J117" s="150">
        <f>BS!$D$113/100000000</f>
        <v>2157.72835622</v>
      </c>
      <c r="K117" s="150">
        <f>BS!$H$113/100000000</f>
        <v>2207.6724451999999</v>
      </c>
      <c r="L117" s="150">
        <f>BS!$K$113/100000000</f>
        <v>2942.3866242099998</v>
      </c>
      <c r="M117" s="150">
        <f>BS!$O$113/100000000</f>
        <v>3744.6156286099999</v>
      </c>
      <c r="N117" s="150">
        <f>BS!$S$113/100000000</f>
        <v>2774.1192185899999</v>
      </c>
      <c r="O117" s="125">
        <f t="shared" si="117"/>
        <v>3106.6062681799999</v>
      </c>
      <c r="P117" s="125">
        <f t="shared" si="118"/>
        <v>2470.30883356</v>
      </c>
      <c r="Q117" s="125">
        <f t="shared" si="119"/>
        <v>4048.4596534799998</v>
      </c>
      <c r="R117" s="125">
        <f t="shared" si="120"/>
        <v>7820.4435572000002</v>
      </c>
      <c r="S117" s="124"/>
      <c r="T117" s="124"/>
      <c r="U117" s="124"/>
      <c r="V117" s="150">
        <f>BS!$W$113/100000000</f>
        <v>3106.6062681799999</v>
      </c>
      <c r="W117" s="150">
        <f>BS!$X$113/100000000</f>
        <v>3670.1696244200002</v>
      </c>
      <c r="X117" s="150">
        <f>BS!$Y$113/100000000</f>
        <v>3986.5370228199999</v>
      </c>
      <c r="Y117" s="150">
        <f>BS!$Z$113/100000000</f>
        <v>4610.6294051100003</v>
      </c>
      <c r="Z117" s="150">
        <f>BS!$AA$113/100000000</f>
        <v>2470.30883356</v>
      </c>
      <c r="AA117" s="150">
        <f>BS!$AB$113/100000000</f>
        <v>2564.0274543199998</v>
      </c>
      <c r="AB117" s="150">
        <f>BS!$AC$113/100000000</f>
        <v>3802.7736133799999</v>
      </c>
      <c r="AC117" s="150">
        <f>BS!$AD$113/100000000</f>
        <v>3439.63244644</v>
      </c>
      <c r="AD117" s="150">
        <f>BS!$AE$113/100000000</f>
        <v>4048.4596534799998</v>
      </c>
      <c r="AE117" s="150">
        <f>BS!$AF$113/100000000</f>
        <v>4751.43942522</v>
      </c>
      <c r="AF117" s="150">
        <f>BS!$AG$113/100000000</f>
        <v>6628.1465331500003</v>
      </c>
      <c r="AG117" s="150">
        <f>BS!$AH$113/100000000</f>
        <v>7820.4435572000002</v>
      </c>
    </row>
    <row r="118" spans="2:33">
      <c r="B118" s="119"/>
      <c r="C118" s="119"/>
      <c r="D118" s="119"/>
      <c r="E118" s="119"/>
      <c r="F118" s="119"/>
      <c r="H118" s="110" t="s">
        <v>134</v>
      </c>
      <c r="I118" s="124"/>
      <c r="J118" s="150">
        <f>BS!$D$137/100000000</f>
        <v>11362.955513860001</v>
      </c>
      <c r="K118" s="150">
        <f>BS!$H$137/100000000</f>
        <v>14697.519643600001</v>
      </c>
      <c r="L118" s="150">
        <f>BS!$K$137/100000000</f>
        <v>14787.290585070001</v>
      </c>
      <c r="M118" s="150">
        <f>BS!$O$137/100000000</f>
        <v>13957.09317111</v>
      </c>
      <c r="N118" s="150">
        <f>BS!$S$137/100000000</f>
        <v>17554.358424450002</v>
      </c>
      <c r="O118" s="125">
        <f t="shared" si="117"/>
        <v>19972.17555177</v>
      </c>
      <c r="P118" s="125">
        <f t="shared" si="118"/>
        <v>33520.247614970001</v>
      </c>
      <c r="Q118" s="125">
        <f t="shared" si="119"/>
        <v>39926.181118230001</v>
      </c>
      <c r="R118" s="125">
        <f t="shared" si="120"/>
        <v>45222.263071120004</v>
      </c>
      <c r="S118" s="124"/>
      <c r="T118" s="124"/>
      <c r="U118" s="124"/>
      <c r="V118" s="150">
        <f>BS!$W$137/100000000</f>
        <v>19972.17555177</v>
      </c>
      <c r="W118" s="150">
        <f>BS!$X$137/100000000</f>
        <v>22741.812711070001</v>
      </c>
      <c r="X118" s="150">
        <f>BS!$Y$137/100000000</f>
        <v>29608.824615699999</v>
      </c>
      <c r="Y118" s="150">
        <f>BS!$Z$137/100000000</f>
        <v>28188.036118929998</v>
      </c>
      <c r="Z118" s="150">
        <f>BS!$AA$137/100000000</f>
        <v>33520.247614970001</v>
      </c>
      <c r="AA118" s="150">
        <f>BS!$AB$137/100000000</f>
        <v>40094.594443820002</v>
      </c>
      <c r="AB118" s="150">
        <f>BS!$AC$137/100000000</f>
        <v>42127.566268280003</v>
      </c>
      <c r="AC118" s="150">
        <f>BS!$AD$137/100000000</f>
        <v>40660.459973509998</v>
      </c>
      <c r="AD118" s="150">
        <f>BS!$AE$137/100000000</f>
        <v>39926.181118230001</v>
      </c>
      <c r="AE118" s="150">
        <f>BS!$AF$137/100000000</f>
        <v>47081.08111087</v>
      </c>
      <c r="AF118" s="150">
        <f>BS!$AG$137/100000000</f>
        <v>44418.965668340003</v>
      </c>
      <c r="AG118" s="150">
        <f>BS!$AH$137/100000000</f>
        <v>45222.263071120004</v>
      </c>
    </row>
    <row r="119" spans="2:33">
      <c r="B119" s="119"/>
      <c r="C119" s="119"/>
      <c r="D119" s="119"/>
      <c r="E119" s="119"/>
      <c r="F119" s="119"/>
      <c r="H119" s="110" t="s">
        <v>665</v>
      </c>
      <c r="I119" s="124"/>
      <c r="J119" s="150">
        <f>BS!$D$141/100000000</f>
        <v>0</v>
      </c>
      <c r="K119" s="150">
        <f>BS!$H$141/100000000</f>
        <v>0</v>
      </c>
      <c r="L119" s="150">
        <f>BS!$K$141/100000000</f>
        <v>0</v>
      </c>
      <c r="M119" s="150">
        <f>BS!$O$141/100000000</f>
        <v>0</v>
      </c>
      <c r="N119" s="150">
        <f>BS!$S$141/100000000</f>
        <v>0</v>
      </c>
      <c r="O119" s="125">
        <f t="shared" si="117"/>
        <v>0</v>
      </c>
      <c r="P119" s="125">
        <f t="shared" si="118"/>
        <v>0</v>
      </c>
      <c r="Q119" s="125">
        <f t="shared" si="119"/>
        <v>0</v>
      </c>
      <c r="R119" s="125">
        <f t="shared" si="120"/>
        <v>0</v>
      </c>
      <c r="S119" s="124"/>
      <c r="T119" s="124"/>
      <c r="U119" s="124"/>
      <c r="V119" s="150">
        <f>BS!$W$141/100000000</f>
        <v>0</v>
      </c>
      <c r="W119" s="150">
        <f>BS!$X$141/100000000</f>
        <v>0</v>
      </c>
      <c r="X119" s="150">
        <f>BS!$Y$141/100000000</f>
        <v>0</v>
      </c>
      <c r="Y119" s="150">
        <f>BS!$Z$141/100000000</f>
        <v>0</v>
      </c>
      <c r="Z119" s="150">
        <f>BS!$AA$141/100000000</f>
        <v>0</v>
      </c>
      <c r="AA119" s="150">
        <f>BS!$AB$141/100000000</f>
        <v>0</v>
      </c>
      <c r="AB119" s="150">
        <f>BS!$AC$141/100000000</f>
        <v>0</v>
      </c>
      <c r="AC119" s="150">
        <f>BS!$AD$141/100000000</f>
        <v>0</v>
      </c>
      <c r="AD119" s="150">
        <f>BS!$AE$141/100000000</f>
        <v>0</v>
      </c>
      <c r="AE119" s="150">
        <f>BS!$AF$141/100000000</f>
        <v>0</v>
      </c>
      <c r="AF119" s="150">
        <f>BS!$AG$141/100000000</f>
        <v>0</v>
      </c>
      <c r="AG119" s="150">
        <f>BS!$AH$141/100000000</f>
        <v>0</v>
      </c>
    </row>
    <row r="120" spans="2:33">
      <c r="B120" s="119"/>
      <c r="C120" s="119"/>
      <c r="D120" s="119"/>
      <c r="E120" s="119"/>
      <c r="F120" s="119"/>
      <c r="H120" s="110" t="s">
        <v>666</v>
      </c>
      <c r="I120" s="124"/>
      <c r="J120" s="150">
        <f>BS!$D$142/100000000</f>
        <v>10747.552128040001</v>
      </c>
      <c r="K120" s="150">
        <f>BS!$H$142/100000000</f>
        <v>11451.263589439999</v>
      </c>
      <c r="L120" s="150">
        <f>BS!$K$142/100000000</f>
        <v>11138.05259431</v>
      </c>
      <c r="M120" s="150">
        <f>BS!$O$142/100000000</f>
        <v>11678.840748029999</v>
      </c>
      <c r="N120" s="150">
        <f>BS!$S$142/100000000</f>
        <v>14954.27698343</v>
      </c>
      <c r="O120" s="125">
        <f t="shared" si="117"/>
        <v>16848.82255855</v>
      </c>
      <c r="P120" s="125">
        <f t="shared" si="118"/>
        <v>23498.01027613</v>
      </c>
      <c r="Q120" s="125">
        <f t="shared" si="119"/>
        <v>22740.419572819999</v>
      </c>
      <c r="R120" s="125">
        <f t="shared" si="120"/>
        <v>26181.920072389999</v>
      </c>
      <c r="S120" s="124"/>
      <c r="T120" s="124"/>
      <c r="U120" s="124"/>
      <c r="V120" s="150">
        <f>BS!$W$142/100000000</f>
        <v>16848.82255855</v>
      </c>
      <c r="W120" s="150">
        <f>BS!$X$142/100000000</f>
        <v>18667.306380679998</v>
      </c>
      <c r="X120" s="150">
        <f>BS!$Y$142/100000000</f>
        <v>21703.447934520002</v>
      </c>
      <c r="Y120" s="150">
        <f>BS!$Z$142/100000000</f>
        <v>21350.978023399999</v>
      </c>
      <c r="Z120" s="150">
        <f>BS!$AA$142/100000000</f>
        <v>23498.01027613</v>
      </c>
      <c r="AA120" s="150">
        <f>BS!$AB$142/100000000</f>
        <v>25942.300019980001</v>
      </c>
      <c r="AB120" s="150">
        <f>BS!$AC$142/100000000</f>
        <v>26441.56160325</v>
      </c>
      <c r="AC120" s="150">
        <f>BS!$AD$142/100000000</f>
        <v>26569.343994570001</v>
      </c>
      <c r="AD120" s="150">
        <f>BS!$AE$142/100000000</f>
        <v>22740.419572819999</v>
      </c>
      <c r="AE120" s="150">
        <f>BS!$AF$142/100000000</f>
        <v>26334.407456820001</v>
      </c>
      <c r="AF120" s="150">
        <f>BS!$AG$142/100000000</f>
        <v>27121.292475279999</v>
      </c>
      <c r="AG120" s="150">
        <f>BS!$AH$142/100000000</f>
        <v>26181.920072389999</v>
      </c>
    </row>
    <row r="121" spans="2:33">
      <c r="B121" s="119"/>
      <c r="C121" s="119"/>
      <c r="D121" s="119"/>
      <c r="E121" s="119"/>
      <c r="F121" s="119"/>
      <c r="H121" s="110" t="s">
        <v>667</v>
      </c>
      <c r="I121" s="124"/>
      <c r="J121" s="150">
        <f>BS!$D$148/100000000</f>
        <v>0</v>
      </c>
      <c r="K121" s="150">
        <f>BS!$H$148/100000000</f>
        <v>0</v>
      </c>
      <c r="L121" s="150">
        <f>BS!$K$148/100000000</f>
        <v>0</v>
      </c>
      <c r="M121" s="150">
        <f>BS!$O$148/100000000</f>
        <v>0</v>
      </c>
      <c r="N121" s="150">
        <f>BS!$S$148/100000000</f>
        <v>0</v>
      </c>
      <c r="O121" s="125">
        <f t="shared" si="117"/>
        <v>0</v>
      </c>
      <c r="P121" s="125">
        <f t="shared" si="118"/>
        <v>0</v>
      </c>
      <c r="Q121" s="125">
        <f t="shared" si="119"/>
        <v>0</v>
      </c>
      <c r="R121" s="125">
        <f t="shared" si="120"/>
        <v>0</v>
      </c>
      <c r="S121" s="124"/>
      <c r="T121" s="124"/>
      <c r="U121" s="124"/>
      <c r="V121" s="150">
        <f>BS!$W$148/100000000</f>
        <v>0</v>
      </c>
      <c r="W121" s="150">
        <f>BS!$X$148/100000000</f>
        <v>0</v>
      </c>
      <c r="X121" s="150">
        <f>BS!$Y$148/100000000</f>
        <v>0</v>
      </c>
      <c r="Y121" s="150">
        <f>BS!$Z$148/100000000</f>
        <v>0</v>
      </c>
      <c r="Z121" s="150">
        <f>BS!$AA$148/100000000</f>
        <v>0</v>
      </c>
      <c r="AA121" s="150">
        <f>BS!$AB$148/100000000</f>
        <v>0</v>
      </c>
      <c r="AB121" s="150">
        <f>BS!$AC$148/100000000</f>
        <v>0</v>
      </c>
      <c r="AC121" s="150">
        <f>BS!$AD$148/100000000</f>
        <v>0</v>
      </c>
      <c r="AD121" s="150">
        <f>BS!$AE$148/100000000</f>
        <v>0</v>
      </c>
      <c r="AE121" s="150">
        <f>BS!$AF$148/100000000</f>
        <v>0</v>
      </c>
      <c r="AF121" s="150">
        <f>BS!$AG$148/100000000</f>
        <v>0</v>
      </c>
      <c r="AG121" s="150">
        <f>BS!$AH$148/100000000</f>
        <v>0</v>
      </c>
    </row>
    <row r="122" spans="2:33">
      <c r="B122" s="119"/>
      <c r="C122" s="119"/>
      <c r="D122" s="119"/>
      <c r="E122" s="119"/>
      <c r="F122" s="119"/>
      <c r="H122" s="1304" t="s">
        <v>2374</v>
      </c>
      <c r="I122" s="124"/>
      <c r="J122" s="150">
        <f>BS!$D$153/100000000</f>
        <v>0</v>
      </c>
      <c r="K122" s="150">
        <f>BS!$H$153/100000000</f>
        <v>0</v>
      </c>
      <c r="L122" s="150">
        <f>BS!$K$153/100000000</f>
        <v>894.58333332999996</v>
      </c>
      <c r="M122" s="150">
        <f>BS!$O$153/100000000</f>
        <v>2077.9268023099999</v>
      </c>
      <c r="N122" s="150">
        <f>BS!$S$153/100000000</f>
        <v>2574.23691822</v>
      </c>
      <c r="O122" s="125">
        <f t="shared" si="117"/>
        <v>2694.8872352100002</v>
      </c>
      <c r="P122" s="125">
        <f t="shared" si="118"/>
        <v>7458.2436587000002</v>
      </c>
      <c r="Q122" s="125">
        <f t="shared" si="119"/>
        <v>12483.53078592</v>
      </c>
      <c r="R122" s="125">
        <f t="shared" si="120"/>
        <v>17377.754000500001</v>
      </c>
      <c r="S122" s="124"/>
      <c r="T122" s="124"/>
      <c r="U122" s="124"/>
      <c r="V122" s="150">
        <f>BS!$W$153/100000000</f>
        <v>2694.8872352100002</v>
      </c>
      <c r="W122" s="150">
        <f>BS!$X$153/100000000</f>
        <v>3683.06624186</v>
      </c>
      <c r="X122" s="150">
        <f>BS!$Y$153/100000000</f>
        <v>7533.0823070699998</v>
      </c>
      <c r="Y122" s="150">
        <f>BS!$Z$153/100000000</f>
        <v>6456.0236803099997</v>
      </c>
      <c r="Z122" s="150">
        <f>BS!$AA$153/100000000</f>
        <v>7458.2436587000002</v>
      </c>
      <c r="AA122" s="150">
        <f>BS!$AB$153/100000000</f>
        <v>7344.9566747299996</v>
      </c>
      <c r="AB122" s="150">
        <f>BS!$AC$153/100000000</f>
        <v>9246.7660695800005</v>
      </c>
      <c r="AC122" s="150">
        <f>BS!$AD$153/100000000</f>
        <v>7866.4450537499997</v>
      </c>
      <c r="AD122" s="150">
        <f>BS!$AE$153/100000000</f>
        <v>12483.53078592</v>
      </c>
      <c r="AE122" s="150">
        <f>BS!$AF$153/100000000</f>
        <v>16065.169716439999</v>
      </c>
      <c r="AF122" s="150">
        <f>BS!$AG$153/100000000</f>
        <v>14978.76549788</v>
      </c>
      <c r="AG122" s="150">
        <f>BS!$AH$153/100000000</f>
        <v>17377.754000500001</v>
      </c>
    </row>
    <row r="123" spans="2:33">
      <c r="B123" s="119"/>
      <c r="C123" s="119"/>
      <c r="D123" s="119"/>
      <c r="E123" s="119"/>
      <c r="F123" s="119"/>
      <c r="H123" s="110" t="s">
        <v>668</v>
      </c>
      <c r="I123" s="124"/>
      <c r="J123" s="150">
        <f>BS!$D$155/100000000</f>
        <v>0</v>
      </c>
      <c r="K123" s="150">
        <f>BS!$H$155/100000000</f>
        <v>0</v>
      </c>
      <c r="L123" s="150">
        <f>BS!$K$155/100000000</f>
        <v>0</v>
      </c>
      <c r="M123" s="150">
        <f>BS!$O$155/100000000</f>
        <v>0</v>
      </c>
      <c r="N123" s="150">
        <f>BS!$S$155/100000000</f>
        <v>0</v>
      </c>
      <c r="O123" s="125">
        <f t="shared" si="117"/>
        <v>0</v>
      </c>
      <c r="P123" s="125">
        <f t="shared" si="118"/>
        <v>0</v>
      </c>
      <c r="Q123" s="125">
        <f t="shared" si="119"/>
        <v>0</v>
      </c>
      <c r="R123" s="125">
        <f t="shared" si="120"/>
        <v>0</v>
      </c>
      <c r="S123" s="124"/>
      <c r="T123" s="124"/>
      <c r="U123" s="124"/>
      <c r="V123" s="150">
        <f>BS!$W$155/100000000</f>
        <v>0</v>
      </c>
      <c r="W123" s="150">
        <f>BS!$X$155/100000000</f>
        <v>0</v>
      </c>
      <c r="X123" s="150">
        <f>BS!$Y$155/100000000</f>
        <v>0</v>
      </c>
      <c r="Y123" s="150">
        <f>BS!$Z$155/100000000</f>
        <v>0</v>
      </c>
      <c r="Z123" s="150">
        <f>BS!$AA$155/100000000</f>
        <v>0</v>
      </c>
      <c r="AA123" s="150">
        <f>BS!$AB$155/100000000</f>
        <v>0</v>
      </c>
      <c r="AB123" s="150">
        <f>BS!$AC$155/100000000</f>
        <v>0</v>
      </c>
      <c r="AC123" s="150">
        <f>BS!$AD$155/100000000</f>
        <v>0</v>
      </c>
      <c r="AD123" s="150">
        <f>BS!$AE$155/100000000</f>
        <v>0</v>
      </c>
      <c r="AE123" s="150">
        <f>BS!$AF$155/100000000</f>
        <v>0</v>
      </c>
      <c r="AF123" s="150">
        <f>BS!$AG$155/100000000</f>
        <v>0</v>
      </c>
      <c r="AG123" s="150">
        <f>BS!$AH$155/100000000</f>
        <v>0</v>
      </c>
    </row>
    <row r="124" spans="2:33">
      <c r="B124" s="119"/>
      <c r="C124" s="119"/>
      <c r="D124" s="119"/>
      <c r="E124" s="119"/>
      <c r="F124" s="119"/>
      <c r="H124" s="110" t="s">
        <v>1844</v>
      </c>
      <c r="I124" s="124"/>
      <c r="J124" s="150">
        <f>BS!$D$163/100000000</f>
        <v>0</v>
      </c>
      <c r="K124" s="150">
        <f>BS!$H$163/100000000</f>
        <v>11.289045590000001</v>
      </c>
      <c r="L124" s="150">
        <f>BS!$K$163/100000000</f>
        <v>0</v>
      </c>
      <c r="M124" s="150">
        <f>BS!$O$163/100000000</f>
        <v>0</v>
      </c>
      <c r="N124" s="150">
        <f>BS!$S$163/100000000</f>
        <v>0</v>
      </c>
      <c r="O124" s="125">
        <f>V124</f>
        <v>0</v>
      </c>
      <c r="P124" s="125">
        <f>Z124</f>
        <v>0</v>
      </c>
      <c r="Q124" s="125">
        <f t="shared" si="119"/>
        <v>0</v>
      </c>
      <c r="R124" s="125">
        <f t="shared" si="120"/>
        <v>0</v>
      </c>
      <c r="S124" s="124"/>
      <c r="T124" s="124"/>
      <c r="U124" s="124"/>
      <c r="V124" s="150">
        <f>BS!$W$163/100000000</f>
        <v>0</v>
      </c>
      <c r="W124" s="150">
        <f>BS!$X$163/100000000</f>
        <v>0</v>
      </c>
      <c r="X124" s="150">
        <f>BS!$Y$163/100000000</f>
        <v>0</v>
      </c>
      <c r="Y124" s="150">
        <f>BS!$Z$163/100000000</f>
        <v>0</v>
      </c>
      <c r="Z124" s="150">
        <f>BS!$AA$163/100000000</f>
        <v>0</v>
      </c>
      <c r="AA124" s="150">
        <f>BS!$AB$163/100000000</f>
        <v>0</v>
      </c>
      <c r="AB124" s="150">
        <f>BS!$AC$163/100000000</f>
        <v>0</v>
      </c>
      <c r="AC124" s="150">
        <f>BS!$AD$163/100000000</f>
        <v>0</v>
      </c>
      <c r="AD124" s="150">
        <f>BS!$AE$163/100000000</f>
        <v>0</v>
      </c>
      <c r="AE124" s="150">
        <f>BS!$AF$163/100000000</f>
        <v>0</v>
      </c>
      <c r="AF124" s="150">
        <f>BS!$AG$163/100000000</f>
        <v>0</v>
      </c>
      <c r="AG124" s="150">
        <f>BS!$AH$163/100000000</f>
        <v>0</v>
      </c>
    </row>
    <row r="125" spans="2:33">
      <c r="B125" s="119"/>
      <c r="C125" s="119"/>
      <c r="D125" s="119"/>
      <c r="E125" s="119"/>
      <c r="F125" s="119"/>
      <c r="H125" s="110" t="s">
        <v>1846</v>
      </c>
      <c r="I125" s="124"/>
      <c r="J125" s="150">
        <f>BS!$D$165/100000000</f>
        <v>30</v>
      </c>
      <c r="K125" s="150">
        <f>BS!$H$165/100000000</f>
        <v>50</v>
      </c>
      <c r="L125" s="150">
        <f>BS!$K$165/100000000</f>
        <v>205</v>
      </c>
      <c r="M125" s="150">
        <f>BS!$O$165/100000000</f>
        <v>145</v>
      </c>
      <c r="N125" s="150">
        <f>BS!$S$165/100000000</f>
        <v>0</v>
      </c>
      <c r="O125" s="125">
        <f t="shared" ref="O125" si="121">V125</f>
        <v>0</v>
      </c>
      <c r="P125" s="125">
        <f t="shared" ref="P125" si="122">Z125</f>
        <v>2010</v>
      </c>
      <c r="Q125" s="125">
        <f t="shared" si="119"/>
        <v>4816.6000000000004</v>
      </c>
      <c r="R125" s="125">
        <f t="shared" si="120"/>
        <v>1823.6</v>
      </c>
      <c r="S125" s="124"/>
      <c r="T125" s="124"/>
      <c r="U125" s="124"/>
      <c r="V125" s="150">
        <f>BS!$W$165/100000000</f>
        <v>0</v>
      </c>
      <c r="W125" s="150">
        <f>BS!$X$165/100000000</f>
        <v>0</v>
      </c>
      <c r="X125" s="150">
        <f>BS!$Y$165/100000000</f>
        <v>0</v>
      </c>
      <c r="Y125" s="150">
        <f>BS!$Z$165/100000000</f>
        <v>0</v>
      </c>
      <c r="Z125" s="150">
        <f>BS!$AA$165/100000000</f>
        <v>2010</v>
      </c>
      <c r="AA125" s="150">
        <f>BS!$AB$165/100000000</f>
        <v>6158</v>
      </c>
      <c r="AB125" s="150">
        <f>BS!$AC$165/100000000</f>
        <v>5808</v>
      </c>
      <c r="AC125" s="150">
        <f>BS!$AD$165/100000000</f>
        <v>5913</v>
      </c>
      <c r="AD125" s="150">
        <f>BS!$AE$165/100000000</f>
        <v>4816.6000000000004</v>
      </c>
      <c r="AE125" s="150">
        <f>BS!$AF$165/100000000</f>
        <v>4831.6000000000004</v>
      </c>
      <c r="AF125" s="150">
        <f>BS!$AG$165/100000000</f>
        <v>2423.6</v>
      </c>
      <c r="AG125" s="150">
        <f>BS!$AH$165/100000000</f>
        <v>1823.6</v>
      </c>
    </row>
    <row r="127" spans="2:33">
      <c r="B127" s="119"/>
      <c r="C127" s="119"/>
      <c r="D127" s="119"/>
      <c r="E127" s="119"/>
      <c r="F127" s="119"/>
      <c r="H127" s="1214" t="s">
        <v>1722</v>
      </c>
      <c r="I127" s="124"/>
      <c r="J127" s="150">
        <f>BS!$D$156/100000000</f>
        <v>200</v>
      </c>
      <c r="K127" s="150">
        <f>BS!$H$156/100000000</f>
        <v>3200</v>
      </c>
      <c r="L127" s="150">
        <f>BS!$K$156/100000000</f>
        <v>2620</v>
      </c>
      <c r="M127" s="150">
        <f>BS!$O$156/100000000</f>
        <v>0</v>
      </c>
      <c r="N127" s="150">
        <f>BS!$S$156/100000000</f>
        <v>0</v>
      </c>
      <c r="O127" s="125">
        <f t="shared" ref="O127" si="123">V127</f>
        <v>0</v>
      </c>
      <c r="P127" s="125">
        <f t="shared" ref="P127" si="124">Z127</f>
        <v>619</v>
      </c>
      <c r="Q127" s="125">
        <f t="shared" ref="Q127:Q131" si="125">AD127</f>
        <v>114.8</v>
      </c>
      <c r="R127" s="125">
        <f>AG127</f>
        <v>102.6</v>
      </c>
      <c r="S127" s="124"/>
      <c r="T127" s="124"/>
      <c r="U127" s="124"/>
      <c r="V127" s="150">
        <f>BS!$W$156/100000000</f>
        <v>0</v>
      </c>
      <c r="W127" s="150">
        <f>BS!$X$156/100000000</f>
        <v>0</v>
      </c>
      <c r="X127" s="150">
        <f>BS!$Y$156/100000000</f>
        <v>0</v>
      </c>
      <c r="Y127" s="150">
        <f>BS!$Z$156/100000000</f>
        <v>0</v>
      </c>
      <c r="Z127" s="150">
        <f>BS!$AA$156/100000000</f>
        <v>619</v>
      </c>
      <c r="AA127" s="150">
        <f>BS!$AB$156/100000000</f>
        <v>819</v>
      </c>
      <c r="AB127" s="150">
        <f>BS!$AC$156/100000000</f>
        <v>819</v>
      </c>
      <c r="AC127" s="150">
        <f>BS!$AD$156/100000000</f>
        <v>490</v>
      </c>
      <c r="AD127" s="150">
        <f>BS!$AE$156/100000000</f>
        <v>114.8</v>
      </c>
      <c r="AE127" s="150">
        <f>BS!$AF$156/100000000</f>
        <v>114.8</v>
      </c>
      <c r="AF127" s="150">
        <f>BS!$AG$156/100000000</f>
        <v>114.8</v>
      </c>
      <c r="AG127" s="150">
        <f>BS!$AH$156/100000000</f>
        <v>102.6</v>
      </c>
    </row>
    <row r="128" spans="2:33">
      <c r="B128" s="119"/>
      <c r="C128" s="119"/>
      <c r="D128" s="119"/>
      <c r="E128" s="119"/>
      <c r="F128" s="119"/>
      <c r="H128" s="110" t="s">
        <v>135</v>
      </c>
      <c r="I128" s="124"/>
      <c r="J128" s="150">
        <f>BS!$D$138/100000000</f>
        <v>5.5087558200000002</v>
      </c>
      <c r="K128" s="150">
        <f>BS!$H$138/100000000</f>
        <v>14.463263189999999</v>
      </c>
      <c r="L128" s="150">
        <f>BS!$K$138/100000000</f>
        <v>38.610140129999998</v>
      </c>
      <c r="M128" s="150">
        <f>BS!$O$138/100000000</f>
        <v>41.453471620000002</v>
      </c>
      <c r="N128" s="150">
        <f>BS!$S$138/100000000</f>
        <v>7.4768256700000002</v>
      </c>
      <c r="O128" s="125">
        <f t="shared" si="117"/>
        <v>2.5590232300000002</v>
      </c>
      <c r="P128" s="125">
        <f t="shared" si="118"/>
        <v>0.34266743999999999</v>
      </c>
      <c r="Q128" s="125">
        <f t="shared" si="125"/>
        <v>0.10691792999999999</v>
      </c>
      <c r="R128" s="125">
        <f>AG128</f>
        <v>0</v>
      </c>
      <c r="S128" s="124"/>
      <c r="T128" s="124"/>
      <c r="U128" s="124"/>
      <c r="V128" s="150">
        <f>BS!$W$138/100000000</f>
        <v>2.5590232300000002</v>
      </c>
      <c r="W128" s="150">
        <f>BS!$X$138/100000000</f>
        <v>2.18379908</v>
      </c>
      <c r="X128" s="150">
        <f>BS!$Y$138/100000000</f>
        <v>1.7964974300000001</v>
      </c>
      <c r="Y128" s="150">
        <f>BS!$Z$138/100000000</f>
        <v>1.03392346</v>
      </c>
      <c r="Z128" s="150">
        <f>BS!$AA$138/100000000</f>
        <v>0.34266743999999999</v>
      </c>
      <c r="AA128" s="150">
        <f>BS!$AB$138/100000000</f>
        <v>0.28552161999999998</v>
      </c>
      <c r="AB128" s="150">
        <f>BS!$AC$138/100000000</f>
        <v>0.22705980000000001</v>
      </c>
      <c r="AC128" s="150">
        <f>BS!$AD$138/100000000</f>
        <v>0.16730092999999999</v>
      </c>
      <c r="AD128" s="150">
        <f>BS!$AE$138/100000000</f>
        <v>0.10691792999999999</v>
      </c>
      <c r="AE128" s="150">
        <f>BS!$AF$138/100000000</f>
        <v>4.7257189999999998E-2</v>
      </c>
      <c r="AF128" s="150">
        <f>BS!$AG$138/100000000</f>
        <v>0</v>
      </c>
      <c r="AG128" s="150">
        <f>BS!$AH$138/100000000</f>
        <v>0</v>
      </c>
    </row>
    <row r="129" spans="2:33">
      <c r="B129" s="119"/>
      <c r="C129" s="119"/>
      <c r="D129" s="119"/>
      <c r="E129" s="119"/>
      <c r="F129" s="119"/>
      <c r="H129" s="110" t="s">
        <v>136</v>
      </c>
      <c r="I129" s="124"/>
      <c r="J129" s="150">
        <f>BS!$D$140/100000000</f>
        <v>0</v>
      </c>
      <c r="K129" s="150">
        <f>BS!$H$140/100000000</f>
        <v>0</v>
      </c>
      <c r="L129" s="150">
        <f>BS!$K$140/100000000</f>
        <v>0.40729959999999998</v>
      </c>
      <c r="M129" s="150">
        <f>BS!$O$140/100000000</f>
        <v>0.32557099</v>
      </c>
      <c r="N129" s="150">
        <f>BS!$S$140/100000000</f>
        <v>-11.14382137</v>
      </c>
      <c r="O129" s="125">
        <f t="shared" si="117"/>
        <v>-17.98710518</v>
      </c>
      <c r="P129" s="125">
        <f t="shared" si="118"/>
        <v>-68.047456580000002</v>
      </c>
      <c r="Q129" s="125">
        <f t="shared" si="125"/>
        <v>-135.85405964</v>
      </c>
      <c r="R129" s="125">
        <f>AG129</f>
        <v>-115.72193939</v>
      </c>
      <c r="S129" s="124"/>
      <c r="T129" s="124"/>
      <c r="U129" s="124"/>
      <c r="V129" s="150">
        <f>BS!$W$140/100000000</f>
        <v>-17.98710518</v>
      </c>
      <c r="W129" s="150">
        <f>BS!$X$140/100000000</f>
        <v>-22.569962700000001</v>
      </c>
      <c r="X129" s="150">
        <f>BS!$Y$140/100000000</f>
        <v>-49.899527050000003</v>
      </c>
      <c r="Y129" s="150">
        <f>BS!$Z$140/100000000</f>
        <v>-38.59944479</v>
      </c>
      <c r="Z129" s="150">
        <f>BS!$AA$140/100000000</f>
        <v>-68.047456580000002</v>
      </c>
      <c r="AA129" s="150">
        <f>BS!$AB$140/100000000</f>
        <v>-85.365992489999996</v>
      </c>
      <c r="AB129" s="150">
        <f>BS!$AC$140/100000000</f>
        <v>-103.42895079</v>
      </c>
      <c r="AC129" s="150">
        <f>BS!$AD$140/100000000</f>
        <v>-90.036918650000004</v>
      </c>
      <c r="AD129" s="150">
        <f>BS!$AE$140/100000000</f>
        <v>-135.85405964</v>
      </c>
      <c r="AE129" s="150">
        <f>BS!$AF$140/100000000</f>
        <v>-155.18758718000001</v>
      </c>
      <c r="AF129" s="150">
        <f>BS!$AG$140/100000000</f>
        <v>-117.65183077</v>
      </c>
      <c r="AG129" s="150">
        <f>BS!$AH$140/100000000</f>
        <v>-115.72193939</v>
      </c>
    </row>
    <row r="130" spans="2:33">
      <c r="B130" s="119"/>
      <c r="C130" s="119"/>
      <c r="D130" s="119"/>
      <c r="E130" s="119"/>
      <c r="F130" s="119"/>
      <c r="H130" s="110" t="s">
        <v>147</v>
      </c>
      <c r="I130" s="124"/>
      <c r="J130" s="150">
        <f>BS!$D$169/100000000</f>
        <v>1519.5308734600001</v>
      </c>
      <c r="K130" s="150">
        <f>BS!$H$169/100000000</f>
        <v>230.85577235</v>
      </c>
      <c r="L130" s="150">
        <f>BS!$K$169/100000000</f>
        <v>414.45755000999998</v>
      </c>
      <c r="M130" s="150">
        <f>BS!$O$169/100000000</f>
        <v>196.47465919999999</v>
      </c>
      <c r="N130" s="150">
        <f>BS!$S$169/100000000</f>
        <v>233.55064131</v>
      </c>
      <c r="O130" s="125">
        <f t="shared" si="117"/>
        <v>236.53865843</v>
      </c>
      <c r="P130" s="125">
        <f t="shared" si="118"/>
        <v>240.11283098999999</v>
      </c>
      <c r="Q130" s="125">
        <f t="shared" si="125"/>
        <v>318.63304384000003</v>
      </c>
      <c r="R130" s="125">
        <f>AG130</f>
        <v>366.71261004000002</v>
      </c>
      <c r="S130" s="124"/>
      <c r="T130" s="124"/>
      <c r="U130" s="124"/>
      <c r="V130" s="150">
        <f>BS!$W$169/100000000</f>
        <v>236.53865843</v>
      </c>
      <c r="W130" s="150">
        <f>BS!$X$169/100000000</f>
        <v>225.24752294999999</v>
      </c>
      <c r="X130" s="150">
        <f>BS!$Y$169/100000000</f>
        <v>225.17343061</v>
      </c>
      <c r="Y130" s="150">
        <f>BS!$Z$169/100000000</f>
        <v>225.61247460999999</v>
      </c>
      <c r="Z130" s="150">
        <f>BS!$AA$169/100000000</f>
        <v>240.11283098999999</v>
      </c>
      <c r="AA130" s="150">
        <f>BS!$AB$169/100000000</f>
        <v>328.20458144999998</v>
      </c>
      <c r="AB130" s="150">
        <f>BS!$AC$169/100000000</f>
        <v>326.47556313000001</v>
      </c>
      <c r="AC130" s="150">
        <f>BS!$AD$169/100000000</f>
        <v>329.90663776000002</v>
      </c>
      <c r="AD130" s="150">
        <f>BS!$AE$169/100000000</f>
        <v>318.63304384000003</v>
      </c>
      <c r="AE130" s="150">
        <f>BS!$AF$169/100000000</f>
        <v>352.69044321000001</v>
      </c>
      <c r="AF130" s="150">
        <f>BS!$AG$169/100000000</f>
        <v>321.63401814999997</v>
      </c>
      <c r="AG130" s="150">
        <f>BS!$AH$169/100000000</f>
        <v>366.71261004000002</v>
      </c>
    </row>
    <row r="131" spans="2:33">
      <c r="B131" s="119"/>
      <c r="C131" s="119"/>
      <c r="D131" s="119"/>
      <c r="E131" s="119"/>
      <c r="F131" s="119"/>
      <c r="H131" s="110" t="s">
        <v>644</v>
      </c>
      <c r="I131" s="124"/>
      <c r="J131" s="125">
        <f t="shared" ref="J131:M131" si="126">J118-J119-J120-J121-J122-J123+J128-J129+J130</f>
        <v>2140.4430151000001</v>
      </c>
      <c r="K131" s="125">
        <f t="shared" si="126"/>
        <v>3491.5750897000012</v>
      </c>
      <c r="L131" s="125">
        <f t="shared" si="126"/>
        <v>3207.3150479700012</v>
      </c>
      <c r="M131" s="125">
        <f t="shared" si="126"/>
        <v>437.92818060000104</v>
      </c>
      <c r="N131" s="125">
        <f t="shared" ref="N131" si="127">N118-N119-N120-N121-N122-N123+N128-N129+N130</f>
        <v>278.01581115000187</v>
      </c>
      <c r="O131" s="125">
        <f t="shared" si="117"/>
        <v>685.55054484999971</v>
      </c>
      <c r="P131" s="125">
        <f t="shared" si="118"/>
        <v>2872.4966351500007</v>
      </c>
      <c r="Q131" s="125">
        <f t="shared" si="125"/>
        <v>5156.8247809000013</v>
      </c>
      <c r="R131" s="125">
        <f>AG131</f>
        <v>2145.0235476600033</v>
      </c>
      <c r="S131" s="124"/>
      <c r="T131" s="124"/>
      <c r="U131" s="124"/>
      <c r="V131" s="125">
        <f t="shared" ref="V131:AC131" si="128">V118-V119-V120-V121-V122-V123+V128-V129+V130</f>
        <v>685.55054484999971</v>
      </c>
      <c r="W131" s="125">
        <f t="shared" si="128"/>
        <v>641.44137326000236</v>
      </c>
      <c r="X131" s="125">
        <f t="shared" si="128"/>
        <v>649.16382919999796</v>
      </c>
      <c r="Y131" s="125">
        <f t="shared" si="128"/>
        <v>646.28025807999961</v>
      </c>
      <c r="Z131" s="125">
        <f t="shared" si="128"/>
        <v>2872.4966351500007</v>
      </c>
      <c r="AA131" s="125">
        <f t="shared" si="128"/>
        <v>7221.1938446700015</v>
      </c>
      <c r="AB131" s="125">
        <f t="shared" si="128"/>
        <v>6869.3701691700026</v>
      </c>
      <c r="AC131" s="125">
        <f t="shared" si="128"/>
        <v>6644.7817825299981</v>
      </c>
      <c r="AD131" s="125">
        <f t="shared" ref="AD131:AE131" si="129">AD118-AD119-AD120-AD121-AD122-AD123+AD128-AD129+AD130</f>
        <v>5156.8247809000013</v>
      </c>
      <c r="AE131" s="125">
        <f t="shared" si="129"/>
        <v>5189.4292251899997</v>
      </c>
      <c r="AF131" s="125">
        <f t="shared" ref="AF131:AG131" si="130">AF118-AF119-AF120-AF121-AF122-AF123+AF128-AF129+AF130</f>
        <v>2758.1935441000032</v>
      </c>
      <c r="AG131" s="125">
        <f t="shared" si="130"/>
        <v>2145.0235476600033</v>
      </c>
    </row>
    <row r="132" spans="2:33">
      <c r="B132" s="119"/>
      <c r="C132" s="119"/>
      <c r="D132" s="119"/>
      <c r="E132" s="119"/>
      <c r="F132" s="119"/>
      <c r="I132" s="124"/>
      <c r="J132" s="150"/>
      <c r="K132" s="150"/>
      <c r="L132" s="150"/>
      <c r="M132" s="150"/>
      <c r="N132" s="150"/>
      <c r="O132" s="125"/>
      <c r="P132" s="125"/>
      <c r="Q132" s="125"/>
      <c r="R132" s="125"/>
      <c r="S132" s="124"/>
      <c r="T132" s="124"/>
      <c r="U132" s="124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</row>
    <row r="133" spans="2:33">
      <c r="B133" s="119"/>
      <c r="C133" s="119"/>
      <c r="D133" s="119"/>
      <c r="E133" s="119"/>
      <c r="F133" s="119"/>
      <c r="H133" s="110" t="s">
        <v>148</v>
      </c>
      <c r="I133" s="124"/>
      <c r="J133" s="150">
        <f>BS!$D$185/100000000</f>
        <v>3003.4794992900001</v>
      </c>
      <c r="K133" s="150">
        <f>BS!$H$185/100000000</f>
        <v>2860.4905751900001</v>
      </c>
      <c r="L133" s="150">
        <f>BS!$K$185/100000000</f>
        <v>2741.3500789</v>
      </c>
      <c r="M133" s="150">
        <f>BS!$O$185/100000000</f>
        <v>2646.9825513300002</v>
      </c>
      <c r="N133" s="150">
        <f>BS!$S$185/100000000</f>
        <v>2588.5248929099998</v>
      </c>
      <c r="O133" s="125">
        <f t="shared" ref="O133:O137" si="131">V133</f>
        <v>2497.3745008199999</v>
      </c>
      <c r="P133" s="125">
        <f>Z133</f>
        <v>2481.7738018099999</v>
      </c>
      <c r="Q133" s="125">
        <f t="shared" ref="Q133:Q137" si="132">AD133</f>
        <v>2531.9634832299998</v>
      </c>
      <c r="R133" s="125">
        <f>AG133</f>
        <v>2857.66894189</v>
      </c>
      <c r="S133" s="124"/>
      <c r="T133" s="124"/>
      <c r="U133" s="124"/>
      <c r="V133" s="150">
        <f>BS!$W$185/100000000</f>
        <v>2497.3745008199999</v>
      </c>
      <c r="W133" s="150">
        <f>BS!$X$185/100000000</f>
        <v>2483.3422166199998</v>
      </c>
      <c r="X133" s="150">
        <f>BS!$Y$185/100000000</f>
        <v>2488.9423724899998</v>
      </c>
      <c r="Y133" s="150">
        <f>BS!$Z$185/100000000</f>
        <v>2463.6239763399999</v>
      </c>
      <c r="Z133" s="150">
        <f>BS!$AA$185/100000000</f>
        <v>2481.7738018099999</v>
      </c>
      <c r="AA133" s="150">
        <f>BS!$AB$185/100000000</f>
        <v>2488.4067709999999</v>
      </c>
      <c r="AB133" s="150">
        <f>BS!$AC$185/100000000</f>
        <v>2474.8145807400001</v>
      </c>
      <c r="AC133" s="150">
        <f>BS!$AD$185/100000000</f>
        <v>2460.3750878300002</v>
      </c>
      <c r="AD133" s="150">
        <f>BS!$AE$185/100000000</f>
        <v>2531.9634832299998</v>
      </c>
      <c r="AE133" s="150">
        <f>BS!$AF$185/100000000</f>
        <v>2825.8880437900002</v>
      </c>
      <c r="AF133" s="150">
        <f>BS!$AG$185/100000000</f>
        <v>2776.1568781400001</v>
      </c>
      <c r="AG133" s="150">
        <f>BS!$AH$185/100000000</f>
        <v>2857.66894189</v>
      </c>
    </row>
    <row r="134" spans="2:33">
      <c r="B134" s="119"/>
      <c r="C134" s="119"/>
      <c r="D134" s="119"/>
      <c r="E134" s="119"/>
      <c r="F134" s="119"/>
      <c r="H134" s="110" t="s">
        <v>149</v>
      </c>
      <c r="I134" s="124"/>
      <c r="J134" s="150">
        <f>BS!$D$204/100000000</f>
        <v>0</v>
      </c>
      <c r="K134" s="150">
        <f>BS!$H$204/100000000</f>
        <v>0</v>
      </c>
      <c r="L134" s="150">
        <f>BS!$K$204/100000000</f>
        <v>0</v>
      </c>
      <c r="M134" s="150">
        <f>BS!$O$204/100000000</f>
        <v>0</v>
      </c>
      <c r="N134" s="150">
        <f>BS!$S$204/100000000</f>
        <v>0</v>
      </c>
      <c r="O134" s="125">
        <f t="shared" si="131"/>
        <v>0</v>
      </c>
      <c r="P134" s="125">
        <f>Z134</f>
        <v>0</v>
      </c>
      <c r="Q134" s="125">
        <f t="shared" si="132"/>
        <v>0</v>
      </c>
      <c r="R134" s="125">
        <f>AG134</f>
        <v>0</v>
      </c>
      <c r="S134" s="124"/>
      <c r="T134" s="124"/>
      <c r="U134" s="124"/>
      <c r="V134" s="150">
        <f>BS!$W$204/100000000</f>
        <v>0</v>
      </c>
      <c r="W134" s="150">
        <f>BS!$X$204/100000000</f>
        <v>0</v>
      </c>
      <c r="X134" s="150">
        <f>BS!$Y$204/100000000</f>
        <v>0</v>
      </c>
      <c r="Y134" s="150">
        <f>BS!$Z$204/100000000</f>
        <v>0</v>
      </c>
      <c r="Z134" s="150">
        <f>BS!$AA$204/100000000</f>
        <v>0</v>
      </c>
      <c r="AA134" s="150">
        <f>BS!$AB$204/100000000</f>
        <v>0</v>
      </c>
      <c r="AB134" s="150">
        <f>BS!$AC$204/100000000</f>
        <v>0</v>
      </c>
      <c r="AC134" s="150">
        <f>BS!$AD$204/100000000</f>
        <v>0</v>
      </c>
      <c r="AD134" s="150">
        <f>BS!$AE$204/100000000</f>
        <v>0</v>
      </c>
      <c r="AE134" s="150">
        <f>BS!$AF$204/100000000</f>
        <v>0</v>
      </c>
      <c r="AF134" s="150">
        <f>BS!$AG$204/100000000</f>
        <v>0</v>
      </c>
      <c r="AG134" s="150">
        <f>BS!$AH$204/100000000</f>
        <v>0</v>
      </c>
    </row>
    <row r="135" spans="2:33">
      <c r="B135" s="119"/>
      <c r="C135" s="119"/>
      <c r="D135" s="119"/>
      <c r="E135" s="119"/>
      <c r="F135" s="119"/>
      <c r="H135" s="110" t="s">
        <v>150</v>
      </c>
      <c r="I135" s="124"/>
      <c r="J135" s="150">
        <f>BS!$D$210/100000000</f>
        <v>0</v>
      </c>
      <c r="K135" s="150">
        <f>BS!$H$210/100000000</f>
        <v>0</v>
      </c>
      <c r="L135" s="150">
        <f>BS!$K$210/100000000</f>
        <v>0</v>
      </c>
      <c r="M135" s="150">
        <f>BS!$O$210/100000000</f>
        <v>0</v>
      </c>
      <c r="N135" s="150">
        <f>BS!$S$210/100000000</f>
        <v>0</v>
      </c>
      <c r="O135" s="125">
        <f t="shared" si="131"/>
        <v>0</v>
      </c>
      <c r="P135" s="125">
        <f>Z135</f>
        <v>0</v>
      </c>
      <c r="Q135" s="125">
        <f t="shared" si="132"/>
        <v>0</v>
      </c>
      <c r="R135" s="125">
        <f>AG135</f>
        <v>0</v>
      </c>
      <c r="S135" s="124"/>
      <c r="T135" s="124"/>
      <c r="U135" s="124"/>
      <c r="V135" s="150">
        <f>BS!$W$210/100000000</f>
        <v>0</v>
      </c>
      <c r="W135" s="150">
        <f>BS!$X$210/100000000</f>
        <v>0</v>
      </c>
      <c r="X135" s="150">
        <f>BS!$Y$210/100000000</f>
        <v>0</v>
      </c>
      <c r="Y135" s="150">
        <f>BS!$Z$210/100000000</f>
        <v>0</v>
      </c>
      <c r="Z135" s="150">
        <f>BS!$AA$210/100000000</f>
        <v>0</v>
      </c>
      <c r="AA135" s="150">
        <f>BS!$AB$210/100000000</f>
        <v>0</v>
      </c>
      <c r="AB135" s="150">
        <f>BS!$AC$210/100000000</f>
        <v>0</v>
      </c>
      <c r="AC135" s="150">
        <f>BS!$AD$210/100000000</f>
        <v>0</v>
      </c>
      <c r="AD135" s="150">
        <f>BS!$AE$210/100000000</f>
        <v>0</v>
      </c>
      <c r="AE135" s="150">
        <f>BS!$AF$210/100000000</f>
        <v>0</v>
      </c>
      <c r="AF135" s="150">
        <f>BS!$AG$210/100000000</f>
        <v>0</v>
      </c>
      <c r="AG135" s="150">
        <f>BS!$AH$210/100000000</f>
        <v>0</v>
      </c>
    </row>
    <row r="136" spans="2:33">
      <c r="B136" s="119"/>
      <c r="C136" s="119"/>
      <c r="D136" s="119"/>
      <c r="E136" s="119"/>
      <c r="F136" s="119"/>
      <c r="H136" s="110" t="s">
        <v>530</v>
      </c>
      <c r="I136" s="124"/>
      <c r="J136" s="150">
        <f>BS!$D$17/100000000</f>
        <v>168053.15952602</v>
      </c>
      <c r="K136" s="150">
        <f>BS!$H$17/100000000</f>
        <v>192732.48012476001</v>
      </c>
      <c r="L136" s="150">
        <f>BS!$K$17/100000000</f>
        <v>198537.91257736</v>
      </c>
      <c r="M136" s="150">
        <f>BS!$O$17/100000000</f>
        <v>234886.69151656999</v>
      </c>
      <c r="N136" s="150">
        <f>BS!$S$17/100000000</f>
        <v>284796.55827083002</v>
      </c>
      <c r="O136" s="125">
        <f t="shared" si="131"/>
        <v>328247.34181303001</v>
      </c>
      <c r="P136" s="125">
        <f>Z136</f>
        <v>375451.36065609002</v>
      </c>
      <c r="Q136" s="125">
        <f t="shared" si="132"/>
        <v>443513.33784827002</v>
      </c>
      <c r="R136" s="125">
        <f>AG136</f>
        <v>479378.09206569003</v>
      </c>
      <c r="S136" s="124"/>
      <c r="T136" s="124"/>
      <c r="U136" s="124"/>
      <c r="V136" s="150">
        <f>BS!$W$17/100000000</f>
        <v>328247.34181303001</v>
      </c>
      <c r="W136" s="150">
        <f>BS!$X$17/100000000</f>
        <v>351753.14025300002</v>
      </c>
      <c r="X136" s="150">
        <f>BS!$Y$17/100000000</f>
        <v>359027.76705794001</v>
      </c>
      <c r="Y136" s="150">
        <f>BS!$Z$17/100000000</f>
        <v>367804.18752774002</v>
      </c>
      <c r="Z136" s="150">
        <f>BS!$AA$17/100000000</f>
        <v>375451.36065609002</v>
      </c>
      <c r="AA136" s="150">
        <f>BS!$AB$17/100000000</f>
        <v>399979.84129549999</v>
      </c>
      <c r="AB136" s="150">
        <f>BS!$AC$17/100000000</f>
        <v>412677.99658287002</v>
      </c>
      <c r="AC136" s="150">
        <f>BS!$AD$17/100000000</f>
        <v>429039.92480777</v>
      </c>
      <c r="AD136" s="150">
        <f>BS!$AE$17/100000000</f>
        <v>443513.33784827002</v>
      </c>
      <c r="AE136" s="150">
        <f>BS!$AF$17/100000000</f>
        <v>471610.65740421001</v>
      </c>
      <c r="AF136" s="150">
        <f>BS!$AG$17/100000000</f>
        <v>496958.28974212997</v>
      </c>
      <c r="AG136" s="150">
        <f>BS!$AH$17/100000000</f>
        <v>479378.09206569003</v>
      </c>
    </row>
    <row r="137" spans="2:33">
      <c r="B137" s="119"/>
      <c r="C137" s="119"/>
      <c r="D137" s="119"/>
      <c r="E137" s="119"/>
      <c r="F137" s="119"/>
      <c r="H137" s="110" t="s">
        <v>1316</v>
      </c>
      <c r="I137" s="124"/>
      <c r="J137" s="150">
        <f>BS!$D$217/100000000</f>
        <v>6917.5304551099998</v>
      </c>
      <c r="K137" s="150">
        <f>BS!$H$217/100000000</f>
        <v>3902.7989357000001</v>
      </c>
      <c r="L137" s="150">
        <f>BS!$K$217/100000000</f>
        <v>3884.9163222799998</v>
      </c>
      <c r="M137" s="150">
        <f>BS!$O$217/100000000</f>
        <v>3497.4721485099999</v>
      </c>
      <c r="N137" s="150">
        <f>BS!$S$217/100000000</f>
        <v>5230.6577524100003</v>
      </c>
      <c r="O137" s="125">
        <f t="shared" si="131"/>
        <v>4199.17191697</v>
      </c>
      <c r="P137" s="125">
        <f>Z137</f>
        <v>8283.4503800000002</v>
      </c>
      <c r="Q137" s="125">
        <f t="shared" si="132"/>
        <v>10542.654085460001</v>
      </c>
      <c r="R137" s="125">
        <f>AG137</f>
        <v>25493.90175791</v>
      </c>
      <c r="S137" s="124"/>
      <c r="T137" s="124"/>
      <c r="U137" s="124"/>
      <c r="V137" s="150">
        <f>BS!$W$217/100000000</f>
        <v>4199.17191697</v>
      </c>
      <c r="W137" s="150">
        <f>BS!$X$217/100000000</f>
        <v>13465.755820619999</v>
      </c>
      <c r="X137" s="150">
        <f>BS!$Y$217/100000000</f>
        <v>10862.833318520001</v>
      </c>
      <c r="Y137" s="150">
        <f>BS!$Z$217/100000000</f>
        <v>11455.06749795</v>
      </c>
      <c r="Z137" s="150">
        <f>BS!$AA$217/100000000</f>
        <v>8283.4503800000002</v>
      </c>
      <c r="AA137" s="150">
        <f>BS!$AB$217/100000000</f>
        <v>12513.43069431</v>
      </c>
      <c r="AB137" s="150">
        <f>BS!$AC$217/100000000</f>
        <v>9672.3525070100004</v>
      </c>
      <c r="AC137" s="150">
        <f>BS!$AD$217/100000000</f>
        <v>11737.54295598</v>
      </c>
      <c r="AD137" s="150">
        <f>BS!$AE$217/100000000</f>
        <v>10542.654085460001</v>
      </c>
      <c r="AE137" s="150">
        <f>BS!$AF$217/100000000</f>
        <v>30067.90233243</v>
      </c>
      <c r="AF137" s="150">
        <f>BS!$AG$217/100000000</f>
        <v>47579.224740810001</v>
      </c>
      <c r="AG137" s="150">
        <f>BS!$AH$217/100000000</f>
        <v>25493.90175791</v>
      </c>
    </row>
    <row r="138" spans="2:33">
      <c r="B138" s="119"/>
      <c r="C138" s="119"/>
      <c r="D138" s="119"/>
      <c r="E138" s="119"/>
      <c r="F138" s="119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</row>
    <row r="139" spans="2:33">
      <c r="B139" s="119"/>
      <c r="C139" s="119"/>
      <c r="D139" s="119"/>
      <c r="E139" s="119"/>
      <c r="F139" s="119"/>
      <c r="H139" s="110" t="s">
        <v>490</v>
      </c>
      <c r="I139" s="124"/>
      <c r="J139" s="150">
        <f>BS!$D$169/100000000</f>
        <v>1519.5308734600001</v>
      </c>
      <c r="K139" s="150">
        <f>BS!$H$169/100000000</f>
        <v>230.85577235</v>
      </c>
      <c r="L139" s="150">
        <f>BS!$K$169/100000000</f>
        <v>414.45755000999998</v>
      </c>
      <c r="M139" s="150">
        <f>BS!$O$169/100000000</f>
        <v>196.47465919999999</v>
      </c>
      <c r="N139" s="150">
        <f>BS!$S$169/100000000</f>
        <v>233.55064131</v>
      </c>
      <c r="O139" s="125">
        <f t="shared" ref="O139:O140" si="133">V139</f>
        <v>236.53865843</v>
      </c>
      <c r="P139" s="125">
        <f>Z139</f>
        <v>240.11283098999999</v>
      </c>
      <c r="Q139" s="125">
        <f>AD139</f>
        <v>318.63304384000003</v>
      </c>
      <c r="R139" s="125">
        <f>AG139</f>
        <v>366.71261004000002</v>
      </c>
      <c r="S139" s="124"/>
      <c r="T139" s="124"/>
      <c r="U139" s="124"/>
      <c r="V139" s="150">
        <f>BS!$W$169/100000000</f>
        <v>236.53865843</v>
      </c>
      <c r="W139" s="150">
        <f>BS!$X$169/100000000</f>
        <v>225.24752294999999</v>
      </c>
      <c r="X139" s="150">
        <f>BS!$Y$169/100000000</f>
        <v>225.17343061</v>
      </c>
      <c r="Y139" s="150">
        <f>BS!$Z$169/100000000</f>
        <v>225.61247460999999</v>
      </c>
      <c r="Z139" s="150">
        <f>BS!$AA$169/100000000</f>
        <v>240.11283098999999</v>
      </c>
      <c r="AA139" s="150">
        <f>BS!$AB$169/100000000</f>
        <v>328.20458144999998</v>
      </c>
      <c r="AB139" s="150">
        <f>BS!$AC$169/100000000</f>
        <v>326.47556313000001</v>
      </c>
      <c r="AC139" s="150">
        <f>BS!$AD$169/100000000</f>
        <v>329.90663776000002</v>
      </c>
      <c r="AD139" s="150">
        <f>BS!$AE$169/100000000</f>
        <v>318.63304384000003</v>
      </c>
      <c r="AE139" s="150">
        <f>BS!$AF$169/100000000</f>
        <v>352.69044321000001</v>
      </c>
      <c r="AF139" s="150">
        <f>BS!$AG$169/100000000</f>
        <v>321.63401814999997</v>
      </c>
      <c r="AG139" s="150">
        <f>BS!$AH$169/100000000</f>
        <v>366.71261004000002</v>
      </c>
    </row>
    <row r="140" spans="2:33">
      <c r="B140" s="119"/>
      <c r="C140" s="119"/>
      <c r="D140" s="119"/>
      <c r="E140" s="119"/>
      <c r="F140" s="119"/>
      <c r="H140" s="110" t="s">
        <v>491</v>
      </c>
      <c r="I140" s="124"/>
      <c r="J140" s="124"/>
      <c r="K140" s="124"/>
      <c r="L140" s="124"/>
      <c r="M140" s="124"/>
      <c r="N140" s="124"/>
      <c r="O140" s="125">
        <f t="shared" si="133"/>
        <v>20208.7142102</v>
      </c>
      <c r="P140" s="125">
        <f>Z140</f>
        <v>33760.360445960003</v>
      </c>
      <c r="Q140" s="125">
        <f>AD140</f>
        <v>40244.814162070004</v>
      </c>
      <c r="R140" s="125">
        <f>AG140</f>
        <v>45588.975681160002</v>
      </c>
      <c r="S140" s="124"/>
      <c r="T140" s="124"/>
      <c r="U140" s="124"/>
      <c r="V140" s="125">
        <f t="shared" ref="V140:AC140" si="134">V118+V139</f>
        <v>20208.7142102</v>
      </c>
      <c r="W140" s="125">
        <f t="shared" si="134"/>
        <v>22967.060234020002</v>
      </c>
      <c r="X140" s="125">
        <f t="shared" si="134"/>
        <v>29833.99804631</v>
      </c>
      <c r="Y140" s="125">
        <f t="shared" si="134"/>
        <v>28413.648593539998</v>
      </c>
      <c r="Z140" s="125">
        <f t="shared" si="134"/>
        <v>33760.360445960003</v>
      </c>
      <c r="AA140" s="125">
        <f t="shared" si="134"/>
        <v>40422.799025270004</v>
      </c>
      <c r="AB140" s="125">
        <f t="shared" si="134"/>
        <v>42454.041831410002</v>
      </c>
      <c r="AC140" s="125">
        <f t="shared" si="134"/>
        <v>40990.366611270001</v>
      </c>
      <c r="AD140" s="125">
        <f t="shared" ref="AD140:AE140" si="135">AD118+AD139</f>
        <v>40244.814162070004</v>
      </c>
      <c r="AE140" s="125">
        <f t="shared" si="135"/>
        <v>47433.771554079998</v>
      </c>
      <c r="AF140" s="125">
        <f t="shared" ref="AF140:AG140" si="136">AF118+AF139</f>
        <v>44740.599686490001</v>
      </c>
      <c r="AG140" s="125">
        <f t="shared" si="136"/>
        <v>45588.975681160002</v>
      </c>
    </row>
    <row r="141" spans="2:33">
      <c r="B141" s="119"/>
      <c r="C141" s="119"/>
      <c r="D141" s="119"/>
      <c r="E141" s="119"/>
      <c r="F141" s="119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</row>
    <row r="142" spans="2:33">
      <c r="B142" s="119"/>
      <c r="C142" s="119"/>
      <c r="D142" s="119"/>
      <c r="E142" s="119"/>
      <c r="F142" s="119"/>
      <c r="H142" s="110" t="s">
        <v>503</v>
      </c>
      <c r="I142" s="124"/>
      <c r="J142" s="162">
        <f>J144+J157+J150+J152+J158</f>
        <v>103024.46918413999</v>
      </c>
      <c r="K142" s="162">
        <f>K144+K157+K150+K152+K158</f>
        <v>121441.57188047998</v>
      </c>
      <c r="L142" s="162">
        <f>L144+L157+L150+L152+L158</f>
        <v>139432.38650522</v>
      </c>
      <c r="M142" s="162">
        <f>M144+M157+M150+M152+M158</f>
        <v>162729.95110902999</v>
      </c>
      <c r="N142" s="162">
        <f>N144+N157+N150+N152+N158</f>
        <v>204770.71165647003</v>
      </c>
      <c r="O142" s="125">
        <f t="shared" ref="O142:O144" si="137">V142</f>
        <v>236981.69017647998</v>
      </c>
      <c r="P142" s="125">
        <f>Z142</f>
        <v>261635.20874783001</v>
      </c>
      <c r="Q142" s="125">
        <f t="shared" ref="Q142:Q144" si="138">AD142</f>
        <v>307902.52161469997</v>
      </c>
      <c r="R142" s="125">
        <f>AG142</f>
        <v>325648.19596422999</v>
      </c>
      <c r="S142" s="124"/>
      <c r="T142" s="124"/>
      <c r="U142" s="124"/>
      <c r="V142" s="162">
        <f t="shared" ref="V142:AC142" si="139">V144+V157+V150+V152+V158</f>
        <v>236981.69017647998</v>
      </c>
      <c r="W142" s="162">
        <f t="shared" si="139"/>
        <v>253089.50825133998</v>
      </c>
      <c r="X142" s="162">
        <f t="shared" si="139"/>
        <v>249607.13786946001</v>
      </c>
      <c r="Y142" s="162">
        <f t="shared" si="139"/>
        <v>254324.9881128</v>
      </c>
      <c r="Z142" s="162">
        <f t="shared" si="139"/>
        <v>261635.20874783001</v>
      </c>
      <c r="AA142" s="162">
        <f t="shared" si="139"/>
        <v>271330.30473502999</v>
      </c>
      <c r="AB142" s="162">
        <f t="shared" si="139"/>
        <v>290188.50482202001</v>
      </c>
      <c r="AC142" s="162">
        <f t="shared" si="139"/>
        <v>302416.54297730001</v>
      </c>
      <c r="AD142" s="162">
        <f t="shared" ref="AD142:AE142" si="140">AD144+AD157+AD150+AD152+AD158</f>
        <v>307902.52161469997</v>
      </c>
      <c r="AE142" s="162">
        <f t="shared" si="140"/>
        <v>327828.63011694001</v>
      </c>
      <c r="AF142" s="162">
        <f t="shared" ref="AF142:AG142" si="141">AF144+AF157+AF150+AF152+AF158</f>
        <v>327572.92871578998</v>
      </c>
      <c r="AG142" s="162">
        <f t="shared" si="141"/>
        <v>325648.19596422999</v>
      </c>
    </row>
    <row r="143" spans="2:33">
      <c r="B143" s="119"/>
      <c r="C143" s="119"/>
      <c r="D143" s="119"/>
      <c r="E143" s="119"/>
      <c r="F143" s="119"/>
      <c r="H143" s="1208" t="s">
        <v>1710</v>
      </c>
      <c r="I143" s="124"/>
      <c r="J143" s="162">
        <f>J144+J157</f>
        <v>14207.8961284</v>
      </c>
      <c r="K143" s="162">
        <f>K144+K157</f>
        <v>12949.57943165</v>
      </c>
      <c r="L143" s="162">
        <f>L144+L157</f>
        <v>14640.90978652</v>
      </c>
      <c r="M143" s="162">
        <f t="shared" ref="M143:N143" si="142">M144+M157</f>
        <v>22277.056166419999</v>
      </c>
      <c r="N143" s="162">
        <f t="shared" si="142"/>
        <v>34794.073786790002</v>
      </c>
      <c r="O143" s="125">
        <f t="shared" si="137"/>
        <v>36609.749452199998</v>
      </c>
      <c r="P143" s="125">
        <f>Z143</f>
        <v>33424.893275609997</v>
      </c>
      <c r="Q143" s="125">
        <f t="shared" si="138"/>
        <v>38973.322408139997</v>
      </c>
      <c r="R143" s="125">
        <f>AG143</f>
        <v>38029.024807310001</v>
      </c>
      <c r="S143" s="124"/>
      <c r="T143" s="124"/>
      <c r="U143" s="124"/>
      <c r="V143" s="162">
        <f t="shared" ref="V143:Z143" si="143">V144+V157</f>
        <v>36609.749452199998</v>
      </c>
      <c r="W143" s="162">
        <f t="shared" si="143"/>
        <v>33916.289875939998</v>
      </c>
      <c r="X143" s="162">
        <f t="shared" ref="X143:Y143" si="144">X144+X157</f>
        <v>35617.126206120003</v>
      </c>
      <c r="Y143" s="162">
        <f t="shared" si="144"/>
        <v>35029.199405200001</v>
      </c>
      <c r="Z143" s="162">
        <f t="shared" si="143"/>
        <v>33424.893275609997</v>
      </c>
      <c r="AA143" s="162">
        <f t="shared" ref="AA143:AB143" si="145">AA144+AA157</f>
        <v>38520.718573860002</v>
      </c>
      <c r="AB143" s="162">
        <f t="shared" si="145"/>
        <v>40175.036356379998</v>
      </c>
      <c r="AC143" s="162">
        <f t="shared" ref="AC143:AD143" si="146">AC144+AC157</f>
        <v>38279.774065619997</v>
      </c>
      <c r="AD143" s="162">
        <f t="shared" si="146"/>
        <v>38973.322408139997</v>
      </c>
      <c r="AE143" s="162">
        <f t="shared" ref="AE143:AF143" si="147">AE144+AE157</f>
        <v>39403.965324780002</v>
      </c>
      <c r="AF143" s="162">
        <f t="shared" si="147"/>
        <v>37381.258469870001</v>
      </c>
      <c r="AG143" s="162">
        <f t="shared" ref="AG143" si="148">AG144+AG157</f>
        <v>38029.024807310001</v>
      </c>
    </row>
    <row r="144" spans="2:33">
      <c r="B144" s="119"/>
      <c r="C144" s="119"/>
      <c r="D144" s="119"/>
      <c r="E144" s="119"/>
      <c r="F144" s="119"/>
      <c r="H144" s="110" t="s">
        <v>528</v>
      </c>
      <c r="I144" s="124"/>
      <c r="J144" s="150">
        <f>BS!D303/100000000</f>
        <v>14207.8961284</v>
      </c>
      <c r="K144" s="150">
        <f>BS!H303/100000000</f>
        <v>12949.57943165</v>
      </c>
      <c r="L144" s="150">
        <f>BS!K303/100000000</f>
        <v>14640.90978652</v>
      </c>
      <c r="M144" s="150">
        <f>BS!O303/100000000</f>
        <v>22277.056166419999</v>
      </c>
      <c r="N144" s="150">
        <f>BS!S303/100000000</f>
        <v>34794.073786790002</v>
      </c>
      <c r="O144" s="125">
        <f t="shared" si="137"/>
        <v>36609.749452199998</v>
      </c>
      <c r="P144" s="125">
        <f>Z144</f>
        <v>33424.893275609997</v>
      </c>
      <c r="Q144" s="125">
        <f t="shared" si="138"/>
        <v>38973.322408139997</v>
      </c>
      <c r="R144" s="125">
        <f>AG144</f>
        <v>38029.024807310001</v>
      </c>
      <c r="S144" s="124"/>
      <c r="T144" s="124"/>
      <c r="U144" s="124"/>
      <c r="V144" s="150">
        <f>BS!$W303/100000000</f>
        <v>36609.749452199998</v>
      </c>
      <c r="W144" s="150">
        <f>BS!$X303/100000000</f>
        <v>33916.289875939998</v>
      </c>
      <c r="X144" s="150">
        <f>BS!$Y303/100000000</f>
        <v>35617.126206120003</v>
      </c>
      <c r="Y144" s="150">
        <f>BS!$Z303/100000000</f>
        <v>35029.199405200001</v>
      </c>
      <c r="Z144" s="150">
        <f>BS!$AA303/100000000</f>
        <v>33424.893275609997</v>
      </c>
      <c r="AA144" s="150">
        <f>BS!$AB303/100000000</f>
        <v>38520.718573860002</v>
      </c>
      <c r="AB144" s="150">
        <f>BS!$AC303/100000000</f>
        <v>40175.036356379998</v>
      </c>
      <c r="AC144" s="150">
        <f>BS!$AD303/100000000</f>
        <v>38279.774065619997</v>
      </c>
      <c r="AD144" s="150">
        <f>BS!$AE303/100000000</f>
        <v>38973.322408139997</v>
      </c>
      <c r="AE144" s="150">
        <f>BS!$AF303/100000000</f>
        <v>39403.965324780002</v>
      </c>
      <c r="AF144" s="150">
        <f>BS!$AG303/100000000</f>
        <v>37381.258469870001</v>
      </c>
      <c r="AG144" s="150">
        <f>BS!$AH303/100000000</f>
        <v>38029.024807310001</v>
      </c>
    </row>
    <row r="145" spans="2:35">
      <c r="B145" s="119"/>
      <c r="C145" s="119"/>
      <c r="D145" s="119"/>
      <c r="E145" s="119"/>
      <c r="F145" s="119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</row>
    <row r="146" spans="2:35">
      <c r="B146" s="119"/>
      <c r="C146" s="119"/>
      <c r="D146" s="119"/>
      <c r="E146" s="119"/>
      <c r="F146" s="119"/>
      <c r="H146" s="110" t="s">
        <v>502</v>
      </c>
      <c r="I146" s="124"/>
      <c r="J146" s="162">
        <f>J148+J149+J154+J156+J155+J153</f>
        <v>15344.03945561</v>
      </c>
      <c r="K146" s="162">
        <f>K148+K149+K154+K156+K155+K153</f>
        <v>17885.138986710001</v>
      </c>
      <c r="L146" s="162">
        <f>L148+L149+L154+L156+L155+L153</f>
        <v>14704.423780720001</v>
      </c>
      <c r="M146" s="162">
        <f>M148+M149+M154+M156+M155+M153</f>
        <v>14405.17172072</v>
      </c>
      <c r="N146" s="162">
        <f>N148+N149+N154+N156+N155+N153</f>
        <v>14121.77355849</v>
      </c>
      <c r="O146" s="125">
        <f t="shared" ref="O146:O156" si="149">V146</f>
        <v>14394.752296160001</v>
      </c>
      <c r="P146" s="125">
        <f t="shared" ref="P146:P156" si="150">Z146</f>
        <v>19082.40476804</v>
      </c>
      <c r="Q146" s="125">
        <f t="shared" ref="Q146:Q168" si="151">AD146</f>
        <v>26189.871241150002</v>
      </c>
      <c r="R146" s="125">
        <f t="shared" ref="R146:R168" si="152">AG146</f>
        <v>30559.456836190002</v>
      </c>
      <c r="S146" s="124"/>
      <c r="T146" s="124"/>
      <c r="U146" s="124"/>
      <c r="V146" s="162">
        <f t="shared" ref="V146:AC146" si="153">V148+V149+V154+V156+V155+V153</f>
        <v>14394.752296160001</v>
      </c>
      <c r="W146" s="162">
        <f t="shared" si="153"/>
        <v>7635.7811121799996</v>
      </c>
      <c r="X146" s="162">
        <f t="shared" si="153"/>
        <v>10882.523953800001</v>
      </c>
      <c r="Y146" s="162">
        <f t="shared" si="153"/>
        <v>12991.99994747</v>
      </c>
      <c r="Z146" s="162">
        <f t="shared" si="153"/>
        <v>19082.40476804</v>
      </c>
      <c r="AA146" s="162">
        <f t="shared" si="153"/>
        <v>17723.761904890001</v>
      </c>
      <c r="AB146" s="162">
        <f t="shared" si="153"/>
        <v>21394.26918947</v>
      </c>
      <c r="AC146" s="162">
        <f t="shared" si="153"/>
        <v>15438.8401187</v>
      </c>
      <c r="AD146" s="162">
        <f t="shared" ref="AD146:AE146" si="154">AD148+AD149+AD154+AD156+AD155+AD153</f>
        <v>26189.871241150002</v>
      </c>
      <c r="AE146" s="162">
        <f t="shared" si="154"/>
        <v>24712.037782560001</v>
      </c>
      <c r="AF146" s="162">
        <f t="shared" ref="AF146:AG146" si="155">AF148+AF149+AF154+AF156+AF155+AF153</f>
        <v>28460.809139450001</v>
      </c>
      <c r="AG146" s="162">
        <f t="shared" si="155"/>
        <v>30559.456836190002</v>
      </c>
    </row>
    <row r="147" spans="2:35">
      <c r="B147" s="119"/>
      <c r="C147" s="119"/>
      <c r="D147" s="119"/>
      <c r="E147" s="119"/>
      <c r="F147" s="119"/>
      <c r="H147" s="1150" t="s">
        <v>1705</v>
      </c>
      <c r="I147" s="124"/>
      <c r="J147" s="162">
        <f>J148+J149</f>
        <v>14718.249455609999</v>
      </c>
      <c r="K147" s="162">
        <f>K148+K149</f>
        <v>15185.138986710001</v>
      </c>
      <c r="L147" s="162">
        <f>L148+L149</f>
        <v>12004.423780720001</v>
      </c>
      <c r="M147" s="162">
        <f>M148+M149</f>
        <v>11705.17172072</v>
      </c>
      <c r="N147" s="162">
        <f>N148+N149</f>
        <v>8321.7735584900001</v>
      </c>
      <c r="O147" s="125">
        <f>V147</f>
        <v>6594.7522961599998</v>
      </c>
      <c r="P147" s="125">
        <f>Z147</f>
        <v>4732.4047680399999</v>
      </c>
      <c r="Q147" s="125">
        <f t="shared" si="151"/>
        <v>10000</v>
      </c>
      <c r="R147" s="125">
        <f t="shared" si="152"/>
        <v>9200</v>
      </c>
      <c r="S147" s="124"/>
      <c r="T147" s="124"/>
      <c r="U147" s="124"/>
      <c r="V147" s="162">
        <f t="shared" ref="V147:AC147" si="156">V148+V149</f>
        <v>6594.7522961599998</v>
      </c>
      <c r="W147" s="162">
        <f t="shared" si="156"/>
        <v>7635.7811121799996</v>
      </c>
      <c r="X147" s="162">
        <f t="shared" si="156"/>
        <v>10882.523953800001</v>
      </c>
      <c r="Y147" s="162">
        <f t="shared" si="156"/>
        <v>12991.99994747</v>
      </c>
      <c r="Z147" s="162">
        <f t="shared" si="156"/>
        <v>4732.4047680399999</v>
      </c>
      <c r="AA147" s="162">
        <f t="shared" si="156"/>
        <v>4480</v>
      </c>
      <c r="AB147" s="162">
        <f t="shared" si="156"/>
        <v>6000</v>
      </c>
      <c r="AC147" s="162">
        <f t="shared" si="156"/>
        <v>4250</v>
      </c>
      <c r="AD147" s="162">
        <f t="shared" ref="AD147:AE147" si="157">AD148+AD149</f>
        <v>10000</v>
      </c>
      <c r="AE147" s="162">
        <f t="shared" si="157"/>
        <v>7000</v>
      </c>
      <c r="AF147" s="162">
        <f t="shared" ref="AF147:AG147" si="158">AF148+AF149</f>
        <v>10297</v>
      </c>
      <c r="AG147" s="162">
        <f t="shared" si="158"/>
        <v>9200</v>
      </c>
    </row>
    <row r="148" spans="2:35">
      <c r="B148" s="119"/>
      <c r="C148" s="119"/>
      <c r="D148" s="119"/>
      <c r="E148" s="119"/>
      <c r="F148" s="119"/>
      <c r="H148" s="110" t="s">
        <v>154</v>
      </c>
      <c r="I148" s="124"/>
      <c r="J148" s="150">
        <f>BS!D323/100000000</f>
        <v>5159</v>
      </c>
      <c r="K148" s="150">
        <f>BS!H323/100000000</f>
        <v>9030</v>
      </c>
      <c r="L148" s="150">
        <f>BS!K323/100000000</f>
        <v>7760</v>
      </c>
      <c r="M148" s="150">
        <f>BS!O323/100000000</f>
        <v>4000</v>
      </c>
      <c r="N148" s="150">
        <f>BS!S323/100000000</f>
        <v>2387</v>
      </c>
      <c r="O148" s="125">
        <f t="shared" si="149"/>
        <v>400</v>
      </c>
      <c r="P148" s="125">
        <f t="shared" si="150"/>
        <v>2028</v>
      </c>
      <c r="Q148" s="125">
        <f t="shared" si="151"/>
        <v>6300</v>
      </c>
      <c r="R148" s="125">
        <f t="shared" si="152"/>
        <v>5400</v>
      </c>
      <c r="S148" s="124"/>
      <c r="T148" s="124"/>
      <c r="U148" s="124"/>
      <c r="V148" s="150">
        <f>BS!$W323/100000000</f>
        <v>400</v>
      </c>
      <c r="W148" s="150">
        <f>BS!$X323/100000000</f>
        <v>1000</v>
      </c>
      <c r="X148" s="150">
        <f>BS!$Y323/100000000</f>
        <v>2500</v>
      </c>
      <c r="Y148" s="150">
        <f>BS!$Z323/100000000</f>
        <v>4310</v>
      </c>
      <c r="Z148" s="150">
        <f>BS!$AA323/100000000</f>
        <v>2028</v>
      </c>
      <c r="AA148" s="150">
        <f>BS!$AB323/100000000</f>
        <v>2680</v>
      </c>
      <c r="AB148" s="150">
        <f>BS!$AC323/100000000</f>
        <v>2200</v>
      </c>
      <c r="AC148" s="150">
        <f>BS!$AD323/100000000</f>
        <v>2050</v>
      </c>
      <c r="AD148" s="150">
        <f>BS!$AE323/100000000</f>
        <v>6300</v>
      </c>
      <c r="AE148" s="150">
        <f>BS!$AF323/100000000</f>
        <v>3000</v>
      </c>
      <c r="AF148" s="150">
        <f>BS!$AG323/100000000</f>
        <v>5800</v>
      </c>
      <c r="AG148" s="150">
        <f>BS!$AH323/100000000</f>
        <v>5400</v>
      </c>
    </row>
    <row r="149" spans="2:35">
      <c r="B149" s="119"/>
      <c r="C149" s="119"/>
      <c r="D149" s="119"/>
      <c r="E149" s="119"/>
      <c r="F149" s="119"/>
      <c r="H149" s="110" t="s">
        <v>155</v>
      </c>
      <c r="I149" s="124"/>
      <c r="J149" s="150">
        <f>BS!D324/100000000</f>
        <v>9559.2494556099991</v>
      </c>
      <c r="K149" s="150">
        <f>BS!H324/100000000</f>
        <v>6155.1389867099997</v>
      </c>
      <c r="L149" s="150">
        <f>BS!K324/100000000</f>
        <v>4244.4237807199997</v>
      </c>
      <c r="M149" s="150">
        <f>BS!O324/100000000</f>
        <v>7705.1717207199999</v>
      </c>
      <c r="N149" s="150">
        <f>BS!S324/100000000</f>
        <v>5934.7735584900001</v>
      </c>
      <c r="O149" s="125">
        <f t="shared" si="149"/>
        <v>6194.7522961599998</v>
      </c>
      <c r="P149" s="125">
        <f t="shared" si="150"/>
        <v>2704.4047680399999</v>
      </c>
      <c r="Q149" s="125">
        <f t="shared" si="151"/>
        <v>3700</v>
      </c>
      <c r="R149" s="125">
        <f t="shared" si="152"/>
        <v>3800</v>
      </c>
      <c r="S149" s="124"/>
      <c r="T149" s="124"/>
      <c r="U149" s="124"/>
      <c r="V149" s="150">
        <f>BS!$W324/100000000</f>
        <v>6194.7522961599998</v>
      </c>
      <c r="W149" s="150">
        <f>BS!$X324/100000000</f>
        <v>6635.7811121799996</v>
      </c>
      <c r="X149" s="150">
        <f>BS!$Y324/100000000</f>
        <v>8382.5239538000005</v>
      </c>
      <c r="Y149" s="150">
        <f>BS!$Z324/100000000</f>
        <v>8681.9999474699998</v>
      </c>
      <c r="Z149" s="150">
        <f>BS!$AA324/100000000</f>
        <v>2704.4047680399999</v>
      </c>
      <c r="AA149" s="150">
        <f>BS!$AB324/100000000</f>
        <v>1800</v>
      </c>
      <c r="AB149" s="150">
        <f>BS!$AC324/100000000</f>
        <v>3800</v>
      </c>
      <c r="AC149" s="150">
        <f>BS!$AD324/100000000</f>
        <v>2200</v>
      </c>
      <c r="AD149" s="150">
        <f>BS!$AE324/100000000</f>
        <v>3700</v>
      </c>
      <c r="AE149" s="150">
        <f>BS!$AF324/100000000</f>
        <v>4000</v>
      </c>
      <c r="AF149" s="150">
        <f>BS!$AG324/100000000</f>
        <v>4497</v>
      </c>
      <c r="AG149" s="150">
        <f>BS!$AH324/100000000</f>
        <v>3800</v>
      </c>
    </row>
    <row r="150" spans="2:35">
      <c r="B150" s="119"/>
      <c r="C150" s="119"/>
      <c r="D150" s="119"/>
      <c r="E150" s="119"/>
      <c r="F150" s="119"/>
      <c r="H150" s="110" t="s">
        <v>504</v>
      </c>
      <c r="I150" s="124"/>
      <c r="J150" s="150">
        <f>BS!D330/100000000</f>
        <v>56459.878963869996</v>
      </c>
      <c r="K150" s="150">
        <f>BS!H330/100000000</f>
        <v>68723.380438509994</v>
      </c>
      <c r="L150" s="150">
        <f>BS!K330/100000000</f>
        <v>77534.115325229999</v>
      </c>
      <c r="M150" s="150">
        <f>BS!O330/100000000</f>
        <v>83128.050130660005</v>
      </c>
      <c r="N150" s="150">
        <f>BS!S330/100000000</f>
        <v>102435.54906067</v>
      </c>
      <c r="O150" s="125">
        <f t="shared" si="149"/>
        <v>116124.37310368</v>
      </c>
      <c r="P150" s="125">
        <f t="shared" si="150"/>
        <v>129935.32550214999</v>
      </c>
      <c r="Q150" s="125">
        <f t="shared" si="151"/>
        <v>103006.16178676</v>
      </c>
      <c r="R150" s="125">
        <f t="shared" si="152"/>
        <v>95941.336174149998</v>
      </c>
      <c r="S150" s="124"/>
      <c r="T150" s="124"/>
      <c r="U150" s="124"/>
      <c r="V150" s="150">
        <f>BS!$W330/100000000</f>
        <v>116124.37310368</v>
      </c>
      <c r="W150" s="150">
        <f>BS!$X330/100000000</f>
        <v>126589.64758449999</v>
      </c>
      <c r="X150" s="150">
        <f>BS!$Y330/100000000</f>
        <v>122389.79777223</v>
      </c>
      <c r="Y150" s="150">
        <f>BS!$Z330/100000000</f>
        <v>130456.79003516999</v>
      </c>
      <c r="Z150" s="150">
        <f>BS!$AA330/100000000</f>
        <v>129935.32550214999</v>
      </c>
      <c r="AA150" s="150">
        <f>BS!$AB330/100000000</f>
        <v>117202.40036982999</v>
      </c>
      <c r="AB150" s="150">
        <f>BS!$AC330/100000000</f>
        <v>116755.35845308</v>
      </c>
      <c r="AC150" s="150">
        <f>BS!$AD330/100000000</f>
        <v>113291.60464251001</v>
      </c>
      <c r="AD150" s="150">
        <f>BS!$AE330/100000000</f>
        <v>103006.16178676</v>
      </c>
      <c r="AE150" s="150">
        <f>BS!$AF330/100000000</f>
        <v>97745.358073740004</v>
      </c>
      <c r="AF150" s="150">
        <f>BS!$AG330/100000000</f>
        <v>92945.869518949999</v>
      </c>
      <c r="AG150" s="150">
        <f>BS!$AH330/100000000</f>
        <v>95941.336174149998</v>
      </c>
    </row>
    <row r="151" spans="2:35">
      <c r="B151" s="119"/>
      <c r="C151" s="119"/>
      <c r="D151" s="119"/>
      <c r="E151" s="119"/>
      <c r="F151" s="119"/>
      <c r="H151" s="110" t="s">
        <v>156</v>
      </c>
      <c r="I151" s="124"/>
      <c r="J151" s="150">
        <f>BS!D331/100000000</f>
        <v>9110.6917324999995</v>
      </c>
      <c r="K151" s="150">
        <f>BS!H331/100000000</f>
        <v>12845.971677420001</v>
      </c>
      <c r="L151" s="150">
        <f>BS!K331/100000000</f>
        <v>4409.7952273999999</v>
      </c>
      <c r="M151" s="150">
        <f>BS!O331/100000000</f>
        <v>15451.80700424</v>
      </c>
      <c r="N151" s="150">
        <f>BS!S331/100000000</f>
        <v>17308.524039290001</v>
      </c>
      <c r="O151" s="125">
        <f t="shared" si="149"/>
        <v>19699.945620819999</v>
      </c>
      <c r="P151" s="125">
        <f t="shared" si="150"/>
        <v>30911.1443808</v>
      </c>
      <c r="Q151" s="125">
        <f t="shared" si="151"/>
        <v>28677.68763031</v>
      </c>
      <c r="R151" s="125">
        <f t="shared" si="152"/>
        <v>29502.834403569999</v>
      </c>
      <c r="S151" s="124"/>
      <c r="T151" s="124"/>
      <c r="U151" s="124"/>
      <c r="V151" s="150">
        <f>BS!$W331/100000000</f>
        <v>19699.945620819999</v>
      </c>
      <c r="W151" s="150">
        <f>BS!$X331/100000000</f>
        <v>21412.531607730001</v>
      </c>
      <c r="X151" s="150">
        <f>BS!$Y331/100000000</f>
        <v>28053.22194168</v>
      </c>
      <c r="Y151" s="150">
        <f>BS!$Z331/100000000</f>
        <v>32550.52153853</v>
      </c>
      <c r="Z151" s="150">
        <f>BS!$AA331/100000000</f>
        <v>30911.1443808</v>
      </c>
      <c r="AA151" s="150">
        <f>BS!$AB331/100000000</f>
        <v>40923.276981800002</v>
      </c>
      <c r="AB151" s="150">
        <f>BS!$AC331/100000000</f>
        <v>29947.200675420001</v>
      </c>
      <c r="AC151" s="150">
        <f>BS!$AD331/100000000</f>
        <v>32798.351705840003</v>
      </c>
      <c r="AD151" s="150">
        <f>BS!$AE331/100000000</f>
        <v>28677.68763031</v>
      </c>
      <c r="AE151" s="150">
        <f>BS!$AF331/100000000</f>
        <v>22414.677304429999</v>
      </c>
      <c r="AF151" s="150">
        <f>BS!$AG331/100000000</f>
        <v>21681.521612460001</v>
      </c>
      <c r="AG151" s="150">
        <f>BS!$AH331/100000000</f>
        <v>29502.834403569999</v>
      </c>
    </row>
    <row r="152" spans="2:35">
      <c r="B152" s="119"/>
      <c r="C152" s="119"/>
      <c r="D152" s="119"/>
      <c r="E152" s="119"/>
      <c r="F152" s="119"/>
      <c r="H152" s="110" t="s">
        <v>157</v>
      </c>
      <c r="I152" s="124"/>
      <c r="J152" s="150">
        <f>BS!D337/100000000</f>
        <v>32356.694091869998</v>
      </c>
      <c r="K152" s="150">
        <f>BS!H337/100000000</f>
        <v>39768.612010320001</v>
      </c>
      <c r="L152" s="150">
        <f>BS!K337/100000000</f>
        <v>47257.361393469997</v>
      </c>
      <c r="M152" s="150">
        <f>BS!O337/100000000</f>
        <v>57324.844811950003</v>
      </c>
      <c r="N152" s="150">
        <f>BS!S337/100000000</f>
        <v>67541.088809010005</v>
      </c>
      <c r="O152" s="125">
        <f t="shared" si="149"/>
        <v>84247.567620600006</v>
      </c>
      <c r="P152" s="125">
        <f t="shared" si="150"/>
        <v>89748.049846280002</v>
      </c>
      <c r="Q152" s="125">
        <f t="shared" si="151"/>
        <v>123568.41673821</v>
      </c>
      <c r="R152" s="125">
        <f t="shared" si="152"/>
        <v>129336.46208752001</v>
      </c>
      <c r="S152" s="124"/>
      <c r="T152" s="124"/>
      <c r="U152" s="124"/>
      <c r="V152" s="150">
        <f>BS!$W337/100000000</f>
        <v>84247.567620600006</v>
      </c>
      <c r="W152" s="150">
        <f>BS!$X337/100000000</f>
        <v>92583.570790900005</v>
      </c>
      <c r="X152" s="150">
        <f>BS!$Y337/100000000</f>
        <v>91600.213891110005</v>
      </c>
      <c r="Y152" s="150">
        <f>BS!$Z337/100000000</f>
        <v>88838.998672429996</v>
      </c>
      <c r="Z152" s="150">
        <f>BS!$AA337/100000000</f>
        <v>89748.049846280002</v>
      </c>
      <c r="AA152" s="150">
        <f>BS!$AB337/100000000</f>
        <v>92851.312597020005</v>
      </c>
      <c r="AB152" s="150">
        <f>BS!$AC337/100000000</f>
        <v>105894.2096278</v>
      </c>
      <c r="AC152" s="150">
        <f>BS!$AD337/100000000</f>
        <v>116373.17901825</v>
      </c>
      <c r="AD152" s="150">
        <f>BS!$AE337/100000000</f>
        <v>123568.41673821</v>
      </c>
      <c r="AE152" s="150">
        <f>BS!$AF337/100000000</f>
        <v>140102.9639003</v>
      </c>
      <c r="AF152" s="150">
        <f>BS!$AG337/100000000</f>
        <v>140071.34457828</v>
      </c>
      <c r="AG152" s="150">
        <f>BS!$AH337/100000000</f>
        <v>129336.46208752001</v>
      </c>
    </row>
    <row r="153" spans="2:35">
      <c r="B153" s="119"/>
      <c r="C153" s="119"/>
      <c r="D153" s="119"/>
      <c r="E153" s="119"/>
      <c r="F153" s="119"/>
      <c r="H153" s="1215" t="s">
        <v>2095</v>
      </c>
      <c r="I153" s="124"/>
      <c r="J153" s="571">
        <f>BS!$D$345/100000000</f>
        <v>0</v>
      </c>
      <c r="K153" s="571">
        <f>BS!$H$345/100000000</f>
        <v>0</v>
      </c>
      <c r="L153" s="571">
        <f>BS!$K$345/100000000</f>
        <v>0</v>
      </c>
      <c r="M153" s="571">
        <f>BS!$O$345/100000000</f>
        <v>0</v>
      </c>
      <c r="N153" s="571">
        <f>BS!$S$345/100000000</f>
        <v>0</v>
      </c>
      <c r="O153" s="125">
        <f t="shared" ref="O153" si="159">V153</f>
        <v>0</v>
      </c>
      <c r="P153" s="125">
        <f t="shared" ref="P153" si="160">Z153</f>
        <v>7350</v>
      </c>
      <c r="Q153" s="125">
        <f t="shared" si="151"/>
        <v>8200</v>
      </c>
      <c r="R153" s="125">
        <f t="shared" si="152"/>
        <v>9380</v>
      </c>
      <c r="S153" s="123"/>
      <c r="T153" s="123"/>
      <c r="U153" s="123"/>
      <c r="V153" s="150">
        <f>BS!$W$345/100000000</f>
        <v>0</v>
      </c>
      <c r="W153" s="150">
        <f>BS!$X$345/100000000</f>
        <v>0</v>
      </c>
      <c r="X153" s="150">
        <f>BS!$Y$345/100000000</f>
        <v>0</v>
      </c>
      <c r="Y153" s="150">
        <f>BS!$Z$345/100000000</f>
        <v>0</v>
      </c>
      <c r="Z153" s="150">
        <f>BS!$AA$345/100000000</f>
        <v>7350</v>
      </c>
      <c r="AA153" s="150">
        <f>BS!$AB$345/100000000</f>
        <v>4250</v>
      </c>
      <c r="AB153" s="150">
        <f>BS!$AC$345/100000000</f>
        <v>6400</v>
      </c>
      <c r="AC153" s="150">
        <f>BS!$AD$345/100000000</f>
        <v>2900</v>
      </c>
      <c r="AD153" s="150">
        <f>BS!$AE$345/100000000</f>
        <v>8200</v>
      </c>
      <c r="AE153" s="150">
        <f>BS!$AF$345/100000000</f>
        <v>7530</v>
      </c>
      <c r="AF153" s="150">
        <f>BS!$AG$345/100000000</f>
        <v>8180</v>
      </c>
      <c r="AG153" s="150">
        <f>BS!$AH$345/100000000</f>
        <v>9380</v>
      </c>
    </row>
    <row r="154" spans="2:35">
      <c r="B154" s="119"/>
      <c r="C154" s="119"/>
      <c r="D154" s="119"/>
      <c r="E154" s="119"/>
      <c r="F154" s="119"/>
      <c r="H154" s="1215" t="s">
        <v>2096</v>
      </c>
      <c r="I154" s="124"/>
      <c r="J154" s="150">
        <f>BS!D343/100000000</f>
        <v>625.79</v>
      </c>
      <c r="K154" s="150">
        <f>BS!H343/100000000</f>
        <v>2700</v>
      </c>
      <c r="L154" s="150">
        <f>BS!K343/100000000</f>
        <v>2700</v>
      </c>
      <c r="M154" s="150">
        <f>BS!O343/100000000</f>
        <v>2700</v>
      </c>
      <c r="N154" s="150">
        <f>BS!S343/100000000</f>
        <v>5800</v>
      </c>
      <c r="O154" s="125">
        <f t="shared" si="149"/>
        <v>7800</v>
      </c>
      <c r="P154" s="125">
        <f t="shared" si="150"/>
        <v>7000</v>
      </c>
      <c r="Q154" s="125">
        <f t="shared" si="151"/>
        <v>7989.8712411500001</v>
      </c>
      <c r="R154" s="125">
        <f t="shared" si="152"/>
        <v>11979.45683619</v>
      </c>
      <c r="S154" s="124"/>
      <c r="T154" s="124"/>
      <c r="U154" s="124"/>
      <c r="V154" s="150">
        <f>BS!$W343/100000000</f>
        <v>7800</v>
      </c>
      <c r="W154" s="1226">
        <f>BS!$X346/100000000</f>
        <v>0</v>
      </c>
      <c r="X154" s="1226">
        <f>BS!$Y346/100000000</f>
        <v>0</v>
      </c>
      <c r="Y154" s="1226">
        <f>BS!$Z346/100000000</f>
        <v>0</v>
      </c>
      <c r="Z154" s="1226">
        <f>BS!$AA346/100000000</f>
        <v>7000</v>
      </c>
      <c r="AA154" s="1226">
        <f>BS!$AB346/100000000</f>
        <v>8993.7619048899996</v>
      </c>
      <c r="AB154" s="1226">
        <f>BS!$AC346/100000000</f>
        <v>8994.2691894700001</v>
      </c>
      <c r="AC154" s="1226">
        <f>BS!$AD346/100000000</f>
        <v>8288.8401186999999</v>
      </c>
      <c r="AD154" s="1226">
        <f>BS!$AE346/100000000</f>
        <v>7989.8712411500001</v>
      </c>
      <c r="AE154" s="1226">
        <f>BS!$AF346/100000000</f>
        <v>10182.037782560001</v>
      </c>
      <c r="AF154" s="1226">
        <f>BS!$AG346/100000000</f>
        <v>9983.8091394500007</v>
      </c>
      <c r="AG154" s="1226">
        <f>BS!$AH346/100000000</f>
        <v>11979.45683619</v>
      </c>
      <c r="AI154" s="1215" t="s">
        <v>2099</v>
      </c>
    </row>
    <row r="155" spans="2:35">
      <c r="B155" s="119"/>
      <c r="C155" s="119"/>
      <c r="D155" s="119"/>
      <c r="E155" s="119"/>
      <c r="F155" s="119"/>
      <c r="H155" s="110" t="s">
        <v>158</v>
      </c>
      <c r="I155" s="124"/>
      <c r="J155" s="150">
        <f>BS!D347/100000000</f>
        <v>0</v>
      </c>
      <c r="K155" s="150">
        <f>BS!H347/100000000</f>
        <v>0</v>
      </c>
      <c r="L155" s="150">
        <f>BS!K347/100000000</f>
        <v>0</v>
      </c>
      <c r="M155" s="150">
        <f>BS!O347/100000000</f>
        <v>0</v>
      </c>
      <c r="N155" s="150">
        <f>BS!S347/100000000</f>
        <v>0</v>
      </c>
      <c r="O155" s="125">
        <f t="shared" si="149"/>
        <v>0</v>
      </c>
      <c r="P155" s="125">
        <f t="shared" si="150"/>
        <v>0</v>
      </c>
      <c r="Q155" s="125">
        <f t="shared" si="151"/>
        <v>0</v>
      </c>
      <c r="R155" s="125">
        <f t="shared" si="152"/>
        <v>0</v>
      </c>
      <c r="S155" s="124"/>
      <c r="T155" s="124"/>
      <c r="U155" s="124"/>
      <c r="V155" s="150">
        <f>BS!$W347/100000000</f>
        <v>0</v>
      </c>
      <c r="W155" s="150">
        <f>BS!$X347/100000000</f>
        <v>0</v>
      </c>
      <c r="X155" s="150">
        <f>BS!$Y347/100000000</f>
        <v>0</v>
      </c>
      <c r="Y155" s="150">
        <f>BS!$Z347/100000000</f>
        <v>0</v>
      </c>
      <c r="Z155" s="150">
        <f>BS!$AA347/100000000</f>
        <v>0</v>
      </c>
      <c r="AA155" s="150">
        <f>BS!$AB347/100000000</f>
        <v>0</v>
      </c>
      <c r="AB155" s="150">
        <f>BS!$AC347/100000000</f>
        <v>0</v>
      </c>
      <c r="AC155" s="150">
        <f>BS!$AD347/100000000</f>
        <v>0</v>
      </c>
      <c r="AD155" s="150">
        <f>BS!$AE347/100000000</f>
        <v>0</v>
      </c>
      <c r="AE155" s="150">
        <f>BS!$AF347/100000000</f>
        <v>0</v>
      </c>
      <c r="AF155" s="150">
        <f>BS!$AG347/100000000</f>
        <v>0</v>
      </c>
      <c r="AG155" s="150">
        <f>BS!$AH347/100000000</f>
        <v>0</v>
      </c>
    </row>
    <row r="156" spans="2:35">
      <c r="B156" s="119"/>
      <c r="C156" s="119"/>
      <c r="D156" s="119"/>
      <c r="E156" s="119"/>
      <c r="F156" s="119"/>
      <c r="H156" s="110" t="s">
        <v>159</v>
      </c>
      <c r="I156" s="124"/>
      <c r="J156" s="150">
        <f>BS!D349/100000000</f>
        <v>0</v>
      </c>
      <c r="K156" s="150">
        <f>BS!H349/100000000</f>
        <v>0</v>
      </c>
      <c r="L156" s="150">
        <f>BS!K349/100000000</f>
        <v>0</v>
      </c>
      <c r="M156" s="150">
        <f>BS!O349/100000000</f>
        <v>0</v>
      </c>
      <c r="N156" s="150">
        <f>BS!S349/100000000</f>
        <v>0</v>
      </c>
      <c r="O156" s="125">
        <f t="shared" si="149"/>
        <v>0</v>
      </c>
      <c r="P156" s="125">
        <f t="shared" si="150"/>
        <v>0</v>
      </c>
      <c r="Q156" s="125">
        <f t="shared" si="151"/>
        <v>0</v>
      </c>
      <c r="R156" s="125">
        <f t="shared" si="152"/>
        <v>0</v>
      </c>
      <c r="S156" s="124"/>
      <c r="T156" s="124"/>
      <c r="U156" s="124"/>
      <c r="V156" s="150">
        <f>BS!$W349/100000000</f>
        <v>0</v>
      </c>
      <c r="W156" s="150">
        <f>BS!$X349/100000000</f>
        <v>0</v>
      </c>
      <c r="X156" s="150">
        <f>BS!$Y349/100000000</f>
        <v>0</v>
      </c>
      <c r="Y156" s="150">
        <f>BS!$Z349/100000000</f>
        <v>0</v>
      </c>
      <c r="Z156" s="150">
        <f>BS!$AA349/100000000</f>
        <v>0</v>
      </c>
      <c r="AA156" s="150">
        <f>BS!$AB349/100000000</f>
        <v>0</v>
      </c>
      <c r="AB156" s="150">
        <f>BS!$AC349/100000000</f>
        <v>0</v>
      </c>
      <c r="AC156" s="150">
        <f>BS!$AD349/100000000</f>
        <v>0</v>
      </c>
      <c r="AD156" s="150">
        <f>BS!$AE349/100000000</f>
        <v>0</v>
      </c>
      <c r="AE156" s="150">
        <f>BS!$AF349/100000000</f>
        <v>0</v>
      </c>
      <c r="AF156" s="150">
        <f>BS!$AG349/100000000</f>
        <v>0</v>
      </c>
      <c r="AG156" s="150">
        <f>BS!$AH349/100000000</f>
        <v>0</v>
      </c>
    </row>
    <row r="157" spans="2:35">
      <c r="B157" s="119"/>
      <c r="C157" s="119"/>
      <c r="D157" s="119"/>
      <c r="E157" s="119"/>
      <c r="F157" s="119"/>
      <c r="H157" s="1215" t="s">
        <v>2097</v>
      </c>
      <c r="I157" s="124"/>
      <c r="J157" s="150">
        <f>BS!D350/100000000</f>
        <v>0</v>
      </c>
      <c r="K157" s="150">
        <f>BS!H350/100000000</f>
        <v>0</v>
      </c>
      <c r="L157" s="150">
        <f>BS!K350/100000000</f>
        <v>0</v>
      </c>
      <c r="M157" s="150">
        <f>BS!O350/100000000</f>
        <v>0</v>
      </c>
      <c r="N157" s="150">
        <f>BS!S350/100000000</f>
        <v>0</v>
      </c>
      <c r="O157" s="125">
        <f>V157</f>
        <v>0</v>
      </c>
      <c r="P157" s="125">
        <f>Z157</f>
        <v>0</v>
      </c>
      <c r="Q157" s="125">
        <f t="shared" si="151"/>
        <v>0</v>
      </c>
      <c r="R157" s="125">
        <f t="shared" si="152"/>
        <v>0</v>
      </c>
      <c r="S157" s="124"/>
      <c r="T157" s="124"/>
      <c r="U157" s="124"/>
      <c r="V157" s="150">
        <f>BS!$W350/100000000</f>
        <v>0</v>
      </c>
      <c r="W157" s="150">
        <f>BS!$X350/100000000</f>
        <v>0</v>
      </c>
      <c r="X157" s="150">
        <f>BS!$Y350/100000000</f>
        <v>0</v>
      </c>
      <c r="Y157" s="150">
        <f>BS!$Z350/100000000</f>
        <v>0</v>
      </c>
      <c r="Z157" s="150">
        <f>BS!$AA350/100000000</f>
        <v>0</v>
      </c>
      <c r="AA157" s="150">
        <f>BS!$AB350/100000000</f>
        <v>0</v>
      </c>
      <c r="AB157" s="150">
        <f>BS!$AC350/100000000</f>
        <v>0</v>
      </c>
      <c r="AC157" s="150">
        <f>BS!$AD350/100000000</f>
        <v>0</v>
      </c>
      <c r="AD157" s="150">
        <f>BS!$AE350/100000000</f>
        <v>0</v>
      </c>
      <c r="AE157" s="150">
        <f>BS!$AF350/100000000</f>
        <v>0</v>
      </c>
      <c r="AF157" s="150">
        <f>BS!$AG350/100000000</f>
        <v>0</v>
      </c>
      <c r="AG157" s="150">
        <f>BS!$AH350/100000000</f>
        <v>0</v>
      </c>
    </row>
    <row r="158" spans="2:35">
      <c r="B158" s="119"/>
      <c r="C158" s="119"/>
      <c r="D158" s="119"/>
      <c r="E158" s="119"/>
      <c r="F158" s="119"/>
      <c r="H158" s="915" t="s">
        <v>1677</v>
      </c>
      <c r="I158" s="124"/>
      <c r="J158" s="150">
        <f>BS!D351/100000000</f>
        <v>0</v>
      </c>
      <c r="K158" s="150">
        <f>BS!H351/100000000</f>
        <v>0</v>
      </c>
      <c r="L158" s="150">
        <f>BS!K351/100000000</f>
        <v>0</v>
      </c>
      <c r="M158" s="150">
        <f>BS!O351/100000000</f>
        <v>0</v>
      </c>
      <c r="N158" s="150">
        <f>BS!S351/100000000</f>
        <v>0</v>
      </c>
      <c r="O158" s="125">
        <f t="shared" ref="O158" si="161">V158</f>
        <v>0</v>
      </c>
      <c r="P158" s="125">
        <f t="shared" ref="P158" si="162">Z158</f>
        <v>8526.9401237900001</v>
      </c>
      <c r="Q158" s="125">
        <f t="shared" si="151"/>
        <v>42354.62068159</v>
      </c>
      <c r="R158" s="125">
        <f t="shared" si="152"/>
        <v>62341.372895250002</v>
      </c>
      <c r="S158" s="124"/>
      <c r="T158" s="124"/>
      <c r="U158" s="124"/>
      <c r="V158" s="150">
        <f>BS!$W351/100000000</f>
        <v>0</v>
      </c>
      <c r="W158" s="150">
        <f>BS!$X351/100000000</f>
        <v>0</v>
      </c>
      <c r="X158" s="150">
        <f>BS!$Y351/100000000</f>
        <v>0</v>
      </c>
      <c r="Y158" s="150">
        <f>BS!$Z351/100000000</f>
        <v>0</v>
      </c>
      <c r="Z158" s="150">
        <f>BS!$AA351/100000000</f>
        <v>8526.9401237900001</v>
      </c>
      <c r="AA158" s="150">
        <f>BS!$AB351/100000000</f>
        <v>22755.87319432</v>
      </c>
      <c r="AB158" s="150">
        <f>BS!$AC351/100000000</f>
        <v>27363.90038476</v>
      </c>
      <c r="AC158" s="150">
        <f>BS!$AD351/100000000</f>
        <v>34471.985250919999</v>
      </c>
      <c r="AD158" s="150">
        <f>BS!$AE351/100000000</f>
        <v>42354.62068159</v>
      </c>
      <c r="AE158" s="150">
        <f>BS!$AF351/100000000</f>
        <v>50576.34281812</v>
      </c>
      <c r="AF158" s="150">
        <f>BS!$AG351/100000000</f>
        <v>57174.456148689998</v>
      </c>
      <c r="AG158" s="150">
        <f>BS!$AH351/100000000</f>
        <v>62341.372895250002</v>
      </c>
    </row>
    <row r="159" spans="2:35">
      <c r="B159" s="119"/>
      <c r="C159" s="119"/>
      <c r="D159" s="119"/>
      <c r="E159" s="119"/>
      <c r="F159" s="119"/>
      <c r="H159" s="1215" t="s">
        <v>2094</v>
      </c>
      <c r="I159" s="124"/>
      <c r="J159" s="498">
        <f>J154+J155</f>
        <v>625.79</v>
      </c>
      <c r="K159" s="498">
        <f>K154+K155</f>
        <v>2700</v>
      </c>
      <c r="L159" s="498">
        <f>L154+L155</f>
        <v>2700</v>
      </c>
      <c r="M159" s="498">
        <f>M154+M155</f>
        <v>2700</v>
      </c>
      <c r="N159" s="498">
        <f>N154+N155</f>
        <v>5800</v>
      </c>
      <c r="O159" s="125">
        <f t="shared" ref="O159:O160" si="163">V159</f>
        <v>7800</v>
      </c>
      <c r="P159" s="125">
        <f>Z159</f>
        <v>7000</v>
      </c>
      <c r="Q159" s="125">
        <f t="shared" si="151"/>
        <v>7989.8712411500001</v>
      </c>
      <c r="R159" s="125">
        <f t="shared" si="152"/>
        <v>11979.45683619</v>
      </c>
      <c r="S159" s="123"/>
      <c r="T159" s="123"/>
      <c r="U159" s="123"/>
      <c r="V159" s="498">
        <f t="shared" ref="V159:AC159" si="164">V154+V155</f>
        <v>7800</v>
      </c>
      <c r="W159" s="498">
        <f t="shared" si="164"/>
        <v>0</v>
      </c>
      <c r="X159" s="498">
        <f t="shared" si="164"/>
        <v>0</v>
      </c>
      <c r="Y159" s="498">
        <f t="shared" si="164"/>
        <v>0</v>
      </c>
      <c r="Z159" s="498">
        <f t="shared" si="164"/>
        <v>7000</v>
      </c>
      <c r="AA159" s="498">
        <f t="shared" si="164"/>
        <v>8993.7619048899996</v>
      </c>
      <c r="AB159" s="498">
        <f t="shared" si="164"/>
        <v>8994.2691894700001</v>
      </c>
      <c r="AC159" s="498">
        <f t="shared" si="164"/>
        <v>8288.8401186999999</v>
      </c>
      <c r="AD159" s="498">
        <f t="shared" ref="AD159:AE159" si="165">AD154+AD155</f>
        <v>7989.8712411500001</v>
      </c>
      <c r="AE159" s="498">
        <f t="shared" si="165"/>
        <v>10182.037782560001</v>
      </c>
      <c r="AF159" s="498">
        <f t="shared" ref="AF159:AG159" si="166">AF154+AF155</f>
        <v>9983.8091394500007</v>
      </c>
      <c r="AG159" s="498">
        <f t="shared" si="166"/>
        <v>11979.45683619</v>
      </c>
    </row>
    <row r="160" spans="2:35">
      <c r="B160" s="119"/>
      <c r="C160" s="119"/>
      <c r="D160" s="119"/>
      <c r="E160" s="119"/>
      <c r="F160" s="119"/>
      <c r="H160" s="1306" t="s">
        <v>2382</v>
      </c>
      <c r="J160" s="150">
        <f>BS!D327/100000000</f>
        <v>5359.24945561</v>
      </c>
      <c r="K160" s="150">
        <f>BS!H327/100000000</f>
        <v>4855.1389867099997</v>
      </c>
      <c r="L160" s="150">
        <f>BS!K327/100000000</f>
        <v>4244.4237807199997</v>
      </c>
      <c r="M160" s="150">
        <f>BS!O327/100000000</f>
        <v>6705.1717207199999</v>
      </c>
      <c r="N160" s="150">
        <f>BS!S327/100000000</f>
        <v>5934.7735584900001</v>
      </c>
      <c r="O160" s="125">
        <f t="shared" si="163"/>
        <v>6194.7522961599998</v>
      </c>
      <c r="P160" s="125">
        <f t="shared" ref="P160" si="167">Z160</f>
        <v>2014.4047680399999</v>
      </c>
      <c r="Q160" s="125">
        <f t="shared" si="151"/>
        <v>1700</v>
      </c>
      <c r="R160" s="125">
        <f t="shared" si="152"/>
        <v>3000</v>
      </c>
      <c r="S160" s="124"/>
      <c r="T160" s="124"/>
      <c r="U160" s="124"/>
      <c r="V160" s="150">
        <f>BS!$W327/100000000</f>
        <v>6194.7522961599998</v>
      </c>
      <c r="W160" s="150">
        <f>BS!$X327/100000000</f>
        <v>6635.7811121799996</v>
      </c>
      <c r="X160" s="150">
        <f>BS!$Y327/100000000</f>
        <v>7682.5239537999996</v>
      </c>
      <c r="Y160" s="150">
        <f>BS!$Z327/100000000</f>
        <v>2731.9999474699998</v>
      </c>
      <c r="Z160" s="150">
        <f>BS!$AA327/100000000</f>
        <v>2014.4047680399999</v>
      </c>
      <c r="AA160" s="150">
        <f>BS!$AB327/100000000</f>
        <v>500</v>
      </c>
      <c r="AB160" s="150">
        <f>BS!$AC327/100000000</f>
        <v>500</v>
      </c>
      <c r="AC160" s="150">
        <f>BS!$AD327/100000000</f>
        <v>1000</v>
      </c>
      <c r="AD160" s="150">
        <f>BS!$AE327/100000000</f>
        <v>1700</v>
      </c>
      <c r="AE160" s="150">
        <f>BS!$AF327/100000000</f>
        <v>2000</v>
      </c>
      <c r="AF160" s="150">
        <f>BS!$AG327/100000000</f>
        <v>3997</v>
      </c>
      <c r="AG160" s="150">
        <f>BS!$AH327/100000000</f>
        <v>3000</v>
      </c>
    </row>
    <row r="161" spans="2:33">
      <c r="B161" s="119"/>
      <c r="C161" s="119"/>
      <c r="D161" s="119"/>
      <c r="E161" s="119"/>
      <c r="F161" s="119"/>
      <c r="H161" s="110" t="s">
        <v>160</v>
      </c>
      <c r="I161" s="124"/>
      <c r="J161" s="150">
        <f>BS!D353/100000000</f>
        <v>2970.10367726</v>
      </c>
      <c r="K161" s="150">
        <f>BS!H353/100000000</f>
        <v>1920.49910009</v>
      </c>
      <c r="L161" s="150">
        <f>BS!K353/100000000</f>
        <v>3605.5844805400002</v>
      </c>
      <c r="M161" s="150">
        <f>BS!O353/100000000</f>
        <v>4993.5799707100005</v>
      </c>
      <c r="N161" s="150">
        <f>BS!S353/100000000</f>
        <v>9072.2901196500006</v>
      </c>
      <c r="O161" s="125">
        <f t="shared" ref="O161:O168" si="168">V161</f>
        <v>7481.4707727100003</v>
      </c>
      <c r="P161" s="125">
        <f t="shared" ref="P161:P168" si="169">Z161</f>
        <v>4534.4872354899999</v>
      </c>
      <c r="Q161" s="125">
        <f t="shared" si="151"/>
        <v>11949.816464240001</v>
      </c>
      <c r="R161" s="125">
        <f t="shared" si="152"/>
        <v>10452.32793621</v>
      </c>
      <c r="S161" s="124"/>
      <c r="T161" s="124"/>
      <c r="U161" s="124"/>
      <c r="V161" s="150">
        <f>BS!$W353/100000000</f>
        <v>7481.4707727100003</v>
      </c>
      <c r="W161" s="150">
        <f>BS!$X353/100000000</f>
        <v>4859.1778081599996</v>
      </c>
      <c r="X161" s="150">
        <f>BS!$Y353/100000000</f>
        <v>4429.4408253600004</v>
      </c>
      <c r="Y161" s="150">
        <f>BS!$Z353/100000000</f>
        <v>5056.3884888700004</v>
      </c>
      <c r="Z161" s="150">
        <f>BS!$AA353/100000000</f>
        <v>4534.4872354899999</v>
      </c>
      <c r="AA161" s="150">
        <f>BS!$AB353/100000000</f>
        <v>7243.3694914999996</v>
      </c>
      <c r="AB161" s="150">
        <f>BS!$AC353/100000000</f>
        <v>8218.2571538800003</v>
      </c>
      <c r="AC161" s="150">
        <f>BS!$AD353/100000000</f>
        <v>7074.2589277099996</v>
      </c>
      <c r="AD161" s="150">
        <f>BS!$AE353/100000000</f>
        <v>11949.816464240001</v>
      </c>
      <c r="AE161" s="150">
        <f>BS!$AF353/100000000</f>
        <v>7253.00463545</v>
      </c>
      <c r="AF161" s="150">
        <f>BS!$AG353/100000000</f>
        <v>9002.8356470800009</v>
      </c>
      <c r="AG161" s="150">
        <f>BS!$AH353/100000000</f>
        <v>10452.32793621</v>
      </c>
    </row>
    <row r="162" spans="2:33">
      <c r="B162" s="119"/>
      <c r="C162" s="119"/>
      <c r="D162" s="119"/>
      <c r="E162" s="119"/>
      <c r="F162" s="119"/>
      <c r="H162" s="1215" t="s">
        <v>2087</v>
      </c>
      <c r="I162" s="124"/>
      <c r="J162" s="162">
        <f t="shared" ref="J162:L162" si="170">J163+J164+J166-J165</f>
        <v>1759.9126522400002</v>
      </c>
      <c r="K162" s="162">
        <f t="shared" si="170"/>
        <v>1710.21296351</v>
      </c>
      <c r="L162" s="162">
        <f t="shared" si="170"/>
        <v>1614.99187712</v>
      </c>
      <c r="M162" s="162">
        <f>M163+M164+M166-M165</f>
        <v>2076.0220820600002</v>
      </c>
      <c r="N162" s="162">
        <f t="shared" ref="N162" si="171">N163+N164+N166-N165</f>
        <v>2404.6793119700005</v>
      </c>
      <c r="O162" s="125">
        <f t="shared" si="168"/>
        <v>5342.6388472300005</v>
      </c>
      <c r="P162" s="125">
        <f t="shared" si="169"/>
        <v>8916.8793468500007</v>
      </c>
      <c r="Q162" s="125">
        <f t="shared" si="151"/>
        <v>16638.088929370002</v>
      </c>
      <c r="R162" s="125">
        <f t="shared" si="152"/>
        <v>22306.562401380004</v>
      </c>
      <c r="S162" s="124"/>
      <c r="T162" s="124"/>
      <c r="U162" s="124"/>
      <c r="V162" s="162">
        <f t="shared" ref="V162:AC162" si="172">V163+V164+V166-V165</f>
        <v>5342.6388472300005</v>
      </c>
      <c r="W162" s="162">
        <f t="shared" si="172"/>
        <v>6448.3339089900001</v>
      </c>
      <c r="X162" s="162">
        <f t="shared" si="172"/>
        <v>6005.1261560500006</v>
      </c>
      <c r="Y162" s="162">
        <f t="shared" si="172"/>
        <v>6347.2868389400001</v>
      </c>
      <c r="Z162" s="162">
        <f t="shared" si="172"/>
        <v>8916.8793468500007</v>
      </c>
      <c r="AA162" s="162">
        <f t="shared" si="172"/>
        <v>9539.3426146500005</v>
      </c>
      <c r="AB162" s="162">
        <f t="shared" si="172"/>
        <v>13041.589774919998</v>
      </c>
      <c r="AC162" s="162">
        <f t="shared" si="172"/>
        <v>18134.789481029999</v>
      </c>
      <c r="AD162" s="162">
        <f t="shared" ref="AD162:AE162" si="173">AD163+AD164+AD166-AD165</f>
        <v>16638.088929370002</v>
      </c>
      <c r="AE162" s="162">
        <f t="shared" si="173"/>
        <v>20079.540325900001</v>
      </c>
      <c r="AF162" s="162">
        <f t="shared" ref="AF162:AG162" si="174">AF163+AF164+AF166-AF165</f>
        <v>20452.623151540007</v>
      </c>
      <c r="AG162" s="162">
        <f t="shared" si="174"/>
        <v>22306.562401380004</v>
      </c>
    </row>
    <row r="163" spans="2:33">
      <c r="B163" s="119"/>
      <c r="C163" s="119"/>
      <c r="D163" s="119"/>
      <c r="E163" s="119"/>
      <c r="F163" s="119"/>
      <c r="H163" s="110" t="s">
        <v>505</v>
      </c>
      <c r="I163" s="124"/>
      <c r="J163" s="150">
        <f>BS!D352/100000000</f>
        <v>0</v>
      </c>
      <c r="K163" s="150">
        <f>BS!H352/100000000</f>
        <v>0</v>
      </c>
      <c r="L163" s="150">
        <f>BS!K352/100000000</f>
        <v>0</v>
      </c>
      <c r="M163" s="150">
        <f>BS!O352/100000000</f>
        <v>0</v>
      </c>
      <c r="N163" s="150">
        <f>BS!S352/100000000</f>
        <v>0</v>
      </c>
      <c r="O163" s="125">
        <f t="shared" si="168"/>
        <v>0</v>
      </c>
      <c r="P163" s="125">
        <f t="shared" si="169"/>
        <v>0</v>
      </c>
      <c r="Q163" s="125">
        <f t="shared" si="151"/>
        <v>0</v>
      </c>
      <c r="R163" s="125">
        <f t="shared" si="152"/>
        <v>0</v>
      </c>
      <c r="S163" s="124"/>
      <c r="T163" s="124"/>
      <c r="U163" s="124"/>
      <c r="V163" s="150">
        <f>BS!$W352/100000000</f>
        <v>0</v>
      </c>
      <c r="W163" s="150">
        <f>BS!$X352/100000000</f>
        <v>0</v>
      </c>
      <c r="X163" s="150">
        <f>BS!$Y352/100000000</f>
        <v>0</v>
      </c>
      <c r="Y163" s="150">
        <f>BS!$Z352/100000000</f>
        <v>0</v>
      </c>
      <c r="Z163" s="150">
        <f>BS!$AA352/100000000</f>
        <v>0</v>
      </c>
      <c r="AA163" s="150">
        <f>BS!$AB352/100000000</f>
        <v>0</v>
      </c>
      <c r="AB163" s="150">
        <f>BS!$AC352/100000000</f>
        <v>0</v>
      </c>
      <c r="AC163" s="150">
        <f>BS!$AD352/100000000</f>
        <v>0</v>
      </c>
      <c r="AD163" s="150">
        <f>BS!$AE352/100000000</f>
        <v>0</v>
      </c>
      <c r="AE163" s="150">
        <f>BS!$AF352/100000000</f>
        <v>0</v>
      </c>
      <c r="AF163" s="150">
        <f>BS!$AG352/100000000</f>
        <v>0</v>
      </c>
      <c r="AG163" s="150">
        <f>BS!$AH352/100000000</f>
        <v>0</v>
      </c>
    </row>
    <row r="164" spans="2:33">
      <c r="B164" s="119"/>
      <c r="C164" s="119"/>
      <c r="D164" s="119"/>
      <c r="E164" s="119"/>
      <c r="F164" s="119"/>
      <c r="H164" s="110" t="s">
        <v>161</v>
      </c>
      <c r="I164" s="124"/>
      <c r="J164" s="150">
        <f>BS!D377/100000000</f>
        <v>6178.3865097400003</v>
      </c>
      <c r="K164" s="150">
        <f>BS!H377/100000000</f>
        <v>6694.7740434899997</v>
      </c>
      <c r="L164" s="150">
        <f>BS!K377/100000000</f>
        <v>5557.3679285799999</v>
      </c>
      <c r="M164" s="150">
        <f>BS!O377/100000000</f>
        <v>5402.7637554000003</v>
      </c>
      <c r="N164" s="150">
        <f>BS!S377/100000000</f>
        <v>6574.6649816600002</v>
      </c>
      <c r="O164" s="125">
        <f t="shared" si="168"/>
        <v>8962.8881040800006</v>
      </c>
      <c r="P164" s="125">
        <f t="shared" si="169"/>
        <v>16870.261703380002</v>
      </c>
      <c r="Q164" s="125">
        <f t="shared" si="151"/>
        <v>25288.45804668</v>
      </c>
      <c r="R164" s="125">
        <f t="shared" si="152"/>
        <v>36772.481213140003</v>
      </c>
      <c r="S164" s="124"/>
      <c r="T164" s="124"/>
      <c r="U164" s="124"/>
      <c r="V164" s="150">
        <f>BS!$W377/100000000</f>
        <v>8962.8881040800006</v>
      </c>
      <c r="W164" s="150">
        <f>BS!$X377/100000000</f>
        <v>15906.858989599999</v>
      </c>
      <c r="X164" s="150">
        <f>BS!$Y377/100000000</f>
        <v>14805.56719041</v>
      </c>
      <c r="Y164" s="150">
        <f>BS!$Z377/100000000</f>
        <v>13172.57479753</v>
      </c>
      <c r="Z164" s="150">
        <f>BS!$AA377/100000000</f>
        <v>16870.261703380002</v>
      </c>
      <c r="AA164" s="150">
        <f>BS!$AB377/100000000</f>
        <v>21303.95722412</v>
      </c>
      <c r="AB164" s="150">
        <f>BS!$AC377/100000000</f>
        <v>19826.013512919999</v>
      </c>
      <c r="AC164" s="150">
        <f>BS!$AD377/100000000</f>
        <v>26872.787581559998</v>
      </c>
      <c r="AD164" s="150">
        <f>BS!$AE377/100000000</f>
        <v>25288.45804668</v>
      </c>
      <c r="AE164" s="150">
        <f>BS!$AF377/100000000</f>
        <v>45720.63372831</v>
      </c>
      <c r="AF164" s="150">
        <f>BS!$AG377/100000000</f>
        <v>64611.555151400004</v>
      </c>
      <c r="AG164" s="150">
        <f>BS!$AH377/100000000</f>
        <v>36772.481213140003</v>
      </c>
    </row>
    <row r="165" spans="2:33">
      <c r="B165" s="119"/>
      <c r="C165" s="119"/>
      <c r="D165" s="119"/>
      <c r="E165" s="119"/>
      <c r="F165" s="119"/>
      <c r="H165" s="1215" t="s">
        <v>2086</v>
      </c>
      <c r="I165" s="124"/>
      <c r="J165" s="150">
        <f>BS!D395/100000000</f>
        <v>4418.4738575000001</v>
      </c>
      <c r="K165" s="150">
        <f>BS!H395/100000000</f>
        <v>4984.5610799799997</v>
      </c>
      <c r="L165" s="150">
        <f>BS!K395/100000000</f>
        <v>3942.3760514599999</v>
      </c>
      <c r="M165" s="150">
        <f>BS!O395/100000000</f>
        <v>3326.74167334</v>
      </c>
      <c r="N165" s="150">
        <f>BS!S395/100000000</f>
        <v>4169.9856696899997</v>
      </c>
      <c r="O165" s="125">
        <f t="shared" ref="O165" si="175">V165</f>
        <v>3620.2492568500002</v>
      </c>
      <c r="P165" s="125">
        <f t="shared" ref="P165" si="176">Z165</f>
        <v>7953.3823565299999</v>
      </c>
      <c r="Q165" s="125">
        <f t="shared" si="151"/>
        <v>8650.3691173099996</v>
      </c>
      <c r="R165" s="125">
        <f t="shared" si="152"/>
        <v>14465.918811760001</v>
      </c>
      <c r="S165" s="124"/>
      <c r="T165" s="124"/>
      <c r="U165" s="124"/>
      <c r="V165" s="150">
        <f>BS!$W395/100000000</f>
        <v>3620.2492568500002</v>
      </c>
      <c r="W165" s="150">
        <f>BS!$X395/100000000</f>
        <v>9458.5250806099993</v>
      </c>
      <c r="X165" s="150">
        <f>BS!$Y395/100000000</f>
        <v>8800.4410343599993</v>
      </c>
      <c r="Y165" s="150">
        <f>BS!$Z395/100000000</f>
        <v>6825.28795859</v>
      </c>
      <c r="Z165" s="150">
        <f>BS!$AA395/100000000</f>
        <v>7953.3823565299999</v>
      </c>
      <c r="AA165" s="150">
        <f>BS!$AB395/100000000</f>
        <v>11764.61460947</v>
      </c>
      <c r="AB165" s="150">
        <f>BS!$AC395/100000000</f>
        <v>6784.4237380000004</v>
      </c>
      <c r="AC165" s="150">
        <f>BS!$AD395/100000000</f>
        <v>8737.9981005299996</v>
      </c>
      <c r="AD165" s="150">
        <f>BS!$AE395/100000000</f>
        <v>8650.3691173099996</v>
      </c>
      <c r="AE165" s="150">
        <f>BS!$AF395/100000000</f>
        <v>25641.093402409999</v>
      </c>
      <c r="AF165" s="150">
        <f>BS!$AG395/100000000</f>
        <v>44158.931999859997</v>
      </c>
      <c r="AG165" s="150">
        <f>BS!$AH395/100000000</f>
        <v>14465.918811760001</v>
      </c>
    </row>
    <row r="166" spans="2:33">
      <c r="B166" s="119"/>
      <c r="C166" s="119"/>
      <c r="D166" s="119"/>
      <c r="E166" s="119"/>
      <c r="F166" s="119"/>
      <c r="H166" s="110" t="s">
        <v>162</v>
      </c>
      <c r="I166" s="124"/>
      <c r="J166" s="150">
        <f>BS!D411/100000000</f>
        <v>0</v>
      </c>
      <c r="K166" s="150">
        <f>BS!H411/100000000</f>
        <v>0</v>
      </c>
      <c r="L166" s="150">
        <f>BS!K411/100000000</f>
        <v>0</v>
      </c>
      <c r="M166" s="150">
        <f>BS!O411/100000000</f>
        <v>0</v>
      </c>
      <c r="N166" s="150">
        <f>BS!S411/100000000</f>
        <v>0</v>
      </c>
      <c r="O166" s="125">
        <f t="shared" si="168"/>
        <v>0</v>
      </c>
      <c r="P166" s="125">
        <f t="shared" si="169"/>
        <v>0</v>
      </c>
      <c r="Q166" s="125">
        <f t="shared" si="151"/>
        <v>0</v>
      </c>
      <c r="R166" s="125">
        <f t="shared" si="152"/>
        <v>0</v>
      </c>
      <c r="S166" s="124"/>
      <c r="T166" s="124"/>
      <c r="U166" s="124"/>
      <c r="V166" s="150">
        <f>BS!$W411/100000000</f>
        <v>0</v>
      </c>
      <c r="W166" s="150">
        <f>BS!$X411/100000000</f>
        <v>0</v>
      </c>
      <c r="X166" s="150">
        <f>BS!$Y411/100000000</f>
        <v>0</v>
      </c>
      <c r="Y166" s="150">
        <f>BS!$Z411/100000000</f>
        <v>0</v>
      </c>
      <c r="Z166" s="150">
        <f>BS!$AA411/100000000</f>
        <v>0</v>
      </c>
      <c r="AA166" s="150">
        <f>BS!$AB411/100000000</f>
        <v>0</v>
      </c>
      <c r="AB166" s="150">
        <f>BS!$AC411/100000000</f>
        <v>0</v>
      </c>
      <c r="AC166" s="150">
        <f>BS!$AD411/100000000</f>
        <v>0</v>
      </c>
      <c r="AD166" s="150">
        <f>BS!$AE411/100000000</f>
        <v>0</v>
      </c>
      <c r="AE166" s="150">
        <f>BS!$AF411/100000000</f>
        <v>0</v>
      </c>
      <c r="AF166" s="150">
        <f>BS!$AG411/100000000</f>
        <v>0</v>
      </c>
      <c r="AG166" s="150">
        <f>BS!$AH411/100000000</f>
        <v>0</v>
      </c>
    </row>
    <row r="167" spans="2:33">
      <c r="B167" s="119"/>
      <c r="C167" s="119"/>
      <c r="D167" s="119"/>
      <c r="E167" s="119"/>
      <c r="F167" s="119"/>
      <c r="H167" s="110" t="s">
        <v>506</v>
      </c>
      <c r="I167" s="124"/>
      <c r="J167" s="162">
        <f t="shared" ref="J167:N167" si="177">J162+J142+J146+J58+J151+J161+J165</f>
        <v>168053.15952602003</v>
      </c>
      <c r="K167" s="162">
        <f t="shared" si="177"/>
        <v>192732.48012475998</v>
      </c>
      <c r="L167" s="162">
        <f t="shared" si="177"/>
        <v>198537.91257736</v>
      </c>
      <c r="M167" s="162">
        <f t="shared" si="177"/>
        <v>234886.69151656999</v>
      </c>
      <c r="N167" s="162">
        <f t="shared" si="177"/>
        <v>284796.55827083008</v>
      </c>
      <c r="O167" s="125">
        <f t="shared" si="168"/>
        <v>328247.34181302995</v>
      </c>
      <c r="P167" s="125">
        <f t="shared" si="169"/>
        <v>375451.36065609002</v>
      </c>
      <c r="Q167" s="125">
        <f t="shared" si="151"/>
        <v>443513.33784827002</v>
      </c>
      <c r="R167" s="125">
        <f t="shared" si="152"/>
        <v>479378.09206568997</v>
      </c>
      <c r="S167" s="124"/>
      <c r="T167" s="124"/>
      <c r="U167" s="124"/>
      <c r="V167" s="162">
        <f t="shared" ref="V167:AC167" si="178">V162+V142+V146+V58+V151+V161+V165</f>
        <v>328247.34181302995</v>
      </c>
      <c r="W167" s="162">
        <f t="shared" si="178"/>
        <v>343953.14025300002</v>
      </c>
      <c r="X167" s="162">
        <f t="shared" si="178"/>
        <v>351227.76705794001</v>
      </c>
      <c r="Y167" s="162">
        <f t="shared" si="178"/>
        <v>360004.18752773997</v>
      </c>
      <c r="Z167" s="162">
        <f t="shared" si="178"/>
        <v>375451.36065609002</v>
      </c>
      <c r="AA167" s="162">
        <f t="shared" si="178"/>
        <v>399979.84129550005</v>
      </c>
      <c r="AB167" s="162">
        <f t="shared" si="178"/>
        <v>412677.99658287002</v>
      </c>
      <c r="AC167" s="162">
        <f t="shared" si="178"/>
        <v>429039.92480777006</v>
      </c>
      <c r="AD167" s="162">
        <f t="shared" ref="AD167:AE167" si="179">AD162+AD142+AD146+AD58+AD151+AD161+AD165</f>
        <v>443513.33784827002</v>
      </c>
      <c r="AE167" s="162">
        <f t="shared" si="179"/>
        <v>471610.65740421001</v>
      </c>
      <c r="AF167" s="162">
        <f t="shared" ref="AF167:AG167" si="180">AF162+AF142+AF146+AF58+AF151+AF161+AF165</f>
        <v>496958.28974212997</v>
      </c>
      <c r="AG167" s="162">
        <f t="shared" si="180"/>
        <v>479378.09206568997</v>
      </c>
    </row>
    <row r="168" spans="2:33">
      <c r="B168" s="119"/>
      <c r="C168" s="119"/>
      <c r="D168" s="119"/>
      <c r="E168" s="119"/>
      <c r="F168" s="119"/>
      <c r="H168" s="110" t="s">
        <v>507</v>
      </c>
      <c r="I168" s="124"/>
      <c r="J168" s="161">
        <f>J146/J167*100</f>
        <v>9.1304677037233866</v>
      </c>
      <c r="K168" s="161">
        <f>K146/K167*100</f>
        <v>9.2797742109334944</v>
      </c>
      <c r="L168" s="161">
        <f>L146/L167*100</f>
        <v>7.4063555871176217</v>
      </c>
      <c r="M168" s="161">
        <f>M146/M167*100</f>
        <v>6.1328173289476444</v>
      </c>
      <c r="N168" s="161">
        <f>N146/N167*100</f>
        <v>4.958547829451212</v>
      </c>
      <c r="O168" s="130">
        <f t="shared" si="168"/>
        <v>4.3853370499978848</v>
      </c>
      <c r="P168" s="130">
        <f t="shared" si="169"/>
        <v>5.082523801403747</v>
      </c>
      <c r="Q168" s="130">
        <f t="shared" si="151"/>
        <v>5.9050921372988778</v>
      </c>
      <c r="R168" s="130">
        <f t="shared" si="152"/>
        <v>6.3748129799812352</v>
      </c>
      <c r="S168" s="124"/>
      <c r="T168" s="124"/>
      <c r="U168" s="124"/>
      <c r="V168" s="161">
        <f t="shared" ref="V168:AC168" si="181">V146/V167*100</f>
        <v>4.3853370499978848</v>
      </c>
      <c r="W168" s="161">
        <f t="shared" si="181"/>
        <v>2.2200062213600913</v>
      </c>
      <c r="X168" s="161">
        <f t="shared" si="181"/>
        <v>3.0984235799343205</v>
      </c>
      <c r="Y168" s="161">
        <f t="shared" si="181"/>
        <v>3.6088468961125364</v>
      </c>
      <c r="Z168" s="161">
        <f t="shared" si="181"/>
        <v>5.082523801403747</v>
      </c>
      <c r="AA168" s="161">
        <f t="shared" si="181"/>
        <v>4.4311637925262115</v>
      </c>
      <c r="AB168" s="161">
        <f t="shared" si="181"/>
        <v>5.1842524599379285</v>
      </c>
      <c r="AC168" s="161">
        <f t="shared" si="181"/>
        <v>3.5984623402163152</v>
      </c>
      <c r="AD168" s="161">
        <f t="shared" ref="AD168:AE168" si="182">AD146/AD167*100</f>
        <v>5.9050921372988778</v>
      </c>
      <c r="AE168" s="161">
        <f t="shared" si="182"/>
        <v>5.2399235247518394</v>
      </c>
      <c r="AF168" s="161">
        <f t="shared" ref="AF168:AG168" si="183">AF146/AF167*100</f>
        <v>5.7270015868370407</v>
      </c>
      <c r="AG168" s="161">
        <f t="shared" si="183"/>
        <v>6.3748129799812352</v>
      </c>
    </row>
    <row r="169" spans="2:33">
      <c r="B169" s="119"/>
      <c r="C169" s="119"/>
      <c r="D169" s="119"/>
      <c r="E169" s="119"/>
      <c r="F169" s="119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</row>
    <row r="170" spans="2:33">
      <c r="B170" s="119"/>
      <c r="C170" s="119"/>
      <c r="D170" s="119"/>
      <c r="E170" s="119"/>
      <c r="F170" s="119"/>
      <c r="H170" s="110" t="s">
        <v>748</v>
      </c>
      <c r="I170" s="124"/>
      <c r="J170" s="150">
        <f>BS!$D$492/100000000</f>
        <v>65028.690341879999</v>
      </c>
      <c r="K170" s="150">
        <f>BS!$H$492/100000000</f>
        <v>71290.908244279999</v>
      </c>
      <c r="L170" s="150">
        <f>BS!$K$492/100000000</f>
        <v>59105.526072139997</v>
      </c>
      <c r="M170" s="150">
        <f>BS!$O$492/100000000</f>
        <v>72156.740407539997</v>
      </c>
      <c r="N170" s="150">
        <f>BS!$S$492/100000000</f>
        <v>80025.846614359994</v>
      </c>
      <c r="O170" s="125">
        <f t="shared" ref="O170:O172" si="184">V170</f>
        <v>91265.651636549999</v>
      </c>
      <c r="P170" s="125">
        <f>Z170</f>
        <v>122343.09203205</v>
      </c>
      <c r="Q170" s="125">
        <f t="shared" ref="Q170:Q172" si="185">AD170</f>
        <v>177965.43691516001</v>
      </c>
      <c r="R170" s="125">
        <f>AG170</f>
        <v>216071.26899670999</v>
      </c>
      <c r="S170" s="124"/>
      <c r="T170" s="124"/>
      <c r="U170" s="124"/>
      <c r="V170" s="150">
        <f>BS!$W$492/100000000</f>
        <v>91265.651636549999</v>
      </c>
      <c r="W170" s="150">
        <f>BS!$X$492/100000000</f>
        <v>98663.632001659993</v>
      </c>
      <c r="X170" s="150">
        <f>BS!$Y$492/100000000</f>
        <v>109420.62918848</v>
      </c>
      <c r="Y170" s="150">
        <f>BS!$Z$492/100000000</f>
        <v>113479.19941494</v>
      </c>
      <c r="Z170" s="150">
        <f>BS!$AA$492/100000000</f>
        <v>122343.09203205</v>
      </c>
      <c r="AA170" s="150">
        <f>BS!$AB$492/100000000</f>
        <v>151405.40975478999</v>
      </c>
      <c r="AB170" s="150">
        <f>BS!$AC$492/100000000</f>
        <v>149853.39214561001</v>
      </c>
      <c r="AC170" s="150">
        <f>BS!$AD$492/100000000</f>
        <v>161095.36708139</v>
      </c>
      <c r="AD170" s="150">
        <f>BS!$AE$492/100000000</f>
        <v>177965.43691516001</v>
      </c>
      <c r="AE170" s="150">
        <f>BS!$AF$492/100000000</f>
        <v>194358.37010539</v>
      </c>
      <c r="AF170" s="150">
        <f>BS!$AG$492/100000000</f>
        <v>226559.81717503001</v>
      </c>
      <c r="AG170" s="150">
        <f>BS!$AH$492/100000000</f>
        <v>216071.26899670999</v>
      </c>
    </row>
    <row r="171" spans="2:33">
      <c r="B171" s="119"/>
      <c r="C171" s="119"/>
      <c r="D171" s="119"/>
      <c r="E171" s="119"/>
      <c r="F171" s="119"/>
      <c r="H171" s="110" t="s">
        <v>749</v>
      </c>
      <c r="I171" s="124"/>
      <c r="J171" s="150">
        <f>BS!$D$493/100000000</f>
        <v>29546.294270210001</v>
      </c>
      <c r="K171" s="150">
        <f>BS!$H$493/100000000</f>
        <v>30135.769540019999</v>
      </c>
      <c r="L171" s="150">
        <f>BS!$K$493/100000000</f>
        <v>29128.07090898</v>
      </c>
      <c r="M171" s="150">
        <f>BS!$O$493/100000000</f>
        <v>30728.550035249998</v>
      </c>
      <c r="N171" s="150">
        <f>BS!$S$493/100000000</f>
        <v>31687.963095899999</v>
      </c>
      <c r="O171" s="125">
        <f t="shared" si="184"/>
        <v>39422.39774208</v>
      </c>
      <c r="P171" s="125">
        <f>Z171</f>
        <v>40443.079554980002</v>
      </c>
      <c r="Q171" s="125">
        <f t="shared" si="185"/>
        <v>41787.204556329998</v>
      </c>
      <c r="R171" s="125">
        <f>AG171</f>
        <v>45235.690983189997</v>
      </c>
      <c r="S171" s="124"/>
      <c r="T171" s="124"/>
      <c r="U171" s="124"/>
      <c r="V171" s="150">
        <f>BS!$W$493/100000000</f>
        <v>39422.39774208</v>
      </c>
      <c r="W171" s="150">
        <f>BS!$X$493/100000000</f>
        <v>39652.63202959</v>
      </c>
      <c r="X171" s="150">
        <f>BS!$Y$493/100000000</f>
        <v>40872.331707500001</v>
      </c>
      <c r="Y171" s="150">
        <f>BS!$Z$493/100000000</f>
        <v>39474.631609869997</v>
      </c>
      <c r="Z171" s="150">
        <f>BS!$AA$493/100000000</f>
        <v>40443.079554980002</v>
      </c>
      <c r="AA171" s="150">
        <f>BS!$AB$493/100000000</f>
        <v>39996.102350280002</v>
      </c>
      <c r="AB171" s="150">
        <f>BS!$AC$493/100000000</f>
        <v>41307.546202810001</v>
      </c>
      <c r="AC171" s="150">
        <f>BS!$AD$493/100000000</f>
        <v>42487.665780659998</v>
      </c>
      <c r="AD171" s="150">
        <f>BS!$AE$493/100000000</f>
        <v>41787.204556329998</v>
      </c>
      <c r="AE171" s="150">
        <f>BS!$AF$493/100000000</f>
        <v>42344.446895699999</v>
      </c>
      <c r="AF171" s="150">
        <f>BS!$AG$493/100000000</f>
        <v>44095.837233550003</v>
      </c>
      <c r="AG171" s="150">
        <f>BS!$AH$493/100000000</f>
        <v>45235.690983189997</v>
      </c>
    </row>
    <row r="172" spans="2:33">
      <c r="B172" s="119"/>
      <c r="C172" s="119"/>
      <c r="D172" s="119"/>
      <c r="E172" s="119"/>
      <c r="F172" s="119"/>
      <c r="H172" s="110" t="s">
        <v>750</v>
      </c>
      <c r="I172" s="124"/>
      <c r="J172" s="130">
        <f t="shared" ref="J172:L172" si="186">J170/J171*100</f>
        <v>220.09085047069698</v>
      </c>
      <c r="K172" s="130">
        <f t="shared" si="186"/>
        <v>236.56574672701285</v>
      </c>
      <c r="L172" s="130">
        <f t="shared" si="186"/>
        <v>202.91603332343624</v>
      </c>
      <c r="M172" s="130">
        <f>M170/M171*100</f>
        <v>234.81986727250717</v>
      </c>
      <c r="N172" s="130">
        <f>N170/N171*100</f>
        <v>252.54335967310649</v>
      </c>
      <c r="O172" s="130">
        <f t="shared" si="184"/>
        <v>231.50710475210849</v>
      </c>
      <c r="P172" s="130">
        <f>Z172</f>
        <v>302.50686490313308</v>
      </c>
      <c r="Q172" s="130">
        <f t="shared" si="185"/>
        <v>425.88500189156946</v>
      </c>
      <c r="R172" s="130">
        <f>AG172</f>
        <v>477.65661206988989</v>
      </c>
      <c r="S172" s="124"/>
      <c r="T172" s="124"/>
      <c r="U172" s="124"/>
      <c r="V172" s="130">
        <f t="shared" ref="V172:AC172" si="187">V170/V171*100</f>
        <v>231.50710475210849</v>
      </c>
      <c r="W172" s="130">
        <f t="shared" si="187"/>
        <v>248.8198814344384</v>
      </c>
      <c r="X172" s="130">
        <f t="shared" si="187"/>
        <v>267.71320503939222</v>
      </c>
      <c r="Y172" s="130">
        <f t="shared" si="187"/>
        <v>287.47373892291461</v>
      </c>
      <c r="Z172" s="130">
        <f t="shared" si="187"/>
        <v>302.50686490313308</v>
      </c>
      <c r="AA172" s="130">
        <f t="shared" si="187"/>
        <v>378.55041080954243</v>
      </c>
      <c r="AB172" s="130">
        <f t="shared" si="187"/>
        <v>362.77485815755387</v>
      </c>
      <c r="AC172" s="130">
        <f t="shared" si="187"/>
        <v>379.15796060210761</v>
      </c>
      <c r="AD172" s="130">
        <f t="shared" ref="AD172:AE172" si="188">AD170/AD171*100</f>
        <v>425.88500189156946</v>
      </c>
      <c r="AE172" s="130">
        <f t="shared" si="188"/>
        <v>458.99376271018599</v>
      </c>
      <c r="AF172" s="130">
        <f t="shared" ref="AF172:AG172" si="189">AF170/AF171*100</f>
        <v>513.78958057894317</v>
      </c>
      <c r="AG172" s="130">
        <f t="shared" si="189"/>
        <v>477.65661206988989</v>
      </c>
    </row>
    <row r="173" spans="2:33">
      <c r="B173" s="119"/>
      <c r="C173" s="119"/>
      <c r="D173" s="119"/>
      <c r="E173" s="119"/>
      <c r="F173" s="119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</row>
    <row r="174" spans="2:33">
      <c r="B174" s="119"/>
      <c r="C174" s="119"/>
      <c r="D174" s="119"/>
      <c r="E174" s="119"/>
      <c r="F174" s="119"/>
      <c r="H174" s="110" t="s">
        <v>562</v>
      </c>
      <c r="I174" s="124"/>
      <c r="J174" s="498">
        <f>J175-J176</f>
        <v>25376.894565090013</v>
      </c>
      <c r="K174" s="498">
        <f>K175-K176</f>
        <v>26332.031025450007</v>
      </c>
      <c r="L174" s="498">
        <f>L175-L176</f>
        <v>25452.911310630006</v>
      </c>
      <c r="M174" s="498">
        <f>M175-M176</f>
        <v>26850.037184999994</v>
      </c>
      <c r="N174" s="498">
        <f>N175-N176</f>
        <v>28895.187318729993</v>
      </c>
      <c r="O174" s="498">
        <f t="shared" ref="O174:O176" si="190">V174</f>
        <v>39790.803961780039</v>
      </c>
      <c r="P174" s="498">
        <f>Z174</f>
        <v>45322.058444759983</v>
      </c>
      <c r="Q174" s="498">
        <f t="shared" ref="Q174:Q176" si="191">AD174</f>
        <v>53936.615996590001</v>
      </c>
      <c r="R174" s="498">
        <f>AG174</f>
        <v>61907.60098718002</v>
      </c>
      <c r="S174" s="499"/>
      <c r="T174" s="499"/>
      <c r="U174" s="499"/>
      <c r="V174" s="498">
        <f t="shared" ref="V174:AC174" si="192">V175-V176</f>
        <v>39790.803961780039</v>
      </c>
      <c r="W174" s="498">
        <f t="shared" si="192"/>
        <v>40802.354772749997</v>
      </c>
      <c r="X174" s="498">
        <f t="shared" si="192"/>
        <v>43345.186770249973</v>
      </c>
      <c r="Y174" s="498">
        <f t="shared" si="192"/>
        <v>42231.606035629986</v>
      </c>
      <c r="Z174" s="498">
        <f t="shared" si="192"/>
        <v>45322.058444759983</v>
      </c>
      <c r="AA174" s="498">
        <f t="shared" si="192"/>
        <v>44217.942679109983</v>
      </c>
      <c r="AB174" s="498">
        <f t="shared" si="192"/>
        <v>50127.373707249993</v>
      </c>
      <c r="AC174" s="498">
        <f t="shared" si="192"/>
        <v>56160.334129719995</v>
      </c>
      <c r="AD174" s="498">
        <f t="shared" ref="AD174:AE174" si="193">AD175-AD176</f>
        <v>53936.615996590001</v>
      </c>
      <c r="AE174" s="498">
        <f t="shared" si="193"/>
        <v>56116.345533500018</v>
      </c>
      <c r="AF174" s="498">
        <f t="shared" ref="AF174:AG174" si="194">AF175-AF176</f>
        <v>59438.357422019995</v>
      </c>
      <c r="AG174" s="498">
        <f t="shared" si="194"/>
        <v>61907.60098718002</v>
      </c>
    </row>
    <row r="175" spans="2:33">
      <c r="B175" s="119"/>
      <c r="C175" s="119"/>
      <c r="D175" s="119"/>
      <c r="E175" s="119"/>
      <c r="F175" s="119"/>
      <c r="H175" s="110" t="s">
        <v>563</v>
      </c>
      <c r="I175" s="124"/>
      <c r="J175" s="150">
        <f>BS!$D$506/100000000</f>
        <v>160244.67247210001</v>
      </c>
      <c r="K175" s="150">
        <f>BS!$H$506/100000000</f>
        <v>185409.77375013</v>
      </c>
      <c r="L175" s="150">
        <f>BS!$K$506/100000000</f>
        <v>191547.47735597001</v>
      </c>
      <c r="M175" s="150">
        <f>BS!$O$506/100000000</f>
        <v>227757.28866304</v>
      </c>
      <c r="N175" s="150">
        <f>BS!$S$506/100000000</f>
        <v>278338.47236232</v>
      </c>
      <c r="O175" s="125">
        <f t="shared" si="190"/>
        <v>321968.91208480002</v>
      </c>
      <c r="P175" s="125">
        <f>Z175</f>
        <v>369438.68593345</v>
      </c>
      <c r="Q175" s="125">
        <f t="shared" si="191"/>
        <v>437306.88206430001</v>
      </c>
      <c r="R175" s="125">
        <f>AG175</f>
        <v>472536.33493914001</v>
      </c>
      <c r="S175" s="124"/>
      <c r="T175" s="124"/>
      <c r="U175" s="124"/>
      <c r="V175" s="150">
        <f>BS!$W$506/100000000</f>
        <v>321968.91208480002</v>
      </c>
      <c r="W175" s="150">
        <f>BS!$X$506/100000000</f>
        <v>345057.87863276998</v>
      </c>
      <c r="X175" s="150">
        <f>BS!$Y$506/100000000</f>
        <v>352917.95239490998</v>
      </c>
      <c r="Y175" s="150">
        <f>BS!$Z$506/100000000</f>
        <v>361780.79208188999</v>
      </c>
      <c r="Z175" s="150">
        <f>BS!$AA$506/100000000</f>
        <v>369438.68593345</v>
      </c>
      <c r="AA175" s="150">
        <f>BS!$AB$506/100000000</f>
        <v>393203.27040179999</v>
      </c>
      <c r="AB175" s="150">
        <f>BS!$AC$506/100000000</f>
        <v>406660.02928603999</v>
      </c>
      <c r="AC175" s="150">
        <f>BS!$AD$506/100000000</f>
        <v>422626.32595979999</v>
      </c>
      <c r="AD175" s="150">
        <f>BS!$AE$506/100000000</f>
        <v>437306.88206430001</v>
      </c>
      <c r="AE175" s="150">
        <f>BS!$AF$506/100000000</f>
        <v>463965.78877529001</v>
      </c>
      <c r="AF175" s="150">
        <f>BS!$AG$506/100000000</f>
        <v>490315.38453665999</v>
      </c>
      <c r="AG175" s="150">
        <f>BS!$AH$506/100000000</f>
        <v>472536.33493914001</v>
      </c>
    </row>
    <row r="176" spans="2:33">
      <c r="B176" s="119"/>
      <c r="C176" s="119"/>
      <c r="D176" s="119"/>
      <c r="E176" s="119"/>
      <c r="F176" s="119"/>
      <c r="H176" s="110" t="s">
        <v>564</v>
      </c>
      <c r="I176" s="124"/>
      <c r="J176" s="150">
        <f>BS!$D$520/100000000</f>
        <v>134867.77790700999</v>
      </c>
      <c r="K176" s="150">
        <f>BS!$H$520/100000000</f>
        <v>159077.74272467999</v>
      </c>
      <c r="L176" s="150">
        <f>BS!$K$520/100000000</f>
        <v>166094.56604534001</v>
      </c>
      <c r="M176" s="150">
        <f>BS!$O$520/100000000</f>
        <v>200907.25147804001</v>
      </c>
      <c r="N176" s="150">
        <f>BS!$S$520/100000000</f>
        <v>249443.28504359</v>
      </c>
      <c r="O176" s="125">
        <f t="shared" si="190"/>
        <v>282178.10812301998</v>
      </c>
      <c r="P176" s="125">
        <f>Z176</f>
        <v>324116.62748869002</v>
      </c>
      <c r="Q176" s="125">
        <f t="shared" si="191"/>
        <v>383370.26606771001</v>
      </c>
      <c r="R176" s="125">
        <f>AG176</f>
        <v>410628.73395195999</v>
      </c>
      <c r="S176" s="124"/>
      <c r="T176" s="124"/>
      <c r="U176" s="124"/>
      <c r="V176" s="150">
        <f>BS!$W$520/100000000</f>
        <v>282178.10812301998</v>
      </c>
      <c r="W176" s="150">
        <f>BS!$X$520/100000000</f>
        <v>304255.52386001998</v>
      </c>
      <c r="X176" s="150">
        <f>BS!$Y$520/100000000</f>
        <v>309572.76562466001</v>
      </c>
      <c r="Y176" s="150">
        <f>BS!$Z$520/100000000</f>
        <v>319549.18604626</v>
      </c>
      <c r="Z176" s="150">
        <f>BS!$AA$520/100000000</f>
        <v>324116.62748869002</v>
      </c>
      <c r="AA176" s="150">
        <f>BS!$AB$520/100000000</f>
        <v>348985.32772269001</v>
      </c>
      <c r="AB176" s="150">
        <f>BS!$AC$520/100000000</f>
        <v>356532.65557879</v>
      </c>
      <c r="AC176" s="150">
        <f>BS!$AD$520/100000000</f>
        <v>366465.99183007999</v>
      </c>
      <c r="AD176" s="150">
        <f>BS!$AE$520/100000000</f>
        <v>383370.26606771001</v>
      </c>
      <c r="AE176" s="150">
        <f>BS!$AF$520/100000000</f>
        <v>407849.44324179</v>
      </c>
      <c r="AF176" s="150">
        <f>BS!$AG$520/100000000</f>
        <v>430877.02711463999</v>
      </c>
      <c r="AG176" s="150">
        <f>BS!$AH$520/100000000</f>
        <v>410628.73395195999</v>
      </c>
    </row>
    <row r="177" spans="1:35">
      <c r="B177" s="119"/>
      <c r="C177" s="119"/>
      <c r="D177" s="119"/>
      <c r="E177" s="119"/>
      <c r="F177" s="119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</row>
    <row r="178" spans="1:35">
      <c r="B178" s="119"/>
      <c r="C178" s="119"/>
      <c r="D178" s="119"/>
      <c r="E178" s="119"/>
      <c r="F178" s="119"/>
      <c r="H178" s="110" t="s">
        <v>489</v>
      </c>
      <c r="I178" s="124"/>
      <c r="J178" s="385"/>
      <c r="K178" s="385"/>
      <c r="L178" s="385"/>
      <c r="M178" s="129">
        <f>BS!$O$350/100000000</f>
        <v>0</v>
      </c>
      <c r="N178" s="129">
        <f>BS!$S$350/100000000</f>
        <v>0</v>
      </c>
      <c r="O178" s="125">
        <f>V178</f>
        <v>0</v>
      </c>
      <c r="P178" s="125">
        <f>Z178</f>
        <v>0</v>
      </c>
      <c r="Q178" s="125">
        <f t="shared" ref="Q178:Q183" si="195">AD178</f>
        <v>0</v>
      </c>
      <c r="R178" s="125">
        <f t="shared" ref="R178:R183" si="196">AG178</f>
        <v>0</v>
      </c>
      <c r="S178" s="124"/>
      <c r="T178" s="124"/>
      <c r="U178" s="124"/>
      <c r="V178" s="129">
        <f>BS!$W$350/100000000</f>
        <v>0</v>
      </c>
      <c r="W178" s="129">
        <f>BS!$X$350/100000000</f>
        <v>0</v>
      </c>
      <c r="X178" s="129">
        <f>BS!$Y$350/100000000</f>
        <v>0</v>
      </c>
      <c r="Y178" s="129">
        <f>BS!$Z$350/100000000</f>
        <v>0</v>
      </c>
      <c r="Z178" s="129">
        <f>BS!$AA$350/100000000</f>
        <v>0</v>
      </c>
      <c r="AA178" s="129">
        <f>BS!$AB$350/100000000</f>
        <v>0</v>
      </c>
      <c r="AB178" s="129">
        <f>BS!$AC$350/100000000</f>
        <v>0</v>
      </c>
      <c r="AC178" s="129">
        <f>BS!$AD$350/100000000</f>
        <v>0</v>
      </c>
      <c r="AD178" s="129">
        <f>BS!$AE$350/100000000</f>
        <v>0</v>
      </c>
      <c r="AE178" s="129">
        <f>BS!$AF$350/100000000</f>
        <v>0</v>
      </c>
      <c r="AF178" s="129">
        <f>BS!$AG$350/100000000</f>
        <v>0</v>
      </c>
      <c r="AG178" s="129">
        <f>BS!$AH$350/100000000</f>
        <v>0</v>
      </c>
      <c r="AI178" s="146"/>
    </row>
    <row r="179" spans="1:35">
      <c r="B179" s="119"/>
      <c r="C179" s="119"/>
      <c r="D179" s="119"/>
      <c r="E179" s="119"/>
      <c r="F179" s="119"/>
      <c r="H179" s="110" t="s">
        <v>397</v>
      </c>
      <c r="I179" s="124"/>
      <c r="J179" s="150">
        <f>BS!$D$415/100000000</f>
        <v>1755.6980000000001</v>
      </c>
      <c r="K179" s="150">
        <f>BS!$H$415/100000000</f>
        <v>1755.6980000000001</v>
      </c>
      <c r="L179" s="150">
        <f>BS!$K$415/100000000</f>
        <v>1755.6980000000001</v>
      </c>
      <c r="M179" s="150">
        <f>BS!$O$415/100000000</f>
        <v>1755.6980000000001</v>
      </c>
      <c r="N179" s="150">
        <f>BS!$S$415/100000000</f>
        <v>1755.6980000000001</v>
      </c>
      <c r="O179" s="125">
        <f t="shared" ref="O179" si="197">V179</f>
        <v>1757.39</v>
      </c>
      <c r="P179" s="125">
        <f t="shared" ref="P179" si="198">Z179</f>
        <v>1757.39</v>
      </c>
      <c r="Q179" s="125">
        <f t="shared" si="195"/>
        <v>1757.39</v>
      </c>
      <c r="R179" s="125">
        <f t="shared" si="196"/>
        <v>1757.39</v>
      </c>
      <c r="S179" s="124"/>
      <c r="T179" s="124"/>
      <c r="U179" s="124"/>
      <c r="V179" s="150">
        <f>BS!$W$415/100000000</f>
        <v>1757.39</v>
      </c>
      <c r="W179" s="150">
        <f>BS!$X$415/100000000</f>
        <v>1757.39</v>
      </c>
      <c r="X179" s="150">
        <f>BS!$Y$415/100000000</f>
        <v>1757.39</v>
      </c>
      <c r="Y179" s="150">
        <f>BS!$Z$415/100000000</f>
        <v>1757.39</v>
      </c>
      <c r="Z179" s="150">
        <f>BS!$AA$415/100000000</f>
        <v>1757.39</v>
      </c>
      <c r="AA179" s="150">
        <f>BS!$AB$415/100000000</f>
        <v>1757.39</v>
      </c>
      <c r="AB179" s="150">
        <f>BS!$AC$415/100000000</f>
        <v>1757.39</v>
      </c>
      <c r="AC179" s="150">
        <f>BS!$AD$415/100000000</f>
        <v>1757.39</v>
      </c>
      <c r="AD179" s="150">
        <f>BS!$AE$415/100000000</f>
        <v>1757.39</v>
      </c>
      <c r="AE179" s="150">
        <f>BS!$AF$415/100000000</f>
        <v>1757.39</v>
      </c>
      <c r="AF179" s="150">
        <f>BS!$AG$415/100000000</f>
        <v>1757.39</v>
      </c>
      <c r="AG179" s="150">
        <f>BS!$AH$415/100000000</f>
        <v>1757.39</v>
      </c>
    </row>
    <row r="180" spans="1:35">
      <c r="B180" s="119"/>
      <c r="C180" s="119"/>
      <c r="D180" s="119"/>
      <c r="E180" s="119"/>
      <c r="F180" s="119"/>
      <c r="H180" s="1208" t="s">
        <v>1711</v>
      </c>
      <c r="I180" s="124"/>
      <c r="J180" s="150">
        <f>BS!$D$421/100000000</f>
        <v>13608.648307969999</v>
      </c>
      <c r="K180" s="150">
        <f>BS!$H$421/100000000</f>
        <v>13608.648307969999</v>
      </c>
      <c r="L180" s="150">
        <f>BS!$K$421/100000000</f>
        <v>13608.648307969999</v>
      </c>
      <c r="M180" s="150">
        <f>BS!$O$421/100000000</f>
        <v>13608.648307969999</v>
      </c>
      <c r="N180" s="150">
        <f>BS!$S$421/100000000</f>
        <v>13608.648307969999</v>
      </c>
      <c r="O180" s="125">
        <f t="shared" ref="O180" si="199">V180</f>
        <v>30526.938716370001</v>
      </c>
      <c r="P180" s="125">
        <f t="shared" ref="P180" si="200">Z180</f>
        <v>30526.938716370001</v>
      </c>
      <c r="Q180" s="125">
        <f t="shared" si="195"/>
        <v>30526.938716370001</v>
      </c>
      <c r="R180" s="125">
        <f t="shared" si="196"/>
        <v>30526.938716370001</v>
      </c>
      <c r="S180" s="124"/>
      <c r="T180" s="124"/>
      <c r="U180" s="124"/>
      <c r="V180" s="150">
        <f>BS!$W$421/100000000</f>
        <v>30526.938716370001</v>
      </c>
      <c r="W180" s="150">
        <f>BS!$X$421/100000000</f>
        <v>30526.938716370001</v>
      </c>
      <c r="X180" s="150">
        <f>BS!$Y$421/100000000</f>
        <v>30526.938716370001</v>
      </c>
      <c r="Y180" s="150">
        <f>BS!$Z$421/100000000</f>
        <v>30526.938716370001</v>
      </c>
      <c r="Z180" s="150">
        <f>BS!$AA$421/100000000</f>
        <v>30526.938716370001</v>
      </c>
      <c r="AA180" s="150">
        <f>BS!$AB$421/100000000</f>
        <v>30526.938716370001</v>
      </c>
      <c r="AB180" s="150">
        <f>BS!$AC$421/100000000</f>
        <v>30526.938716370001</v>
      </c>
      <c r="AC180" s="150">
        <f>BS!$AD$421/100000000</f>
        <v>30526.938716370001</v>
      </c>
      <c r="AD180" s="150">
        <f>BS!$AE$421/100000000</f>
        <v>30526.938716370001</v>
      </c>
      <c r="AE180" s="150">
        <f>BS!$AF$421/100000000</f>
        <v>30526.938716370001</v>
      </c>
      <c r="AF180" s="150">
        <f>BS!$AG$421/100000000</f>
        <v>30526.938716370001</v>
      </c>
      <c r="AG180" s="150">
        <f>BS!$AH$421/100000000</f>
        <v>30526.938716370001</v>
      </c>
    </row>
    <row r="181" spans="1:35">
      <c r="B181" s="119"/>
      <c r="C181" s="119"/>
      <c r="D181" s="119"/>
      <c r="E181" s="119"/>
      <c r="F181" s="119"/>
      <c r="H181" s="1215" t="s">
        <v>2082</v>
      </c>
      <c r="I181" s="124"/>
      <c r="J181" s="150">
        <f>BS!$D$426/100000000</f>
        <v>0</v>
      </c>
      <c r="K181" s="150">
        <f>BS!$H$426/100000000</f>
        <v>0</v>
      </c>
      <c r="L181" s="150">
        <f>BS!$K$426/100000000</f>
        <v>0</v>
      </c>
      <c r="M181" s="150">
        <f>BS!$O$426/100000000</f>
        <v>0</v>
      </c>
      <c r="N181" s="150">
        <f>BS!$S$426/100000000</f>
        <v>0</v>
      </c>
      <c r="O181" s="125">
        <f t="shared" ref="O181" si="201">V181</f>
        <v>0</v>
      </c>
      <c r="P181" s="125">
        <f t="shared" ref="P181" si="202">Z181</f>
        <v>0</v>
      </c>
      <c r="Q181" s="125">
        <f t="shared" si="195"/>
        <v>0</v>
      </c>
      <c r="R181" s="125">
        <f t="shared" si="196"/>
        <v>0</v>
      </c>
      <c r="S181" s="124"/>
      <c r="T181" s="124"/>
      <c r="U181" s="124"/>
      <c r="V181" s="150">
        <f>BS!$W$426/100000000</f>
        <v>0</v>
      </c>
      <c r="W181" s="150">
        <f>BS!$X$426/100000000</f>
        <v>0</v>
      </c>
      <c r="X181" s="150">
        <f>BS!$Y$426/100000000</f>
        <v>0</v>
      </c>
      <c r="Y181" s="150">
        <f>BS!$Z$426/100000000</f>
        <v>0</v>
      </c>
      <c r="Z181" s="150">
        <f>BS!$AA$426/100000000</f>
        <v>0</v>
      </c>
      <c r="AA181" s="150">
        <f>BS!$AB$426/100000000</f>
        <v>0</v>
      </c>
      <c r="AB181" s="150">
        <f>BS!$AC$426/100000000</f>
        <v>0</v>
      </c>
      <c r="AC181" s="150">
        <f>BS!$AD$426/100000000</f>
        <v>0</v>
      </c>
      <c r="AD181" s="150">
        <f>BS!$AE$426/100000000</f>
        <v>0</v>
      </c>
      <c r="AE181" s="150">
        <f>BS!$AF$426/100000000</f>
        <v>0</v>
      </c>
      <c r="AF181" s="150">
        <f>BS!$AG$426/100000000</f>
        <v>0</v>
      </c>
      <c r="AG181" s="150">
        <f>BS!$AH$426/100000000</f>
        <v>0</v>
      </c>
    </row>
    <row r="182" spans="1:35">
      <c r="B182" s="119"/>
      <c r="C182" s="119"/>
      <c r="D182" s="119"/>
      <c r="E182" s="119"/>
      <c r="F182" s="119"/>
      <c r="H182" s="1208" t="s">
        <v>398</v>
      </c>
      <c r="I182" s="124"/>
      <c r="J182" s="150">
        <f>BS!$D$454/100000000</f>
        <v>14181.947962239999</v>
      </c>
      <c r="K182" s="150">
        <f>BS!$H$454/100000000</f>
        <v>14771.42323205</v>
      </c>
      <c r="L182" s="150">
        <f>BS!$K$454/100000000</f>
        <v>13763.724601010001</v>
      </c>
      <c r="M182" s="150">
        <f>BS!$O$454/100000000</f>
        <v>15364.203727280001</v>
      </c>
      <c r="N182" s="150">
        <f>BS!$S$454/100000000</f>
        <v>16323.616787929999</v>
      </c>
      <c r="O182" s="125">
        <f t="shared" ref="O182" si="203">V182</f>
        <v>7138.0690257099996</v>
      </c>
      <c r="P182" s="125">
        <f t="shared" ref="P182" si="204">Z182</f>
        <v>8158.7508386099998</v>
      </c>
      <c r="Q182" s="125">
        <f t="shared" si="195"/>
        <v>9502.8758399599992</v>
      </c>
      <c r="R182" s="125">
        <f t="shared" si="196"/>
        <v>12951.362266820001</v>
      </c>
      <c r="S182" s="124"/>
      <c r="T182" s="124"/>
      <c r="U182" s="124"/>
      <c r="V182" s="150">
        <f>BS!$W$454/100000000</f>
        <v>7138.0690257099996</v>
      </c>
      <c r="W182" s="150">
        <f>BS!$X$454/100000000</f>
        <v>7368.3033132199998</v>
      </c>
      <c r="X182" s="150">
        <f>BS!$Y$454/100000000</f>
        <v>8588.0029911300007</v>
      </c>
      <c r="Y182" s="150">
        <f>BS!$Z$454/100000000</f>
        <v>7190.3028935000002</v>
      </c>
      <c r="Z182" s="150">
        <f>BS!$AA$454/100000000</f>
        <v>8158.7508386099998</v>
      </c>
      <c r="AA182" s="150">
        <f>BS!$AB$454/100000000</f>
        <v>7711.7736339100002</v>
      </c>
      <c r="AB182" s="150">
        <f>BS!$AC$454/100000000</f>
        <v>9023.2174864400004</v>
      </c>
      <c r="AC182" s="150">
        <f>BS!$AD$454/100000000</f>
        <v>10203.337064290001</v>
      </c>
      <c r="AD182" s="150">
        <f>BS!$AE$454/100000000</f>
        <v>9502.8758399599992</v>
      </c>
      <c r="AE182" s="150">
        <f>BS!$AF$454/100000000</f>
        <v>10060.11817933</v>
      </c>
      <c r="AF182" s="150">
        <f>BS!$AG$454/100000000</f>
        <v>11811.50851718</v>
      </c>
      <c r="AG182" s="150">
        <f>BS!$AH$454/100000000</f>
        <v>12951.362266820001</v>
      </c>
    </row>
    <row r="183" spans="1:35">
      <c r="B183" s="119"/>
      <c r="C183" s="119"/>
      <c r="D183" s="119"/>
      <c r="E183" s="119"/>
      <c r="F183" s="119"/>
      <c r="H183" s="110" t="s">
        <v>745</v>
      </c>
      <c r="I183" s="124"/>
      <c r="J183" s="150">
        <f>BS!$D$433/100000000</f>
        <v>1879.17469656</v>
      </c>
      <c r="K183" s="150">
        <f>BS!$H$433/100000000</f>
        <v>1808.75489655</v>
      </c>
      <c r="L183" s="150">
        <f>BS!$K$433/100000000</f>
        <v>1700.28374592</v>
      </c>
      <c r="M183" s="150">
        <f>BS!$O$433/100000000</f>
        <v>1174.86792122</v>
      </c>
      <c r="N183" s="150">
        <f>BS!$S$433/100000000</f>
        <v>1260.6308193699999</v>
      </c>
      <c r="O183" s="125">
        <f t="shared" ref="O183" si="205">V183</f>
        <v>1304.1971007</v>
      </c>
      <c r="P183" s="125">
        <f t="shared" ref="P183" si="206">Z183</f>
        <v>1974.7742655699999</v>
      </c>
      <c r="Q183" s="125">
        <f t="shared" si="195"/>
        <v>1717.77829486</v>
      </c>
      <c r="R183" s="125">
        <f t="shared" si="196"/>
        <v>1207.10472916</v>
      </c>
      <c r="S183" s="124"/>
      <c r="T183" s="124"/>
      <c r="U183" s="124"/>
      <c r="V183" s="150">
        <f>BS!$W$433/100000000</f>
        <v>1304.1971007</v>
      </c>
      <c r="W183" s="150">
        <f>BS!$X$433/100000000</f>
        <v>1396.6504543999999</v>
      </c>
      <c r="X183" s="150">
        <f>BS!$Y$433/100000000</f>
        <v>2577.5435697299999</v>
      </c>
      <c r="Y183" s="150">
        <f>BS!$Z$433/100000000</f>
        <v>2433.0830326700002</v>
      </c>
      <c r="Z183" s="150">
        <f>BS!$AA$433/100000000</f>
        <v>1974.7742655699999</v>
      </c>
      <c r="AA183" s="150">
        <f>BS!$AB$433/100000000</f>
        <v>1459.0686078799999</v>
      </c>
      <c r="AB183" s="150">
        <f>BS!$AC$433/100000000</f>
        <v>1796.20502635</v>
      </c>
      <c r="AC183" s="150">
        <f>BS!$AD$433/100000000</f>
        <v>1951.4777160000001</v>
      </c>
      <c r="AD183" s="150">
        <f>BS!$AE$433/100000000</f>
        <v>1717.77829486</v>
      </c>
      <c r="AE183" s="150">
        <f>BS!$AF$433/100000000</f>
        <v>1337.22694082</v>
      </c>
      <c r="AF183" s="150">
        <f>BS!$AG$433/100000000</f>
        <v>1532.8022424000001</v>
      </c>
      <c r="AG183" s="150">
        <f>BS!$AH$433/100000000</f>
        <v>1207.10472916</v>
      </c>
    </row>
    <row r="184" spans="1:35"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</row>
    <row r="185" spans="1:35">
      <c r="F185" s="119"/>
      <c r="H185" s="1232" t="s">
        <v>2105</v>
      </c>
      <c r="I185" s="124"/>
      <c r="J185" s="150">
        <f>BS!$D$274/100000000</f>
        <v>1193.13642839</v>
      </c>
      <c r="K185" s="150">
        <f>BS!$H$274/100000000</f>
        <v>957.71142266000004</v>
      </c>
      <c r="L185" s="150">
        <f>BS!$K$274/100000000</f>
        <v>882.36415555999997</v>
      </c>
      <c r="M185" s="150">
        <f>BS!$O$274/100000000</f>
        <v>854.01027352000006</v>
      </c>
      <c r="N185" s="150">
        <f>BS!$S$274/100000000</f>
        <v>867.58106070999997</v>
      </c>
      <c r="O185" s="125">
        <f t="shared" ref="O185" si="207">V185</f>
        <v>792.86326804999999</v>
      </c>
      <c r="P185" s="125">
        <f t="shared" ref="P185" si="208">Z185</f>
        <v>528.36733723999998</v>
      </c>
      <c r="Q185" s="125">
        <f>AD185</f>
        <v>413.54873392000002</v>
      </c>
      <c r="R185" s="125">
        <f>AG185</f>
        <v>409.71671785000001</v>
      </c>
      <c r="S185" s="124"/>
      <c r="T185" s="124"/>
      <c r="U185" s="124"/>
      <c r="V185" s="150">
        <f>BS!$W$274/100000000</f>
        <v>792.86326804999999</v>
      </c>
      <c r="W185" s="150">
        <f>BS!$X$274/100000000</f>
        <v>631.19871860000001</v>
      </c>
      <c r="X185" s="150">
        <f>BS!$Y$274/100000000</f>
        <v>629.47695764000002</v>
      </c>
      <c r="Y185" s="150">
        <f>BS!$Z$274/100000000</f>
        <v>627.21335339999996</v>
      </c>
      <c r="Z185" s="150">
        <f>BS!$AA$274/100000000</f>
        <v>528.36733723999998</v>
      </c>
      <c r="AA185" s="150">
        <f>BS!$AB$274/100000000</f>
        <v>494.85861836999999</v>
      </c>
      <c r="AB185" s="150">
        <f>BS!$AC$274/100000000</f>
        <v>494.08659668000001</v>
      </c>
      <c r="AC185" s="150">
        <f>BS!$AD$274/100000000</f>
        <v>492.30846464000001</v>
      </c>
      <c r="AD185" s="150">
        <f>BS!$AE$274/100000000</f>
        <v>413.54873392000002</v>
      </c>
      <c r="AE185" s="150">
        <f>BS!$AF$274/100000000</f>
        <v>412.27136221000001</v>
      </c>
      <c r="AF185" s="150">
        <f>BS!$AG$274/100000000</f>
        <v>410.99404003000001</v>
      </c>
      <c r="AG185" s="150">
        <f>BS!$AH$274/100000000</f>
        <v>409.71671785000001</v>
      </c>
    </row>
    <row r="186" spans="1:35"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</row>
    <row r="187" spans="1:35" s="118" customFormat="1">
      <c r="A187" s="117" t="s">
        <v>526</v>
      </c>
      <c r="B187" s="117"/>
      <c r="C187" s="117"/>
      <c r="D187" s="117"/>
      <c r="E187" s="117"/>
      <c r="F187" s="117"/>
    </row>
    <row r="188" spans="1:35"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</row>
    <row r="189" spans="1:35">
      <c r="A189" s="110" t="s">
        <v>901</v>
      </c>
      <c r="H189" s="110" t="s">
        <v>899</v>
      </c>
      <c r="I189" s="124"/>
      <c r="J189" s="150">
        <f>IS!D$439/100000000</f>
        <v>2146.19667536</v>
      </c>
      <c r="K189" s="150">
        <f>IS!H$439/100000000</f>
        <v>1590.22312981</v>
      </c>
      <c r="L189" s="150">
        <f>IS!K$439/100000000</f>
        <v>755.38228583</v>
      </c>
      <c r="M189" s="150">
        <f>IS!O$439/100000000</f>
        <v>2200.9278422699999</v>
      </c>
      <c r="N189" s="150">
        <f>IS!S$439/100000000</f>
        <v>2560.6096366500001</v>
      </c>
      <c r="O189" s="125">
        <f t="shared" ref="O189:O204" si="209">V189</f>
        <v>2437.1729977800001</v>
      </c>
      <c r="P189" s="125">
        <f t="shared" ref="P189:P204" si="210">Z189</f>
        <v>4722.7995868999997</v>
      </c>
      <c r="Q189" s="125">
        <f t="shared" ref="Q189:Q205" si="211">AD189</f>
        <v>5035.1004194699999</v>
      </c>
      <c r="R189" s="125">
        <f t="shared" ref="R189:R209" si="212">AG189</f>
        <v>5251.5685668599999</v>
      </c>
      <c r="S189" s="124"/>
      <c r="T189" s="124"/>
      <c r="U189" s="124"/>
      <c r="V189" s="150">
        <f>IS!$W$439/100000000</f>
        <v>2437.1729977800001</v>
      </c>
      <c r="W189" s="150">
        <f>IS!$X$439/100000000</f>
        <v>1432.28904751</v>
      </c>
      <c r="X189" s="150">
        <f>IS!$Y$439/100000000</f>
        <v>2651.9887254199998</v>
      </c>
      <c r="Y189" s="150">
        <f>IS!$Z$439/100000000</f>
        <v>3754.35164179</v>
      </c>
      <c r="Z189" s="150">
        <f>IS!$AA$439/100000000</f>
        <v>4722.7995868999997</v>
      </c>
      <c r="AA189" s="150">
        <f>IS!$AB$439/100000000</f>
        <v>1643.7188794199999</v>
      </c>
      <c r="AB189" s="150">
        <f>IS!$AC$439/100000000</f>
        <v>2955.1627319499999</v>
      </c>
      <c r="AC189" s="150">
        <f>IS!$AD$439/100000000</f>
        <v>4135.2823097999999</v>
      </c>
      <c r="AD189" s="150">
        <f>IS!$AE$439/100000000</f>
        <v>5035.1004194699999</v>
      </c>
      <c r="AE189" s="150">
        <f>IS!$AF$439/100000000</f>
        <v>2360.3244793700001</v>
      </c>
      <c r="AF189" s="150">
        <f>IS!$AG$439/100000000</f>
        <v>4111.7148172200004</v>
      </c>
      <c r="AG189" s="150">
        <f>IS!$AH$439/100000000</f>
        <v>5251.5685668599999</v>
      </c>
    </row>
    <row r="190" spans="1:35">
      <c r="H190" s="1252" t="s">
        <v>407</v>
      </c>
      <c r="I190" s="124"/>
      <c r="J190" s="150">
        <f>IS!D$437/100000000</f>
        <v>2146.19667536</v>
      </c>
      <c r="K190" s="150">
        <f>IS!H$437/100000000</f>
        <v>1590.22312981</v>
      </c>
      <c r="L190" s="150">
        <f>IS!K$437/100000000</f>
        <v>755.38228583</v>
      </c>
      <c r="M190" s="150">
        <f>IS!O$437/100000000</f>
        <v>2200.9278422699999</v>
      </c>
      <c r="N190" s="150">
        <f>IS!S$437/100000000</f>
        <v>2560.6096366500001</v>
      </c>
      <c r="O190" s="125">
        <f t="shared" ref="O190" si="213">V190</f>
        <v>2437.1729977800001</v>
      </c>
      <c r="P190" s="125">
        <f t="shared" ref="P190" si="214">Z190</f>
        <v>4722.7995868999997</v>
      </c>
      <c r="Q190" s="125">
        <f t="shared" si="211"/>
        <v>5035.1004194699999</v>
      </c>
      <c r="R190" s="125">
        <f t="shared" si="212"/>
        <v>5251.5685668599999</v>
      </c>
      <c r="S190" s="124"/>
      <c r="T190" s="124"/>
      <c r="U190" s="124"/>
      <c r="V190" s="150">
        <f>IS!$W$437/100000000</f>
        <v>2437.1729977800001</v>
      </c>
      <c r="W190" s="150">
        <f>IS!$X$437/100000000</f>
        <v>1432.28904751</v>
      </c>
      <c r="X190" s="150">
        <f>IS!$Y$437/100000000</f>
        <v>2651.9887254199998</v>
      </c>
      <c r="Y190" s="150">
        <f>IS!$Z$437/100000000</f>
        <v>3754.35164179</v>
      </c>
      <c r="Z190" s="150">
        <f>IS!$AA$437/100000000</f>
        <v>4722.7995868999997</v>
      </c>
      <c r="AA190" s="150">
        <f>IS!$AB$437/100000000</f>
        <v>1643.7188794199999</v>
      </c>
      <c r="AB190" s="150">
        <f>IS!$AC$437/100000000</f>
        <v>2955.1627319499999</v>
      </c>
      <c r="AC190" s="150">
        <f>IS!$AD$437/100000000</f>
        <v>4135.2823097999999</v>
      </c>
      <c r="AD190" s="150">
        <f>IS!$AE$437/100000000</f>
        <v>5035.1004194699999</v>
      </c>
      <c r="AE190" s="150">
        <f>IS!$AF$437/100000000</f>
        <v>2360.3244793700001</v>
      </c>
      <c r="AF190" s="150">
        <f>IS!$AG$437/100000000</f>
        <v>4111.7148172200004</v>
      </c>
      <c r="AG190" s="150">
        <f>IS!$AH$437/100000000</f>
        <v>5251.5685668599999</v>
      </c>
    </row>
    <row r="191" spans="1:35">
      <c r="H191" s="110" t="s">
        <v>900</v>
      </c>
      <c r="I191" s="124"/>
      <c r="J191" s="150">
        <f>IS!D$452/100000000</f>
        <v>1979.48526296</v>
      </c>
      <c r="K191" s="150">
        <f>IS!H$452/100000000</f>
        <v>1519.8033298</v>
      </c>
      <c r="L191" s="150">
        <f>IS!K$452/100000000</f>
        <v>685.17636632999995</v>
      </c>
      <c r="M191" s="150">
        <f>IS!O$452/100000000</f>
        <v>1675.5120175699999</v>
      </c>
      <c r="N191" s="150">
        <f>IS!S$452/100000000</f>
        <v>2646.3725347999998</v>
      </c>
      <c r="O191" s="125">
        <f t="shared" si="209"/>
        <v>2480.7392791100001</v>
      </c>
      <c r="P191" s="125">
        <f t="shared" si="210"/>
        <v>5393.3767517699998</v>
      </c>
      <c r="Q191" s="125">
        <f t="shared" si="211"/>
        <v>5035.4612751900004</v>
      </c>
      <c r="R191" s="125">
        <f t="shared" si="212"/>
        <v>4740.89500116</v>
      </c>
      <c r="S191" s="124"/>
      <c r="T191" s="124"/>
      <c r="U191" s="124"/>
      <c r="V191" s="150">
        <f>IS!$W$452/100000000</f>
        <v>2480.7392791100001</v>
      </c>
      <c r="W191" s="150">
        <f>IS!$X$452/100000000</f>
        <v>1524.74240121</v>
      </c>
      <c r="X191" s="150">
        <f>IS!$Y$452/100000000</f>
        <v>3925.33519445</v>
      </c>
      <c r="Y191" s="150">
        <f>IS!$Z$452/100000000</f>
        <v>4883.2375737599996</v>
      </c>
      <c r="Z191" s="150">
        <f>IS!$AA$452/100000000</f>
        <v>5393.3767517699998</v>
      </c>
      <c r="AA191" s="150">
        <f>IS!$AB$452/100000000</f>
        <v>1385.3700481599999</v>
      </c>
      <c r="AB191" s="150">
        <f>IS!$AC$452/100000000</f>
        <v>3033.9503191600002</v>
      </c>
      <c r="AC191" s="150">
        <f>IS!$AD$452/100000000</f>
        <v>4369.3425866600001</v>
      </c>
      <c r="AD191" s="150">
        <f>IS!$AE$452/100000000</f>
        <v>5035.4612751900004</v>
      </c>
      <c r="AE191" s="150">
        <f>IS!$AF$452/100000000</f>
        <v>1979.7731253300001</v>
      </c>
      <c r="AF191" s="150">
        <f>IS!$AG$452/100000000</f>
        <v>3926.7387647599999</v>
      </c>
      <c r="AG191" s="150">
        <f>IS!$AH$452/100000000</f>
        <v>4740.89500116</v>
      </c>
    </row>
    <row r="192" spans="1:35">
      <c r="B192" s="119"/>
      <c r="C192" s="119"/>
      <c r="D192" s="119"/>
      <c r="E192" s="119"/>
      <c r="F192" s="119"/>
      <c r="H192" s="110" t="s">
        <v>522</v>
      </c>
      <c r="I192" s="124"/>
      <c r="J192" s="150">
        <f>IS!D19/100000000</f>
        <v>3339.9868260399999</v>
      </c>
      <c r="K192" s="150">
        <f>IS!H19/100000000</f>
        <v>2509.0295376899999</v>
      </c>
      <c r="L192" s="150">
        <f>IS!K19/100000000</f>
        <v>1832.62698546</v>
      </c>
      <c r="M192" s="150">
        <f>IS!O19/100000000</f>
        <v>2329.1059403099998</v>
      </c>
      <c r="N192" s="150">
        <f>IS!S19/100000000</f>
        <v>2982.4510705900002</v>
      </c>
      <c r="O192" s="125">
        <f t="shared" si="209"/>
        <v>2516.4849723500001</v>
      </c>
      <c r="P192" s="125">
        <f t="shared" si="210"/>
        <v>2597.5596065</v>
      </c>
      <c r="Q192" s="125">
        <f t="shared" si="211"/>
        <v>2907.6558904399999</v>
      </c>
      <c r="R192" s="125">
        <f t="shared" si="212"/>
        <v>1775.86362239</v>
      </c>
      <c r="S192" s="124"/>
      <c r="T192" s="124"/>
      <c r="U192" s="124"/>
      <c r="V192" s="150">
        <f>IS!$W19/100000000</f>
        <v>2516.4849723500001</v>
      </c>
      <c r="W192" s="150">
        <f>IS!$X19/100000000</f>
        <v>547.80711431999998</v>
      </c>
      <c r="X192" s="150">
        <f>IS!$Y19/100000000</f>
        <v>1205.7266218100001</v>
      </c>
      <c r="Y192" s="150">
        <f>IS!$Z19/100000000</f>
        <v>1857.84869635</v>
      </c>
      <c r="Z192" s="150">
        <f>IS!$AA19/100000000</f>
        <v>2597.5596065</v>
      </c>
      <c r="AA192" s="150">
        <f>IS!$AB19/100000000</f>
        <v>924.04290827</v>
      </c>
      <c r="AB192" s="150">
        <f>IS!$AC19/100000000</f>
        <v>1709.6021054800001</v>
      </c>
      <c r="AC192" s="150">
        <f>IS!$AD19/100000000</f>
        <v>2298.9437313100002</v>
      </c>
      <c r="AD192" s="150">
        <f>IS!$AE19/100000000</f>
        <v>2907.6558904399999</v>
      </c>
      <c r="AE192" s="150">
        <f>IS!$AF19/100000000</f>
        <v>616.66336750999994</v>
      </c>
      <c r="AF192" s="150">
        <f>IS!$AG19/100000000</f>
        <v>1203.8730412699999</v>
      </c>
      <c r="AG192" s="150">
        <f>IS!$AH19/100000000</f>
        <v>1775.86362239</v>
      </c>
    </row>
    <row r="193" spans="2:35">
      <c r="B193" s="119"/>
      <c r="C193" s="119"/>
      <c r="D193" s="119"/>
      <c r="E193" s="119"/>
      <c r="F193" s="119"/>
      <c r="H193" s="110" t="s">
        <v>523</v>
      </c>
      <c r="I193" s="124"/>
      <c r="J193" s="125">
        <f t="shared" ref="J193:N193" si="215">J194+J195+J197+J196</f>
        <v>1205.38988187</v>
      </c>
      <c r="K193" s="125">
        <f t="shared" si="215"/>
        <v>900.5811238</v>
      </c>
      <c r="L193" s="125">
        <f t="shared" si="215"/>
        <v>645.21910138999999</v>
      </c>
      <c r="M193" s="125">
        <f t="shared" si="215"/>
        <v>830.56379491000007</v>
      </c>
      <c r="N193" s="125">
        <f t="shared" si="215"/>
        <v>1010.2729842700001</v>
      </c>
      <c r="O193" s="125">
        <f t="shared" si="209"/>
        <v>1031.5412439900001</v>
      </c>
      <c r="P193" s="125">
        <f t="shared" si="210"/>
        <v>1199.69167595</v>
      </c>
      <c r="Q193" s="125">
        <f t="shared" si="211"/>
        <v>1285.02129752</v>
      </c>
      <c r="R193" s="125">
        <f t="shared" si="212"/>
        <v>1018.25081441</v>
      </c>
      <c r="S193" s="124"/>
      <c r="T193" s="124"/>
      <c r="U193" s="124"/>
      <c r="V193" s="125">
        <f t="shared" ref="V193:AB193" si="216">V194+V195+V197+V196</f>
        <v>1031.5412439900001</v>
      </c>
      <c r="W193" s="125">
        <f t="shared" si="216"/>
        <v>278.58889819000001</v>
      </c>
      <c r="X193" s="125">
        <f t="shared" ref="X193:Y193" si="217">X194+X195+X197+X196</f>
        <v>571.50624616999994</v>
      </c>
      <c r="Y193" s="125">
        <f t="shared" si="217"/>
        <v>885.17339465999999</v>
      </c>
      <c r="Z193" s="125">
        <f t="shared" si="216"/>
        <v>1199.69167595</v>
      </c>
      <c r="AA193" s="125">
        <f t="shared" si="216"/>
        <v>340.50181958000002</v>
      </c>
      <c r="AB193" s="125">
        <f t="shared" si="216"/>
        <v>700.20678780000003</v>
      </c>
      <c r="AC193" s="125">
        <f t="shared" ref="AC193:AD193" si="218">AC194+AC195+AC197+AC196</f>
        <v>1016.50074552</v>
      </c>
      <c r="AD193" s="125">
        <f t="shared" si="218"/>
        <v>1285.02129752</v>
      </c>
      <c r="AE193" s="125">
        <f t="shared" ref="AE193:AF193" si="219">AE194+AE195+AE197+AE196</f>
        <v>306.95205086999999</v>
      </c>
      <c r="AF193" s="125">
        <f t="shared" si="219"/>
        <v>674.74993896000001</v>
      </c>
      <c r="AG193" s="125">
        <f t="shared" ref="AG193" si="220">AG194+AG195+AG197+AG196</f>
        <v>1018.25081441</v>
      </c>
    </row>
    <row r="194" spans="2:35">
      <c r="B194" s="119"/>
      <c r="C194" s="119"/>
      <c r="D194" s="119"/>
      <c r="E194" s="119"/>
      <c r="F194" s="119"/>
      <c r="H194" s="110" t="s">
        <v>179</v>
      </c>
      <c r="I194" s="124"/>
      <c r="J194" s="150">
        <f>IS!D32/100000000</f>
        <v>725.79384205999997</v>
      </c>
      <c r="K194" s="150">
        <f>IS!H32/100000000</f>
        <v>594.90750427</v>
      </c>
      <c r="L194" s="150">
        <f>IS!K32/100000000</f>
        <v>421.38133706999997</v>
      </c>
      <c r="M194" s="150">
        <f>IS!O32/100000000</f>
        <v>551.00014265000004</v>
      </c>
      <c r="N194" s="150">
        <f>IS!S32/100000000</f>
        <v>569.02689653000004</v>
      </c>
      <c r="O194" s="125">
        <f t="shared" si="209"/>
        <v>575.38758811000002</v>
      </c>
      <c r="P194" s="125">
        <f t="shared" si="210"/>
        <v>703.48390236</v>
      </c>
      <c r="Q194" s="125">
        <f t="shared" si="211"/>
        <v>787.29660693999995</v>
      </c>
      <c r="R194" s="125">
        <f t="shared" si="212"/>
        <v>676.90312467000001</v>
      </c>
      <c r="S194" s="124"/>
      <c r="T194" s="124"/>
      <c r="U194" s="124"/>
      <c r="V194" s="150">
        <f>IS!$W32/100000000</f>
        <v>575.38758811000002</v>
      </c>
      <c r="W194" s="150">
        <f>IS!$X32/100000000</f>
        <v>167.23151367</v>
      </c>
      <c r="X194" s="150">
        <f>IS!$Y32/100000000</f>
        <v>325.27888268999999</v>
      </c>
      <c r="Y194" s="150">
        <f>IS!$Z32/100000000</f>
        <v>511.87239521999999</v>
      </c>
      <c r="Z194" s="150">
        <f>IS!$AA32/100000000</f>
        <v>703.48390236</v>
      </c>
      <c r="AA194" s="150">
        <f>IS!$AB32/100000000</f>
        <v>212.38732859000001</v>
      </c>
      <c r="AB194" s="150">
        <f>IS!$AC32/100000000</f>
        <v>420.93449303</v>
      </c>
      <c r="AC194" s="150">
        <f>IS!$AD32/100000000</f>
        <v>617.35127949000002</v>
      </c>
      <c r="AD194" s="150">
        <f>IS!$AE32/100000000</f>
        <v>787.29660693999995</v>
      </c>
      <c r="AE194" s="150">
        <f>IS!$AF32/100000000</f>
        <v>206.28137978000001</v>
      </c>
      <c r="AF194" s="150">
        <f>IS!$AG32/100000000</f>
        <v>449.15622525999999</v>
      </c>
      <c r="AG194" s="150">
        <f>IS!$AH32/100000000</f>
        <v>676.90312467000001</v>
      </c>
    </row>
    <row r="195" spans="2:35">
      <c r="B195" s="119"/>
      <c r="C195" s="119"/>
      <c r="D195" s="119"/>
      <c r="E195" s="119"/>
      <c r="F195" s="119"/>
      <c r="H195" s="110" t="s">
        <v>180</v>
      </c>
      <c r="I195" s="124"/>
      <c r="J195" s="150">
        <f>IS!D35/100000000</f>
        <v>417.99478378999999</v>
      </c>
      <c r="K195" s="150">
        <f>IS!H35/100000000</f>
        <v>208.02581835000001</v>
      </c>
      <c r="L195" s="150">
        <f>IS!K35/100000000</f>
        <v>134.57141271</v>
      </c>
      <c r="M195" s="150">
        <f>IS!O35/100000000</f>
        <v>144.43673131</v>
      </c>
      <c r="N195" s="150">
        <f>IS!S35/100000000</f>
        <v>273.83685405</v>
      </c>
      <c r="O195" s="125">
        <f t="shared" si="209"/>
        <v>278.86770338000002</v>
      </c>
      <c r="P195" s="125">
        <f t="shared" si="210"/>
        <v>255.77056458000001</v>
      </c>
      <c r="Q195" s="125">
        <f t="shared" si="211"/>
        <v>232.90559802000001</v>
      </c>
      <c r="R195" s="125">
        <f t="shared" si="212"/>
        <v>116.0226016</v>
      </c>
      <c r="S195" s="124"/>
      <c r="T195" s="124"/>
      <c r="U195" s="124"/>
      <c r="V195" s="150">
        <f>IS!$W35/100000000</f>
        <v>278.86770338000002</v>
      </c>
      <c r="W195" s="150">
        <f>IS!$X35/100000000</f>
        <v>61.117607810000003</v>
      </c>
      <c r="X195" s="150">
        <f>IS!$Y35/100000000</f>
        <v>123.27616169</v>
      </c>
      <c r="Y195" s="150">
        <f>IS!$Z35/100000000</f>
        <v>191.19099828</v>
      </c>
      <c r="Z195" s="150">
        <f>IS!$AA35/100000000</f>
        <v>255.77056458000001</v>
      </c>
      <c r="AA195" s="150">
        <f>IS!$AB35/100000000</f>
        <v>67.368647960000004</v>
      </c>
      <c r="AB195" s="150">
        <f>IS!$AC35/100000000</f>
        <v>133.22261589999999</v>
      </c>
      <c r="AC195" s="150">
        <f>IS!$AD35/100000000</f>
        <v>193.91495764000001</v>
      </c>
      <c r="AD195" s="150">
        <f>IS!$AE35/100000000</f>
        <v>232.90559802000001</v>
      </c>
      <c r="AE195" s="150">
        <f>IS!$AF35/100000000</f>
        <v>34.944017580000001</v>
      </c>
      <c r="AF195" s="150">
        <f>IS!$AG35/100000000</f>
        <v>76.672749690000003</v>
      </c>
      <c r="AG195" s="150">
        <f>IS!$AH35/100000000</f>
        <v>116.0226016</v>
      </c>
    </row>
    <row r="196" spans="2:35">
      <c r="B196" s="119"/>
      <c r="C196" s="119"/>
      <c r="D196" s="119"/>
      <c r="E196" s="119"/>
      <c r="F196" s="119"/>
      <c r="H196" s="1214" t="s">
        <v>2072</v>
      </c>
      <c r="I196" s="124"/>
      <c r="J196" s="150">
        <f>IS!D53/100000000</f>
        <v>61.601256020000001</v>
      </c>
      <c r="K196" s="150">
        <f>IS!H53/100000000</f>
        <v>97.647801180000002</v>
      </c>
      <c r="L196" s="150">
        <f>IS!K53/100000000</f>
        <v>89.266351610000001</v>
      </c>
      <c r="M196" s="150">
        <f>IS!O53/100000000</f>
        <v>135.12692095</v>
      </c>
      <c r="N196" s="150">
        <f>IS!S53/100000000</f>
        <v>167.40923369000001</v>
      </c>
      <c r="O196" s="125">
        <f t="shared" ref="O196" si="221">V196</f>
        <v>177.28595250000001</v>
      </c>
      <c r="P196" s="125">
        <f t="shared" ref="P196" si="222">Z196</f>
        <v>240.43720901</v>
      </c>
      <c r="Q196" s="125">
        <f t="shared" si="211"/>
        <v>264.81909256</v>
      </c>
      <c r="R196" s="125">
        <f t="shared" si="212"/>
        <v>225.32508813999999</v>
      </c>
      <c r="S196" s="124"/>
      <c r="T196" s="124"/>
      <c r="U196" s="124"/>
      <c r="V196" s="150">
        <f>IS!$W53/100000000</f>
        <v>177.28595250000001</v>
      </c>
      <c r="W196" s="150">
        <f>IS!$X53/100000000</f>
        <v>50.239776710000001</v>
      </c>
      <c r="X196" s="150">
        <f>IS!$Y53/100000000</f>
        <v>122.95120179</v>
      </c>
      <c r="Y196" s="150">
        <f>IS!$Z53/100000000</f>
        <v>182.11000116</v>
      </c>
      <c r="Z196" s="150">
        <f>IS!$AA53/100000000</f>
        <v>240.43720901</v>
      </c>
      <c r="AA196" s="150">
        <f>IS!$AB53/100000000</f>
        <v>60.745843030000003</v>
      </c>
      <c r="AB196" s="150">
        <f>IS!$AC53/100000000</f>
        <v>146.04967887000001</v>
      </c>
      <c r="AC196" s="150">
        <f>IS!$AD53/100000000</f>
        <v>205.23450839</v>
      </c>
      <c r="AD196" s="150">
        <f>IS!$AE53/100000000</f>
        <v>264.81909256</v>
      </c>
      <c r="AE196" s="150">
        <f>IS!$AF53/100000000</f>
        <v>65.726653510000006</v>
      </c>
      <c r="AF196" s="150">
        <f>IS!$AG53/100000000</f>
        <v>148.92096401000001</v>
      </c>
      <c r="AG196" s="150">
        <f>IS!$AH53/100000000</f>
        <v>225.32508813999999</v>
      </c>
    </row>
    <row r="197" spans="2:35">
      <c r="B197" s="119"/>
      <c r="C197" s="119"/>
      <c r="D197" s="119"/>
      <c r="E197" s="119"/>
      <c r="F197" s="119"/>
      <c r="H197" s="110" t="s">
        <v>183</v>
      </c>
      <c r="I197" s="124"/>
      <c r="J197" s="150">
        <f>IS!D49/100000000</f>
        <v>0</v>
      </c>
      <c r="K197" s="150">
        <f>IS!H49/100000000</f>
        <v>0</v>
      </c>
      <c r="L197" s="150">
        <f>IS!K49/100000000</f>
        <v>0</v>
      </c>
      <c r="M197" s="150">
        <f>IS!O49/100000000</f>
        <v>0</v>
      </c>
      <c r="N197" s="150">
        <f>IS!S49/100000000</f>
        <v>0</v>
      </c>
      <c r="O197" s="125">
        <f t="shared" si="209"/>
        <v>0</v>
      </c>
      <c r="P197" s="125">
        <f t="shared" si="210"/>
        <v>0</v>
      </c>
      <c r="Q197" s="125">
        <f t="shared" si="211"/>
        <v>0</v>
      </c>
      <c r="R197" s="125">
        <f t="shared" si="212"/>
        <v>0</v>
      </c>
      <c r="S197" s="124"/>
      <c r="T197" s="124"/>
      <c r="U197" s="124"/>
      <c r="V197" s="150">
        <f>IS!$W49/100000000</f>
        <v>0</v>
      </c>
      <c r="W197" s="150">
        <f>IS!$X49/100000000</f>
        <v>0</v>
      </c>
      <c r="X197" s="150">
        <f>IS!$Y49/100000000</f>
        <v>0</v>
      </c>
      <c r="Y197" s="150">
        <f>IS!$Z49/100000000</f>
        <v>0</v>
      </c>
      <c r="Z197" s="150">
        <f>IS!$AA49/100000000</f>
        <v>0</v>
      </c>
      <c r="AA197" s="150">
        <f>IS!$AB49/100000000</f>
        <v>0</v>
      </c>
      <c r="AB197" s="150">
        <f>IS!$AC49/100000000</f>
        <v>0</v>
      </c>
      <c r="AC197" s="150">
        <f>IS!$AD49/100000000</f>
        <v>0</v>
      </c>
      <c r="AD197" s="150">
        <f>IS!$AE49/100000000</f>
        <v>0</v>
      </c>
      <c r="AE197" s="150">
        <f>IS!$AF49/100000000</f>
        <v>0</v>
      </c>
      <c r="AF197" s="150">
        <f>IS!$AG49/100000000</f>
        <v>0</v>
      </c>
      <c r="AG197" s="150">
        <f>IS!$AH49/100000000</f>
        <v>0</v>
      </c>
    </row>
    <row r="198" spans="2:35">
      <c r="B198" s="119"/>
      <c r="C198" s="119"/>
      <c r="D198" s="119"/>
      <c r="E198" s="119"/>
      <c r="F198" s="119"/>
      <c r="H198" s="110" t="s">
        <v>524</v>
      </c>
      <c r="I198" s="124"/>
      <c r="J198" s="125">
        <f t="shared" ref="J198:M198" si="223">J199+J200+J202+J203</f>
        <v>574.75476129999993</v>
      </c>
      <c r="K198" s="125">
        <f t="shared" si="223"/>
        <v>507.74304059999997</v>
      </c>
      <c r="L198" s="125">
        <f t="shared" si="223"/>
        <v>402.63586871000001</v>
      </c>
      <c r="M198" s="125">
        <f t="shared" si="223"/>
        <v>697.57222471</v>
      </c>
      <c r="N198" s="125">
        <f t="shared" ref="N198" si="224">N199+N200+N202+N203</f>
        <v>867.94531057999995</v>
      </c>
      <c r="O198" s="125">
        <f t="shared" si="209"/>
        <v>1406.1302848</v>
      </c>
      <c r="P198" s="125">
        <f t="shared" si="210"/>
        <v>1741.6171613500001</v>
      </c>
      <c r="Q198" s="125">
        <f t="shared" si="211"/>
        <v>2035.68619304</v>
      </c>
      <c r="R198" s="125">
        <f t="shared" si="212"/>
        <v>2255.8437888200001</v>
      </c>
      <c r="S198" s="124"/>
      <c r="T198" s="124"/>
      <c r="U198" s="124"/>
      <c r="V198" s="125">
        <f t="shared" ref="V198:AB198" si="225">V199+V200+V202+V203</f>
        <v>1406.1302848</v>
      </c>
      <c r="W198" s="125">
        <f t="shared" si="225"/>
        <v>315.06983308000002</v>
      </c>
      <c r="X198" s="125">
        <f t="shared" ref="X198:Y198" si="226">X199+X200+X202+X203</f>
        <v>666.28431341999999</v>
      </c>
      <c r="Y198" s="125">
        <f t="shared" si="226"/>
        <v>1199.7312593500001</v>
      </c>
      <c r="Z198" s="125">
        <f t="shared" si="225"/>
        <v>1741.6171613500001</v>
      </c>
      <c r="AA198" s="125">
        <f t="shared" si="225"/>
        <v>462.83687829000002</v>
      </c>
      <c r="AB198" s="125">
        <f t="shared" si="225"/>
        <v>974.02387601000009</v>
      </c>
      <c r="AC198" s="125">
        <f t="shared" ref="AC198:AD198" si="227">AC199+AC200+AC202+AC203</f>
        <v>1510.57058476</v>
      </c>
      <c r="AD198" s="125">
        <f t="shared" si="227"/>
        <v>2035.68619304</v>
      </c>
      <c r="AE198" s="125">
        <f t="shared" ref="AE198:AF198" si="228">AE199+AE200+AE202+AE203</f>
        <v>540.54193125000006</v>
      </c>
      <c r="AF198" s="125">
        <f t="shared" si="228"/>
        <v>1452.4456067799999</v>
      </c>
      <c r="AG198" s="125">
        <f t="shared" ref="AG198" si="229">AG199+AG200+AG202+AG203</f>
        <v>2255.8437888200001</v>
      </c>
    </row>
    <row r="199" spans="2:35">
      <c r="B199" s="119"/>
      <c r="C199" s="119"/>
      <c r="D199" s="119"/>
      <c r="E199" s="119"/>
      <c r="F199" s="119"/>
      <c r="H199" s="110" t="s">
        <v>178</v>
      </c>
      <c r="I199" s="124"/>
      <c r="J199" s="150">
        <f>IS!D28/100000000</f>
        <v>446.79151804999998</v>
      </c>
      <c r="K199" s="150">
        <f>IS!H28/100000000</f>
        <v>363.40026553000001</v>
      </c>
      <c r="L199" s="150">
        <f>IS!K28/100000000</f>
        <v>226.80860419999999</v>
      </c>
      <c r="M199" s="150">
        <f>IS!O28/100000000</f>
        <v>404.31269811999999</v>
      </c>
      <c r="N199" s="150">
        <f>IS!S28/100000000</f>
        <v>581.01968615999999</v>
      </c>
      <c r="O199" s="125">
        <f t="shared" si="209"/>
        <v>822.36884109000005</v>
      </c>
      <c r="P199" s="125">
        <f t="shared" si="210"/>
        <v>988.78581586999996</v>
      </c>
      <c r="Q199" s="125">
        <f t="shared" si="211"/>
        <v>764.35634115000005</v>
      </c>
      <c r="R199" s="125">
        <f t="shared" si="212"/>
        <v>601.23376131999999</v>
      </c>
      <c r="S199" s="124"/>
      <c r="T199" s="124"/>
      <c r="U199" s="124"/>
      <c r="V199" s="150">
        <f>IS!$W28/100000000</f>
        <v>822.36884109000005</v>
      </c>
      <c r="W199" s="150">
        <f>IS!$X28/100000000</f>
        <v>196.40194091000001</v>
      </c>
      <c r="X199" s="150">
        <f>IS!$Y28/100000000</f>
        <v>354.39731244000001</v>
      </c>
      <c r="Y199" s="150">
        <f>IS!$Z28/100000000</f>
        <v>630.08099935999996</v>
      </c>
      <c r="Z199" s="150">
        <f>IS!$AA28/100000000</f>
        <v>988.78581586999996</v>
      </c>
      <c r="AA199" s="150">
        <f>IS!$AB28/100000000</f>
        <v>184.1076831</v>
      </c>
      <c r="AB199" s="150">
        <f>IS!$AC28/100000000</f>
        <v>357.57726751000001</v>
      </c>
      <c r="AC199" s="150">
        <f>IS!$AD28/100000000</f>
        <v>510.28563378000001</v>
      </c>
      <c r="AD199" s="150">
        <f>IS!$AE28/100000000</f>
        <v>764.35634115000005</v>
      </c>
      <c r="AE199" s="150">
        <f>IS!$AF28/100000000</f>
        <v>116.04901279000001</v>
      </c>
      <c r="AF199" s="150">
        <f>IS!$AG28/100000000</f>
        <v>394.77327066999999</v>
      </c>
      <c r="AG199" s="150">
        <f>IS!$AH28/100000000</f>
        <v>601.23376131999999</v>
      </c>
    </row>
    <row r="200" spans="2:35">
      <c r="B200" s="119"/>
      <c r="C200" s="119"/>
      <c r="D200" s="119"/>
      <c r="E200" s="119"/>
      <c r="F200" s="119"/>
      <c r="H200" s="110" t="s">
        <v>182</v>
      </c>
      <c r="I200" s="124"/>
      <c r="J200" s="150">
        <f>IS!D44/100000000</f>
        <v>127.96324325</v>
      </c>
      <c r="K200" s="150">
        <f>IS!H44/100000000</f>
        <v>144.34277506999999</v>
      </c>
      <c r="L200" s="150">
        <f>IS!K44/100000000</f>
        <v>161.84651041000001</v>
      </c>
      <c r="M200" s="150">
        <f>IS!O44/100000000</f>
        <v>254.76348246000001</v>
      </c>
      <c r="N200" s="150">
        <f>IS!S44/100000000</f>
        <v>176.90864164999999</v>
      </c>
      <c r="O200" s="125">
        <f t="shared" si="209"/>
        <v>353.30675480000002</v>
      </c>
      <c r="P200" s="125">
        <f t="shared" si="210"/>
        <v>427.53015490000001</v>
      </c>
      <c r="Q200" s="125">
        <f t="shared" si="211"/>
        <v>595.90007120999996</v>
      </c>
      <c r="R200" s="125">
        <f t="shared" si="212"/>
        <v>1045.8044793500001</v>
      </c>
      <c r="S200" s="124"/>
      <c r="T200" s="124"/>
      <c r="U200" s="124"/>
      <c r="V200" s="150">
        <f>IS!$W44/100000000</f>
        <v>353.30675480000002</v>
      </c>
      <c r="W200" s="150">
        <f>IS!$X44/100000000</f>
        <v>54.070377110000003</v>
      </c>
      <c r="X200" s="150">
        <f>IS!$Y44/100000000</f>
        <v>163.60875666000001</v>
      </c>
      <c r="Y200" s="150">
        <f>IS!$Z44/100000000</f>
        <v>330.24630210999999</v>
      </c>
      <c r="Z200" s="150">
        <f>IS!$AA44/100000000</f>
        <v>427.53015490000001</v>
      </c>
      <c r="AA200" s="150">
        <f>IS!$AB44/100000000</f>
        <v>117.07302</v>
      </c>
      <c r="AB200" s="150">
        <f>IS!$AC44/100000000</f>
        <v>293.65690935999999</v>
      </c>
      <c r="AC200" s="150">
        <f>IS!$AD44/100000000</f>
        <v>493.30357917999999</v>
      </c>
      <c r="AD200" s="150">
        <f>IS!$AE44/100000000</f>
        <v>595.90007120999996</v>
      </c>
      <c r="AE200" s="150">
        <f>IS!$AF44/100000000</f>
        <v>247.66447550999999</v>
      </c>
      <c r="AF200" s="150">
        <f>IS!$AG44/100000000</f>
        <v>669.18662703999996</v>
      </c>
      <c r="AG200" s="150">
        <f>IS!$AH44/100000000</f>
        <v>1045.8044793500001</v>
      </c>
    </row>
    <row r="201" spans="2:35">
      <c r="B201" s="119"/>
      <c r="C201" s="119"/>
      <c r="D201" s="119"/>
      <c r="E201" s="119"/>
      <c r="F201" s="119"/>
      <c r="H201" s="1214" t="s">
        <v>2076</v>
      </c>
      <c r="I201" s="124"/>
      <c r="J201" s="150">
        <f>IS!D31/100000000</f>
        <v>5.31</v>
      </c>
      <c r="K201" s="150">
        <f>IS!H31/100000000</f>
        <v>0.9</v>
      </c>
      <c r="L201" s="150">
        <f>IS!K31/100000000</f>
        <v>0.18</v>
      </c>
      <c r="M201" s="150">
        <f>IS!O31/100000000</f>
        <v>0.12</v>
      </c>
      <c r="N201" s="150">
        <f>IS!S31/100000000</f>
        <v>0</v>
      </c>
      <c r="O201" s="125">
        <f t="shared" ref="O201" si="230">V201</f>
        <v>0</v>
      </c>
      <c r="P201" s="125">
        <f t="shared" ref="P201" si="231">Z201</f>
        <v>0</v>
      </c>
      <c r="Q201" s="125">
        <f t="shared" si="211"/>
        <v>0</v>
      </c>
      <c r="R201" s="125">
        <f t="shared" si="212"/>
        <v>0</v>
      </c>
      <c r="S201" s="124"/>
      <c r="T201" s="124"/>
      <c r="U201" s="124"/>
      <c r="V201" s="150">
        <f>IS!$W31/100000000</f>
        <v>0</v>
      </c>
      <c r="W201" s="150">
        <f>IS!$X31/100000000</f>
        <v>0</v>
      </c>
      <c r="X201" s="150">
        <f>IS!$Y31/100000000</f>
        <v>0</v>
      </c>
      <c r="Y201" s="150">
        <f>IS!$Z31/100000000</f>
        <v>0</v>
      </c>
      <c r="Z201" s="150">
        <f>IS!$AA31/100000000</f>
        <v>0</v>
      </c>
      <c r="AA201" s="150">
        <f>IS!$AB31/100000000</f>
        <v>0</v>
      </c>
      <c r="AB201" s="150">
        <f>IS!$AC31/100000000</f>
        <v>0</v>
      </c>
      <c r="AC201" s="150">
        <f>IS!$AD31/100000000</f>
        <v>0</v>
      </c>
      <c r="AD201" s="150">
        <f>IS!$AE31/100000000</f>
        <v>0</v>
      </c>
      <c r="AE201" s="150">
        <f>IS!$AF31/100000000</f>
        <v>0</v>
      </c>
      <c r="AF201" s="150">
        <f>IS!$AG31/100000000</f>
        <v>0</v>
      </c>
      <c r="AG201" s="150">
        <f>IS!$AH31/100000000</f>
        <v>0</v>
      </c>
    </row>
    <row r="202" spans="2:35">
      <c r="B202" s="119"/>
      <c r="C202" s="119"/>
      <c r="D202" s="119"/>
      <c r="E202" s="119"/>
      <c r="F202" s="119"/>
      <c r="H202" s="110" t="s">
        <v>181</v>
      </c>
      <c r="I202" s="124"/>
      <c r="J202" s="150">
        <f>IS!D43/100000000</f>
        <v>0</v>
      </c>
      <c r="K202" s="150">
        <f>IS!H43/100000000</f>
        <v>0</v>
      </c>
      <c r="L202" s="150">
        <f>IS!K43/100000000</f>
        <v>0</v>
      </c>
      <c r="M202" s="150">
        <f>IS!O43/100000000</f>
        <v>0</v>
      </c>
      <c r="N202" s="150">
        <f>IS!S43/100000000</f>
        <v>0</v>
      </c>
      <c r="O202" s="125">
        <f t="shared" si="209"/>
        <v>0</v>
      </c>
      <c r="P202" s="125">
        <f t="shared" si="210"/>
        <v>0</v>
      </c>
      <c r="Q202" s="125">
        <f t="shared" si="211"/>
        <v>0</v>
      </c>
      <c r="R202" s="125">
        <f t="shared" si="212"/>
        <v>0</v>
      </c>
      <c r="S202" s="124"/>
      <c r="T202" s="124"/>
      <c r="U202" s="124"/>
      <c r="V202" s="150">
        <f>IS!$W43/100000000</f>
        <v>0</v>
      </c>
      <c r="W202" s="150">
        <f>IS!$X43/100000000</f>
        <v>0</v>
      </c>
      <c r="X202" s="150">
        <f>IS!$Y43/100000000</f>
        <v>0</v>
      </c>
      <c r="Y202" s="150">
        <f>IS!$Z43/100000000</f>
        <v>0</v>
      </c>
      <c r="Z202" s="150">
        <f>IS!$AA43/100000000</f>
        <v>0</v>
      </c>
      <c r="AA202" s="150">
        <f>IS!$AB43/100000000</f>
        <v>0</v>
      </c>
      <c r="AB202" s="150">
        <f>IS!$AC43/100000000</f>
        <v>0</v>
      </c>
      <c r="AC202" s="150">
        <f>IS!$AD43/100000000</f>
        <v>0</v>
      </c>
      <c r="AD202" s="150">
        <f>IS!$AE43/100000000</f>
        <v>0</v>
      </c>
      <c r="AE202" s="150">
        <f>IS!$AF43/100000000</f>
        <v>0</v>
      </c>
      <c r="AF202" s="150">
        <f>IS!$AG43/100000000</f>
        <v>0</v>
      </c>
      <c r="AG202" s="150">
        <f>IS!$AH43/100000000</f>
        <v>0</v>
      </c>
    </row>
    <row r="203" spans="2:35" ht="11.25" customHeight="1">
      <c r="B203" s="119"/>
      <c r="C203" s="119"/>
      <c r="D203" s="119"/>
      <c r="E203" s="119"/>
      <c r="F203" s="119"/>
      <c r="H203" s="1250" t="s">
        <v>2135</v>
      </c>
      <c r="I203" s="124"/>
      <c r="J203" s="150">
        <f>IS!D65/100000000</f>
        <v>0</v>
      </c>
      <c r="K203" s="150">
        <f>IS!H65/100000000</f>
        <v>0</v>
      </c>
      <c r="L203" s="150">
        <f>IS!K65/100000000</f>
        <v>13.9807541</v>
      </c>
      <c r="M203" s="150">
        <f>IS!O65/100000000</f>
        <v>38.496044130000001</v>
      </c>
      <c r="N203" s="150">
        <f>IS!S65/100000000</f>
        <v>110.01698277</v>
      </c>
      <c r="O203" s="125">
        <f t="shared" si="209"/>
        <v>230.45468890999999</v>
      </c>
      <c r="P203" s="125">
        <f t="shared" si="210"/>
        <v>325.30119058000002</v>
      </c>
      <c r="Q203" s="125">
        <f t="shared" si="211"/>
        <v>675.42978068000002</v>
      </c>
      <c r="R203" s="125">
        <f t="shared" si="212"/>
        <v>608.80554815000005</v>
      </c>
      <c r="S203" s="124"/>
      <c r="T203" s="124"/>
      <c r="U203" s="124"/>
      <c r="V203" s="150">
        <f>IS!$W65/100000000</f>
        <v>230.45468890999999</v>
      </c>
      <c r="W203" s="150">
        <f>IS!$X65/100000000</f>
        <v>64.597515060000006</v>
      </c>
      <c r="X203" s="150">
        <f>IS!$Y65/100000000</f>
        <v>148.27824432</v>
      </c>
      <c r="Y203" s="150">
        <f>IS!$Z65/100000000</f>
        <v>239.40395788000001</v>
      </c>
      <c r="Z203" s="150">
        <f>IS!$AA65/100000000</f>
        <v>325.30119058000002</v>
      </c>
      <c r="AA203" s="150">
        <f>IS!$AB65/100000000</f>
        <v>161.65617519</v>
      </c>
      <c r="AB203" s="150">
        <f>IS!$AC65/100000000</f>
        <v>322.78969913999998</v>
      </c>
      <c r="AC203" s="150">
        <f>IS!$AD65/100000000</f>
        <v>506.98137179999998</v>
      </c>
      <c r="AD203" s="150">
        <f>IS!$AE65/100000000</f>
        <v>675.42978068000002</v>
      </c>
      <c r="AE203" s="150">
        <f>IS!$AF65/100000000</f>
        <v>176.82844295000001</v>
      </c>
      <c r="AF203" s="150">
        <f>IS!$AG65/100000000</f>
        <v>388.48570906999998</v>
      </c>
      <c r="AG203" s="150">
        <f>IS!$AH65/100000000</f>
        <v>608.80554815000005</v>
      </c>
    </row>
    <row r="204" spans="2:35">
      <c r="B204" s="119"/>
      <c r="C204" s="119"/>
      <c r="D204" s="119"/>
      <c r="E204" s="119"/>
      <c r="F204" s="119"/>
      <c r="H204" s="110" t="s">
        <v>177</v>
      </c>
      <c r="I204" s="124"/>
      <c r="J204" s="150">
        <f>IS!D18/100000000</f>
        <v>5247.7828826300001</v>
      </c>
      <c r="K204" s="150">
        <f>IS!H18/100000000</f>
        <v>4111.0964821600001</v>
      </c>
      <c r="L204" s="150">
        <f>IS!K18/100000000</f>
        <v>3077.3541814599998</v>
      </c>
      <c r="M204" s="150">
        <f>IS!O18/100000000</f>
        <v>4238.0441763199997</v>
      </c>
      <c r="N204" s="150">
        <f>IS!S18/100000000</f>
        <v>5324.3102009900003</v>
      </c>
      <c r="O204" s="125">
        <f t="shared" si="209"/>
        <v>5509.6572995099996</v>
      </c>
      <c r="P204" s="125">
        <f t="shared" si="210"/>
        <v>6304.20411453</v>
      </c>
      <c r="Q204" s="125">
        <f t="shared" si="211"/>
        <v>7000.0835871999998</v>
      </c>
      <c r="R204" s="125">
        <f t="shared" si="212"/>
        <v>5683.8890893400003</v>
      </c>
      <c r="S204" s="124"/>
      <c r="T204" s="124"/>
      <c r="U204" s="124"/>
      <c r="V204" s="150">
        <f>IS!$W18/100000000</f>
        <v>5509.6572995099996</v>
      </c>
      <c r="W204" s="150">
        <f>IS!$X18/100000000</f>
        <v>1299.2539637699999</v>
      </c>
      <c r="X204" s="150">
        <f>IS!$Y18/100000000</f>
        <v>2835.1658430000002</v>
      </c>
      <c r="Y204" s="150">
        <f>IS!$Z18/100000000</f>
        <v>4537.3247129700003</v>
      </c>
      <c r="Z204" s="150">
        <f>IS!$AA18/100000000</f>
        <v>6304.20411453</v>
      </c>
      <c r="AA204" s="150">
        <f>IS!$AB18/100000000</f>
        <v>1919.9558838200001</v>
      </c>
      <c r="AB204" s="150">
        <f>IS!$AC18/100000000</f>
        <v>3772.42001686</v>
      </c>
      <c r="AC204" s="150">
        <f>IS!$AD18/100000000</f>
        <v>5384.5472532100002</v>
      </c>
      <c r="AD204" s="150">
        <f>IS!$AE18/100000000</f>
        <v>7000.0835871999998</v>
      </c>
      <c r="AE204" s="150">
        <f>IS!$AF18/100000000</f>
        <v>1651.4388202600001</v>
      </c>
      <c r="AF204" s="150">
        <f>IS!$AG18/100000000</f>
        <v>3737.2779895100002</v>
      </c>
      <c r="AG204" s="150">
        <f>IS!$AH18/100000000</f>
        <v>5683.8890893400003</v>
      </c>
    </row>
    <row r="205" spans="2:35">
      <c r="B205" s="119"/>
      <c r="C205" s="119"/>
      <c r="D205" s="119"/>
      <c r="E205" s="119"/>
      <c r="F205" s="119"/>
      <c r="H205" s="110" t="s">
        <v>400</v>
      </c>
      <c r="J205" s="150">
        <f>IS!D218/100000000</f>
        <v>622.09872925000002</v>
      </c>
      <c r="K205" s="150">
        <f>IS!H218/100000000</f>
        <v>579.51943597000002</v>
      </c>
      <c r="L205" s="150">
        <f>IS!K218/100000000</f>
        <v>485.41176223000002</v>
      </c>
      <c r="M205" s="150">
        <f>IS!O218/100000000</f>
        <v>630.6864286</v>
      </c>
      <c r="N205" s="150">
        <f>IS!S218/100000000</f>
        <v>847.60050583999998</v>
      </c>
      <c r="O205" s="125">
        <f t="shared" ref="O205" si="232">V205</f>
        <v>976.04771660999995</v>
      </c>
      <c r="P205" s="125">
        <f t="shared" ref="P205" si="233">Z205</f>
        <v>991.43664262000004</v>
      </c>
      <c r="Q205" s="125">
        <f t="shared" si="211"/>
        <v>1217.6425020900001</v>
      </c>
      <c r="R205" s="125">
        <f t="shared" si="212"/>
        <v>906.30741835000003</v>
      </c>
      <c r="S205" s="124"/>
      <c r="T205" s="124"/>
      <c r="U205" s="124"/>
      <c r="V205" s="150">
        <f>IS!$W218/100000000</f>
        <v>976.04771660999995</v>
      </c>
      <c r="W205" s="150">
        <f>IS!$X218/100000000</f>
        <v>218.51283873</v>
      </c>
      <c r="X205" s="150">
        <f>IS!$Y218/100000000</f>
        <v>461.18808674000002</v>
      </c>
      <c r="Y205" s="150">
        <f>IS!$Z218/100000000</f>
        <v>705.99259642000004</v>
      </c>
      <c r="Z205" s="150">
        <f>IS!$AA218/100000000</f>
        <v>991.43664262000004</v>
      </c>
      <c r="AA205" s="150">
        <f>IS!$AB218/100000000</f>
        <v>321.15210106000001</v>
      </c>
      <c r="AB205" s="150">
        <f>IS!$AC218/100000000</f>
        <v>618.97049476999996</v>
      </c>
      <c r="AC205" s="150">
        <f>IS!$AD218/100000000</f>
        <v>910.63423850000004</v>
      </c>
      <c r="AD205" s="150">
        <f>IS!$AE218/100000000</f>
        <v>1217.6425020900001</v>
      </c>
      <c r="AE205" s="150">
        <f>IS!$AF218/100000000</f>
        <v>293.59018773999998</v>
      </c>
      <c r="AF205" s="150">
        <f>IS!$AG218/100000000</f>
        <v>618.59129485999995</v>
      </c>
      <c r="AG205" s="150">
        <f>IS!$AH218/100000000</f>
        <v>906.30741835000003</v>
      </c>
      <c r="AH205" s="124"/>
      <c r="AI205" s="124"/>
    </row>
    <row r="206" spans="2:35">
      <c r="B206" s="119"/>
      <c r="C206" s="119"/>
      <c r="D206" s="119"/>
      <c r="E206" s="119"/>
      <c r="F206" s="119"/>
      <c r="H206" s="1486" t="s">
        <v>2448</v>
      </c>
      <c r="J206" s="128">
        <f t="shared" ref="J206:N206" si="234">J204-J205</f>
        <v>4625.6841533799998</v>
      </c>
      <c r="K206" s="128">
        <f t="shared" si="234"/>
        <v>3531.5770461900001</v>
      </c>
      <c r="L206" s="128">
        <f t="shared" si="234"/>
        <v>2591.9424192299998</v>
      </c>
      <c r="M206" s="128">
        <f t="shared" si="234"/>
        <v>3607.3577477199997</v>
      </c>
      <c r="N206" s="128">
        <f t="shared" si="234"/>
        <v>4476.7096951500007</v>
      </c>
      <c r="O206" s="125">
        <f t="shared" ref="O206" si="235">V206</f>
        <v>4533.6095828999996</v>
      </c>
      <c r="P206" s="125">
        <f t="shared" ref="P206" si="236">Z206</f>
        <v>5312.7674719099996</v>
      </c>
      <c r="Q206" s="125">
        <f t="shared" ref="Q206" si="237">AD206</f>
        <v>5782.4410851100001</v>
      </c>
      <c r="R206" s="125">
        <f t="shared" si="212"/>
        <v>4777.58167099</v>
      </c>
      <c r="S206" s="124"/>
      <c r="T206" s="124"/>
      <c r="U206" s="124"/>
      <c r="V206" s="128">
        <f t="shared" ref="V206:AC206" si="238">V204-V205</f>
        <v>4533.6095828999996</v>
      </c>
      <c r="W206" s="128">
        <f t="shared" si="238"/>
        <v>1080.74112504</v>
      </c>
      <c r="X206" s="128">
        <f t="shared" si="238"/>
        <v>2373.9777562600002</v>
      </c>
      <c r="Y206" s="128">
        <f t="shared" si="238"/>
        <v>3831.3321165500001</v>
      </c>
      <c r="Z206" s="128">
        <f t="shared" si="238"/>
        <v>5312.7674719099996</v>
      </c>
      <c r="AA206" s="128">
        <f t="shared" si="238"/>
        <v>1598.8037827600001</v>
      </c>
      <c r="AB206" s="128">
        <f t="shared" si="238"/>
        <v>3153.4495220899998</v>
      </c>
      <c r="AC206" s="128">
        <f t="shared" si="238"/>
        <v>4473.9130147100004</v>
      </c>
      <c r="AD206" s="128">
        <f>AD204-AD205</f>
        <v>5782.4410851100001</v>
      </c>
      <c r="AE206" s="128">
        <f>AE204-AE205</f>
        <v>1357.8486325200001</v>
      </c>
      <c r="AF206" s="128">
        <f>AF204-AF205</f>
        <v>3118.6866946500004</v>
      </c>
      <c r="AG206" s="128">
        <f>AG204-AG205</f>
        <v>4777.58167099</v>
      </c>
      <c r="AH206" s="124"/>
      <c r="AI206" s="124"/>
    </row>
    <row r="207" spans="2:35">
      <c r="B207" s="119"/>
      <c r="C207" s="119"/>
      <c r="D207" s="119"/>
      <c r="E207" s="119"/>
      <c r="F207" s="119"/>
      <c r="H207" s="110" t="s">
        <v>561</v>
      </c>
      <c r="I207" s="124"/>
      <c r="J207" s="125">
        <f>J208+J209</f>
        <v>24.787192439999998</v>
      </c>
      <c r="K207" s="125">
        <f>K208+K209</f>
        <v>36.679999070000001</v>
      </c>
      <c r="L207" s="125">
        <f t="shared" ref="L207:M207" si="239">L208+L209</f>
        <v>161.83906001</v>
      </c>
      <c r="M207" s="125">
        <f t="shared" si="239"/>
        <v>37.219998709999999</v>
      </c>
      <c r="N207" s="125">
        <f t="shared" ref="N207" si="240">N208+N209</f>
        <v>0</v>
      </c>
      <c r="O207" s="125">
        <f t="shared" ref="O207:O209" si="241">V207</f>
        <v>0</v>
      </c>
      <c r="P207" s="125">
        <f>Z207</f>
        <v>0</v>
      </c>
      <c r="Q207" s="125">
        <f t="shared" ref="Q207:Q209" si="242">AD207</f>
        <v>47.28450651</v>
      </c>
      <c r="R207" s="125">
        <f t="shared" si="212"/>
        <v>54.140804430000003</v>
      </c>
      <c r="S207" s="124"/>
      <c r="T207" s="124"/>
      <c r="U207" s="124"/>
      <c r="V207" s="125">
        <f t="shared" ref="V207:AB207" si="243">V208+V209</f>
        <v>0</v>
      </c>
      <c r="W207" s="125">
        <f t="shared" si="243"/>
        <v>0</v>
      </c>
      <c r="X207" s="125">
        <f t="shared" ref="X207:Y207" si="244">X208+X209</f>
        <v>0</v>
      </c>
      <c r="Y207" s="125">
        <f t="shared" si="244"/>
        <v>0</v>
      </c>
      <c r="Z207" s="125">
        <f t="shared" si="243"/>
        <v>0</v>
      </c>
      <c r="AA207" s="125">
        <f t="shared" si="243"/>
        <v>31.520509149999999</v>
      </c>
      <c r="AB207" s="125">
        <f t="shared" si="243"/>
        <v>31.37522422</v>
      </c>
      <c r="AC207" s="125">
        <f t="shared" ref="AC207:AD207" si="245">AC208+AC209</f>
        <v>37.471811049999999</v>
      </c>
      <c r="AD207" s="125">
        <f t="shared" si="245"/>
        <v>47.28450651</v>
      </c>
      <c r="AE207" s="125">
        <f t="shared" ref="AE207:AF207" si="246">AE208+AE209</f>
        <v>22.991014289999999</v>
      </c>
      <c r="AF207" s="125">
        <f t="shared" si="246"/>
        <v>14.98764823</v>
      </c>
      <c r="AG207" s="125">
        <f t="shared" ref="AG207" si="247">AG208+AG209</f>
        <v>54.140804430000003</v>
      </c>
    </row>
    <row r="208" spans="2:35">
      <c r="B208" s="119"/>
      <c r="C208" s="119"/>
      <c r="D208" s="119"/>
      <c r="E208" s="119"/>
      <c r="F208" s="119"/>
      <c r="H208" s="110" t="s">
        <v>559</v>
      </c>
      <c r="I208" s="124"/>
      <c r="J208" s="150">
        <f>IS!D319/100000000</f>
        <v>24.787192439999998</v>
      </c>
      <c r="K208" s="150">
        <f>IS!H319/100000000</f>
        <v>36.679999070000001</v>
      </c>
      <c r="L208" s="150">
        <f>IS!K319/100000000</f>
        <v>161.83906001</v>
      </c>
      <c r="M208" s="150">
        <f>IS!O319/100000000</f>
        <v>37.219998709999999</v>
      </c>
      <c r="N208" s="150">
        <f>IS!S319/100000000</f>
        <v>0</v>
      </c>
      <c r="O208" s="125">
        <f t="shared" si="241"/>
        <v>0</v>
      </c>
      <c r="P208" s="125">
        <f>Z208</f>
        <v>0</v>
      </c>
      <c r="Q208" s="125">
        <f t="shared" si="242"/>
        <v>47.28450651</v>
      </c>
      <c r="R208" s="125">
        <f t="shared" si="212"/>
        <v>54.140804430000003</v>
      </c>
      <c r="S208" s="124"/>
      <c r="T208" s="124"/>
      <c r="U208" s="124"/>
      <c r="V208" s="150">
        <f>IS!$W319/100000000</f>
        <v>0</v>
      </c>
      <c r="W208" s="150">
        <f>IS!$X319/100000000</f>
        <v>0</v>
      </c>
      <c r="X208" s="150">
        <f>IS!$Y319/100000000</f>
        <v>0</v>
      </c>
      <c r="Y208" s="150">
        <f>IS!$Z319/100000000</f>
        <v>0</v>
      </c>
      <c r="Z208" s="150">
        <f>IS!$AA319/100000000</f>
        <v>0</v>
      </c>
      <c r="AA208" s="150">
        <f>IS!$AB319/100000000</f>
        <v>31.520509149999999</v>
      </c>
      <c r="AB208" s="150">
        <f>IS!$AC319/100000000</f>
        <v>31.37522422</v>
      </c>
      <c r="AC208" s="150">
        <f>IS!$AD319/100000000</f>
        <v>37.471811049999999</v>
      </c>
      <c r="AD208" s="150">
        <f>IS!$AE319/100000000</f>
        <v>47.28450651</v>
      </c>
      <c r="AE208" s="150">
        <f>IS!$AF319/100000000</f>
        <v>22.991014289999999</v>
      </c>
      <c r="AF208" s="150">
        <f>IS!$AG319/100000000</f>
        <v>14.98764823</v>
      </c>
      <c r="AG208" s="150">
        <f>IS!$AH319/100000000</f>
        <v>54.140804430000003</v>
      </c>
    </row>
    <row r="209" spans="2:33">
      <c r="B209" s="119"/>
      <c r="C209" s="119"/>
      <c r="D209" s="119"/>
      <c r="E209" s="119"/>
      <c r="F209" s="119"/>
      <c r="H209" s="110" t="s">
        <v>560</v>
      </c>
      <c r="I209" s="124"/>
      <c r="J209" s="150">
        <f>IS!D320/100000000</f>
        <v>0</v>
      </c>
      <c r="K209" s="150">
        <f>IS!H320/100000000</f>
        <v>0</v>
      </c>
      <c r="L209" s="150">
        <f>IS!K320/100000000</f>
        <v>0</v>
      </c>
      <c r="M209" s="150">
        <f>IS!O320/100000000</f>
        <v>0</v>
      </c>
      <c r="N209" s="150">
        <f>IS!S320/100000000</f>
        <v>0</v>
      </c>
      <c r="O209" s="125">
        <f t="shared" si="241"/>
        <v>0</v>
      </c>
      <c r="P209" s="125">
        <f>Z209</f>
        <v>0</v>
      </c>
      <c r="Q209" s="125">
        <f t="shared" si="242"/>
        <v>0</v>
      </c>
      <c r="R209" s="125">
        <f t="shared" si="212"/>
        <v>0</v>
      </c>
      <c r="S209" s="124"/>
      <c r="T209" s="124"/>
      <c r="U209" s="124"/>
      <c r="V209" s="150">
        <f>IS!$W320/100000000</f>
        <v>0</v>
      </c>
      <c r="W209" s="150">
        <f>IS!$X320/100000000</f>
        <v>0</v>
      </c>
      <c r="X209" s="150">
        <f>IS!$Y320/100000000</f>
        <v>0</v>
      </c>
      <c r="Y209" s="150">
        <f>IS!$Z320/100000000</f>
        <v>0</v>
      </c>
      <c r="Z209" s="150">
        <f>IS!$AA320/100000000</f>
        <v>0</v>
      </c>
      <c r="AA209" s="150">
        <f>IS!$AB320/100000000</f>
        <v>0</v>
      </c>
      <c r="AB209" s="150">
        <f>IS!$AC320/100000000</f>
        <v>0</v>
      </c>
      <c r="AC209" s="150">
        <f>IS!$AD320/100000000</f>
        <v>0</v>
      </c>
      <c r="AD209" s="150">
        <f>IS!$AE320/100000000</f>
        <v>0</v>
      </c>
      <c r="AE209" s="150">
        <f>IS!$AF320/100000000</f>
        <v>0</v>
      </c>
      <c r="AF209" s="150">
        <f>IS!$AG320/100000000</f>
        <v>0</v>
      </c>
      <c r="AG209" s="150">
        <f>IS!$AH320/100000000</f>
        <v>0</v>
      </c>
    </row>
    <row r="210" spans="2:33">
      <c r="B210" s="119"/>
      <c r="C210" s="119"/>
      <c r="D210" s="119"/>
      <c r="E210" s="119"/>
      <c r="F210" s="119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  <c r="T210" s="124"/>
      <c r="U210" s="124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</row>
    <row r="211" spans="2:33">
      <c r="B211" s="119"/>
      <c r="C211" s="119"/>
      <c r="D211" s="119"/>
      <c r="E211" s="119"/>
      <c r="F211" s="119"/>
      <c r="H211" s="110" t="s">
        <v>833</v>
      </c>
      <c r="I211" s="124"/>
      <c r="J211" s="150">
        <f>IS!D$497/100000000</f>
        <v>3511.6284745600001</v>
      </c>
      <c r="K211" s="150">
        <f>IS!H$497/100000000</f>
        <v>2549.5407356800001</v>
      </c>
      <c r="L211" s="150">
        <f>IS!K$497/100000000</f>
        <v>1775.4715371</v>
      </c>
      <c r="M211" s="150">
        <f>IS!O$497/100000000</f>
        <v>2254.4752445700001</v>
      </c>
      <c r="N211" s="150">
        <f>IS!S$497/100000000</f>
        <v>2804.3513719699999</v>
      </c>
      <c r="O211" s="125">
        <f t="shared" ref="O211:O222" si="248">V211</f>
        <v>2288.01161146</v>
      </c>
      <c r="P211" s="125">
        <f t="shared" ref="P211:P222" si="249">Z211</f>
        <v>2355.3938719299999</v>
      </c>
      <c r="Q211" s="125">
        <f t="shared" ref="Q211:Q222" si="250">AD211</f>
        <v>2566.9765906600001</v>
      </c>
      <c r="R211" s="125">
        <f t="shared" ref="R211:R230" si="251">AG211</f>
        <v>1532.4252660499999</v>
      </c>
      <c r="S211" s="530"/>
      <c r="T211" s="530"/>
      <c r="U211" s="124"/>
      <c r="V211" s="150">
        <f>IS!$W$497/100000000</f>
        <v>2288.01161146</v>
      </c>
      <c r="W211" s="150">
        <f>IS!$X$497/100000000</f>
        <v>498.56805364000002</v>
      </c>
      <c r="X211" s="150">
        <f>IS!$Y$497/100000000</f>
        <v>1095.2231646600001</v>
      </c>
      <c r="Y211" s="150">
        <f>IS!$Z$497/100000000</f>
        <v>1683.1520639600001</v>
      </c>
      <c r="Z211" s="150">
        <f>IS!$AA$497/100000000</f>
        <v>2355.3938719299999</v>
      </c>
      <c r="AA211" s="150">
        <f>IS!$AB$497/100000000</f>
        <v>821.97308780000003</v>
      </c>
      <c r="AB211" s="150">
        <f>IS!$AC$497/100000000</f>
        <v>1537.3694796499999</v>
      </c>
      <c r="AC211" s="150">
        <f>IS!$AD$497/100000000</f>
        <v>2059.3421102500001</v>
      </c>
      <c r="AD211" s="150">
        <f>IS!$AE$497/100000000</f>
        <v>2566.9765906600001</v>
      </c>
      <c r="AE211" s="150">
        <f>IS!$AF$497/100000000</f>
        <v>536.89614141000004</v>
      </c>
      <c r="AF211" s="150">
        <f>IS!$AG$497/100000000</f>
        <v>1047.52442832</v>
      </c>
      <c r="AG211" s="150">
        <f>IS!$AH$497/100000000</f>
        <v>1532.4252660499999</v>
      </c>
    </row>
    <row r="212" spans="2:33">
      <c r="B212" s="119"/>
      <c r="C212" s="119"/>
      <c r="D212" s="119"/>
      <c r="E212" s="119"/>
      <c r="F212" s="119"/>
      <c r="H212" s="110" t="s">
        <v>834</v>
      </c>
      <c r="I212" s="124"/>
      <c r="J212" s="150">
        <f>IS!D$515/100000000</f>
        <v>2210.67814813</v>
      </c>
      <c r="K212" s="150">
        <f>IS!H$515/100000000</f>
        <v>3376.7798659700002</v>
      </c>
      <c r="L212" s="150">
        <f>IS!K$515/100000000</f>
        <v>2535.3586793600002</v>
      </c>
      <c r="M212" s="150">
        <f>IS!O$515/100000000</f>
        <v>3781.7952330200001</v>
      </c>
      <c r="N212" s="150">
        <f>IS!S$515/100000000</f>
        <v>4383.1420143100004</v>
      </c>
      <c r="O212" s="125">
        <f t="shared" si="248"/>
        <v>4134.2741015299998</v>
      </c>
      <c r="P212" s="125">
        <f t="shared" si="249"/>
        <v>5048.5961801900003</v>
      </c>
      <c r="Q212" s="125">
        <f t="shared" si="250"/>
        <v>6994.99408141</v>
      </c>
      <c r="R212" s="125">
        <f t="shared" si="251"/>
        <v>5934.1679940499998</v>
      </c>
      <c r="S212" s="124"/>
      <c r="T212" s="124"/>
      <c r="U212" s="124"/>
      <c r="V212" s="150">
        <f>IS!$W$515/100000000</f>
        <v>4134.2741015299998</v>
      </c>
      <c r="W212" s="150">
        <f>IS!$X$515/100000000</f>
        <v>1582.18621166</v>
      </c>
      <c r="X212" s="150">
        <f>IS!$Y$515/100000000</f>
        <v>2675.5638101599998</v>
      </c>
      <c r="Y212" s="150">
        <f>IS!$Z$515/100000000</f>
        <v>3814.36355899</v>
      </c>
      <c r="Z212" s="150">
        <f>IS!$AA$515/100000000</f>
        <v>5048.5961801900003</v>
      </c>
      <c r="AA212" s="150">
        <f>IS!$AB$515/100000000</f>
        <v>1991.96169693</v>
      </c>
      <c r="AB212" s="150">
        <f>IS!$AC$515/100000000</f>
        <v>3620.0925706500002</v>
      </c>
      <c r="AC212" s="150">
        <f>IS!$AD$515/100000000</f>
        <v>5211.9229133500003</v>
      </c>
      <c r="AD212" s="150">
        <f>IS!$AE$515/100000000</f>
        <v>6994.99408141</v>
      </c>
      <c r="AE212" s="150">
        <f>IS!$AF$515/100000000</f>
        <v>2523.0415750000002</v>
      </c>
      <c r="AF212" s="150">
        <f>IS!$AG$515/100000000</f>
        <v>4374.5902066799999</v>
      </c>
      <c r="AG212" s="150">
        <f>IS!$AH$515/100000000</f>
        <v>5934.1679940499998</v>
      </c>
    </row>
    <row r="213" spans="2:33">
      <c r="B213" s="119"/>
      <c r="C213" s="119"/>
      <c r="D213" s="119"/>
      <c r="E213" s="119"/>
      <c r="F213" s="119"/>
      <c r="H213" s="110" t="s">
        <v>631</v>
      </c>
      <c r="I213" s="124"/>
      <c r="J213" s="150">
        <f>IS!D$501/100000000</f>
        <v>3098.4003387100001</v>
      </c>
      <c r="K213" s="150">
        <f>IS!H$501/100000000</f>
        <v>3947.7522037499998</v>
      </c>
      <c r="L213" s="150">
        <f>IS!K$501/100000000</f>
        <v>2752.8521201399999</v>
      </c>
      <c r="M213" s="150">
        <f>IS!O$501/100000000</f>
        <v>3773.95255064</v>
      </c>
      <c r="N213" s="150">
        <f>IS!S$501/100000000</f>
        <v>3808.97517887</v>
      </c>
      <c r="O213" s="125">
        <f t="shared" si="248"/>
        <v>3400.5819105800001</v>
      </c>
      <c r="P213" s="125">
        <f t="shared" si="249"/>
        <v>3680.3910383100001</v>
      </c>
      <c r="Q213" s="125">
        <f t="shared" si="250"/>
        <v>4749.4908974800001</v>
      </c>
      <c r="R213" s="125">
        <f t="shared" si="251"/>
        <v>3846.0262257499999</v>
      </c>
      <c r="S213" s="124"/>
      <c r="T213" s="124"/>
      <c r="U213" s="124"/>
      <c r="V213" s="150">
        <f>IS!$W$501/100000000</f>
        <v>3400.5819105800001</v>
      </c>
      <c r="W213" s="150">
        <f>IS!$X$501/100000000</f>
        <v>868.11569827999995</v>
      </c>
      <c r="X213" s="150">
        <f>IS!$Y$501/100000000</f>
        <v>1769.41922937</v>
      </c>
      <c r="Y213" s="150">
        <f>IS!$Z$501/100000000</f>
        <v>2681.0040625299998</v>
      </c>
      <c r="Z213" s="150">
        <f>IS!$AA$501/100000000</f>
        <v>3680.3910383100001</v>
      </c>
      <c r="AA213" s="150">
        <f>IS!$AB$501/100000000</f>
        <v>1105.84432023</v>
      </c>
      <c r="AB213" s="150">
        <f>IS!$AC$501/100000000</f>
        <v>2285.9131398</v>
      </c>
      <c r="AC213" s="150">
        <f>IS!$AD$501/100000000</f>
        <v>3476.2704020400001</v>
      </c>
      <c r="AD213" s="150">
        <f>IS!$AE$501/100000000</f>
        <v>4749.4908974800001</v>
      </c>
      <c r="AE213" s="150">
        <f>IS!$AF$501/100000000</f>
        <v>1221.33671813</v>
      </c>
      <c r="AF213" s="150">
        <f>IS!$AG$501/100000000</f>
        <v>2566.9287141499999</v>
      </c>
      <c r="AG213" s="150">
        <f>IS!$AH$501/100000000</f>
        <v>3846.0262257499999</v>
      </c>
    </row>
    <row r="214" spans="2:33">
      <c r="B214" s="119"/>
      <c r="C214" s="119"/>
      <c r="D214" s="119"/>
      <c r="E214" s="119"/>
      <c r="F214" s="119"/>
      <c r="H214" s="110" t="s">
        <v>632</v>
      </c>
      <c r="I214" s="124"/>
      <c r="J214" s="150">
        <f>IS!D$504/100000000</f>
        <v>9.7947609799999995</v>
      </c>
      <c r="K214" s="150">
        <f>IS!H$504/100000000</f>
        <v>13.484277280000001</v>
      </c>
      <c r="L214" s="150">
        <f>IS!K$504/100000000</f>
        <v>12.7188876</v>
      </c>
      <c r="M214" s="150">
        <f>IS!O$504/100000000</f>
        <v>44.560344000000001</v>
      </c>
      <c r="N214" s="150">
        <f>IS!S$504/100000000</f>
        <v>39.035917640000001</v>
      </c>
      <c r="O214" s="125">
        <f t="shared" si="248"/>
        <v>143.41138878000001</v>
      </c>
      <c r="P214" s="125">
        <f t="shared" si="249"/>
        <v>289.77328939</v>
      </c>
      <c r="Q214" s="125">
        <f t="shared" si="250"/>
        <v>414.97908136000001</v>
      </c>
      <c r="R214" s="125">
        <f t="shared" si="251"/>
        <v>620.80508120000002</v>
      </c>
      <c r="S214" s="124"/>
      <c r="T214" s="124"/>
      <c r="U214" s="124"/>
      <c r="V214" s="150">
        <f>IS!$W$504/100000000</f>
        <v>143.41138878000001</v>
      </c>
      <c r="W214" s="150">
        <f>IS!$X$504/100000000</f>
        <v>50.091878250000001</v>
      </c>
      <c r="X214" s="150">
        <f>IS!$Y$504/100000000</f>
        <v>123.48549111</v>
      </c>
      <c r="Y214" s="150">
        <f>IS!$Z$504/100000000</f>
        <v>197.78415529</v>
      </c>
      <c r="Z214" s="150">
        <f>IS!$AA$504/100000000</f>
        <v>289.77328939</v>
      </c>
      <c r="AA214" s="150">
        <f>IS!$AB$504/100000000</f>
        <v>88.070679609999999</v>
      </c>
      <c r="AB214" s="150">
        <f>IS!$AC$504/100000000</f>
        <v>192.77884802</v>
      </c>
      <c r="AC214" s="150">
        <f>IS!$AD$504/100000000</f>
        <v>306.51888131999999</v>
      </c>
      <c r="AD214" s="150">
        <f>IS!$AE$504/100000000</f>
        <v>414.97908136000001</v>
      </c>
      <c r="AE214" s="150">
        <f>IS!$AF$504/100000000</f>
        <v>181.21303273000001</v>
      </c>
      <c r="AF214" s="150">
        <f>IS!$AG$504/100000000</f>
        <v>383.46742649999999</v>
      </c>
      <c r="AG214" s="150">
        <f>IS!$AH$504/100000000</f>
        <v>620.80508120000002</v>
      </c>
    </row>
    <row r="215" spans="2:33">
      <c r="B215" s="119"/>
      <c r="C215" s="119"/>
      <c r="D215" s="119"/>
      <c r="E215" s="119"/>
      <c r="F215" s="119"/>
      <c r="H215" s="110" t="s">
        <v>27</v>
      </c>
      <c r="I215" s="124"/>
      <c r="J215" s="150">
        <f>IS!D$520/100000000</f>
        <v>1205.38988187</v>
      </c>
      <c r="K215" s="150">
        <f>IS!H$520/100000000</f>
        <v>900.5811238</v>
      </c>
      <c r="L215" s="150">
        <f>IS!K$520/100000000</f>
        <v>645.21910138999999</v>
      </c>
      <c r="M215" s="150">
        <f>IS!O$520/100000000</f>
        <v>830.56379490999996</v>
      </c>
      <c r="N215" s="150">
        <f>IS!S$520/100000000</f>
        <v>1010.2729842700001</v>
      </c>
      <c r="O215" s="125">
        <f t="shared" si="248"/>
        <v>1031.5412439900001</v>
      </c>
      <c r="P215" s="125">
        <f t="shared" si="249"/>
        <v>1199.69167595</v>
      </c>
      <c r="Q215" s="125">
        <f t="shared" si="250"/>
        <v>1285.02129752</v>
      </c>
      <c r="R215" s="125">
        <f t="shared" si="251"/>
        <v>1018.25081441</v>
      </c>
      <c r="S215" s="124"/>
      <c r="T215" s="124"/>
      <c r="U215" s="124"/>
      <c r="V215" s="150">
        <f>IS!$W$520/100000000</f>
        <v>1031.5412439900001</v>
      </c>
      <c r="W215" s="150">
        <f>IS!$X$520/100000000</f>
        <v>278.58889819000001</v>
      </c>
      <c r="X215" s="150">
        <f>IS!$Y$520/100000000</f>
        <v>571.50624617000005</v>
      </c>
      <c r="Y215" s="150">
        <f>IS!$Z$520/100000000</f>
        <v>885.17339465999999</v>
      </c>
      <c r="Z215" s="150">
        <f>IS!$AA$520/100000000</f>
        <v>1199.69167595</v>
      </c>
      <c r="AA215" s="150">
        <f>IS!$AB$520/100000000</f>
        <v>340.50181958000002</v>
      </c>
      <c r="AB215" s="150">
        <f>IS!$AC$520/100000000</f>
        <v>700.20678780000003</v>
      </c>
      <c r="AC215" s="150">
        <f>IS!$AD$520/100000000</f>
        <v>1016.50074552</v>
      </c>
      <c r="AD215" s="150">
        <f>IS!$AE$520/100000000</f>
        <v>1285.02129752</v>
      </c>
      <c r="AE215" s="150">
        <f>IS!$AF$520/100000000</f>
        <v>306.95205086999999</v>
      </c>
      <c r="AF215" s="150">
        <f>IS!$AG$520/100000000</f>
        <v>674.74993896000001</v>
      </c>
      <c r="AG215" s="150">
        <f>IS!$AH$520/100000000</f>
        <v>1018.25081441</v>
      </c>
    </row>
    <row r="216" spans="2:33">
      <c r="B216" s="119"/>
      <c r="C216" s="119"/>
      <c r="D216" s="119"/>
      <c r="E216" s="119"/>
      <c r="F216" s="119"/>
      <c r="H216" s="110" t="s">
        <v>28</v>
      </c>
      <c r="I216" s="124"/>
      <c r="J216" s="150">
        <f>IS!D$525/100000000</f>
        <v>580.06476129999999</v>
      </c>
      <c r="K216" s="150">
        <f>IS!H$525/100000000</f>
        <v>508.64304060000001</v>
      </c>
      <c r="L216" s="150">
        <f>IS!K$525/100000000</f>
        <v>402.81586871000002</v>
      </c>
      <c r="M216" s="150">
        <f>IS!O$525/100000000</f>
        <v>697.69222471</v>
      </c>
      <c r="N216" s="150">
        <f>IS!S$525/100000000</f>
        <v>867.94531057999995</v>
      </c>
      <c r="O216" s="125">
        <f t="shared" si="248"/>
        <v>1406.1302848</v>
      </c>
      <c r="P216" s="125">
        <f t="shared" si="249"/>
        <v>1741.6171613500001</v>
      </c>
      <c r="Q216" s="125">
        <f t="shared" si="250"/>
        <v>2035.68619304</v>
      </c>
      <c r="R216" s="125">
        <f t="shared" si="251"/>
        <v>2255.8437888200001</v>
      </c>
      <c r="S216" s="124"/>
      <c r="T216" s="124"/>
      <c r="U216" s="124"/>
      <c r="V216" s="150">
        <f>IS!$W$525/100000000</f>
        <v>1406.1302848</v>
      </c>
      <c r="W216" s="150">
        <f>IS!$X$525/100000000</f>
        <v>315.06983308000002</v>
      </c>
      <c r="X216" s="150">
        <f>IS!$Y$525/100000000</f>
        <v>666.28431341999999</v>
      </c>
      <c r="Y216" s="150">
        <f>IS!$Z$525/100000000</f>
        <v>1199.7312593500001</v>
      </c>
      <c r="Z216" s="150">
        <f>IS!$AA$525/100000000</f>
        <v>1741.6171613500001</v>
      </c>
      <c r="AA216" s="150">
        <f>IS!$AB$525/100000000</f>
        <v>462.83687829000002</v>
      </c>
      <c r="AB216" s="150">
        <f>IS!$AC$525/100000000</f>
        <v>974.02387600999998</v>
      </c>
      <c r="AC216" s="150">
        <f>IS!$AD$525/100000000</f>
        <v>1510.57058476</v>
      </c>
      <c r="AD216" s="150">
        <f>IS!$AE$525/100000000</f>
        <v>2035.68619304</v>
      </c>
      <c r="AE216" s="150">
        <f>IS!$AF$525/100000000</f>
        <v>540.54193124999995</v>
      </c>
      <c r="AF216" s="150">
        <f>IS!$AG$525/100000000</f>
        <v>1452.4456067799999</v>
      </c>
      <c r="AG216" s="150">
        <f>IS!$AH$525/100000000</f>
        <v>2255.8437888200001</v>
      </c>
    </row>
    <row r="217" spans="2:33">
      <c r="B217" s="119"/>
      <c r="C217" s="119"/>
      <c r="D217" s="119"/>
      <c r="E217" s="119"/>
      <c r="F217" s="119"/>
      <c r="H217" s="110" t="s">
        <v>29</v>
      </c>
      <c r="I217" s="124"/>
      <c r="J217" s="150">
        <f>IS!D$562/100000000</f>
        <v>247.12555689999999</v>
      </c>
      <c r="K217" s="150">
        <f>IS!H$562/100000000</f>
        <v>-338.46550351000002</v>
      </c>
      <c r="L217" s="150">
        <f>IS!K$562/100000000</f>
        <v>-1219.66343338</v>
      </c>
      <c r="M217" s="150">
        <f>IS!O$562/100000000</f>
        <v>-418.70206307000001</v>
      </c>
      <c r="N217" s="150">
        <f>IS!S$562/100000000</f>
        <v>-1080.59307812</v>
      </c>
      <c r="O217" s="125">
        <f t="shared" si="248"/>
        <v>-841.57422439000004</v>
      </c>
      <c r="P217" s="125">
        <f t="shared" si="249"/>
        <v>814.88747707000005</v>
      </c>
      <c r="Q217" s="125">
        <f t="shared" si="250"/>
        <v>-217.79837427000001</v>
      </c>
      <c r="R217" s="125">
        <f t="shared" si="251"/>
        <v>1138.5713694599999</v>
      </c>
      <c r="S217" s="124"/>
      <c r="T217" s="124"/>
      <c r="U217" s="124"/>
      <c r="V217" s="150">
        <f>IS!$W$562/100000000</f>
        <v>-841.57422439000004</v>
      </c>
      <c r="W217" s="150">
        <f>IS!$X$562/100000000</f>
        <v>283.84200728000002</v>
      </c>
      <c r="X217" s="150">
        <f>IS!$Y$562/100000000</f>
        <v>746.68623852999997</v>
      </c>
      <c r="Y217" s="150">
        <f>IS!$Z$562/100000000</f>
        <v>809.49074960999997</v>
      </c>
      <c r="Z217" s="150">
        <f>IS!$AA$562/100000000</f>
        <v>814.88747707000005</v>
      </c>
      <c r="AA217" s="150">
        <f>IS!$AB$562/100000000</f>
        <v>128.68636520999999</v>
      </c>
      <c r="AB217" s="150">
        <f>IS!$AC$562/100000000</f>
        <v>77.906931580000006</v>
      </c>
      <c r="AC217" s="150">
        <f>IS!$AD$562/100000000</f>
        <v>73.481010780000005</v>
      </c>
      <c r="AD217" s="150">
        <f>IS!$AE$562/100000000</f>
        <v>-217.79837427000001</v>
      </c>
      <c r="AE217" s="150">
        <f>IS!$AF$562/100000000</f>
        <v>706.16981591000001</v>
      </c>
      <c r="AF217" s="150">
        <f>IS!$AG$562/100000000</f>
        <v>1211.01624756</v>
      </c>
      <c r="AG217" s="150">
        <f>IS!$AH$562/100000000</f>
        <v>1138.5713694599999</v>
      </c>
    </row>
    <row r="218" spans="2:33">
      <c r="B218" s="119"/>
      <c r="C218" s="119"/>
      <c r="D218" s="119"/>
      <c r="E218" s="119"/>
      <c r="F218" s="119"/>
      <c r="H218" s="110" t="s">
        <v>869</v>
      </c>
      <c r="I218" s="124"/>
      <c r="J218" s="150">
        <f>IS!D$526/100000000</f>
        <v>-140.97336375</v>
      </c>
      <c r="K218" s="150">
        <f>IS!H$526/100000000</f>
        <v>171.78619877</v>
      </c>
      <c r="L218" s="150">
        <f>IS!K$526/100000000</f>
        <v>-386.13984418000001</v>
      </c>
      <c r="M218" s="150">
        <f>IS!O$526/100000000</f>
        <v>-828.56104039000002</v>
      </c>
      <c r="N218" s="150">
        <f>IS!S$526/100000000</f>
        <v>-51.07380526</v>
      </c>
      <c r="O218" s="125">
        <f t="shared" si="248"/>
        <v>453.44688348</v>
      </c>
      <c r="P218" s="125">
        <f t="shared" si="249"/>
        <v>1760.95910237</v>
      </c>
      <c r="Q218" s="125">
        <f t="shared" si="250"/>
        <v>-1546.7856026899999</v>
      </c>
      <c r="R218" s="125">
        <f t="shared" si="251"/>
        <v>1332.0522123200001</v>
      </c>
      <c r="S218" s="124"/>
      <c r="T218" s="124"/>
      <c r="U218" s="124"/>
      <c r="V218" s="150">
        <f>IS!$W$526/100000000</f>
        <v>453.44688348</v>
      </c>
      <c r="W218" s="150">
        <f>IS!$X$526/100000000</f>
        <v>285.27280445999997</v>
      </c>
      <c r="X218" s="150">
        <f>IS!$Y$526/100000000</f>
        <v>1012.42706446</v>
      </c>
      <c r="Y218" s="150">
        <f>IS!$Z$526/100000000</f>
        <v>1574.9396317999999</v>
      </c>
      <c r="Z218" s="150">
        <f>IS!$AA$526/100000000</f>
        <v>1760.95910237</v>
      </c>
      <c r="AA218" s="150">
        <f>IS!$AB$526/100000000</f>
        <v>-413.75302124000001</v>
      </c>
      <c r="AB218" s="150">
        <f>IS!$AC$526/100000000</f>
        <v>-496.26143135000001</v>
      </c>
      <c r="AC218" s="150">
        <f>IS!$AD$526/100000000</f>
        <v>-160.73198017000001</v>
      </c>
      <c r="AD218" s="150">
        <f>IS!$AE$526/100000000</f>
        <v>-1546.7856026899999</v>
      </c>
      <c r="AE218" s="150">
        <f>IS!$AF$526/100000000</f>
        <v>1275.5929906399999</v>
      </c>
      <c r="AF218" s="150">
        <f>IS!$AG$526/100000000</f>
        <v>1328.10801064</v>
      </c>
      <c r="AG218" s="150">
        <f>IS!$AH$526/100000000</f>
        <v>1332.0522123200001</v>
      </c>
    </row>
    <row r="219" spans="2:33">
      <c r="B219" s="119"/>
      <c r="C219" s="119"/>
      <c r="D219" s="119"/>
      <c r="E219" s="119"/>
      <c r="F219" s="119"/>
      <c r="H219" s="110" t="s">
        <v>867</v>
      </c>
      <c r="I219" s="124"/>
      <c r="J219" s="150">
        <f>IS!D$533/100000000</f>
        <v>89.31030595</v>
      </c>
      <c r="K219" s="150">
        <f>IS!H$533/100000000</f>
        <v>166.36817998000001</v>
      </c>
      <c r="L219" s="150">
        <f>IS!K$533/100000000</f>
        <v>-1514.6533087299999</v>
      </c>
      <c r="M219" s="150">
        <f>IS!O$533/100000000</f>
        <v>629.46637457999998</v>
      </c>
      <c r="N219" s="150">
        <f>IS!S$533/100000000</f>
        <v>-197.82821204000001</v>
      </c>
      <c r="O219" s="125">
        <f t="shared" si="248"/>
        <v>-483.26819590000002</v>
      </c>
      <c r="P219" s="125">
        <f t="shared" si="249"/>
        <v>-1630.40466788</v>
      </c>
      <c r="Q219" s="125">
        <f t="shared" si="250"/>
        <v>2234.0578824999998</v>
      </c>
      <c r="R219" s="125">
        <f t="shared" si="251"/>
        <v>3666.7120522999999</v>
      </c>
      <c r="S219" s="124"/>
      <c r="T219" s="124"/>
      <c r="U219" s="124"/>
      <c r="V219" s="150">
        <f>IS!$W$533/100000000</f>
        <v>-483.26819590000002</v>
      </c>
      <c r="W219" s="150">
        <f>IS!$X$533/100000000</f>
        <v>-270.28468552999999</v>
      </c>
      <c r="X219" s="150">
        <f>IS!$Y$533/100000000</f>
        <v>-152.68884326</v>
      </c>
      <c r="Y219" s="150">
        <f>IS!$Z$533/100000000</f>
        <v>-641.94985498999995</v>
      </c>
      <c r="Z219" s="150">
        <f>IS!$AA$533/100000000</f>
        <v>-1630.40466788</v>
      </c>
      <c r="AA219" s="150">
        <f>IS!$AB$533/100000000</f>
        <v>-129.43094454000001</v>
      </c>
      <c r="AB219" s="150">
        <f>IS!$AC$533/100000000</f>
        <v>602.57997196999997</v>
      </c>
      <c r="AC219" s="150">
        <f>IS!$AD$533/100000000</f>
        <v>1165.0221001800001</v>
      </c>
      <c r="AD219" s="150">
        <f>IS!$AE$533/100000000</f>
        <v>2234.0578824999998</v>
      </c>
      <c r="AE219" s="150">
        <f>IS!$AF$533/100000000</f>
        <v>1158.8174361199999</v>
      </c>
      <c r="AF219" s="150">
        <f>IS!$AG$533/100000000</f>
        <v>2414.9645831600001</v>
      </c>
      <c r="AG219" s="150">
        <f>IS!$AH$533/100000000</f>
        <v>3666.7120522999999</v>
      </c>
    </row>
    <row r="220" spans="2:33">
      <c r="B220" s="119"/>
      <c r="C220" s="119"/>
      <c r="D220" s="119"/>
      <c r="E220" s="119"/>
      <c r="F220" s="119"/>
      <c r="H220" s="110" t="s">
        <v>870</v>
      </c>
      <c r="I220" s="124"/>
      <c r="J220" s="150">
        <f>IS!D$552/100000000</f>
        <v>-449.08465471</v>
      </c>
      <c r="K220" s="150">
        <f>IS!H$552/100000000</f>
        <v>948.18148747999999</v>
      </c>
      <c r="L220" s="150">
        <f>IS!K$552/100000000</f>
        <v>711.16426347000004</v>
      </c>
      <c r="M220" s="150">
        <f>IS!O$552/100000000</f>
        <v>139.3061932</v>
      </c>
      <c r="N220" s="150">
        <f>IS!S$552/100000000</f>
        <v>-3925.9539900999998</v>
      </c>
      <c r="O220" s="125">
        <f t="shared" si="248"/>
        <v>2809.7415915000001</v>
      </c>
      <c r="P220" s="125">
        <f t="shared" si="249"/>
        <v>9349.7933939100003</v>
      </c>
      <c r="Q220" s="125">
        <f t="shared" si="250"/>
        <v>-1744.98027185</v>
      </c>
      <c r="R220" s="125">
        <f t="shared" si="251"/>
        <v>9003.4296417599999</v>
      </c>
      <c r="S220" s="124"/>
      <c r="T220" s="124"/>
      <c r="U220" s="124"/>
      <c r="V220" s="150">
        <f>IS!$W$552/100000000</f>
        <v>2809.7415915000001</v>
      </c>
      <c r="W220" s="150">
        <f>IS!$X$552/100000000</f>
        <v>4589.2081163100002</v>
      </c>
      <c r="X220" s="150">
        <f>IS!$Y$552/100000000</f>
        <v>5930.7367237099998</v>
      </c>
      <c r="Y220" s="150">
        <f>IS!$Z$552/100000000</f>
        <v>6762.89571626</v>
      </c>
      <c r="Z220" s="150">
        <f>IS!$AA$552/100000000</f>
        <v>9349.7933939100003</v>
      </c>
      <c r="AA220" s="150">
        <f>IS!$AB$552/100000000</f>
        <v>372.42002192000001</v>
      </c>
      <c r="AB220" s="150">
        <f>IS!$AC$552/100000000</f>
        <v>175.64546863999999</v>
      </c>
      <c r="AC220" s="150">
        <f>IS!$AD$552/100000000</f>
        <v>465.24364908000001</v>
      </c>
      <c r="AD220" s="150">
        <f>IS!$AE$552/100000000</f>
        <v>-1744.98027185</v>
      </c>
      <c r="AE220" s="150">
        <f>IS!$AF$552/100000000</f>
        <v>6472.6668777799996</v>
      </c>
      <c r="AF220" s="150">
        <f>IS!$AG$552/100000000</f>
        <v>7812.3035048700003</v>
      </c>
      <c r="AG220" s="150">
        <f>IS!$AH$552/100000000</f>
        <v>9003.4296417599999</v>
      </c>
    </row>
    <row r="221" spans="2:33">
      <c r="B221" s="119"/>
      <c r="C221" s="119"/>
      <c r="D221" s="119"/>
      <c r="E221" s="119"/>
      <c r="F221" s="119"/>
      <c r="H221" s="110" t="s">
        <v>4</v>
      </c>
      <c r="I221" s="124"/>
      <c r="J221" s="150">
        <f>IS!D$565/100000000</f>
        <v>-225.80047001</v>
      </c>
      <c r="K221" s="150">
        <f>IS!H$565/100000000</f>
        <v>-194.46866621999999</v>
      </c>
      <c r="L221" s="150">
        <f>IS!K$565/100000000</f>
        <v>-65.030829920000002</v>
      </c>
      <c r="M221" s="150">
        <f>IS!O$565/100000000</f>
        <v>11.138388300000001</v>
      </c>
      <c r="N221" s="150">
        <f>IS!S$565/100000000</f>
        <v>-16.45756154</v>
      </c>
      <c r="O221" s="125">
        <f t="shared" si="248"/>
        <v>-359.50010902999998</v>
      </c>
      <c r="P221" s="125">
        <f t="shared" si="249"/>
        <v>221.39181078999999</v>
      </c>
      <c r="Q221" s="125">
        <f t="shared" si="250"/>
        <v>147.74107476</v>
      </c>
      <c r="R221" s="125">
        <f t="shared" si="251"/>
        <v>248.71030139000001</v>
      </c>
      <c r="S221" s="124"/>
      <c r="T221" s="124"/>
      <c r="U221" s="124"/>
      <c r="V221" s="150">
        <f>IS!$W$565/100000000</f>
        <v>-359.50010902999998</v>
      </c>
      <c r="W221" s="150">
        <f>IS!$X$565/100000000</f>
        <v>38.441674759999998</v>
      </c>
      <c r="X221" s="150">
        <f>IS!$Y$565/100000000</f>
        <v>142.40238059000001</v>
      </c>
      <c r="Y221" s="150">
        <f>IS!$Z$565/100000000</f>
        <v>218.59810300000001</v>
      </c>
      <c r="Z221" s="150">
        <f>IS!$AA$565/100000000</f>
        <v>221.39181078999999</v>
      </c>
      <c r="AA221" s="150">
        <f>IS!$AB$565/100000000</f>
        <v>35.34250754</v>
      </c>
      <c r="AB221" s="150">
        <f>IS!$AC$565/100000000</f>
        <v>66.803177750000003</v>
      </c>
      <c r="AC221" s="150">
        <f>IS!$AD$565/100000000</f>
        <v>81.125890929999997</v>
      </c>
      <c r="AD221" s="150">
        <f>IS!$AE$565/100000000</f>
        <v>147.74107476</v>
      </c>
      <c r="AE221" s="150">
        <f>IS!$AF$565/100000000</f>
        <v>64.301456329999993</v>
      </c>
      <c r="AF221" s="150">
        <f>IS!$AG$565/100000000</f>
        <v>132.06381450000001</v>
      </c>
      <c r="AG221" s="150">
        <f>IS!$AH$565/100000000</f>
        <v>248.71030139000001</v>
      </c>
    </row>
    <row r="222" spans="2:33">
      <c r="B222" s="119"/>
      <c r="C222" s="119"/>
      <c r="D222" s="119"/>
      <c r="E222" s="119"/>
      <c r="F222" s="119"/>
      <c r="H222" s="110" t="s">
        <v>543</v>
      </c>
      <c r="I222" s="124"/>
      <c r="J222" s="162">
        <f>J211+J212+J215+J216+J217+J221</f>
        <v>7529.0863527499996</v>
      </c>
      <c r="K222" s="162">
        <f>K211+K212+K215+K216+K217+K221</f>
        <v>6802.6105963199998</v>
      </c>
      <c r="L222" s="162">
        <f>L211+L212+L215+L216+L217+L221</f>
        <v>4074.1709232600001</v>
      </c>
      <c r="M222" s="162">
        <f>M211+M212+M215+M216+M217+M221</f>
        <v>7156.9628224400003</v>
      </c>
      <c r="N222" s="162">
        <f>N211+N212+N215+N216+N217+N221</f>
        <v>7968.6610414700017</v>
      </c>
      <c r="O222" s="125">
        <f t="shared" si="248"/>
        <v>7658.8829083600003</v>
      </c>
      <c r="P222" s="125">
        <f t="shared" si="249"/>
        <v>11381.57817728</v>
      </c>
      <c r="Q222" s="125">
        <f t="shared" si="250"/>
        <v>12812.620863120001</v>
      </c>
      <c r="R222" s="125">
        <f t="shared" si="251"/>
        <v>12127.96953418</v>
      </c>
      <c r="S222" s="58"/>
      <c r="T222" s="58"/>
      <c r="U222" s="58"/>
      <c r="V222" s="162">
        <f t="shared" ref="V222:AB222" si="252">V211+V212+V215+V216+V217+V221</f>
        <v>7658.8829083600003</v>
      </c>
      <c r="W222" s="162">
        <f t="shared" si="252"/>
        <v>2996.6966786099997</v>
      </c>
      <c r="X222" s="162">
        <f t="shared" ref="X222:Y222" si="253">X211+X212+X215+X216+X217+X221</f>
        <v>5897.66615353</v>
      </c>
      <c r="Y222" s="162">
        <f t="shared" si="253"/>
        <v>8610.5091295700004</v>
      </c>
      <c r="Z222" s="162">
        <f t="shared" si="252"/>
        <v>11381.57817728</v>
      </c>
      <c r="AA222" s="162">
        <f t="shared" si="252"/>
        <v>3781.3023553500002</v>
      </c>
      <c r="AB222" s="162">
        <f t="shared" si="252"/>
        <v>6976.4028234400002</v>
      </c>
      <c r="AC222" s="162">
        <f t="shared" ref="AC222:AD222" si="254">AC211+AC212+AC215+AC216+AC217+AC221</f>
        <v>9952.9432555900003</v>
      </c>
      <c r="AD222" s="162">
        <f t="shared" si="254"/>
        <v>12812.620863120001</v>
      </c>
      <c r="AE222" s="162">
        <f t="shared" ref="AE222:AF222" si="255">AE211+AE212+AE215+AE216+AE217+AE221</f>
        <v>4677.9029707700001</v>
      </c>
      <c r="AF222" s="162">
        <f t="shared" si="255"/>
        <v>8892.3902427999983</v>
      </c>
      <c r="AG222" s="162">
        <f t="shared" ref="AG222" si="256">AG211+AG212+AG215+AG216+AG217+AG221</f>
        <v>12127.96953418</v>
      </c>
    </row>
    <row r="223" spans="2:33">
      <c r="B223" s="119"/>
      <c r="C223" s="119"/>
      <c r="D223" s="119"/>
      <c r="E223" s="119"/>
      <c r="F223" s="119"/>
      <c r="H223" s="1491" t="s">
        <v>2639</v>
      </c>
      <c r="I223" s="124"/>
      <c r="J223" s="162">
        <f>J233+J224</f>
        <v>7560.2110810200002</v>
      </c>
      <c r="K223" s="162">
        <f t="shared" ref="K223:N223" si="257">K233+K224</f>
        <v>6731.0883678099999</v>
      </c>
      <c r="L223" s="162">
        <f t="shared" si="257"/>
        <v>3912.1830975400003</v>
      </c>
      <c r="M223" s="162">
        <f t="shared" si="257"/>
        <v>7196.5483918499995</v>
      </c>
      <c r="N223" s="162">
        <f t="shared" si="257"/>
        <v>7950.3832798900003</v>
      </c>
      <c r="O223" s="125">
        <f t="shared" ref="O223" si="258">V223</f>
        <v>7652.8588459399998</v>
      </c>
      <c r="P223" s="125">
        <f t="shared" ref="P223" si="259">Z223</f>
        <v>11359.219142369999</v>
      </c>
      <c r="Q223" s="125">
        <f t="shared" ref="Q223" si="260">AD223</f>
        <v>12677.919887399999</v>
      </c>
      <c r="R223" s="125">
        <f t="shared" si="251"/>
        <v>12014.0434981</v>
      </c>
      <c r="S223" s="58"/>
      <c r="T223" s="58"/>
      <c r="U223" s="58"/>
      <c r="V223" s="162">
        <f t="shared" ref="V223:AF223" si="261">V233+V224</f>
        <v>7652.8588459399998</v>
      </c>
      <c r="W223" s="162">
        <f t="shared" si="261"/>
        <v>2996.2234550799999</v>
      </c>
      <c r="X223" s="162">
        <f t="shared" si="261"/>
        <v>5891.0877866699993</v>
      </c>
      <c r="Y223" s="162">
        <f t="shared" si="261"/>
        <v>8607.717216680001</v>
      </c>
      <c r="Z223" s="162">
        <f t="shared" si="261"/>
        <v>11359.219142369999</v>
      </c>
      <c r="AA223" s="162">
        <f t="shared" si="261"/>
        <v>3651.0366590000003</v>
      </c>
      <c r="AB223" s="162">
        <f t="shared" si="261"/>
        <v>6852.5695993400004</v>
      </c>
      <c r="AC223" s="162">
        <f t="shared" si="261"/>
        <v>9815.3129592599998</v>
      </c>
      <c r="AD223" s="162">
        <f t="shared" si="261"/>
        <v>12677.919887399999</v>
      </c>
      <c r="AE223" s="162">
        <f t="shared" si="261"/>
        <v>4640.18668652</v>
      </c>
      <c r="AF223" s="162">
        <f t="shared" si="261"/>
        <v>8855.6986772</v>
      </c>
      <c r="AG223" s="162">
        <f t="shared" ref="AG223" si="262">AG233+AG224</f>
        <v>12014.0434981</v>
      </c>
    </row>
    <row r="224" spans="2:33">
      <c r="B224" s="119"/>
      <c r="C224" s="119"/>
      <c r="D224" s="119"/>
      <c r="E224" s="119"/>
      <c r="F224" s="119"/>
      <c r="H224" s="110" t="s">
        <v>24</v>
      </c>
      <c r="I224" s="124"/>
      <c r="J224" s="150">
        <f>IS!D$324/100000000</f>
        <v>4871.71925904</v>
      </c>
      <c r="K224" s="150">
        <f>IS!H$324/100000000</f>
        <v>4636.0851017900004</v>
      </c>
      <c r="L224" s="150">
        <f>IS!K$324/100000000</f>
        <v>2995.7843909100002</v>
      </c>
      <c r="M224" s="150">
        <f>IS!O$324/100000000</f>
        <v>4233.35168187</v>
      </c>
      <c r="N224" s="150">
        <f>IS!S$324/100000000</f>
        <v>4805.9484021899998</v>
      </c>
      <c r="O224" s="125">
        <f t="shared" ref="O224:O230" si="263">V224</f>
        <v>4654.7521734499996</v>
      </c>
      <c r="P224" s="125">
        <f t="shared" ref="P224:P230" si="264">Z224</f>
        <v>5324.6601187799997</v>
      </c>
      <c r="Q224" s="125">
        <f t="shared" ref="Q224:Q230" si="265">AD224</f>
        <v>5971.4718922100001</v>
      </c>
      <c r="R224" s="125">
        <f t="shared" si="251"/>
        <v>4967.3284612699999</v>
      </c>
      <c r="S224" s="124"/>
      <c r="T224" s="124"/>
      <c r="U224" s="124"/>
      <c r="V224" s="150">
        <f>IS!$W$324/100000000</f>
        <v>4654.7521734499996</v>
      </c>
      <c r="W224" s="150">
        <f>IS!$X$324/100000000</f>
        <v>1243.0055883299999</v>
      </c>
      <c r="X224" s="150">
        <f>IS!$Y$324/100000000</f>
        <v>2501.70458663</v>
      </c>
      <c r="Y224" s="150">
        <f>IS!$Z$324/100000000</f>
        <v>3791.9620727000001</v>
      </c>
      <c r="Z224" s="150">
        <f>IS!$AA$324/100000000</f>
        <v>5324.6601187799997</v>
      </c>
      <c r="AA224" s="150">
        <f>IS!$AB$324/100000000</f>
        <v>1543.9695111799999</v>
      </c>
      <c r="AB224" s="150">
        <f>IS!$AC$324/100000000</f>
        <v>3051.9422882499998</v>
      </c>
      <c r="AC224" s="150">
        <f>IS!$AD$324/100000000</f>
        <v>4401.01807302</v>
      </c>
      <c r="AD224" s="150">
        <f>IS!$AE$324/100000000</f>
        <v>5971.4718922100001</v>
      </c>
      <c r="AE224" s="150">
        <f>IS!$AF$324/100000000</f>
        <v>1558.2044474300001</v>
      </c>
      <c r="AF224" s="150">
        <f>IS!$AG$324/100000000</f>
        <v>3371.0761523599999</v>
      </c>
      <c r="AG224" s="150">
        <f>IS!$AH$324/100000000</f>
        <v>4967.3284612699999</v>
      </c>
    </row>
    <row r="225" spans="2:33">
      <c r="B225" s="119"/>
      <c r="C225" s="119"/>
      <c r="D225" s="119"/>
      <c r="E225" s="119"/>
      <c r="F225" s="119"/>
      <c r="H225" s="110" t="s">
        <v>649</v>
      </c>
      <c r="I225" s="124"/>
      <c r="J225" s="125">
        <f t="shared" ref="J225:M225" si="266">J226+J227+J228</f>
        <v>2904.2504856800001</v>
      </c>
      <c r="K225" s="125">
        <f t="shared" si="266"/>
        <v>2757.6871109000003</v>
      </c>
      <c r="L225" s="125">
        <f t="shared" si="266"/>
        <v>1682.1903052599998</v>
      </c>
      <c r="M225" s="125">
        <f t="shared" si="266"/>
        <v>2587.83077753</v>
      </c>
      <c r="N225" s="125">
        <f t="shared" ref="N225" si="267">N226+N227+N228</f>
        <v>3054.1487946699999</v>
      </c>
      <c r="O225" s="125">
        <f t="shared" si="263"/>
        <v>2941.5982815299999</v>
      </c>
      <c r="P225" s="125">
        <f t="shared" si="264"/>
        <v>3565.2855624399999</v>
      </c>
      <c r="Q225" s="125">
        <f t="shared" si="265"/>
        <v>4004.40355344</v>
      </c>
      <c r="R225" s="125">
        <f t="shared" si="251"/>
        <v>3263.2856076100002</v>
      </c>
      <c r="S225" s="124"/>
      <c r="T225" s="124"/>
      <c r="U225" s="124"/>
      <c r="V225" s="125">
        <f t="shared" ref="V225" si="268">V226+V227+V228</f>
        <v>2941.5982815299999</v>
      </c>
      <c r="W225" s="125">
        <f t="shared" ref="W225:X225" si="269">W226+W227+W228</f>
        <v>790.05237456999998</v>
      </c>
      <c r="X225" s="125">
        <f t="shared" si="269"/>
        <v>1634.92982525</v>
      </c>
      <c r="Y225" s="125">
        <f t="shared" ref="Y225" si="270">Y226+Y227+Y228</f>
        <v>2497.9711653499999</v>
      </c>
      <c r="Z225" s="125">
        <f t="shared" ref="Z225:AA225" si="271">Z226+Z227+Z228</f>
        <v>3565.2855624399999</v>
      </c>
      <c r="AA225" s="125">
        <f t="shared" si="271"/>
        <v>1030.1261227699999</v>
      </c>
      <c r="AB225" s="125">
        <f t="shared" ref="AB225:AC225" si="272">AB226+AB227+AB228</f>
        <v>2060.70592575</v>
      </c>
      <c r="AC225" s="125">
        <f t="shared" si="272"/>
        <v>2959.7001654400001</v>
      </c>
      <c r="AD225" s="125">
        <f t="shared" ref="AD225:AE225" si="273">AD226+AD227+AD228</f>
        <v>4004.40355344</v>
      </c>
      <c r="AE225" s="125">
        <f t="shared" si="273"/>
        <v>1005.35952539</v>
      </c>
      <c r="AF225" s="125">
        <f t="shared" ref="AF225:AG225" si="274">AF226+AF227+AF228</f>
        <v>2176.8885887399997</v>
      </c>
      <c r="AG225" s="125">
        <f t="shared" si="274"/>
        <v>3263.2856076100002</v>
      </c>
    </row>
    <row r="226" spans="2:33">
      <c r="B226" s="119"/>
      <c r="C226" s="119"/>
      <c r="D226" s="119"/>
      <c r="E226" s="119"/>
      <c r="F226" s="119"/>
      <c r="H226" s="110" t="s">
        <v>646</v>
      </c>
      <c r="I226" s="124"/>
      <c r="J226" s="150">
        <f>IS!D$325/100000000</f>
        <v>2502.4449478800002</v>
      </c>
      <c r="K226" s="150">
        <f>IS!H$325/100000000</f>
        <v>2305.2154032100002</v>
      </c>
      <c r="L226" s="150">
        <f>IS!K$325/100000000</f>
        <v>1327.5234117099999</v>
      </c>
      <c r="M226" s="150">
        <f>IS!O$325/100000000</f>
        <v>2141.02728032</v>
      </c>
      <c r="N226" s="150">
        <f>IS!S$325/100000000</f>
        <v>2616.3123051799998</v>
      </c>
      <c r="O226" s="125">
        <f t="shared" si="263"/>
        <v>2431.2125362299998</v>
      </c>
      <c r="P226" s="125">
        <f t="shared" si="264"/>
        <v>3026.29876212</v>
      </c>
      <c r="Q226" s="125">
        <f t="shared" si="265"/>
        <v>3372.6326466800001</v>
      </c>
      <c r="R226" s="125">
        <f t="shared" si="251"/>
        <v>2683.6780934100002</v>
      </c>
      <c r="S226" s="124"/>
      <c r="T226" s="124"/>
      <c r="U226" s="124"/>
      <c r="V226" s="150">
        <f>IS!$W$325/100000000</f>
        <v>2431.2125362299998</v>
      </c>
      <c r="W226" s="150">
        <f>IS!$X$325/100000000</f>
        <v>649.45339450999995</v>
      </c>
      <c r="X226" s="150">
        <f>IS!$Y$325/100000000</f>
        <v>1356.7516063</v>
      </c>
      <c r="Y226" s="150">
        <f>IS!$Z$325/100000000</f>
        <v>2090.9720491399999</v>
      </c>
      <c r="Z226" s="150">
        <f>IS!$AA$325/100000000</f>
        <v>3026.29876212</v>
      </c>
      <c r="AA226" s="150">
        <f>IS!$AB$325/100000000</f>
        <v>889.43910688000005</v>
      </c>
      <c r="AB226" s="150">
        <f>IS!$AC$325/100000000</f>
        <v>1698.9879785799999</v>
      </c>
      <c r="AC226" s="150">
        <f>IS!$AD$325/100000000</f>
        <v>2465.9151081800001</v>
      </c>
      <c r="AD226" s="150">
        <f>IS!$AE$325/100000000</f>
        <v>3372.6326466800001</v>
      </c>
      <c r="AE226" s="150">
        <f>IS!$AF$325/100000000</f>
        <v>851.48983599999997</v>
      </c>
      <c r="AF226" s="150">
        <f>IS!$AG$325/100000000</f>
        <v>1749.1082099099999</v>
      </c>
      <c r="AG226" s="150">
        <f>IS!$AH$325/100000000</f>
        <v>2683.6780934100002</v>
      </c>
    </row>
    <row r="227" spans="2:33">
      <c r="B227" s="119"/>
      <c r="C227" s="119"/>
      <c r="D227" s="119"/>
      <c r="E227" s="119"/>
      <c r="F227" s="119"/>
      <c r="H227" s="110" t="s">
        <v>647</v>
      </c>
      <c r="I227" s="124"/>
      <c r="J227" s="150">
        <f>IS!D$566/100000000</f>
        <v>169.25575394000001</v>
      </c>
      <c r="K227" s="150">
        <f>IS!H$566/100000000</f>
        <v>187.63979301000001</v>
      </c>
      <c r="L227" s="150">
        <f>IS!K$566/100000000</f>
        <v>142.62150516</v>
      </c>
      <c r="M227" s="150">
        <f>IS!O$566/100000000</f>
        <v>175.29546207999999</v>
      </c>
      <c r="N227" s="150">
        <f>IS!S$566/100000000</f>
        <v>168.47235373000001</v>
      </c>
      <c r="O227" s="125">
        <f t="shared" si="263"/>
        <v>179.36016107</v>
      </c>
      <c r="P227" s="125">
        <f t="shared" si="264"/>
        <v>179.94571783000001</v>
      </c>
      <c r="Q227" s="125">
        <f t="shared" si="265"/>
        <v>262.71176750000001</v>
      </c>
      <c r="R227" s="125">
        <f t="shared" si="251"/>
        <v>244.09281211999999</v>
      </c>
      <c r="S227" s="124"/>
      <c r="T227" s="124"/>
      <c r="U227" s="124"/>
      <c r="V227" s="150">
        <f>IS!$W$566/100000000</f>
        <v>179.36016107</v>
      </c>
      <c r="W227" s="150">
        <f>IS!$X$566/100000000</f>
        <v>47.587213509999998</v>
      </c>
      <c r="X227" s="150">
        <f>IS!$Y$566/100000000</f>
        <v>89.604323609999994</v>
      </c>
      <c r="Y227" s="150">
        <f>IS!$Z$566/100000000</f>
        <v>131.54909547</v>
      </c>
      <c r="Z227" s="150">
        <f>IS!$AA$566/100000000</f>
        <v>179.94571783000001</v>
      </c>
      <c r="AA227" s="150">
        <f>IS!$AB$566/100000000</f>
        <v>46.088893249999998</v>
      </c>
      <c r="AB227" s="150">
        <f>IS!$AC$566/100000000</f>
        <v>169.67364861999999</v>
      </c>
      <c r="AC227" s="150">
        <f>IS!$AD$566/100000000</f>
        <v>213.10266995000001</v>
      </c>
      <c r="AD227" s="150">
        <f>IS!$AE$566/100000000</f>
        <v>262.71176750000001</v>
      </c>
      <c r="AE227" s="150">
        <f>IS!$AF$566/100000000</f>
        <v>53.660797350000003</v>
      </c>
      <c r="AF227" s="150">
        <f>IS!$AG$566/100000000</f>
        <v>197.74414849999999</v>
      </c>
      <c r="AG227" s="150">
        <f>IS!$AH$566/100000000</f>
        <v>244.09281211999999</v>
      </c>
    </row>
    <row r="228" spans="2:33">
      <c r="B228" s="119"/>
      <c r="C228" s="119"/>
      <c r="D228" s="119"/>
      <c r="E228" s="119"/>
      <c r="F228" s="119"/>
      <c r="H228" s="110" t="s">
        <v>648</v>
      </c>
      <c r="I228" s="124"/>
      <c r="J228" s="150">
        <f>IS!D$336/100000000</f>
        <v>232.54978385999999</v>
      </c>
      <c r="K228" s="150">
        <f>IS!H$336/100000000</f>
        <v>264.83191468000001</v>
      </c>
      <c r="L228" s="150">
        <f>IS!K$336/100000000</f>
        <v>212.04538839</v>
      </c>
      <c r="M228" s="150">
        <f>IS!O$336/100000000</f>
        <v>271.50803513</v>
      </c>
      <c r="N228" s="150">
        <f>IS!S$336/100000000</f>
        <v>269.36413576000001</v>
      </c>
      <c r="O228" s="125">
        <f t="shared" si="263"/>
        <v>331.02558422999999</v>
      </c>
      <c r="P228" s="125">
        <f t="shared" si="264"/>
        <v>359.04108249000001</v>
      </c>
      <c r="Q228" s="125">
        <f t="shared" si="265"/>
        <v>369.05913925999999</v>
      </c>
      <c r="R228" s="125">
        <f t="shared" si="251"/>
        <v>335.51470208000001</v>
      </c>
      <c r="S228" s="124"/>
      <c r="T228" s="124"/>
      <c r="U228" s="124"/>
      <c r="V228" s="150">
        <f>IS!$W$336/100000000</f>
        <v>331.02558422999999</v>
      </c>
      <c r="W228" s="150">
        <f>IS!$X$336/100000000</f>
        <v>93.011766550000004</v>
      </c>
      <c r="X228" s="150">
        <f>IS!$Y$336/100000000</f>
        <v>188.57389534000001</v>
      </c>
      <c r="Y228" s="150">
        <f>IS!$Z$336/100000000</f>
        <v>275.45002074000001</v>
      </c>
      <c r="Z228" s="150">
        <f>IS!$AA$336/100000000</f>
        <v>359.04108249000001</v>
      </c>
      <c r="AA228" s="150">
        <f>IS!$AB$336/100000000</f>
        <v>94.59812264</v>
      </c>
      <c r="AB228" s="150">
        <f>IS!$AC$336/100000000</f>
        <v>192.04429855000001</v>
      </c>
      <c r="AC228" s="150">
        <f>IS!$AD$336/100000000</f>
        <v>280.68238731000002</v>
      </c>
      <c r="AD228" s="150">
        <f>IS!$AE$336/100000000</f>
        <v>369.05913925999999</v>
      </c>
      <c r="AE228" s="150">
        <f>IS!$AF$336/100000000</f>
        <v>100.20889203999999</v>
      </c>
      <c r="AF228" s="150">
        <f>IS!$AG$336/100000000</f>
        <v>230.03623033</v>
      </c>
      <c r="AG228" s="150">
        <f>IS!$AH$336/100000000</f>
        <v>335.51470208000001</v>
      </c>
    </row>
    <row r="229" spans="2:33">
      <c r="B229" s="119"/>
      <c r="C229" s="119"/>
      <c r="D229" s="119"/>
      <c r="E229" s="119"/>
      <c r="F229" s="119"/>
      <c r="H229" s="110" t="s">
        <v>652</v>
      </c>
      <c r="I229" s="124"/>
      <c r="J229" s="150">
        <f>IS!D$337/100000000</f>
        <v>457.52429913999998</v>
      </c>
      <c r="K229" s="150">
        <f>IS!H$337/100000000</f>
        <v>442.94661933999998</v>
      </c>
      <c r="L229" s="150">
        <f>IS!K$337/100000000</f>
        <v>251.21617788</v>
      </c>
      <c r="M229" s="150">
        <f>IS!O$337/100000000</f>
        <v>312.30863717</v>
      </c>
      <c r="N229" s="150">
        <f>IS!S$337/100000000</f>
        <v>310.10921654999999</v>
      </c>
      <c r="O229" s="125">
        <f t="shared" si="263"/>
        <v>323.31756281999998</v>
      </c>
      <c r="P229" s="125">
        <f t="shared" si="264"/>
        <v>325.12003984</v>
      </c>
      <c r="Q229" s="125">
        <f t="shared" si="265"/>
        <v>335.00911675999998</v>
      </c>
      <c r="R229" s="125">
        <f t="shared" si="251"/>
        <v>135.52779422</v>
      </c>
      <c r="S229" s="124"/>
      <c r="T229" s="124"/>
      <c r="U229" s="124"/>
      <c r="V229" s="150">
        <f>IS!$W$337/100000000</f>
        <v>323.31756281999998</v>
      </c>
      <c r="W229" s="150">
        <f>IS!$X$337/100000000</f>
        <v>85.083910750000001</v>
      </c>
      <c r="X229" s="150">
        <f>IS!$Y$337/100000000</f>
        <v>162.98546415999999</v>
      </c>
      <c r="Y229" s="150">
        <f>IS!$Z$337/100000000</f>
        <v>245.13155606999999</v>
      </c>
      <c r="Z229" s="150">
        <f>IS!$AA$337/100000000</f>
        <v>325.12003984</v>
      </c>
      <c r="AA229" s="150">
        <f>IS!$AB$337/100000000</f>
        <v>87.44319668</v>
      </c>
      <c r="AB229" s="150">
        <f>IS!$AC$337/100000000</f>
        <v>165.92738048000001</v>
      </c>
      <c r="AC229" s="150">
        <f>IS!$AD$337/100000000</f>
        <v>251.94472888000001</v>
      </c>
      <c r="AD229" s="150">
        <f>IS!$AE$337/100000000</f>
        <v>335.00911675999998</v>
      </c>
      <c r="AE229" s="150">
        <f>IS!$AF$337/100000000</f>
        <v>41.476618610000003</v>
      </c>
      <c r="AF229" s="150">
        <f>IS!$AG$337/100000000</f>
        <v>83.334942049999995</v>
      </c>
      <c r="AG229" s="150">
        <f>IS!$AH$337/100000000</f>
        <v>135.52779422</v>
      </c>
    </row>
    <row r="230" spans="2:33">
      <c r="B230" s="119"/>
      <c r="C230" s="119"/>
      <c r="D230" s="119"/>
      <c r="E230" s="119"/>
      <c r="F230" s="119"/>
      <c r="H230" s="110" t="s">
        <v>653</v>
      </c>
      <c r="I230" s="124"/>
      <c r="J230" s="150">
        <f>IS!D$339/100000000</f>
        <v>74.130458160000003</v>
      </c>
      <c r="K230" s="150">
        <f>IS!H$339/100000000</f>
        <v>66.491405220000004</v>
      </c>
      <c r="L230" s="150">
        <f>IS!K$339/100000000</f>
        <v>54.257283149999999</v>
      </c>
      <c r="M230" s="150">
        <f>IS!O$339/100000000</f>
        <v>84.043321919999997</v>
      </c>
      <c r="N230" s="150">
        <f>IS!S$339/100000000</f>
        <v>107.42123435000001</v>
      </c>
      <c r="O230" s="125">
        <f t="shared" si="263"/>
        <v>110.76344917999999</v>
      </c>
      <c r="P230" s="125">
        <f t="shared" si="264"/>
        <v>138.3766751</v>
      </c>
      <c r="Q230" s="125">
        <f t="shared" si="265"/>
        <v>181.03645974</v>
      </c>
      <c r="R230" s="125">
        <f t="shared" si="251"/>
        <v>143.54319305000001</v>
      </c>
      <c r="S230" s="124"/>
      <c r="T230" s="124"/>
      <c r="U230" s="124"/>
      <c r="V230" s="150">
        <f>IS!$W$339/100000000</f>
        <v>110.76344917999999</v>
      </c>
      <c r="W230" s="150">
        <f>IS!$X$339/100000000</f>
        <v>29.06925038</v>
      </c>
      <c r="X230" s="150">
        <f>IS!$Y$339/100000000</f>
        <v>66.162082510000005</v>
      </c>
      <c r="Y230" s="150">
        <f>IS!$Z$339/100000000</f>
        <v>102.80549951</v>
      </c>
      <c r="Z230" s="150">
        <f>IS!$AA$339/100000000</f>
        <v>138.3766751</v>
      </c>
      <c r="AA230" s="150">
        <f>IS!$AB$339/100000000</f>
        <v>35.646924120000001</v>
      </c>
      <c r="AB230" s="150">
        <f>IS!$AC$339/100000000</f>
        <v>76.854841759999999</v>
      </c>
      <c r="AC230" s="150">
        <f>IS!$AD$339/100000000</f>
        <v>108.5468978</v>
      </c>
      <c r="AD230" s="150">
        <f>IS!$AE$339/100000000</f>
        <v>181.03645974</v>
      </c>
      <c r="AE230" s="150">
        <f>IS!$AF$339/100000000</f>
        <v>34.550223670000001</v>
      </c>
      <c r="AF230" s="150">
        <f>IS!$AG$339/100000000</f>
        <v>96.260779400000004</v>
      </c>
      <c r="AG230" s="150">
        <f>IS!$AH$339/100000000</f>
        <v>143.54319305000001</v>
      </c>
    </row>
    <row r="231" spans="2:33">
      <c r="B231" s="119"/>
      <c r="C231" s="119"/>
      <c r="D231" s="119"/>
      <c r="E231" s="119"/>
      <c r="F231" s="119"/>
      <c r="I231" s="124"/>
      <c r="J231" s="150"/>
      <c r="K231" s="150"/>
      <c r="L231" s="150"/>
      <c r="M231" s="150"/>
      <c r="N231" s="150"/>
      <c r="O231" s="150"/>
      <c r="P231" s="150"/>
      <c r="Q231" s="150"/>
      <c r="R231" s="150"/>
      <c r="S231" s="124"/>
      <c r="T231" s="124"/>
      <c r="U231" s="124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</row>
    <row r="232" spans="2:33">
      <c r="B232" s="119"/>
      <c r="C232" s="119"/>
      <c r="D232" s="119"/>
      <c r="E232" s="119"/>
      <c r="F232" s="119"/>
      <c r="H232" s="110" t="s">
        <v>550</v>
      </c>
      <c r="I232" s="124"/>
      <c r="J232" s="150">
        <f>IS!D$577/100000000</f>
        <v>31.124728269999999</v>
      </c>
      <c r="K232" s="150">
        <f>IS!H$577/100000000</f>
        <v>-71.522228510000005</v>
      </c>
      <c r="L232" s="150">
        <f>IS!K$577/100000000</f>
        <v>-161.98782571999999</v>
      </c>
      <c r="M232" s="150">
        <f>IS!O$577/100000000</f>
        <v>39.585569409999998</v>
      </c>
      <c r="N232" s="150">
        <f>IS!S$577/100000000</f>
        <v>-18.27776158</v>
      </c>
      <c r="O232" s="125">
        <f t="shared" ref="O232:O234" si="275">V232</f>
        <v>-6.0240624199999999</v>
      </c>
      <c r="P232" s="125">
        <f>Z232</f>
        <v>-22.359034909999998</v>
      </c>
      <c r="Q232" s="125">
        <f t="shared" ref="Q232:Q234" si="276">AD232</f>
        <v>-134.70097572</v>
      </c>
      <c r="R232" s="125">
        <f>AG232</f>
        <v>-113.92603608</v>
      </c>
      <c r="S232" s="124"/>
      <c r="T232" s="124"/>
      <c r="U232" s="124"/>
      <c r="V232" s="150">
        <f>IS!$W$577/100000000</f>
        <v>-6.0240624199999999</v>
      </c>
      <c r="W232" s="150">
        <f>IS!$X$577/100000000</f>
        <v>-0.47322353</v>
      </c>
      <c r="X232" s="150">
        <f>IS!$Y$577/100000000</f>
        <v>-6.57836686</v>
      </c>
      <c r="Y232" s="150">
        <f>IS!$Z$577/100000000</f>
        <v>-2.7919128899999999</v>
      </c>
      <c r="Z232" s="150">
        <f>IS!$AA$577/100000000</f>
        <v>-22.359034909999998</v>
      </c>
      <c r="AA232" s="150">
        <f>IS!$AB$577/100000000</f>
        <v>-130.26569635000001</v>
      </c>
      <c r="AB232" s="150">
        <f>IS!$AC$577/100000000</f>
        <v>-123.8332241</v>
      </c>
      <c r="AC232" s="150">
        <f>IS!$AD$577/100000000</f>
        <v>-137.63029632999999</v>
      </c>
      <c r="AD232" s="150">
        <f>IS!$AE$577/100000000</f>
        <v>-134.70097572</v>
      </c>
      <c r="AE232" s="150">
        <f>IS!$AF$577/100000000</f>
        <v>-37.716284250000001</v>
      </c>
      <c r="AF232" s="150">
        <f>IS!$AG$577/100000000</f>
        <v>-36.691565599999997</v>
      </c>
      <c r="AG232" s="150">
        <f>IS!$AH$577/100000000</f>
        <v>-113.92603608</v>
      </c>
    </row>
    <row r="233" spans="2:33">
      <c r="B233" s="119"/>
      <c r="C233" s="119"/>
      <c r="D233" s="119"/>
      <c r="E233" s="119"/>
      <c r="F233" s="119"/>
      <c r="H233" s="110" t="s">
        <v>551</v>
      </c>
      <c r="I233" s="124"/>
      <c r="J233" s="150">
        <f>IS!$D$397/100000000</f>
        <v>2688.4918219800002</v>
      </c>
      <c r="K233" s="150">
        <f>IS!$H$397/100000000</f>
        <v>2095.00326602</v>
      </c>
      <c r="L233" s="150">
        <f>IS!$K$397/100000000</f>
        <v>916.39870662999999</v>
      </c>
      <c r="M233" s="150">
        <f>IS!$O$397/100000000</f>
        <v>2963.1967099799999</v>
      </c>
      <c r="N233" s="150">
        <f>IS!$S$397/100000000</f>
        <v>3144.4348777</v>
      </c>
      <c r="O233" s="125">
        <f t="shared" si="275"/>
        <v>2998.1066724900002</v>
      </c>
      <c r="P233" s="125">
        <f>Z233</f>
        <v>6034.5590235899999</v>
      </c>
      <c r="Q233" s="125">
        <f t="shared" si="276"/>
        <v>6706.4479951900003</v>
      </c>
      <c r="R233" s="125">
        <f>AG233</f>
        <v>7046.7150368299999</v>
      </c>
      <c r="S233" s="124"/>
      <c r="T233" s="124"/>
      <c r="U233" s="124"/>
      <c r="V233" s="150">
        <f>IS!$W$397/100000000</f>
        <v>2998.1066724900002</v>
      </c>
      <c r="W233" s="150">
        <f>IS!$X$397/100000000</f>
        <v>1753.21786675</v>
      </c>
      <c r="X233" s="150">
        <f>IS!$Y$397/100000000</f>
        <v>3389.3832000399998</v>
      </c>
      <c r="Y233" s="150">
        <f>IS!$Z$397/100000000</f>
        <v>4815.75514398</v>
      </c>
      <c r="Z233" s="150">
        <f>IS!$AA$397/100000000</f>
        <v>6034.5590235899999</v>
      </c>
      <c r="AA233" s="150">
        <f>IS!$AB$397/100000000</f>
        <v>2107.0671478200002</v>
      </c>
      <c r="AB233" s="150">
        <f>IS!$AC$397/100000000</f>
        <v>3800.6273110900001</v>
      </c>
      <c r="AC233" s="150">
        <f>IS!$AD$397/100000000</f>
        <v>5414.2948862399999</v>
      </c>
      <c r="AD233" s="150">
        <f>IS!$AE$397/100000000</f>
        <v>6706.4479951900003</v>
      </c>
      <c r="AE233" s="150">
        <f>IS!$AF$397/100000000</f>
        <v>3081.9822390899999</v>
      </c>
      <c r="AF233" s="150">
        <f>IS!$AG$397/100000000</f>
        <v>5484.6225248399996</v>
      </c>
      <c r="AG233" s="150">
        <f>IS!$AH$397/100000000</f>
        <v>7046.7150368299999</v>
      </c>
    </row>
    <row r="234" spans="2:33">
      <c r="B234" s="119"/>
      <c r="C234" s="119"/>
      <c r="D234" s="119"/>
      <c r="E234" s="119"/>
      <c r="F234" s="119"/>
      <c r="H234" s="110" t="s">
        <v>493</v>
      </c>
      <c r="I234" s="124"/>
      <c r="J234" s="161">
        <f>J211/J222*100</f>
        <v>46.640831437367922</v>
      </c>
      <c r="K234" s="161">
        <f>K211/K222*100</f>
        <v>37.478857558879263</v>
      </c>
      <c r="L234" s="161">
        <f>L211/L222*100</f>
        <v>43.578719954128324</v>
      </c>
      <c r="M234" s="161">
        <f>M211/M222*100</f>
        <v>31.500446495282887</v>
      </c>
      <c r="N234" s="161">
        <f>N211/N222*100</f>
        <v>35.192253220155457</v>
      </c>
      <c r="O234" s="130">
        <f t="shared" si="275"/>
        <v>29.87395993432067</v>
      </c>
      <c r="P234" s="130">
        <f>Z234</f>
        <v>20.694791488862734</v>
      </c>
      <c r="Q234" s="130">
        <f t="shared" si="276"/>
        <v>20.034750251986427</v>
      </c>
      <c r="R234" s="130">
        <f>AG234</f>
        <v>12.635464343237327</v>
      </c>
      <c r="S234" s="124"/>
      <c r="T234" s="124"/>
      <c r="U234" s="124"/>
      <c r="V234" s="161">
        <f t="shared" ref="V234:AB234" si="277">V211/V222*100</f>
        <v>29.87395993432067</v>
      </c>
      <c r="W234" s="161">
        <f t="shared" si="277"/>
        <v>16.637254520909934</v>
      </c>
      <c r="X234" s="161">
        <f t="shared" ref="X234:Y234" si="278">X211/X222*100</f>
        <v>18.570450346777651</v>
      </c>
      <c r="Y234" s="161">
        <f t="shared" si="278"/>
        <v>19.547648560986485</v>
      </c>
      <c r="Z234" s="161">
        <f t="shared" si="277"/>
        <v>20.694791488862734</v>
      </c>
      <c r="AA234" s="161">
        <f t="shared" si="277"/>
        <v>21.737830264671274</v>
      </c>
      <c r="AB234" s="161">
        <f t="shared" si="277"/>
        <v>22.036707434447386</v>
      </c>
      <c r="AC234" s="161">
        <f t="shared" ref="AC234:AD234" si="279">AC211/AC222*100</f>
        <v>20.690785201587332</v>
      </c>
      <c r="AD234" s="161">
        <f t="shared" si="279"/>
        <v>20.034750251986427</v>
      </c>
      <c r="AE234" s="161">
        <f t="shared" ref="AE234:AF234" si="280">AE211/AE222*100</f>
        <v>11.477282550852587</v>
      </c>
      <c r="AF234" s="161">
        <f t="shared" si="280"/>
        <v>11.780009645529905</v>
      </c>
      <c r="AG234" s="161">
        <f t="shared" ref="AG234" si="281">AG211/AG222*100</f>
        <v>12.635464343237327</v>
      </c>
    </row>
    <row r="235" spans="2:33">
      <c r="B235" s="119"/>
      <c r="C235" s="119"/>
      <c r="D235" s="119"/>
      <c r="E235" s="119"/>
      <c r="F235" s="119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  <c r="T235" s="124"/>
      <c r="U235" s="124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</row>
    <row r="236" spans="2:33">
      <c r="B236" s="119"/>
      <c r="C236" s="119"/>
      <c r="D236" s="119"/>
      <c r="E236" s="119"/>
      <c r="F236" s="119"/>
      <c r="H236" s="110" t="s">
        <v>247</v>
      </c>
      <c r="I236" s="124"/>
      <c r="J236" s="161">
        <f>J233/J222*100</f>
        <v>35.708075269956602</v>
      </c>
      <c r="K236" s="161">
        <f>K233/K222*100</f>
        <v>30.797048226651857</v>
      </c>
      <c r="L236" s="161">
        <f>L233/L222*100</f>
        <v>22.492888096524233</v>
      </c>
      <c r="M236" s="161">
        <f>M233/M222*100</f>
        <v>41.40299151323196</v>
      </c>
      <c r="N236" s="161">
        <f>N233/N222*100</f>
        <v>39.460015444701824</v>
      </c>
      <c r="O236" s="130">
        <f>V236</f>
        <v>39.14548255095319</v>
      </c>
      <c r="P236" s="130">
        <f>Z236</f>
        <v>53.020406569242184</v>
      </c>
      <c r="Q236" s="130">
        <f>AD236</f>
        <v>52.342514984533096</v>
      </c>
      <c r="R236" s="130">
        <f>AG236</f>
        <v>58.103007407549903</v>
      </c>
      <c r="S236" s="124"/>
      <c r="T236" s="124"/>
      <c r="U236" s="124"/>
      <c r="V236" s="161">
        <f t="shared" ref="V236:AB236" si="282">V233/V222*100</f>
        <v>39.14548255095319</v>
      </c>
      <c r="W236" s="161">
        <f t="shared" si="282"/>
        <v>58.505015848424804</v>
      </c>
      <c r="X236" s="161">
        <f t="shared" ref="X236:Y236" si="283">X233/X222*100</f>
        <v>57.469906091773467</v>
      </c>
      <c r="Y236" s="161">
        <f t="shared" si="283"/>
        <v>55.928808291275736</v>
      </c>
      <c r="Z236" s="161">
        <f t="shared" si="282"/>
        <v>53.020406569242184</v>
      </c>
      <c r="AA236" s="161">
        <f t="shared" si="282"/>
        <v>55.723318312242412</v>
      </c>
      <c r="AB236" s="161">
        <f t="shared" si="282"/>
        <v>54.478323675924798</v>
      </c>
      <c r="AC236" s="161">
        <f t="shared" ref="AC236:AD236" si="284">AC233/AC222*100</f>
        <v>54.398932528818541</v>
      </c>
      <c r="AD236" s="161">
        <f t="shared" si="284"/>
        <v>52.342514984533096</v>
      </c>
      <c r="AE236" s="161">
        <f t="shared" ref="AE236:AF236" si="285">AE233/AE222*100</f>
        <v>65.883842789126817</v>
      </c>
      <c r="AF236" s="161">
        <f t="shared" si="285"/>
        <v>61.677708412322495</v>
      </c>
      <c r="AG236" s="161">
        <f t="shared" ref="AG236" si="286">AG233/AG222*100</f>
        <v>58.103007407549903</v>
      </c>
    </row>
    <row r="237" spans="2:33">
      <c r="B237" s="119"/>
      <c r="C237" s="119"/>
      <c r="D237" s="119"/>
      <c r="E237" s="119"/>
      <c r="F237" s="119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124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</row>
    <row r="238" spans="2:33">
      <c r="B238" s="119"/>
      <c r="C238" s="119"/>
      <c r="D238" s="119"/>
      <c r="E238" s="119"/>
      <c r="F238" s="119"/>
      <c r="H238" s="110" t="s">
        <v>486</v>
      </c>
      <c r="I238" s="124"/>
      <c r="J238" s="128">
        <f>J239-J245</f>
        <v>31.124728269999999</v>
      </c>
      <c r="K238" s="128">
        <f>K239-K245</f>
        <v>-71.522228510000005</v>
      </c>
      <c r="L238" s="128">
        <f>L239-L245</f>
        <v>-161.98782571999999</v>
      </c>
      <c r="M238" s="128">
        <f>M239-M245</f>
        <v>39.585569409999998</v>
      </c>
      <c r="N238" s="128">
        <f>N239-N245</f>
        <v>-18.277761580000004</v>
      </c>
      <c r="O238" s="125">
        <f t="shared" ref="O238:O250" si="287">V238</f>
        <v>-6.0240624199999999</v>
      </c>
      <c r="P238" s="125">
        <f t="shared" ref="P238:P250" si="288">Z238</f>
        <v>-22.359034909999998</v>
      </c>
      <c r="Q238" s="125">
        <f t="shared" ref="Q238:Q250" si="289">AD238</f>
        <v>-134.70097572</v>
      </c>
      <c r="R238" s="125">
        <f t="shared" ref="R238:R250" si="290">AG238</f>
        <v>-113.92603608</v>
      </c>
      <c r="S238" s="124"/>
      <c r="T238" s="124"/>
      <c r="U238" s="124"/>
      <c r="V238" s="128">
        <f t="shared" ref="V238:AB238" si="291">V239-V245</f>
        <v>-6.0240624199999999</v>
      </c>
      <c r="W238" s="128">
        <f t="shared" si="291"/>
        <v>-0.47322353000000028</v>
      </c>
      <c r="X238" s="128">
        <f t="shared" ref="X238:Y238" si="292">X239-X245</f>
        <v>-6.5783668600000009</v>
      </c>
      <c r="Y238" s="128">
        <f t="shared" si="292"/>
        <v>-2.791912889999999</v>
      </c>
      <c r="Z238" s="128">
        <f t="shared" si="291"/>
        <v>-22.359034909999998</v>
      </c>
      <c r="AA238" s="128">
        <f t="shared" si="291"/>
        <v>-130.26569635000001</v>
      </c>
      <c r="AB238" s="128">
        <f t="shared" si="291"/>
        <v>-123.8332241</v>
      </c>
      <c r="AC238" s="128">
        <f t="shared" ref="AC238:AD238" si="293">AC239-AC245</f>
        <v>-137.63029633000002</v>
      </c>
      <c r="AD238" s="128">
        <f t="shared" si="293"/>
        <v>-134.70097572</v>
      </c>
      <c r="AE238" s="128">
        <f t="shared" ref="AE238:AF238" si="294">AE239-AE245</f>
        <v>-37.716284250000001</v>
      </c>
      <c r="AF238" s="128">
        <f t="shared" si="294"/>
        <v>-36.691565600000004</v>
      </c>
      <c r="AG238" s="128">
        <f t="shared" ref="AG238" si="295">AG239-AG245</f>
        <v>-113.92603608</v>
      </c>
    </row>
    <row r="239" spans="2:33">
      <c r="B239" s="119"/>
      <c r="C239" s="119"/>
      <c r="D239" s="119"/>
      <c r="E239" s="119"/>
      <c r="F239" s="119"/>
      <c r="H239" s="110" t="s">
        <v>477</v>
      </c>
      <c r="I239" s="124"/>
      <c r="J239" s="128">
        <f>J240+J241+J242+J243+J244</f>
        <v>57.869186159999998</v>
      </c>
      <c r="K239" s="128">
        <f>K240+K241+K242+K243+K244</f>
        <v>3.7555871999999999</v>
      </c>
      <c r="L239" s="128">
        <f>L240+L241+L242+L243+L244</f>
        <v>0.17047440999999999</v>
      </c>
      <c r="M239" s="128">
        <f>M240+M241+M242+M243+M244</f>
        <v>79.637653349999994</v>
      </c>
      <c r="N239" s="128">
        <f>N240+N241+N242+N243+N244</f>
        <v>26.319678879999998</v>
      </c>
      <c r="O239" s="125">
        <f t="shared" si="287"/>
        <v>2.0856057099999998</v>
      </c>
      <c r="P239" s="125">
        <f t="shared" si="288"/>
        <v>7.2485441000000002</v>
      </c>
      <c r="Q239" s="125">
        <f t="shared" si="289"/>
        <v>25.987639129999998</v>
      </c>
      <c r="R239" s="125">
        <f t="shared" si="290"/>
        <v>16.956660129999999</v>
      </c>
      <c r="S239" s="124"/>
      <c r="T239" s="124"/>
      <c r="U239" s="124"/>
      <c r="V239" s="128">
        <f t="shared" ref="V239:AB239" si="296">V240+V241+V242+V243+V244</f>
        <v>2.0856057099999998</v>
      </c>
      <c r="W239" s="128">
        <f t="shared" si="296"/>
        <v>1.5539771899999999</v>
      </c>
      <c r="X239" s="128">
        <f t="shared" ref="X239:Y239" si="297">X240+X241+X242+X243+X244</f>
        <v>1.6280695299999999</v>
      </c>
      <c r="Y239" s="128">
        <f t="shared" si="297"/>
        <v>7.2485441000000002</v>
      </c>
      <c r="Z239" s="128">
        <f t="shared" si="296"/>
        <v>7.2485441000000002</v>
      </c>
      <c r="AA239" s="128">
        <f t="shared" si="296"/>
        <v>0</v>
      </c>
      <c r="AB239" s="128">
        <f t="shared" si="296"/>
        <v>9.4169999999999998</v>
      </c>
      <c r="AC239" s="128">
        <f t="shared" ref="AC239:AD239" si="298">AC240+AC241+AC242+AC243+AC244</f>
        <v>4.4166877500000004</v>
      </c>
      <c r="AD239" s="128">
        <f t="shared" si="298"/>
        <v>25.987639129999998</v>
      </c>
      <c r="AE239" s="128">
        <f t="shared" ref="AE239:AF239" si="299">AE240+AE241+AE242+AE243+AE244</f>
        <v>9.7852731100000003</v>
      </c>
      <c r="AF239" s="128">
        <f t="shared" si="299"/>
        <v>11.17742391</v>
      </c>
      <c r="AG239" s="128">
        <f t="shared" ref="AG239" si="300">AG240+AG241+AG242+AG243+AG244</f>
        <v>16.956660129999999</v>
      </c>
    </row>
    <row r="240" spans="2:33">
      <c r="B240" s="119"/>
      <c r="C240" s="119"/>
      <c r="D240" s="119"/>
      <c r="E240" s="119"/>
      <c r="F240" s="119"/>
      <c r="H240" s="110" t="s">
        <v>19</v>
      </c>
      <c r="I240" s="124"/>
      <c r="J240" s="150">
        <f>IS!$D$168/100000000</f>
        <v>16.43283774</v>
      </c>
      <c r="K240" s="150">
        <f>IS!$H$168/100000000</f>
        <v>0</v>
      </c>
      <c r="L240" s="150">
        <f>IS!$K$168/100000000</f>
        <v>0</v>
      </c>
      <c r="M240" s="150">
        <f>IS!$O$168/100000000</f>
        <v>0</v>
      </c>
      <c r="N240" s="150">
        <f>IS!$S$168/100000000</f>
        <v>18.506057429999998</v>
      </c>
      <c r="O240" s="125">
        <f t="shared" si="287"/>
        <v>2.8964699999999999E-2</v>
      </c>
      <c r="P240" s="125">
        <f t="shared" si="288"/>
        <v>0</v>
      </c>
      <c r="Q240" s="125">
        <f t="shared" si="289"/>
        <v>0</v>
      </c>
      <c r="R240" s="125">
        <f t="shared" si="290"/>
        <v>1.0713999999999999</v>
      </c>
      <c r="S240" s="124"/>
      <c r="T240" s="124"/>
      <c r="U240" s="124"/>
      <c r="V240" s="150">
        <f>IS!$W$168/100000000</f>
        <v>2.8964699999999999E-2</v>
      </c>
      <c r="W240" s="150">
        <f>IS!$X$168/100000000</f>
        <v>0</v>
      </c>
      <c r="X240" s="150">
        <f>IS!$Y$168/100000000</f>
        <v>0</v>
      </c>
      <c r="Y240" s="150">
        <f>IS!$Z$168/100000000</f>
        <v>0</v>
      </c>
      <c r="Z240" s="150">
        <f>IS!$AA$168/100000000</f>
        <v>0</v>
      </c>
      <c r="AA240" s="150">
        <f>IS!$AB$168/100000000</f>
        <v>0</v>
      </c>
      <c r="AB240" s="150">
        <f>IS!$AC$168/100000000</f>
        <v>0</v>
      </c>
      <c r="AC240" s="150">
        <f>IS!$AD$168/100000000</f>
        <v>0</v>
      </c>
      <c r="AD240" s="150">
        <f>IS!$AE$168/100000000</f>
        <v>0</v>
      </c>
      <c r="AE240" s="150">
        <f>IS!$AF$168/100000000</f>
        <v>0</v>
      </c>
      <c r="AF240" s="150">
        <f>IS!$AG$168/100000000</f>
        <v>0</v>
      </c>
      <c r="AG240" s="150">
        <f>IS!$AH$168/100000000</f>
        <v>1.0713999999999999</v>
      </c>
    </row>
    <row r="241" spans="2:35">
      <c r="B241" s="119"/>
      <c r="C241" s="119"/>
      <c r="D241" s="119"/>
      <c r="E241" s="119"/>
      <c r="F241" s="119"/>
      <c r="H241" s="110" t="s">
        <v>480</v>
      </c>
      <c r="I241" s="124"/>
      <c r="J241" s="150">
        <f>IS!$D$169/100000000</f>
        <v>0</v>
      </c>
      <c r="K241" s="150">
        <f>IS!$H$169/100000000</f>
        <v>0</v>
      </c>
      <c r="L241" s="150">
        <f>IS!$K$169/100000000</f>
        <v>0</v>
      </c>
      <c r="M241" s="150">
        <f>IS!$O$169/100000000</f>
        <v>0</v>
      </c>
      <c r="N241" s="150">
        <f>IS!$S$169/100000000</f>
        <v>0</v>
      </c>
      <c r="O241" s="125">
        <f t="shared" si="287"/>
        <v>0</v>
      </c>
      <c r="P241" s="125">
        <f t="shared" si="288"/>
        <v>0</v>
      </c>
      <c r="Q241" s="125">
        <f t="shared" si="289"/>
        <v>1.630922</v>
      </c>
      <c r="R241" s="125">
        <f t="shared" si="290"/>
        <v>14.855203019999999</v>
      </c>
      <c r="S241" s="124"/>
      <c r="T241" s="124"/>
      <c r="U241" s="124"/>
      <c r="V241" s="150">
        <f>IS!$W$169/100000000</f>
        <v>0</v>
      </c>
      <c r="W241" s="150">
        <f>IS!$X$169/100000000</f>
        <v>0</v>
      </c>
      <c r="X241" s="150">
        <f>IS!$Y$169/100000000</f>
        <v>0</v>
      </c>
      <c r="Y241" s="150">
        <f>IS!$Z$169/100000000</f>
        <v>0</v>
      </c>
      <c r="Z241" s="150">
        <f>IS!$AA$169/100000000</f>
        <v>0</v>
      </c>
      <c r="AA241" s="150">
        <f>IS!$AB$169/100000000</f>
        <v>0</v>
      </c>
      <c r="AB241" s="150">
        <f>IS!$AC$169/100000000</f>
        <v>9.4169999999999998</v>
      </c>
      <c r="AC241" s="150">
        <f>IS!$AD$169/100000000</f>
        <v>1.1462600000000001</v>
      </c>
      <c r="AD241" s="150">
        <f>IS!$AE$169/100000000</f>
        <v>1.630922</v>
      </c>
      <c r="AE241" s="150">
        <f>IS!$AF$169/100000000</f>
        <v>2.0216590000000001</v>
      </c>
      <c r="AF241" s="150">
        <f>IS!$AG$169/100000000</f>
        <v>3.4138098000000001</v>
      </c>
      <c r="AG241" s="150">
        <f>IS!$AH$169/100000000</f>
        <v>14.855203019999999</v>
      </c>
    </row>
    <row r="242" spans="2:35">
      <c r="B242" s="119"/>
      <c r="C242" s="119"/>
      <c r="D242" s="119"/>
      <c r="E242" s="119"/>
      <c r="F242" s="119"/>
      <c r="H242" s="110" t="s">
        <v>20</v>
      </c>
      <c r="I242" s="124"/>
      <c r="J242" s="150">
        <f>IS!$D$170/100000000</f>
        <v>41.436348420000002</v>
      </c>
      <c r="K242" s="150">
        <f>IS!$H$170/100000000</f>
        <v>3.7555871999999999</v>
      </c>
      <c r="L242" s="150">
        <f>IS!$K$170/100000000</f>
        <v>0</v>
      </c>
      <c r="M242" s="150">
        <f>IS!$O$170/100000000</f>
        <v>53.859609149999997</v>
      </c>
      <c r="N242" s="150">
        <f>IS!$S$170/100000000</f>
        <v>7.8136214500000003</v>
      </c>
      <c r="O242" s="125">
        <f t="shared" si="287"/>
        <v>1.1634786399999999</v>
      </c>
      <c r="P242" s="125">
        <f t="shared" si="288"/>
        <v>1.59100785</v>
      </c>
      <c r="Q242" s="125">
        <f t="shared" si="289"/>
        <v>24.35671713</v>
      </c>
      <c r="R242" s="125">
        <f t="shared" si="290"/>
        <v>0</v>
      </c>
      <c r="S242" s="124"/>
      <c r="T242" s="124"/>
      <c r="U242" s="124"/>
      <c r="V242" s="150">
        <f>IS!$W$170/100000000</f>
        <v>1.1634786399999999</v>
      </c>
      <c r="W242" s="150">
        <f>IS!$X$170/100000000</f>
        <v>1.34225551</v>
      </c>
      <c r="X242" s="150">
        <f>IS!$Y$170/100000000</f>
        <v>1.41634785</v>
      </c>
      <c r="Y242" s="150">
        <f>IS!$Z$170/100000000</f>
        <v>1.59100785</v>
      </c>
      <c r="Z242" s="150">
        <f>IS!$AA$170/100000000</f>
        <v>1.59100785</v>
      </c>
      <c r="AA242" s="150">
        <f>IS!$AB$170/100000000</f>
        <v>0</v>
      </c>
      <c r="AB242" s="150">
        <f>IS!$AC$170/100000000</f>
        <v>0</v>
      </c>
      <c r="AC242" s="150">
        <f>IS!$AD$170/100000000</f>
        <v>2.6365121999999999</v>
      </c>
      <c r="AD242" s="150">
        <f>IS!$AE$170/100000000</f>
        <v>24.35671713</v>
      </c>
      <c r="AE242" s="150">
        <f>IS!$AF$170/100000000</f>
        <v>6.7335570000000002</v>
      </c>
      <c r="AF242" s="150">
        <f>IS!$AG$170/100000000</f>
        <v>6.7335570000000002</v>
      </c>
      <c r="AG242" s="150">
        <f>IS!$AH$170/100000000</f>
        <v>0</v>
      </c>
    </row>
    <row r="243" spans="2:35">
      <c r="B243" s="119"/>
      <c r="C243" s="119"/>
      <c r="D243" s="119"/>
      <c r="E243" s="119"/>
      <c r="F243" s="119"/>
      <c r="H243" s="110" t="s">
        <v>481</v>
      </c>
      <c r="I243" s="124"/>
      <c r="J243" s="150">
        <f>IS!$D$171/100000000</f>
        <v>0</v>
      </c>
      <c r="K243" s="150">
        <f>IS!$H$171/100000000</f>
        <v>0</v>
      </c>
      <c r="L243" s="150">
        <f>IS!$K$171/100000000</f>
        <v>0</v>
      </c>
      <c r="M243" s="150">
        <f>IS!$O$171/100000000</f>
        <v>0</v>
      </c>
      <c r="N243" s="150">
        <f>IS!$S$171/100000000</f>
        <v>0</v>
      </c>
      <c r="O243" s="125">
        <f t="shared" si="287"/>
        <v>0</v>
      </c>
      <c r="P243" s="125">
        <f t="shared" si="288"/>
        <v>0</v>
      </c>
      <c r="Q243" s="125">
        <f t="shared" si="289"/>
        <v>0</v>
      </c>
      <c r="R243" s="125">
        <f t="shared" si="290"/>
        <v>0</v>
      </c>
      <c r="S243" s="124"/>
      <c r="T243" s="124"/>
      <c r="U243" s="124"/>
      <c r="V243" s="150">
        <f>IS!$W$171/100000000</f>
        <v>0</v>
      </c>
      <c r="W243" s="150">
        <f>IS!$X$171/100000000</f>
        <v>0</v>
      </c>
      <c r="X243" s="150">
        <f>IS!$Y$171/100000000</f>
        <v>0</v>
      </c>
      <c r="Y243" s="150">
        <f>IS!$Z$171/100000000</f>
        <v>0</v>
      </c>
      <c r="Z243" s="150">
        <f>IS!$AA$171/100000000</f>
        <v>0</v>
      </c>
      <c r="AA243" s="150">
        <f>IS!$AB$171/100000000</f>
        <v>0</v>
      </c>
      <c r="AB243" s="150">
        <f>IS!$AC$171/100000000</f>
        <v>0</v>
      </c>
      <c r="AC243" s="150">
        <f>IS!$AD$171/100000000</f>
        <v>0</v>
      </c>
      <c r="AD243" s="150">
        <f>IS!$AE$171/100000000</f>
        <v>0</v>
      </c>
      <c r="AE243" s="150">
        <f>IS!$AF$171/100000000</f>
        <v>0</v>
      </c>
      <c r="AF243" s="150">
        <f>IS!$AG$171/100000000</f>
        <v>0</v>
      </c>
      <c r="AG243" s="150">
        <f>IS!$AH$171/100000000</f>
        <v>0</v>
      </c>
    </row>
    <row r="244" spans="2:35">
      <c r="B244" s="119"/>
      <c r="C244" s="119"/>
      <c r="D244" s="119"/>
      <c r="E244" s="119"/>
      <c r="F244" s="119"/>
      <c r="H244" s="110" t="s">
        <v>482</v>
      </c>
      <c r="I244" s="124"/>
      <c r="J244" s="150">
        <f>IS!$D$195/100000000</f>
        <v>0</v>
      </c>
      <c r="K244" s="150">
        <f>IS!$H$195/100000000</f>
        <v>0</v>
      </c>
      <c r="L244" s="150">
        <f>IS!$K$195/100000000</f>
        <v>0.17047440999999999</v>
      </c>
      <c r="M244" s="150">
        <f>IS!$O$195/100000000</f>
        <v>25.7780442</v>
      </c>
      <c r="N244" s="150">
        <f>IS!$S$195/100000000</f>
        <v>0</v>
      </c>
      <c r="O244" s="125">
        <f t="shared" si="287"/>
        <v>0.89316236999999998</v>
      </c>
      <c r="P244" s="125">
        <f t="shared" si="288"/>
        <v>5.6575362499999997</v>
      </c>
      <c r="Q244" s="125">
        <f t="shared" si="289"/>
        <v>0</v>
      </c>
      <c r="R244" s="125">
        <f t="shared" si="290"/>
        <v>1.03005711</v>
      </c>
      <c r="S244" s="124"/>
      <c r="T244" s="124"/>
      <c r="U244" s="124"/>
      <c r="V244" s="150">
        <f>IS!$W$195/100000000</f>
        <v>0.89316236999999998</v>
      </c>
      <c r="W244" s="150">
        <f>IS!$X$195/100000000</f>
        <v>0.21172168</v>
      </c>
      <c r="X244" s="150">
        <f>IS!$Y$195/100000000</f>
        <v>0.21172168</v>
      </c>
      <c r="Y244" s="150">
        <f>IS!$Z$195/100000000</f>
        <v>5.6575362499999997</v>
      </c>
      <c r="Z244" s="150">
        <f>IS!$AA$195/100000000</f>
        <v>5.6575362499999997</v>
      </c>
      <c r="AA244" s="150">
        <f>IS!$AB$195/100000000</f>
        <v>0</v>
      </c>
      <c r="AB244" s="150">
        <f>IS!$AC$195/100000000</f>
        <v>0</v>
      </c>
      <c r="AC244" s="150">
        <f>IS!$AD$195/100000000</f>
        <v>0.63391554999999999</v>
      </c>
      <c r="AD244" s="150">
        <f>IS!$AE$195/100000000</f>
        <v>0</v>
      </c>
      <c r="AE244" s="150">
        <f>IS!$AF$195/100000000</f>
        <v>1.03005711</v>
      </c>
      <c r="AF244" s="150">
        <f>IS!$AG$195/100000000</f>
        <v>1.03005711</v>
      </c>
      <c r="AG244" s="150">
        <f>IS!$AH$195/100000000</f>
        <v>1.03005711</v>
      </c>
    </row>
    <row r="245" spans="2:35">
      <c r="B245" s="119"/>
      <c r="C245" s="119"/>
      <c r="D245" s="119"/>
      <c r="E245" s="119"/>
      <c r="F245" s="119"/>
      <c r="H245" s="110" t="s">
        <v>478</v>
      </c>
      <c r="I245" s="124"/>
      <c r="J245" s="128">
        <f>J246+J247+J248+J249+J250</f>
        <v>26.74445789</v>
      </c>
      <c r="K245" s="128">
        <f>K246+K247+K248+K249+K250</f>
        <v>75.277815709999999</v>
      </c>
      <c r="L245" s="128">
        <f>L246+L247+L248+L249+L250</f>
        <v>162.15830012999999</v>
      </c>
      <c r="M245" s="128">
        <f>M246+M247+M248+M249+M250</f>
        <v>40.052083939999996</v>
      </c>
      <c r="N245" s="128">
        <f>N246+N247+N248+N249+N250</f>
        <v>44.597440460000001</v>
      </c>
      <c r="O245" s="125">
        <f t="shared" si="287"/>
        <v>8.1096681299999993</v>
      </c>
      <c r="P245" s="125">
        <f t="shared" si="288"/>
        <v>29.607579009999998</v>
      </c>
      <c r="Q245" s="125">
        <f t="shared" si="289"/>
        <v>160.68861484999999</v>
      </c>
      <c r="R245" s="125">
        <f t="shared" si="290"/>
        <v>130.88269621000001</v>
      </c>
      <c r="S245" s="124"/>
      <c r="T245" s="124"/>
      <c r="U245" s="124"/>
      <c r="V245" s="128">
        <f t="shared" ref="V245:AB245" si="301">V246+V247+V248+V249+V250</f>
        <v>8.1096681299999993</v>
      </c>
      <c r="W245" s="128">
        <f t="shared" si="301"/>
        <v>2.0272007200000002</v>
      </c>
      <c r="X245" s="128">
        <f t="shared" ref="X245:Y245" si="302">X246+X247+X248+X249+X250</f>
        <v>8.2064363900000004</v>
      </c>
      <c r="Y245" s="128">
        <f t="shared" si="302"/>
        <v>10.040456989999999</v>
      </c>
      <c r="Z245" s="128">
        <f t="shared" si="301"/>
        <v>29.607579009999998</v>
      </c>
      <c r="AA245" s="128">
        <f t="shared" si="301"/>
        <v>130.26569635000001</v>
      </c>
      <c r="AB245" s="128">
        <f t="shared" si="301"/>
        <v>133.2502241</v>
      </c>
      <c r="AC245" s="128">
        <f t="shared" ref="AC245:AD245" si="303">AC246+AC247+AC248+AC249+AC250</f>
        <v>142.04698408000002</v>
      </c>
      <c r="AD245" s="128">
        <f t="shared" si="303"/>
        <v>160.68861484999999</v>
      </c>
      <c r="AE245" s="128">
        <f t="shared" ref="AE245:AF245" si="304">AE246+AE247+AE248+AE249+AE250</f>
        <v>47.50155736</v>
      </c>
      <c r="AF245" s="128">
        <f t="shared" si="304"/>
        <v>47.868989510000006</v>
      </c>
      <c r="AG245" s="128">
        <f t="shared" ref="AG245" si="305">AG246+AG247+AG248+AG249+AG250</f>
        <v>130.88269621000001</v>
      </c>
    </row>
    <row r="246" spans="2:35">
      <c r="B246" s="119"/>
      <c r="C246" s="119"/>
      <c r="D246" s="119"/>
      <c r="E246" s="119"/>
      <c r="F246" s="119"/>
      <c r="H246" s="110" t="s">
        <v>479</v>
      </c>
      <c r="I246" s="124"/>
      <c r="J246" s="150">
        <f>IS!$D$317/100000000</f>
        <v>0</v>
      </c>
      <c r="K246" s="150">
        <f>IS!$H$317/100000000</f>
        <v>36.817960880000001</v>
      </c>
      <c r="L246" s="150">
        <f>IS!$K$317/100000000</f>
        <v>0</v>
      </c>
      <c r="M246" s="150">
        <f>IS!$O$317/100000000</f>
        <v>0</v>
      </c>
      <c r="N246" s="150">
        <f>IS!$S$317/100000000</f>
        <v>0</v>
      </c>
      <c r="O246" s="125">
        <f t="shared" si="287"/>
        <v>2.8470848000000002</v>
      </c>
      <c r="P246" s="125">
        <f t="shared" si="288"/>
        <v>6.6700972800000002</v>
      </c>
      <c r="Q246" s="125">
        <f t="shared" si="289"/>
        <v>0</v>
      </c>
      <c r="R246" s="125">
        <f t="shared" si="290"/>
        <v>0</v>
      </c>
      <c r="S246" s="124"/>
      <c r="T246" s="124"/>
      <c r="U246" s="124"/>
      <c r="V246" s="150">
        <f>IS!$W$317/100000000</f>
        <v>2.8470848000000002</v>
      </c>
      <c r="W246" s="150">
        <f>IS!$X$317/100000000</f>
        <v>0.80050568</v>
      </c>
      <c r="X246" s="150">
        <f>IS!$Y$317/100000000</f>
        <v>5.62501798</v>
      </c>
      <c r="Y246" s="150">
        <f>IS!$Z$317/100000000</f>
        <v>6.6700972800000002</v>
      </c>
      <c r="Z246" s="150">
        <f>IS!$AA$317/100000000</f>
        <v>6.6700972800000002</v>
      </c>
      <c r="AA246" s="150">
        <f>IS!$AB$317/100000000</f>
        <v>0</v>
      </c>
      <c r="AB246" s="150">
        <f>IS!$AC$317/100000000</f>
        <v>0</v>
      </c>
      <c r="AC246" s="150">
        <f>IS!$AD$317/100000000</f>
        <v>0</v>
      </c>
      <c r="AD246" s="150">
        <f>IS!$AE$317/100000000</f>
        <v>0</v>
      </c>
      <c r="AE246" s="150">
        <f>IS!$AF$317/100000000</f>
        <v>0</v>
      </c>
      <c r="AF246" s="150">
        <f>IS!$AG$317/100000000</f>
        <v>0</v>
      </c>
      <c r="AG246" s="150">
        <f>IS!$AH$317/100000000</f>
        <v>0</v>
      </c>
    </row>
    <row r="247" spans="2:35">
      <c r="B247" s="119"/>
      <c r="C247" s="119"/>
      <c r="D247" s="119"/>
      <c r="E247" s="119"/>
      <c r="F247" s="119"/>
      <c r="H247" s="110" t="s">
        <v>483</v>
      </c>
      <c r="I247" s="124"/>
      <c r="J247" s="150">
        <f>IS!$D$318/100000000</f>
        <v>0</v>
      </c>
      <c r="K247" s="150">
        <f>IS!$H$318/100000000</f>
        <v>0</v>
      </c>
      <c r="L247" s="150">
        <f>IS!$K$318/100000000</f>
        <v>0</v>
      </c>
      <c r="M247" s="150">
        <f>IS!$O$318/100000000</f>
        <v>0</v>
      </c>
      <c r="N247" s="150">
        <f>IS!$S$318/100000000</f>
        <v>0</v>
      </c>
      <c r="O247" s="125">
        <f t="shared" si="287"/>
        <v>0</v>
      </c>
      <c r="P247" s="125">
        <f t="shared" si="288"/>
        <v>0</v>
      </c>
      <c r="Q247" s="125">
        <f t="shared" si="289"/>
        <v>1.0713999999999999</v>
      </c>
      <c r="R247" s="125">
        <f t="shared" si="290"/>
        <v>4.3662044</v>
      </c>
      <c r="S247" s="124"/>
      <c r="T247" s="124"/>
      <c r="U247" s="124"/>
      <c r="V247" s="150">
        <f>IS!$W$318/100000000</f>
        <v>0</v>
      </c>
      <c r="W247" s="150">
        <f>IS!$X$318/100000000</f>
        <v>0</v>
      </c>
      <c r="X247" s="150">
        <f>IS!$Y$318/100000000</f>
        <v>0</v>
      </c>
      <c r="Y247" s="150">
        <f>IS!$Z$318/100000000</f>
        <v>0</v>
      </c>
      <c r="Z247" s="150">
        <f>IS!$AA$318/100000000</f>
        <v>0</v>
      </c>
      <c r="AA247" s="150">
        <f>IS!$AB$318/100000000</f>
        <v>0</v>
      </c>
      <c r="AB247" s="150">
        <f>IS!$AC$318/100000000</f>
        <v>0</v>
      </c>
      <c r="AC247" s="150">
        <f>IS!$AD$318/100000000</f>
        <v>0</v>
      </c>
      <c r="AD247" s="150">
        <f>IS!$AE$318/100000000</f>
        <v>1.0713999999999999</v>
      </c>
      <c r="AE247" s="150">
        <f>IS!$AF$318/100000000</f>
        <v>0</v>
      </c>
      <c r="AF247" s="150">
        <f>IS!$AG$318/100000000</f>
        <v>7.32362307</v>
      </c>
      <c r="AG247" s="150">
        <f>IS!$AH$318/100000000</f>
        <v>4.3662044</v>
      </c>
    </row>
    <row r="248" spans="2:35">
      <c r="B248" s="119"/>
      <c r="C248" s="119"/>
      <c r="D248" s="119"/>
      <c r="E248" s="119"/>
      <c r="F248" s="119"/>
      <c r="H248" s="110" t="s">
        <v>22</v>
      </c>
      <c r="I248" s="124"/>
      <c r="J248" s="150">
        <f>IS!$D$319/100000000</f>
        <v>24.787192439999998</v>
      </c>
      <c r="K248" s="150">
        <f>IS!$H$319/100000000</f>
        <v>36.679999070000001</v>
      </c>
      <c r="L248" s="150">
        <f>IS!$K$319/100000000</f>
        <v>161.83906001</v>
      </c>
      <c r="M248" s="150">
        <f>IS!$O$319/100000000</f>
        <v>37.219998709999999</v>
      </c>
      <c r="N248" s="150">
        <f>IS!$S$319/100000000</f>
        <v>0</v>
      </c>
      <c r="O248" s="125">
        <f t="shared" si="287"/>
        <v>0</v>
      </c>
      <c r="P248" s="125">
        <f t="shared" si="288"/>
        <v>0</v>
      </c>
      <c r="Q248" s="125">
        <f t="shared" si="289"/>
        <v>47.28450651</v>
      </c>
      <c r="R248" s="125">
        <f t="shared" si="290"/>
        <v>54.140804430000003</v>
      </c>
      <c r="S248" s="124"/>
      <c r="T248" s="124"/>
      <c r="U248" s="124"/>
      <c r="V248" s="150">
        <f>IS!$W$319/100000000</f>
        <v>0</v>
      </c>
      <c r="W248" s="150">
        <f>IS!$X$319/100000000</f>
        <v>0</v>
      </c>
      <c r="X248" s="150">
        <f>IS!$Y$319/100000000</f>
        <v>0</v>
      </c>
      <c r="Y248" s="150">
        <f>IS!$Z$319/100000000</f>
        <v>0</v>
      </c>
      <c r="Z248" s="150">
        <f>IS!$AA$319/100000000</f>
        <v>0</v>
      </c>
      <c r="AA248" s="150">
        <f>IS!$AB$319/100000000</f>
        <v>31.520509149999999</v>
      </c>
      <c r="AB248" s="150">
        <f>IS!$AC$319/100000000</f>
        <v>31.37522422</v>
      </c>
      <c r="AC248" s="150">
        <f>IS!$AD$319/100000000</f>
        <v>37.471811049999999</v>
      </c>
      <c r="AD248" s="150">
        <f>IS!$AE$319/100000000</f>
        <v>47.28450651</v>
      </c>
      <c r="AE248" s="150">
        <f>IS!$AF$319/100000000</f>
        <v>22.991014289999999</v>
      </c>
      <c r="AF248" s="150">
        <f>IS!$AG$319/100000000</f>
        <v>14.98764823</v>
      </c>
      <c r="AG248" s="150">
        <f>IS!$AH$319/100000000</f>
        <v>54.140804430000003</v>
      </c>
    </row>
    <row r="249" spans="2:35">
      <c r="B249" s="119"/>
      <c r="C249" s="119"/>
      <c r="D249" s="119"/>
      <c r="E249" s="119"/>
      <c r="F249" s="119"/>
      <c r="H249" s="110" t="s">
        <v>485</v>
      </c>
      <c r="I249" s="124"/>
      <c r="J249" s="150">
        <f>IS!$D$320/100000000</f>
        <v>0</v>
      </c>
      <c r="K249" s="150">
        <f>IS!$H$320/100000000</f>
        <v>0</v>
      </c>
      <c r="L249" s="150">
        <f>IS!$K$320/100000000</f>
        <v>0</v>
      </c>
      <c r="M249" s="150">
        <f>IS!$O$320/100000000</f>
        <v>0</v>
      </c>
      <c r="N249" s="150">
        <f>IS!$S$320/100000000</f>
        <v>0</v>
      </c>
      <c r="O249" s="125">
        <f t="shared" si="287"/>
        <v>0</v>
      </c>
      <c r="P249" s="125">
        <f t="shared" si="288"/>
        <v>0</v>
      </c>
      <c r="Q249" s="125">
        <f t="shared" si="289"/>
        <v>0</v>
      </c>
      <c r="R249" s="125">
        <f t="shared" si="290"/>
        <v>0</v>
      </c>
      <c r="S249" s="124"/>
      <c r="T249" s="124"/>
      <c r="U249" s="124"/>
      <c r="V249" s="150">
        <f>IS!$W$320/100000000</f>
        <v>0</v>
      </c>
      <c r="W249" s="150">
        <f>IS!$X$320/100000000</f>
        <v>0</v>
      </c>
      <c r="X249" s="150">
        <f>IS!$Y$320/100000000</f>
        <v>0</v>
      </c>
      <c r="Y249" s="150">
        <f>IS!$Z$320/100000000</f>
        <v>0</v>
      </c>
      <c r="Z249" s="150">
        <f>IS!$AA$320/100000000</f>
        <v>0</v>
      </c>
      <c r="AA249" s="150">
        <f>IS!$AB$320/100000000</f>
        <v>0</v>
      </c>
      <c r="AB249" s="150">
        <f>IS!$AC$320/100000000</f>
        <v>0</v>
      </c>
      <c r="AC249" s="150">
        <f>IS!$AD$320/100000000</f>
        <v>0</v>
      </c>
      <c r="AD249" s="150">
        <f>IS!$AE$320/100000000</f>
        <v>0</v>
      </c>
      <c r="AE249" s="150">
        <f>IS!$AF$320/100000000</f>
        <v>0</v>
      </c>
      <c r="AF249" s="150">
        <f>IS!$AG$320/100000000</f>
        <v>0</v>
      </c>
      <c r="AG249" s="150">
        <f>IS!$AH$320/100000000</f>
        <v>0</v>
      </c>
    </row>
    <row r="250" spans="2:35">
      <c r="B250" s="119"/>
      <c r="C250" s="119"/>
      <c r="D250" s="119"/>
      <c r="E250" s="119"/>
      <c r="F250" s="119"/>
      <c r="H250" s="110" t="s">
        <v>484</v>
      </c>
      <c r="I250" s="124"/>
      <c r="J250" s="150">
        <f>IS!$D$375/100000000</f>
        <v>1.95726545</v>
      </c>
      <c r="K250" s="150">
        <f>IS!$H$375/100000000</f>
        <v>1.77985576</v>
      </c>
      <c r="L250" s="150">
        <f>IS!$K$375/100000000</f>
        <v>0.31924012000000002</v>
      </c>
      <c r="M250" s="150">
        <f>IS!$O$375/100000000</f>
        <v>2.8320852300000001</v>
      </c>
      <c r="N250" s="150">
        <f>IS!$S$375/100000000</f>
        <v>44.597440460000001</v>
      </c>
      <c r="O250" s="125">
        <f t="shared" si="287"/>
        <v>5.26258333</v>
      </c>
      <c r="P250" s="125">
        <f t="shared" si="288"/>
        <v>22.937481729999998</v>
      </c>
      <c r="Q250" s="125">
        <f t="shared" si="289"/>
        <v>112.33270834</v>
      </c>
      <c r="R250" s="125">
        <f t="shared" si="290"/>
        <v>72.375687380000002</v>
      </c>
      <c r="S250" s="124"/>
      <c r="T250" s="124"/>
      <c r="U250" s="124"/>
      <c r="V250" s="150">
        <f>IS!$W$375/100000000</f>
        <v>5.26258333</v>
      </c>
      <c r="W250" s="150">
        <f>IS!$X$375/100000000</f>
        <v>1.2266950400000001</v>
      </c>
      <c r="X250" s="150">
        <f>IS!$Y$375/100000000</f>
        <v>2.5814184099999999</v>
      </c>
      <c r="Y250" s="150">
        <f>IS!$Z$375/100000000</f>
        <v>3.3703597099999998</v>
      </c>
      <c r="Z250" s="150">
        <f>IS!$AA$375/100000000</f>
        <v>22.937481729999998</v>
      </c>
      <c r="AA250" s="150">
        <f>IS!$AB$375/100000000</f>
        <v>98.745187200000004</v>
      </c>
      <c r="AB250" s="150">
        <f>IS!$AC$375/100000000</f>
        <v>101.87499988</v>
      </c>
      <c r="AC250" s="150">
        <f>IS!$AD$375/100000000</f>
        <v>104.57517303</v>
      </c>
      <c r="AD250" s="150">
        <f>IS!$AE$375/100000000</f>
        <v>112.33270834</v>
      </c>
      <c r="AE250" s="150">
        <f>IS!$AF$375/100000000</f>
        <v>24.510543070000001</v>
      </c>
      <c r="AF250" s="150">
        <f>IS!$AG$375/100000000</f>
        <v>25.557718210000001</v>
      </c>
      <c r="AG250" s="150">
        <f>IS!$AH$375/100000000</f>
        <v>72.375687380000002</v>
      </c>
    </row>
    <row r="251" spans="2:35">
      <c r="B251" s="119"/>
      <c r="C251" s="119"/>
      <c r="D251" s="119"/>
      <c r="E251" s="119"/>
      <c r="F251" s="119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124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</row>
    <row r="252" spans="2:35">
      <c r="B252" s="119"/>
      <c r="C252" s="119"/>
      <c r="D252" s="119"/>
      <c r="E252" s="119"/>
      <c r="F252" s="119"/>
      <c r="H252" s="110" t="s">
        <v>405</v>
      </c>
      <c r="J252" s="150">
        <f>IS!$D$435/100000000</f>
        <v>2662.4862869200001</v>
      </c>
      <c r="K252" s="150">
        <f>IS!$H$435/100000000</f>
        <v>2013.7634384099999</v>
      </c>
      <c r="L252" s="150">
        <f>IS!$K$435/100000000</f>
        <v>915.27660501000003</v>
      </c>
      <c r="M252" s="150">
        <f>IS!$O$435/100000000</f>
        <v>2814.2819054400002</v>
      </c>
      <c r="N252" s="150">
        <f>IS!$S$435/100000000</f>
        <v>3176.7187315699998</v>
      </c>
      <c r="O252" s="125">
        <f t="shared" ref="O252" si="306">V252</f>
        <v>3063.2858986599999</v>
      </c>
      <c r="P252" s="125">
        <f t="shared" ref="P252" si="307">Z252</f>
        <v>5909.8161652199997</v>
      </c>
      <c r="Q252" s="125">
        <f t="shared" ref="Q252:Q256" si="308">AD252</f>
        <v>6594.4490606500003</v>
      </c>
      <c r="R252" s="125">
        <f>AG252</f>
        <v>7038.4036136499999</v>
      </c>
      <c r="S252" s="124"/>
      <c r="T252" s="124"/>
      <c r="U252" s="124"/>
      <c r="V252" s="150">
        <f>IS!$W$435/100000000</f>
        <v>3063.2858986599999</v>
      </c>
      <c r="W252" s="150">
        <f>IS!$X$435/100000000</f>
        <v>1698.7424322700001</v>
      </c>
      <c r="X252" s="150">
        <f>IS!$Y$435/100000000</f>
        <v>3341.6012016099999</v>
      </c>
      <c r="Y252" s="150">
        <f>IS!$Z$435/100000000</f>
        <v>4780.92879412</v>
      </c>
      <c r="Z252" s="150">
        <f>IS!$AA$435/100000000</f>
        <v>5909.8161652199997</v>
      </c>
      <c r="AA252" s="150">
        <f>IS!$AB$435/100000000</f>
        <v>2114.2864189100001</v>
      </c>
      <c r="AB252" s="150">
        <f>IS!$AC$435/100000000</f>
        <v>3814.9490495700002</v>
      </c>
      <c r="AC252" s="150">
        <f>IS!$AD$435/100000000</f>
        <v>5384.6613445100002</v>
      </c>
      <c r="AD252" s="150">
        <f>IS!$AE$435/100000000</f>
        <v>6594.4490606500003</v>
      </c>
      <c r="AE252" s="150">
        <f>IS!$AF$435/100000000</f>
        <v>3079.7611408100001</v>
      </c>
      <c r="AF252" s="150">
        <f>IS!$AG$435/100000000</f>
        <v>5503.7041292000004</v>
      </c>
      <c r="AG252" s="150">
        <f>IS!$AH$435/100000000</f>
        <v>7038.4036136499999</v>
      </c>
      <c r="AI252" s="124"/>
    </row>
    <row r="253" spans="2:35">
      <c r="B253" s="119"/>
      <c r="C253" s="119"/>
      <c r="D253" s="119"/>
      <c r="E253" s="119"/>
      <c r="F253" s="119"/>
      <c r="H253" s="110" t="s">
        <v>406</v>
      </c>
      <c r="J253" s="150">
        <f>IS!$D$436/100000000</f>
        <v>516.28961156000003</v>
      </c>
      <c r="K253" s="150">
        <f>IS!$H$436/100000000</f>
        <v>423.5403086</v>
      </c>
      <c r="L253" s="150">
        <f>IS!$K$436/100000000</f>
        <v>159.89431918</v>
      </c>
      <c r="M253" s="150">
        <f>IS!$O$436/100000000</f>
        <v>613.35406317000002</v>
      </c>
      <c r="N253" s="150">
        <f>IS!$S$436/100000000</f>
        <v>616.10909491999996</v>
      </c>
      <c r="O253" s="125">
        <f t="shared" ref="O253" si="309">V253</f>
        <v>626.11290087999998</v>
      </c>
      <c r="P253" s="125">
        <f t="shared" ref="P253" si="310">Z253</f>
        <v>1187.01657832</v>
      </c>
      <c r="Q253" s="125">
        <f t="shared" si="308"/>
        <v>1559.34864118</v>
      </c>
      <c r="R253" s="125">
        <f>AG253</f>
        <v>1786.83504679</v>
      </c>
      <c r="S253" s="124"/>
      <c r="T253" s="124"/>
      <c r="U253" s="124"/>
      <c r="V253" s="150">
        <f>IS!$W$436/100000000</f>
        <v>626.11290087999998</v>
      </c>
      <c r="W253" s="150">
        <f>IS!$X$436/100000000</f>
        <v>266.45338476000001</v>
      </c>
      <c r="X253" s="150">
        <f>IS!$Y$436/100000000</f>
        <v>689.61247619000005</v>
      </c>
      <c r="Y253" s="150">
        <f>IS!$Z$436/100000000</f>
        <v>1026.57715233</v>
      </c>
      <c r="Z253" s="150">
        <f>IS!$AA$436/100000000</f>
        <v>1187.01657832</v>
      </c>
      <c r="AA253" s="150">
        <f>IS!$AB$436/100000000</f>
        <v>470.56753949</v>
      </c>
      <c r="AB253" s="150">
        <f>IS!$AC$436/100000000</f>
        <v>859.78631761999998</v>
      </c>
      <c r="AC253" s="150">
        <f>IS!$AD$436/100000000</f>
        <v>1249.37903471</v>
      </c>
      <c r="AD253" s="150">
        <f>IS!$AE$436/100000000</f>
        <v>1559.34864118</v>
      </c>
      <c r="AE253" s="150">
        <f>IS!$AF$436/100000000</f>
        <v>719.43666143999997</v>
      </c>
      <c r="AF253" s="150">
        <f>IS!$AG$436/100000000</f>
        <v>1391.9893119799999</v>
      </c>
      <c r="AG253" s="150">
        <f>IS!$AH$436/100000000</f>
        <v>1786.83504679</v>
      </c>
      <c r="AI253" s="124"/>
    </row>
    <row r="254" spans="2:35">
      <c r="B254" s="119"/>
      <c r="C254" s="119"/>
      <c r="D254" s="119"/>
      <c r="E254" s="119"/>
      <c r="F254" s="119"/>
      <c r="H254" s="110" t="s">
        <v>401</v>
      </c>
      <c r="J254" s="128">
        <f>J255-J256</f>
        <v>1701.1353888300005</v>
      </c>
      <c r="K254" s="128">
        <f>K255-K256</f>
        <v>3096.6409473299996</v>
      </c>
      <c r="L254" s="128">
        <f>L255-L256</f>
        <v>2010.5248479900001</v>
      </c>
      <c r="M254" s="128">
        <f>M255-M256</f>
        <v>2969.5957150900003</v>
      </c>
      <c r="N254" s="128">
        <f>N255-N256</f>
        <v>3674.2620870399996</v>
      </c>
      <c r="O254" s="125">
        <f>V254</f>
        <v>3401.9415722899998</v>
      </c>
      <c r="P254" s="125">
        <f>Z254</f>
        <v>3924.6731644900005</v>
      </c>
      <c r="Q254" s="125">
        <f t="shared" si="308"/>
        <v>5364.5009627700001</v>
      </c>
      <c r="R254" s="125">
        <f>AG254</f>
        <v>4104.6545493900003</v>
      </c>
      <c r="S254" s="124"/>
      <c r="T254" s="124"/>
      <c r="U254" s="124"/>
      <c r="V254" s="128">
        <f t="shared" ref="V254:AB254" si="311">V255-V256</f>
        <v>3401.9415722899998</v>
      </c>
      <c r="W254" s="128">
        <f t="shared" si="311"/>
        <v>918.30064574999994</v>
      </c>
      <c r="X254" s="128">
        <f t="shared" ref="X254:Y254" si="312">X255-X256</f>
        <v>1888.0411451199998</v>
      </c>
      <c r="Y254" s="128">
        <f t="shared" si="312"/>
        <v>2876.18526324</v>
      </c>
      <c r="Z254" s="128">
        <f t="shared" si="311"/>
        <v>3924.6731644900005</v>
      </c>
      <c r="AA254" s="128">
        <f t="shared" si="311"/>
        <v>1214.23578402</v>
      </c>
      <c r="AB254" s="128">
        <f t="shared" si="311"/>
        <v>2597.26242645</v>
      </c>
      <c r="AC254" s="128">
        <f t="shared" ref="AC254:AD254" si="313">AC255-AC256</f>
        <v>3949.6831210400001</v>
      </c>
      <c r="AD254" s="128">
        <f t="shared" si="313"/>
        <v>5364.5009627700001</v>
      </c>
      <c r="AE254" s="128">
        <f t="shared" ref="AE254:AF254" si="314">AE255-AE256</f>
        <v>1404.05609611</v>
      </c>
      <c r="AF254" s="128">
        <f t="shared" si="314"/>
        <v>2815.5562735899998</v>
      </c>
      <c r="AG254" s="128">
        <f t="shared" ref="AG254" si="315">AG255-AG256</f>
        <v>4104.6545493900003</v>
      </c>
      <c r="AH254" s="124"/>
    </row>
    <row r="255" spans="2:35">
      <c r="B255" s="119"/>
      <c r="C255" s="119"/>
      <c r="D255" s="119"/>
      <c r="E255" s="119"/>
      <c r="F255" s="119"/>
      <c r="H255" s="110" t="s">
        <v>402</v>
      </c>
      <c r="J255" s="150">
        <f>IS!$D$142/100000000</f>
        <v>5551.2180322100003</v>
      </c>
      <c r="K255" s="150">
        <f>IS!$H$142/100000000</f>
        <v>5864.9333689799996</v>
      </c>
      <c r="L255" s="150">
        <f>IS!$K$142/100000000</f>
        <v>3925.0696974500001</v>
      </c>
      <c r="M255" s="150">
        <f>IS!$O$142/100000000</f>
        <v>5613.6114008900004</v>
      </c>
      <c r="N255" s="150">
        <f>IS!$S$142/100000000</f>
        <v>5759.1469434199998</v>
      </c>
      <c r="O255" s="125">
        <f t="shared" ref="O255:O256" si="316">V255</f>
        <v>5450.3484079899999</v>
      </c>
      <c r="P255" s="125">
        <f t="shared" ref="P255:P256" si="317">Z255</f>
        <v>6100.1372361800004</v>
      </c>
      <c r="Q255" s="125">
        <f t="shared" si="308"/>
        <v>8385.5795937500006</v>
      </c>
      <c r="R255" s="125">
        <f>AG255</f>
        <v>7004.2469891000001</v>
      </c>
      <c r="S255" s="124"/>
      <c r="T255" s="124"/>
      <c r="U255" s="124"/>
      <c r="V255" s="150">
        <f>IS!$W$142/100000000</f>
        <v>5450.3484079899999</v>
      </c>
      <c r="W255" s="150">
        <f>IS!$X$142/100000000</f>
        <v>1404.68209222</v>
      </c>
      <c r="X255" s="150">
        <f>IS!$Y$142/100000000</f>
        <v>2903.1855206099999</v>
      </c>
      <c r="Y255" s="150">
        <f>IS!$Z$142/100000000</f>
        <v>4443.42798313</v>
      </c>
      <c r="Z255" s="150">
        <f>IS!$AA$142/100000000</f>
        <v>6100.1372361800004</v>
      </c>
      <c r="AA255" s="150">
        <f>IS!$AB$142/100000000</f>
        <v>1876.58191964</v>
      </c>
      <c r="AB255" s="150">
        <f>IS!$AC$142/100000000</f>
        <v>3990.50311784</v>
      </c>
      <c r="AC255" s="150">
        <f>IS!$AD$142/100000000</f>
        <v>6123.8527740700001</v>
      </c>
      <c r="AD255" s="150">
        <f>IS!$AE$142/100000000</f>
        <v>8385.5795937500006</v>
      </c>
      <c r="AE255" s="150">
        <f>IS!$AF$142/100000000</f>
        <v>2345.1847841899998</v>
      </c>
      <c r="AF255" s="150">
        <f>IS!$AG$142/100000000</f>
        <v>4759.4896529799998</v>
      </c>
      <c r="AG255" s="150">
        <f>IS!$AH$142/100000000</f>
        <v>7004.2469891000001</v>
      </c>
      <c r="AH255" s="124"/>
    </row>
    <row r="256" spans="2:35">
      <c r="B256" s="119"/>
      <c r="C256" s="119"/>
      <c r="D256" s="119"/>
      <c r="E256" s="119"/>
      <c r="F256" s="119"/>
      <c r="H256" s="110" t="s">
        <v>403</v>
      </c>
      <c r="J256" s="150">
        <f>IS!$D$299/100000000</f>
        <v>3850.0826433799998</v>
      </c>
      <c r="K256" s="150">
        <f>IS!$H$299/100000000</f>
        <v>2768.2924216500001</v>
      </c>
      <c r="L256" s="150">
        <f>IS!$K$299/100000000</f>
        <v>1914.54484946</v>
      </c>
      <c r="M256" s="150">
        <f>IS!$O$299/100000000</f>
        <v>2644.0156858</v>
      </c>
      <c r="N256" s="150">
        <f>IS!$S$299/100000000</f>
        <v>2084.8848563800002</v>
      </c>
      <c r="O256" s="125">
        <f t="shared" si="316"/>
        <v>2048.4068357000001</v>
      </c>
      <c r="P256" s="125">
        <f t="shared" si="317"/>
        <v>2175.4640716899999</v>
      </c>
      <c r="Q256" s="125">
        <f t="shared" si="308"/>
        <v>3021.0786309800001</v>
      </c>
      <c r="R256" s="125">
        <f>AG256</f>
        <v>2899.5924397099998</v>
      </c>
      <c r="S256" s="124"/>
      <c r="T256" s="124"/>
      <c r="U256" s="124"/>
      <c r="V256" s="150">
        <f>IS!$W$299/100000000</f>
        <v>2048.4068357000001</v>
      </c>
      <c r="W256" s="150">
        <f>IS!$X$299/100000000</f>
        <v>486.38144647000001</v>
      </c>
      <c r="X256" s="150">
        <f>IS!$Y$299/100000000</f>
        <v>1015.14437549</v>
      </c>
      <c r="Y256" s="150">
        <f>IS!$Z$299/100000000</f>
        <v>1567.24271989</v>
      </c>
      <c r="Z256" s="150">
        <f>IS!$AA$299/100000000</f>
        <v>2175.4640716899999</v>
      </c>
      <c r="AA256" s="150">
        <f>IS!$AB$299/100000000</f>
        <v>662.34613562000004</v>
      </c>
      <c r="AB256" s="150">
        <f>IS!$AC$299/100000000</f>
        <v>1393.2406913899999</v>
      </c>
      <c r="AC256" s="150">
        <f>IS!$AD$299/100000000</f>
        <v>2174.1696530300001</v>
      </c>
      <c r="AD256" s="150">
        <f>IS!$AE$299/100000000</f>
        <v>3021.0786309800001</v>
      </c>
      <c r="AE256" s="150">
        <f>IS!$AF$299/100000000</f>
        <v>941.12868807999996</v>
      </c>
      <c r="AF256" s="150">
        <f>IS!$AG$299/100000000</f>
        <v>1943.93337939</v>
      </c>
      <c r="AG256" s="150">
        <f>IS!$AH$299/100000000</f>
        <v>2899.5924397099998</v>
      </c>
      <c r="AH256" s="124"/>
      <c r="AI256" s="124"/>
    </row>
    <row r="257" spans="1:35"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  <c r="T257" s="124"/>
      <c r="U257" s="124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</row>
    <row r="258" spans="1:35"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  <c r="T258" s="124"/>
      <c r="U258" s="124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</row>
    <row r="259" spans="1:35"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  <c r="T259" s="124"/>
      <c r="U259" s="124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</row>
    <row r="260" spans="1:35" s="118" customFormat="1">
      <c r="A260" s="117" t="s">
        <v>409</v>
      </c>
      <c r="B260" s="117"/>
      <c r="C260" s="117"/>
      <c r="D260" s="117"/>
      <c r="E260" s="117"/>
      <c r="F260" s="117"/>
    </row>
    <row r="261" spans="1:35">
      <c r="I261" s="124"/>
      <c r="J261" s="385"/>
      <c r="K261" s="385"/>
      <c r="L261" s="385"/>
      <c r="M261" s="385"/>
      <c r="N261" s="385"/>
      <c r="O261" s="124"/>
      <c r="P261" s="124"/>
      <c r="Q261" s="124"/>
      <c r="R261" s="124"/>
      <c r="S261" s="124"/>
      <c r="T261" s="124"/>
      <c r="U261" s="124"/>
      <c r="V261" s="124"/>
      <c r="W261" s="124"/>
      <c r="X261" s="124"/>
      <c r="Y261" s="124"/>
      <c r="Z261" s="124"/>
      <c r="AA261" s="124"/>
      <c r="AB261" s="124"/>
      <c r="AC261" s="124"/>
      <c r="AD261" s="124"/>
      <c r="AE261" s="124"/>
      <c r="AF261" s="124"/>
      <c r="AG261" s="124"/>
    </row>
    <row r="262" spans="1:35">
      <c r="B262" s="119"/>
      <c r="C262" s="119"/>
      <c r="D262" s="119"/>
      <c r="E262" s="119"/>
      <c r="F262" s="119"/>
      <c r="H262" s="110" t="s">
        <v>515</v>
      </c>
      <c r="I262" s="124"/>
      <c r="J262" s="503"/>
      <c r="K262" s="129">
        <f>[24]GA140!$C$18</f>
        <v>2641</v>
      </c>
      <c r="L262" s="129">
        <f>[25]GA140!$C$18</f>
        <v>2597</v>
      </c>
      <c r="M262" s="129">
        <f>[26]GA140!$C$18</f>
        <v>2506</v>
      </c>
      <c r="N262" s="129">
        <f>[27]GA140!$C$18</f>
        <v>2489</v>
      </c>
      <c r="O262" s="125">
        <f t="shared" ref="O262:O263" si="318">V262</f>
        <v>2502</v>
      </c>
      <c r="P262" s="125">
        <f>Z262</f>
        <v>2580</v>
      </c>
      <c r="Q262" s="125">
        <f t="shared" ref="Q262:Q265" si="319">AD262</f>
        <v>2699</v>
      </c>
      <c r="R262" s="125">
        <f>AG262</f>
        <v>2726</v>
      </c>
      <c r="S262" s="124"/>
      <c r="T262" s="124"/>
      <c r="U262" s="124"/>
      <c r="V262" s="129">
        <f>[28]GA140!$C$18</f>
        <v>2502</v>
      </c>
      <c r="W262" s="129"/>
      <c r="X262" s="129"/>
      <c r="Y262" s="129"/>
      <c r="Z262" s="129">
        <f>[29]GA140!$C$18</f>
        <v>2580</v>
      </c>
      <c r="AA262" s="129">
        <f>[30]GA140!$C$18</f>
        <v>2587</v>
      </c>
      <c r="AB262" s="129">
        <f>[31]GA140!$C$18</f>
        <v>2605</v>
      </c>
      <c r="AC262" s="129">
        <f>[32]GA140!$C$18</f>
        <v>2631</v>
      </c>
      <c r="AD262" s="129">
        <f>[33]GA140!$C$19</f>
        <v>2699</v>
      </c>
      <c r="AE262" s="129">
        <f>[34]GA140!$D$20</f>
        <v>2704</v>
      </c>
      <c r="AF262" s="129">
        <f>[35]GA140!$D$20</f>
        <v>2723</v>
      </c>
      <c r="AG262" s="129">
        <f>[36]GA140!$D$20</f>
        <v>2726</v>
      </c>
    </row>
    <row r="263" spans="1:35">
      <c r="B263" s="119"/>
      <c r="C263" s="119"/>
      <c r="D263" s="119"/>
      <c r="E263" s="119"/>
      <c r="F263" s="119"/>
      <c r="H263" s="110" t="s">
        <v>516</v>
      </c>
      <c r="I263" s="124"/>
      <c r="J263" s="385"/>
      <c r="K263" s="129">
        <f>[24]GA140!$B$13</f>
        <v>109</v>
      </c>
      <c r="L263" s="129">
        <f>[25]GA140!$B$13</f>
        <v>109</v>
      </c>
      <c r="M263" s="129">
        <f>[26]GA140!$B$13</f>
        <v>103</v>
      </c>
      <c r="N263" s="129">
        <f>[27]GA140!$B$13</f>
        <v>93</v>
      </c>
      <c r="O263" s="125">
        <f t="shared" si="318"/>
        <v>88</v>
      </c>
      <c r="P263" s="125">
        <f>Z263</f>
        <v>78</v>
      </c>
      <c r="Q263" s="125">
        <f t="shared" si="319"/>
        <v>78</v>
      </c>
      <c r="R263" s="125">
        <f>AG263</f>
        <v>79</v>
      </c>
      <c r="S263" s="124"/>
      <c r="T263" s="124"/>
      <c r="U263" s="124"/>
      <c r="V263" s="129">
        <f>[28]GA140!$B$13</f>
        <v>88</v>
      </c>
      <c r="W263" s="129"/>
      <c r="X263" s="129"/>
      <c r="Y263" s="129"/>
      <c r="Z263" s="129">
        <f>[29]GA140!$B$13</f>
        <v>78</v>
      </c>
      <c r="AA263" s="129">
        <f>[30]GA140!$B$13</f>
        <v>78</v>
      </c>
      <c r="AB263" s="129">
        <f>[31]GA140!$B$13</f>
        <v>78</v>
      </c>
      <c r="AC263" s="129">
        <f>[32]GA140!$B$13</f>
        <v>78</v>
      </c>
      <c r="AD263" s="129">
        <f>[33]GA140!$B$13</f>
        <v>78</v>
      </c>
      <c r="AE263" s="129">
        <f>[34]GA140!$C$14</f>
        <v>79</v>
      </c>
      <c r="AF263" s="129">
        <f>[35]GA140!$C$14</f>
        <v>79</v>
      </c>
      <c r="AG263" s="129">
        <f>[36]GA140!$C$14</f>
        <v>79</v>
      </c>
    </row>
    <row r="264" spans="1:35">
      <c r="B264" s="119"/>
      <c r="C264" s="119"/>
      <c r="D264" s="119"/>
      <c r="E264" s="119"/>
      <c r="F264" s="119"/>
      <c r="H264" s="1302" t="s">
        <v>2357</v>
      </c>
      <c r="I264" s="124"/>
      <c r="J264" s="385"/>
      <c r="K264" s="129">
        <f>[24]GA140!$B$16</f>
        <v>2</v>
      </c>
      <c r="L264" s="129">
        <f>[25]GA140!$B$16</f>
        <v>2</v>
      </c>
      <c r="M264" s="129">
        <f>[26]GA140!$B$16</f>
        <v>3</v>
      </c>
      <c r="N264" s="129">
        <f>[27]GA140!$B$16</f>
        <v>3</v>
      </c>
      <c r="O264" s="125">
        <f t="shared" ref="O264" si="320">V264</f>
        <v>2</v>
      </c>
      <c r="P264" s="125">
        <f t="shared" ref="P264" si="321">Z264</f>
        <v>2</v>
      </c>
      <c r="Q264" s="125">
        <f t="shared" si="319"/>
        <v>2</v>
      </c>
      <c r="R264" s="125">
        <f>AG264</f>
        <v>3</v>
      </c>
      <c r="S264" s="124"/>
      <c r="T264" s="124"/>
      <c r="U264" s="124"/>
      <c r="V264" s="129">
        <f>[28]GA140!$B$16</f>
        <v>2</v>
      </c>
      <c r="W264" s="129"/>
      <c r="X264" s="129"/>
      <c r="Y264" s="129"/>
      <c r="Z264" s="129">
        <f>[29]GA140!$B$16</f>
        <v>2</v>
      </c>
      <c r="AA264" s="129">
        <f>[30]GA140!$B$16</f>
        <v>2</v>
      </c>
      <c r="AB264" s="129">
        <f>[31]GA140!$B$16</f>
        <v>2</v>
      </c>
      <c r="AC264" s="129">
        <f>[32]GA140!$B$16</f>
        <v>2</v>
      </c>
      <c r="AD264" s="129">
        <f>[33]GA140!$B$16</f>
        <v>2</v>
      </c>
      <c r="AE264" s="129">
        <f>[34]GA140!$C$18</f>
        <v>2</v>
      </c>
      <c r="AF264" s="129">
        <f>[35]GA140!$C$18</f>
        <v>3</v>
      </c>
      <c r="AG264" s="129">
        <f>[36]GA140!$C$18</f>
        <v>3</v>
      </c>
    </row>
    <row r="265" spans="1:35">
      <c r="B265" s="119"/>
      <c r="C265" s="119"/>
      <c r="D265" s="119"/>
      <c r="E265" s="119"/>
      <c r="F265" s="119"/>
      <c r="H265" s="1302" t="s">
        <v>2358</v>
      </c>
      <c r="I265" s="124"/>
      <c r="J265" s="385"/>
      <c r="K265" s="129">
        <f>[24]GA140!$B$17</f>
        <v>6</v>
      </c>
      <c r="L265" s="129">
        <f>[25]GA140!$B$17</f>
        <v>6</v>
      </c>
      <c r="M265" s="129">
        <f>[26]GA140!$B$17</f>
        <v>6</v>
      </c>
      <c r="N265" s="129">
        <f>[27]GA140!$B$17</f>
        <v>6</v>
      </c>
      <c r="O265" s="125">
        <f t="shared" ref="O265" si="322">V265</f>
        <v>6</v>
      </c>
      <c r="P265" s="125">
        <f t="shared" ref="P265" si="323">Z265</f>
        <v>6</v>
      </c>
      <c r="Q265" s="125">
        <f t="shared" si="319"/>
        <v>7</v>
      </c>
      <c r="R265" s="125">
        <f>AG265</f>
        <v>7</v>
      </c>
      <c r="S265" s="124"/>
      <c r="T265" s="124"/>
      <c r="U265" s="124"/>
      <c r="V265" s="129">
        <f>[28]GA140!$B$17</f>
        <v>6</v>
      </c>
      <c r="W265" s="129"/>
      <c r="X265" s="129"/>
      <c r="Y265" s="129"/>
      <c r="Z265" s="129">
        <f>[29]GA140!$B$17</f>
        <v>6</v>
      </c>
      <c r="AA265" s="129">
        <f>[30]GA140!$B$17</f>
        <v>6</v>
      </c>
      <c r="AB265" s="129">
        <f>[31]GA140!$B$17</f>
        <v>7</v>
      </c>
      <c r="AC265" s="129">
        <f>[32]GA140!$B$17</f>
        <v>7</v>
      </c>
      <c r="AD265" s="129">
        <f>[33]GA140!$B$17</f>
        <v>7</v>
      </c>
      <c r="AE265" s="129">
        <f>[34]GA140!$C$19</f>
        <v>7</v>
      </c>
      <c r="AF265" s="129">
        <f>[35]GA140!$C$19</f>
        <v>7</v>
      </c>
      <c r="AG265" s="129">
        <f>[36]GA140!$C$19</f>
        <v>7</v>
      </c>
    </row>
    <row r="266" spans="1:35">
      <c r="B266" s="119"/>
      <c r="C266" s="119"/>
      <c r="D266" s="119"/>
      <c r="E266" s="119"/>
      <c r="F266" s="119"/>
      <c r="I266" s="124"/>
      <c r="J266" s="385"/>
      <c r="K266" s="124"/>
      <c r="L266" s="124"/>
      <c r="M266" s="124"/>
      <c r="N266" s="124"/>
      <c r="O266" s="124"/>
      <c r="P266" s="124"/>
      <c r="Q266" s="124"/>
      <c r="R266" s="124"/>
      <c r="S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4"/>
    </row>
    <row r="267" spans="1:35">
      <c r="B267" s="119"/>
      <c r="C267" s="119"/>
      <c r="D267" s="119"/>
      <c r="E267" s="119"/>
      <c r="F267" s="119"/>
      <c r="H267" s="110" t="s">
        <v>410</v>
      </c>
      <c r="I267" s="124"/>
      <c r="J267" s="385"/>
      <c r="K267" s="129">
        <f>[24]GA033!$H$38/100000000</f>
        <v>248.54117968</v>
      </c>
      <c r="L267" s="129">
        <f>[25]GA033!$H$38/100000000</f>
        <v>432.62288897000002</v>
      </c>
      <c r="M267" s="129">
        <f>[26]GA033!$H$38/100000000</f>
        <v>312.25226832999999</v>
      </c>
      <c r="N267" s="129">
        <f>[27]GA033!$H$38/100000000</f>
        <v>369.53196846999998</v>
      </c>
      <c r="O267" s="125">
        <f t="shared" ref="O267:O269" si="324">V267</f>
        <v>372.7325606</v>
      </c>
      <c r="P267" s="125">
        <f>Z267</f>
        <v>370.26204631000002</v>
      </c>
      <c r="Q267" s="125">
        <f t="shared" ref="Q267:Q269" si="325">AD267</f>
        <v>1311.27496185</v>
      </c>
      <c r="R267" s="125">
        <f>AG267</f>
        <v>1517.6695480000001</v>
      </c>
      <c r="S267" s="124"/>
      <c r="T267" s="124"/>
      <c r="U267" s="124"/>
      <c r="V267" s="129">
        <f>[28]GA033!$H$38/100000000</f>
        <v>372.7325606</v>
      </c>
      <c r="W267" s="129"/>
      <c r="X267" s="129"/>
      <c r="Y267" s="129"/>
      <c r="Z267" s="129">
        <f>[29]GA033!$H$38/100000000</f>
        <v>370.26204631000002</v>
      </c>
      <c r="AA267" s="129">
        <f>[30]GA033!$H$38/100000000</f>
        <v>561.85680974000002</v>
      </c>
      <c r="AB267" s="129">
        <f>[31]GA033!$H$38/100000000</f>
        <v>564.84133749</v>
      </c>
      <c r="AC267" s="129">
        <f>[32]GA033!$H$38/100000000</f>
        <v>1285.455119</v>
      </c>
      <c r="AD267" s="129">
        <f>[33]GA033!$H$38/100000000</f>
        <v>1311.27496185</v>
      </c>
      <c r="AE267" s="129">
        <f>[34]GA033!$I$39/100000000</f>
        <v>1428.6943117999999</v>
      </c>
      <c r="AF267" s="129">
        <f>[35]GA033!$I$39/100000000</f>
        <v>1422.4243628900001</v>
      </c>
      <c r="AG267" s="129">
        <f>[36]GA033!$I$39/100000000</f>
        <v>1517.6695480000001</v>
      </c>
    </row>
    <row r="268" spans="1:35" s="120" customFormat="1">
      <c r="B268" s="119"/>
      <c r="C268" s="119"/>
      <c r="D268" s="119"/>
      <c r="E268" s="119"/>
      <c r="F268" s="119"/>
      <c r="H268" s="1242" t="s">
        <v>2120</v>
      </c>
      <c r="I268" s="123"/>
      <c r="J268" s="1243"/>
      <c r="K268" s="1244">
        <f>IF([24]GA033!$J$38/100000000&lt;0,-[24]GA033!$J$38/100000000,0)</f>
        <v>98.094756610000005</v>
      </c>
      <c r="L268" s="1244">
        <f>IF([25]GA033!$J$38/100000000&lt;0,-[25]GA033!$J$38/100000000,0)</f>
        <v>328.83484534000002</v>
      </c>
      <c r="M268" s="1244">
        <f>IF([26]GA033!$J$38/100000000&lt;0,-[26]GA033!$J$38/100000000,0)</f>
        <v>266.99344654999999</v>
      </c>
      <c r="N268" s="1244">
        <f>IF([27]GA033!$J$38/100000000&lt;0,-[27]GA033!$J$38/100000000,0)</f>
        <v>286.07514784</v>
      </c>
      <c r="O268" s="125">
        <f t="shared" ref="O268" si="326">V268</f>
        <v>89.940368910000004</v>
      </c>
      <c r="P268" s="125">
        <f t="shared" ref="P268" si="327">Z268</f>
        <v>702.38092245999997</v>
      </c>
      <c r="Q268" s="125">
        <f t="shared" si="325"/>
        <v>0</v>
      </c>
      <c r="R268" s="125">
        <f>AG268</f>
        <v>0</v>
      </c>
      <c r="S268" s="123"/>
      <c r="T268" s="123"/>
      <c r="U268" s="123"/>
      <c r="V268" s="1244">
        <f>IF([28]GA033!$J$38/100000000&lt;0,-[28]GA033!$J$38/100000000,0)</f>
        <v>89.940368910000004</v>
      </c>
      <c r="W268" s="1244"/>
      <c r="X268" s="1244"/>
      <c r="Y268" s="1244"/>
      <c r="Z268" s="1244">
        <f>IF([29]GA033!$J$38/100000000&lt;0,-[29]GA033!$J$38/100000000,0)</f>
        <v>702.38092245999997</v>
      </c>
      <c r="AA268" s="1244">
        <f>IF([30]GA033!$J$38/100000000&lt;0,-[30]GA033!$J$38/100000000,0)</f>
        <v>665.38061561999996</v>
      </c>
      <c r="AB268" s="1244">
        <f>IF([31]GA033!$J$38/100000000&lt;0,-[31]GA033!$J$38/100000000,0)</f>
        <v>716.81025655999997</v>
      </c>
      <c r="AC268" s="1244">
        <f>IF([32]GA033!$J$38/100000000&lt;0,-[32]GA033!$J$38/100000000,0)</f>
        <v>0</v>
      </c>
      <c r="AD268" s="1244">
        <f>IF([33]GA033!$J$38/100000000&lt;0,-[33]GA033!$J$38/100000000,0)</f>
        <v>0</v>
      </c>
      <c r="AE268" s="1244">
        <f>IF([34]GA033!$K$39/100000000&lt;0,-[34]GA033!$K$39/100000000,0)</f>
        <v>0</v>
      </c>
      <c r="AF268" s="1244">
        <f>IF([35]GA033!$K$39/100000000&lt;0,-[35]GA033!$K$39/100000000,0)</f>
        <v>0</v>
      </c>
      <c r="AG268" s="1244">
        <f>IF([36]GA033!$K$39/100000000&lt;0,-[36]GA033!$K$39/100000000,0)</f>
        <v>0</v>
      </c>
    </row>
    <row r="269" spans="1:35">
      <c r="B269" s="119"/>
      <c r="C269" s="119"/>
      <c r="D269" s="119"/>
      <c r="E269" s="119"/>
      <c r="F269" s="119"/>
      <c r="H269" s="110" t="s">
        <v>411</v>
      </c>
      <c r="I269" s="124"/>
      <c r="J269" s="385"/>
      <c r="K269" s="129">
        <f>[24]GA032!$G$38/100000000</f>
        <v>16097.496804480001</v>
      </c>
      <c r="L269" s="129">
        <f>[25]GA032!$G$38/100000000</f>
        <v>23411.490108689999</v>
      </c>
      <c r="M269" s="129">
        <f>[26]GA032!$G$38/100000000</f>
        <v>26212.96630624</v>
      </c>
      <c r="N269" s="129">
        <f>[27]GA032!$G$38/100000000</f>
        <v>30311.469786779999</v>
      </c>
      <c r="O269" s="125">
        <f t="shared" si="324"/>
        <v>45243.082949379997</v>
      </c>
      <c r="P269" s="125">
        <f>Z269</f>
        <v>67418.260616130006</v>
      </c>
      <c r="Q269" s="125">
        <f t="shared" si="325"/>
        <v>82989.910953230006</v>
      </c>
      <c r="R269" s="125">
        <f>AG269</f>
        <v>111827.8987429</v>
      </c>
      <c r="S269" s="124"/>
      <c r="T269" s="124"/>
      <c r="U269" s="124"/>
      <c r="V269" s="129">
        <f>[28]GA032!$G$38/100000000</f>
        <v>45243.082949379997</v>
      </c>
      <c r="W269" s="129"/>
      <c r="X269" s="129"/>
      <c r="Y269" s="129"/>
      <c r="Z269" s="129">
        <f>[29]GA032!$G$39/100000000</f>
        <v>67418.260616130006</v>
      </c>
      <c r="AA269" s="129">
        <f>[30]GA032!$G$39/100000000</f>
        <v>78898.621462569994</v>
      </c>
      <c r="AB269" s="129">
        <f>[31]GA032!$G$39/100000000</f>
        <v>81427.125106919993</v>
      </c>
      <c r="AC269" s="129">
        <f>[32]GA032!$G$39/100000000</f>
        <v>80646.916763379995</v>
      </c>
      <c r="AD269" s="129">
        <f>[33]GA032!$G$39/100000000</f>
        <v>82989.910953230006</v>
      </c>
      <c r="AE269" s="129">
        <f>[34]GA032!$H$40/100000000</f>
        <v>118168.35100372</v>
      </c>
      <c r="AF269" s="129">
        <f>[35]GA032!$H$40/100000000</f>
        <v>133929.06428364001</v>
      </c>
      <c r="AG269" s="129">
        <f>[36]GA032!$H$40/100000000</f>
        <v>111827.8987429</v>
      </c>
      <c r="AI269" s="110" t="s">
        <v>738</v>
      </c>
    </row>
    <row r="270" spans="1:35">
      <c r="B270" s="119"/>
      <c r="C270" s="119"/>
      <c r="D270" s="119"/>
      <c r="E270" s="119"/>
      <c r="F270" s="119"/>
      <c r="I270" s="124"/>
      <c r="J270" s="385"/>
      <c r="K270" s="129"/>
      <c r="L270" s="129"/>
      <c r="M270" s="129"/>
      <c r="N270" s="129"/>
      <c r="O270" s="125"/>
      <c r="P270" s="125"/>
      <c r="Q270" s="125"/>
      <c r="R270" s="125"/>
      <c r="S270" s="124"/>
      <c r="T270" s="124"/>
      <c r="U270" s="124"/>
      <c r="V270" s="129"/>
      <c r="W270" s="129"/>
      <c r="X270" s="129"/>
      <c r="Y270" s="129"/>
      <c r="Z270" s="129"/>
      <c r="AA270" s="129"/>
      <c r="AB270" s="129"/>
      <c r="AC270" s="129"/>
      <c r="AD270" s="129"/>
      <c r="AE270" s="129"/>
      <c r="AF270" s="129"/>
      <c r="AG270" s="129"/>
    </row>
    <row r="271" spans="1:35">
      <c r="B271" s="119"/>
      <c r="C271" s="119"/>
      <c r="D271" s="119"/>
      <c r="E271" s="119"/>
      <c r="F271" s="119"/>
      <c r="H271" s="110" t="s">
        <v>1283</v>
      </c>
      <c r="I271" s="124"/>
      <c r="J271" s="385"/>
      <c r="K271" s="1240">
        <f>[24]GA031!$C$13/100000000</f>
        <v>22794.47025857</v>
      </c>
      <c r="L271" s="1240">
        <f>[25]GA031!$C$13/100000000</f>
        <v>20855.915167409999</v>
      </c>
      <c r="M271" s="1240">
        <f>[26]GA031!$C$13/100000000</f>
        <v>22354.537245849999</v>
      </c>
      <c r="N271" s="129">
        <f>[27]GA331!$C$13/100000000</f>
        <v>23319.710716400001</v>
      </c>
      <c r="O271" s="125">
        <f t="shared" ref="O271:O281" si="328">V271</f>
        <v>28375.460349509998</v>
      </c>
      <c r="P271" s="125">
        <f t="shared" ref="P271:P275" si="329">Z271</f>
        <v>32236.587257679999</v>
      </c>
      <c r="Q271" s="125">
        <f t="shared" ref="Q271:Q275" si="330">AD271</f>
        <v>29935.513599779999</v>
      </c>
      <c r="R271" s="125">
        <f t="shared" ref="R271:R284" si="331">AG271</f>
        <v>31058.90318103</v>
      </c>
      <c r="S271" s="124"/>
      <c r="T271" s="124"/>
      <c r="U271" s="124"/>
      <c r="V271" s="129">
        <f>[28]GA331!$C$13/100000000</f>
        <v>28375.460349509998</v>
      </c>
      <c r="W271" s="129"/>
      <c r="X271" s="129"/>
      <c r="Y271" s="129"/>
      <c r="Z271" s="129">
        <f>[29]GA331!$C$13/100000000</f>
        <v>32236.587257679999</v>
      </c>
      <c r="AA271" s="129">
        <f>[30]GA331!$C$13/100000000</f>
        <v>26471.373336100001</v>
      </c>
      <c r="AB271" s="129">
        <f>[31]GA331!$C$13/100000000</f>
        <v>28436.60667216</v>
      </c>
      <c r="AC271" s="129">
        <f>[32]GA331!$C$13/100000000</f>
        <v>29723.136372199999</v>
      </c>
      <c r="AD271" s="129">
        <f>[33]GA331!$C$13/100000000</f>
        <v>29935.513599779999</v>
      </c>
      <c r="AE271" s="129">
        <f>[34]GA331!$D$14/100000000</f>
        <v>26723.49722085</v>
      </c>
      <c r="AF271" s="129">
        <f>[35]GA331!$D$14/100000000</f>
        <v>30287.474566860001</v>
      </c>
      <c r="AG271" s="129">
        <f>[36]GA331!$D$14/100000000</f>
        <v>31058.90318103</v>
      </c>
    </row>
    <row r="272" spans="1:35">
      <c r="B272" s="119"/>
      <c r="C272" s="119"/>
      <c r="D272" s="119"/>
      <c r="E272" s="119"/>
      <c r="F272" s="119"/>
      <c r="H272" s="110" t="s">
        <v>1284</v>
      </c>
      <c r="I272" s="124"/>
      <c r="J272" s="385"/>
      <c r="K272" s="1240">
        <f>[24]GA031!$C$35/100000000</f>
        <v>5051.4945556499997</v>
      </c>
      <c r="L272" s="1240">
        <f>[25]GA031!$C$35/100000000</f>
        <v>4901.8826767299997</v>
      </c>
      <c r="M272" s="129">
        <f>[26]GA031!$C$34/100000000</f>
        <v>5582.8472829900002</v>
      </c>
      <c r="N272" s="129">
        <f>[27]GA331!$C$35/100000000</f>
        <v>7284.4561459799997</v>
      </c>
      <c r="O272" s="125">
        <f t="shared" si="328"/>
        <v>8494.8518345899993</v>
      </c>
      <c r="P272" s="125">
        <f t="shared" si="329"/>
        <v>13204.90249022</v>
      </c>
      <c r="Q272" s="125">
        <f t="shared" si="330"/>
        <v>18172.86464489</v>
      </c>
      <c r="R272" s="125">
        <f t="shared" si="331"/>
        <v>25825.281489479999</v>
      </c>
      <c r="S272" s="124"/>
      <c r="T272" s="124"/>
      <c r="U272" s="124"/>
      <c r="V272" s="129">
        <f>[28]GA331!$C$35/100000000</f>
        <v>8494.8518345899993</v>
      </c>
      <c r="W272" s="129"/>
      <c r="X272" s="129"/>
      <c r="Y272" s="129"/>
      <c r="Z272" s="129">
        <f>[29]GA331!$C$35/100000000</f>
        <v>13204.90249022</v>
      </c>
      <c r="AA272" s="129">
        <f>[30]GA331!$C$35/100000000</f>
        <v>14046.672024449999</v>
      </c>
      <c r="AB272" s="129">
        <f>[31]GA331!$C$35/100000000</f>
        <v>15619.14398841</v>
      </c>
      <c r="AC272" s="129">
        <f>[32]GA331!$C$35/100000000</f>
        <v>15791.400172</v>
      </c>
      <c r="AD272" s="129">
        <f>[33]GA331!$C$35/100000000</f>
        <v>18172.86464489</v>
      </c>
      <c r="AE272" s="129">
        <f>[34]GA331!$D$36/100000000</f>
        <v>21133.164153289999</v>
      </c>
      <c r="AF272" s="129">
        <f>[35]GA331!$D$36/100000000</f>
        <v>24368.863660880001</v>
      </c>
      <c r="AG272" s="129">
        <f>[36]GA331!$D$36/100000000</f>
        <v>25825.281489479999</v>
      </c>
    </row>
    <row r="273" spans="2:33">
      <c r="B273" s="119"/>
      <c r="C273" s="119"/>
      <c r="D273" s="119"/>
      <c r="E273" s="119"/>
      <c r="F273" s="119"/>
      <c r="H273" s="110" t="s">
        <v>1285</v>
      </c>
      <c r="I273" s="124"/>
      <c r="J273" s="385"/>
      <c r="K273" s="1240">
        <f>[24]GA031!$C$50/100000000</f>
        <v>17742.975702920001</v>
      </c>
      <c r="L273" s="1240">
        <f>[25]GA031!$C$50/100000000</f>
        <v>15954.03249068</v>
      </c>
      <c r="M273" s="129">
        <f>[26]GA031!$C$49/100000000</f>
        <v>16771.68996286</v>
      </c>
      <c r="N273" s="129">
        <f>[27]GA331!$C$49/100000000</f>
        <v>16035.254570429999</v>
      </c>
      <c r="O273" s="125">
        <f t="shared" si="328"/>
        <v>19880.608514920001</v>
      </c>
      <c r="P273" s="125">
        <f t="shared" si="329"/>
        <v>19031.684767459999</v>
      </c>
      <c r="Q273" s="125">
        <f t="shared" si="330"/>
        <v>11762.648954890001</v>
      </c>
      <c r="R273" s="125">
        <f t="shared" si="331"/>
        <v>5233.6216915499999</v>
      </c>
      <c r="S273" s="124"/>
      <c r="T273" s="124"/>
      <c r="U273" s="124"/>
      <c r="V273" s="129">
        <f>[28]GA331!$C$49/100000000</f>
        <v>19880.608514920001</v>
      </c>
      <c r="W273" s="129"/>
      <c r="X273" s="129"/>
      <c r="Y273" s="129"/>
      <c r="Z273" s="129">
        <f>[29]GA331!$C$49/100000000</f>
        <v>19031.684767459999</v>
      </c>
      <c r="AA273" s="129">
        <f>[30]GA331!$C$49/100000000</f>
        <v>12424.70131165</v>
      </c>
      <c r="AB273" s="129">
        <f>[31]GA331!$C$49/100000000</f>
        <v>12817.46268375</v>
      </c>
      <c r="AC273" s="129">
        <f>[32]GA331!$C$49/100000000</f>
        <v>13931.736200200001</v>
      </c>
      <c r="AD273" s="129">
        <f>[33]GA331!$C$49/100000000</f>
        <v>11762.648954890001</v>
      </c>
      <c r="AE273" s="129">
        <f>[34]GA331!$D$50/100000000</f>
        <v>5590.33306756</v>
      </c>
      <c r="AF273" s="129">
        <f>[35]GA331!$D$50/100000000</f>
        <v>5918.6109059800001</v>
      </c>
      <c r="AG273" s="129">
        <f>[36]GA331!$D$50/100000000</f>
        <v>5233.6216915499999</v>
      </c>
    </row>
    <row r="274" spans="2:33">
      <c r="B274" s="119"/>
      <c r="C274" s="119"/>
      <c r="D274" s="119"/>
      <c r="E274" s="119"/>
      <c r="F274" s="119"/>
      <c r="H274" s="110" t="s">
        <v>628</v>
      </c>
      <c r="I274" s="124"/>
      <c r="J274" s="385"/>
      <c r="K274" s="129"/>
      <c r="L274" s="129"/>
      <c r="M274" s="129"/>
      <c r="N274" s="129">
        <f>[27]GA331!$C$51/100000000</f>
        <v>2688</v>
      </c>
      <c r="O274" s="125">
        <f t="shared" si="328"/>
        <v>1344</v>
      </c>
      <c r="P274" s="125">
        <f t="shared" si="329"/>
        <v>1343.9999999999998</v>
      </c>
      <c r="Q274" s="125">
        <f t="shared" si="330"/>
        <v>1344</v>
      </c>
      <c r="R274" s="125">
        <f t="shared" si="331"/>
        <v>1342.25</v>
      </c>
      <c r="S274" s="124"/>
      <c r="T274" s="124"/>
      <c r="U274" s="124"/>
      <c r="V274" s="129">
        <f>[28]GA331!$C$51/100000000</f>
        <v>1344</v>
      </c>
      <c r="W274" s="129"/>
      <c r="X274" s="129"/>
      <c r="Y274" s="129"/>
      <c r="Z274" s="129">
        <f>[29]GA331!$C$51/100000000</f>
        <v>1343.9999999999998</v>
      </c>
      <c r="AA274" s="129">
        <f>[30]GA331!$C$51/100000000</f>
        <v>1344</v>
      </c>
      <c r="AB274" s="129">
        <f>[31]GA331!$C$51/100000000</f>
        <v>1344</v>
      </c>
      <c r="AC274" s="129">
        <f>[32]GA331!$C$51/100000000</f>
        <v>1344</v>
      </c>
      <c r="AD274" s="129">
        <f>[33]GA331!$C$51/100000000</f>
        <v>1344</v>
      </c>
      <c r="AE274" s="129">
        <f>[34]GA331!$D$52/100000000</f>
        <v>1344</v>
      </c>
      <c r="AF274" s="129">
        <f>[35]GA331!$D$52/100000000</f>
        <v>1342.25</v>
      </c>
      <c r="AG274" s="129">
        <f>[36]GA331!$D$52/100000000</f>
        <v>1342.25</v>
      </c>
    </row>
    <row r="275" spans="2:33">
      <c r="B275" s="119"/>
      <c r="C275" s="119"/>
      <c r="D275" s="119"/>
      <c r="E275" s="119"/>
      <c r="F275" s="119"/>
      <c r="H275" s="110" t="s">
        <v>1291</v>
      </c>
      <c r="I275" s="124"/>
      <c r="J275" s="385"/>
      <c r="K275" s="130">
        <f t="shared" ref="K275" si="332">K271/K272*100</f>
        <v>451.24210285597206</v>
      </c>
      <c r="L275" s="130">
        <f t="shared" ref="L275" si="333">L271/L272*100</f>
        <v>425.46744879097724</v>
      </c>
      <c r="M275" s="130"/>
      <c r="N275" s="130"/>
      <c r="O275" s="130">
        <f t="shared" si="328"/>
        <v>1479.2</v>
      </c>
      <c r="P275" s="130">
        <f t="shared" si="329"/>
        <v>1416.048</v>
      </c>
      <c r="Q275" s="130">
        <f t="shared" si="330"/>
        <v>875.2</v>
      </c>
      <c r="R275" s="130">
        <f t="shared" si="331"/>
        <v>389.9</v>
      </c>
      <c r="S275" s="124"/>
      <c r="T275" s="124"/>
      <c r="U275" s="124"/>
      <c r="V275" s="510">
        <f>[28]GA331!$C$52</f>
        <v>1479.2</v>
      </c>
      <c r="W275" s="510"/>
      <c r="X275" s="510"/>
      <c r="Y275" s="510"/>
      <c r="Z275" s="510">
        <f>[29]GA331!$C$52</f>
        <v>1416.048</v>
      </c>
      <c r="AA275" s="510">
        <f>[30]GA331!$C$52</f>
        <v>924.5</v>
      </c>
      <c r="AB275" s="510">
        <f>[31]GA331!$C$52</f>
        <v>953.7</v>
      </c>
      <c r="AC275" s="510">
        <f>[32]GA331!$C$52</f>
        <v>1036.5999999999999</v>
      </c>
      <c r="AD275" s="510">
        <f>[33]GA331!$C$52</f>
        <v>875.2</v>
      </c>
      <c r="AE275" s="510">
        <f>[34]GA331!$D$53</f>
        <v>415.9</v>
      </c>
      <c r="AF275" s="510">
        <f>[35]GA331!$D$53</f>
        <v>440.9</v>
      </c>
      <c r="AG275" s="510">
        <f>[36]GA331!$D$53</f>
        <v>389.9</v>
      </c>
    </row>
    <row r="276" spans="2:33">
      <c r="B276" s="119"/>
      <c r="C276" s="119"/>
      <c r="D276" s="119"/>
      <c r="E276" s="119"/>
      <c r="F276" s="119"/>
      <c r="H276" s="1491" t="s">
        <v>2720</v>
      </c>
      <c r="K276" s="130">
        <f>K271/K272*100</f>
        <v>451.24210285597206</v>
      </c>
      <c r="L276" s="130">
        <f t="shared" ref="L276:N276" si="334">L271/L272*100</f>
        <v>425.46744879097724</v>
      </c>
      <c r="M276" s="130">
        <f t="shared" si="334"/>
        <v>400.41462917963975</v>
      </c>
      <c r="N276" s="130">
        <f t="shared" si="334"/>
        <v>320.12974268874166</v>
      </c>
      <c r="O276" s="130">
        <f t="shared" ref="O276" si="335">V276</f>
        <v>334.0312568368596</v>
      </c>
      <c r="P276" s="130">
        <f t="shared" ref="P276" si="336">Z276</f>
        <v>244.12590158507808</v>
      </c>
      <c r="Q276" s="130">
        <f t="shared" ref="Q276" si="337">AD276</f>
        <v>164.72644343497888</v>
      </c>
      <c r="R276" s="130">
        <f t="shared" si="331"/>
        <v>120.26549717834413</v>
      </c>
      <c r="V276" s="130">
        <f t="shared" ref="V276" si="338">V271/V272*100</f>
        <v>334.0312568368596</v>
      </c>
      <c r="Z276" s="130">
        <f t="shared" ref="Z276:AF276" si="339">Z271/Z272*100</f>
        <v>244.12590158507808</v>
      </c>
      <c r="AA276" s="130">
        <f t="shared" si="339"/>
        <v>188.45298936305514</v>
      </c>
      <c r="AB276" s="130">
        <f t="shared" si="339"/>
        <v>182.06251695522525</v>
      </c>
      <c r="AC276" s="130">
        <f t="shared" si="339"/>
        <v>188.22356503195073</v>
      </c>
      <c r="AD276" s="130">
        <f t="shared" si="339"/>
        <v>164.72644343497888</v>
      </c>
      <c r="AE276" s="130">
        <f t="shared" si="339"/>
        <v>126.45289189546043</v>
      </c>
      <c r="AF276" s="130">
        <f t="shared" si="339"/>
        <v>124.28759497506363</v>
      </c>
      <c r="AG276" s="130">
        <f t="shared" ref="AG276" si="340">AG271/AG272*100</f>
        <v>120.26549717834413</v>
      </c>
    </row>
    <row r="277" spans="2:33">
      <c r="B277" s="119"/>
      <c r="C277" s="119"/>
      <c r="D277" s="119"/>
      <c r="E277" s="119"/>
      <c r="F277" s="119"/>
      <c r="H277" s="110" t="s">
        <v>1286</v>
      </c>
      <c r="K277" s="129"/>
      <c r="L277" s="129"/>
      <c r="M277" s="129"/>
      <c r="N277" s="129"/>
      <c r="O277" s="125">
        <f t="shared" si="328"/>
        <v>30565.59255225</v>
      </c>
      <c r="P277" s="125">
        <f t="shared" ref="P277:P282" si="341">Z277</f>
        <v>34178.911393499999</v>
      </c>
      <c r="Q277" s="125">
        <f t="shared" ref="Q277:Q282" si="342">AD277</f>
        <v>32574.05482827</v>
      </c>
      <c r="R277" s="125">
        <f t="shared" si="331"/>
        <v>38090.303250110002</v>
      </c>
      <c r="S277" s="124"/>
      <c r="T277" s="124"/>
      <c r="U277" s="124"/>
      <c r="V277" s="129">
        <f>[28]GA332!$C$13/100000000</f>
        <v>30565.59255225</v>
      </c>
      <c r="W277" s="129"/>
      <c r="X277" s="129"/>
      <c r="Y277" s="129"/>
      <c r="Z277" s="129">
        <f>[29]GA332!$C$13/100000000</f>
        <v>34178.911393499999</v>
      </c>
      <c r="AA277" s="129">
        <f>[30]GA332!$C$13/100000000</f>
        <v>28579.61414922</v>
      </c>
      <c r="AB277" s="129">
        <f>[31]GA332!$C$13/100000000</f>
        <v>30517.97054418</v>
      </c>
      <c r="AC277" s="129">
        <f>[32]GA332!$C$13/100000000</f>
        <v>32033.040576660002</v>
      </c>
      <c r="AD277" s="129">
        <f>[33]GA332!$C$13/100000000</f>
        <v>32574.05482827</v>
      </c>
      <c r="AE277" s="129">
        <f>[34]GA332!$D$14/100000000</f>
        <v>32928.170406370002</v>
      </c>
      <c r="AF277" s="129">
        <f>[35]GA332!$D$14/100000000</f>
        <v>36872.022779259998</v>
      </c>
      <c r="AG277" s="129">
        <f>[36]GA332!$D$14/100000000</f>
        <v>38090.303250110002</v>
      </c>
    </row>
    <row r="278" spans="2:33">
      <c r="B278" s="119"/>
      <c r="C278" s="119"/>
      <c r="D278" s="119"/>
      <c r="E278" s="119"/>
      <c r="F278" s="119"/>
      <c r="H278" s="110" t="s">
        <v>1287</v>
      </c>
      <c r="K278" s="129"/>
      <c r="L278" s="129"/>
      <c r="M278" s="129"/>
      <c r="N278" s="129"/>
      <c r="O278" s="125">
        <f t="shared" si="328"/>
        <v>9026.9600008199996</v>
      </c>
      <c r="P278" s="125">
        <f t="shared" si="341"/>
        <v>14423.40346989</v>
      </c>
      <c r="Q278" s="125">
        <f t="shared" si="342"/>
        <v>18906.459308770001</v>
      </c>
      <c r="R278" s="125">
        <f t="shared" si="331"/>
        <v>26241.157098790001</v>
      </c>
      <c r="S278" s="124"/>
      <c r="T278" s="124"/>
      <c r="U278" s="124"/>
      <c r="V278" s="129">
        <f>[28]GA332!$C$35/100000000</f>
        <v>9026.9600008199996</v>
      </c>
      <c r="W278" s="129"/>
      <c r="X278" s="129"/>
      <c r="Y278" s="129"/>
      <c r="Z278" s="129">
        <f>[29]GA332!$C$35/100000000</f>
        <v>14423.40346989</v>
      </c>
      <c r="AA278" s="129">
        <f>[30]GA332!$C$35/100000000</f>
        <v>14656.77259296</v>
      </c>
      <c r="AB278" s="129">
        <f>[31]GA332!$C$35/100000000</f>
        <v>16412.799493179999</v>
      </c>
      <c r="AC278" s="129">
        <f>[32]GA332!$C$35/100000000</f>
        <v>16616.182210819999</v>
      </c>
      <c r="AD278" s="129">
        <f>[33]GA332!$C$35/100000000</f>
        <v>18906.459308770001</v>
      </c>
      <c r="AE278" s="129">
        <f>[34]GA332!$D$36/100000000</f>
        <v>22129.36126876</v>
      </c>
      <c r="AF278" s="129">
        <f>[35]GA332!$D$36/100000000</f>
        <v>25018.5056339</v>
      </c>
      <c r="AG278" s="129">
        <f>[36]GA332!$D$36/100000000</f>
        <v>26241.157098790001</v>
      </c>
    </row>
    <row r="279" spans="2:33">
      <c r="B279" s="119"/>
      <c r="C279" s="119"/>
      <c r="D279" s="119"/>
      <c r="E279" s="119"/>
      <c r="F279" s="119"/>
      <c r="H279" s="110" t="s">
        <v>1288</v>
      </c>
      <c r="K279" s="129"/>
      <c r="L279" s="129"/>
      <c r="M279" s="129"/>
      <c r="N279" s="129"/>
      <c r="O279" s="125">
        <f t="shared" si="328"/>
        <v>21538.632551430001</v>
      </c>
      <c r="P279" s="125">
        <f t="shared" si="341"/>
        <v>19755.507923609999</v>
      </c>
      <c r="Q279" s="125">
        <f t="shared" si="342"/>
        <v>13667.595519500001</v>
      </c>
      <c r="R279" s="125">
        <f t="shared" si="331"/>
        <v>11849.146151319999</v>
      </c>
      <c r="S279" s="124"/>
      <c r="T279" s="124"/>
      <c r="U279" s="124"/>
      <c r="V279" s="129">
        <f>[28]GA332!$C$49/100000000</f>
        <v>21538.632551430001</v>
      </c>
      <c r="W279" s="129"/>
      <c r="X279" s="129"/>
      <c r="Y279" s="129"/>
      <c r="Z279" s="129">
        <f>[29]GA332!$C$49/100000000</f>
        <v>19755.507923609999</v>
      </c>
      <c r="AA279" s="129">
        <f>[30]GA332!$C$49/100000000</f>
        <v>13922.84155626</v>
      </c>
      <c r="AB279" s="129">
        <f>[31]GA332!$C$49/100000000</f>
        <v>14105.171050999999</v>
      </c>
      <c r="AC279" s="129">
        <f>[32]GA332!$C$49/100000000</f>
        <v>15416.85836584</v>
      </c>
      <c r="AD279" s="129">
        <f>[33]GA332!$C$49/100000000</f>
        <v>13667.595519500001</v>
      </c>
      <c r="AE279" s="129">
        <f>[34]GA332!$D$50/100000000</f>
        <v>10798.80913761</v>
      </c>
      <c r="AF279" s="129">
        <f>[35]GA332!$D$50/100000000</f>
        <v>11853.51714536</v>
      </c>
      <c r="AG279" s="129">
        <f>[36]GA332!$D$50/100000000</f>
        <v>11849.146151319999</v>
      </c>
    </row>
    <row r="280" spans="2:33">
      <c r="B280" s="119"/>
      <c r="C280" s="119"/>
      <c r="D280" s="119"/>
      <c r="E280" s="119"/>
      <c r="F280" s="119"/>
      <c r="H280" s="110" t="s">
        <v>1289</v>
      </c>
      <c r="K280" s="129"/>
      <c r="L280" s="129"/>
      <c r="M280" s="129"/>
      <c r="N280" s="129"/>
      <c r="O280" s="125">
        <f t="shared" si="328"/>
        <v>1344</v>
      </c>
      <c r="P280" s="125">
        <f t="shared" si="341"/>
        <v>1344</v>
      </c>
      <c r="Q280" s="125">
        <f t="shared" si="342"/>
        <v>1344</v>
      </c>
      <c r="R280" s="125">
        <f t="shared" si="331"/>
        <v>1342.25</v>
      </c>
      <c r="S280" s="124"/>
      <c r="T280" s="124"/>
      <c r="U280" s="124"/>
      <c r="V280" s="129">
        <f>[28]GA332!$C$51/100000000</f>
        <v>1344</v>
      </c>
      <c r="W280" s="129"/>
      <c r="X280" s="129"/>
      <c r="Y280" s="129"/>
      <c r="Z280" s="129">
        <f>[29]GA332!$C$51/100000000</f>
        <v>1344</v>
      </c>
      <c r="AA280" s="129">
        <f>[30]GA332!$C$51/100000000</f>
        <v>1344</v>
      </c>
      <c r="AB280" s="129">
        <f>[31]GA332!$C$51/100000000</f>
        <v>1344</v>
      </c>
      <c r="AC280" s="129">
        <f>[32]GA332!$C$51/100000000</f>
        <v>1344</v>
      </c>
      <c r="AD280" s="129">
        <f>[33]GA332!$C$51/100000000</f>
        <v>1344</v>
      </c>
      <c r="AE280" s="129">
        <f>[34]GA332!$D$52/100000000</f>
        <v>1344</v>
      </c>
      <c r="AF280" s="129">
        <f>[35]GA332!$D$52/100000000</f>
        <v>1342.25</v>
      </c>
      <c r="AG280" s="129">
        <f>[36]GA332!$D$52/100000000</f>
        <v>1342.25</v>
      </c>
    </row>
    <row r="281" spans="2:33">
      <c r="B281" s="119"/>
      <c r="C281" s="119"/>
      <c r="D281" s="119"/>
      <c r="E281" s="119"/>
      <c r="F281" s="119"/>
      <c r="H281" s="110" t="s">
        <v>1290</v>
      </c>
      <c r="K281" s="510"/>
      <c r="L281" s="510"/>
      <c r="M281" s="510"/>
      <c r="N281" s="510"/>
      <c r="O281" s="125">
        <f t="shared" si="328"/>
        <v>1602.6</v>
      </c>
      <c r="P281" s="130">
        <f t="shared" si="341"/>
        <v>1469.9</v>
      </c>
      <c r="Q281" s="130">
        <f t="shared" si="342"/>
        <v>1016.9</v>
      </c>
      <c r="R281" s="130">
        <f t="shared" si="331"/>
        <v>882.8</v>
      </c>
      <c r="S281" s="124"/>
      <c r="T281" s="124"/>
      <c r="U281" s="124"/>
      <c r="V281" s="510">
        <f>[28]GA332!$C$52</f>
        <v>1602.6</v>
      </c>
      <c r="W281" s="510"/>
      <c r="X281" s="510"/>
      <c r="Y281" s="510"/>
      <c r="Z281" s="510">
        <f>[29]GA332!$C$52</f>
        <v>1469.9</v>
      </c>
      <c r="AA281" s="510">
        <f>[30]GA332!$C$52</f>
        <v>1035.9000000000001</v>
      </c>
      <c r="AB281" s="510">
        <f>[31]GA332!$C$52</f>
        <v>1049.5</v>
      </c>
      <c r="AC281" s="510">
        <f>[32]GA332!$C$52</f>
        <v>1147.0999999999999</v>
      </c>
      <c r="AD281" s="510">
        <f>[33]GA332!$C$52</f>
        <v>1016.9</v>
      </c>
      <c r="AE281" s="510">
        <f>[34]GA332!$D$53</f>
        <v>803.5</v>
      </c>
      <c r="AF281" s="510">
        <f>[35]GA332!$D$53</f>
        <v>883.1</v>
      </c>
      <c r="AG281" s="510">
        <f>[36]GA332!$D$53</f>
        <v>882.8</v>
      </c>
    </row>
    <row r="282" spans="2:33">
      <c r="B282" s="119"/>
      <c r="C282" s="119"/>
      <c r="D282" s="119"/>
      <c r="E282" s="119"/>
      <c r="F282" s="119"/>
      <c r="H282" s="1491" t="s">
        <v>2640</v>
      </c>
      <c r="O282" s="130">
        <f t="shared" ref="O282" si="343">V282</f>
        <v>338.60338972891708</v>
      </c>
      <c r="P282" s="130">
        <f t="shared" si="341"/>
        <v>236.96842055934434</v>
      </c>
      <c r="Q282" s="130">
        <f t="shared" si="342"/>
        <v>172.29061399751413</v>
      </c>
      <c r="R282" s="130">
        <f t="shared" si="331"/>
        <v>145.15481579837183</v>
      </c>
      <c r="V282" s="130">
        <f>V277/V278*100</f>
        <v>338.60338972891708</v>
      </c>
      <c r="Z282" s="130">
        <f t="shared" ref="Z282:AF282" si="344">Z277/Z278*100</f>
        <v>236.96842055934434</v>
      </c>
      <c r="AA282" s="130">
        <f t="shared" si="344"/>
        <v>194.99254674216257</v>
      </c>
      <c r="AB282" s="130">
        <f t="shared" si="344"/>
        <v>185.94006803568834</v>
      </c>
      <c r="AC282" s="130">
        <f t="shared" si="344"/>
        <v>192.78219370873876</v>
      </c>
      <c r="AD282" s="130">
        <f t="shared" si="344"/>
        <v>172.29061399751413</v>
      </c>
      <c r="AE282" s="130">
        <f t="shared" si="344"/>
        <v>148.79855774624039</v>
      </c>
      <c r="AF282" s="130">
        <f t="shared" si="344"/>
        <v>147.37899744618846</v>
      </c>
      <c r="AG282" s="130">
        <f t="shared" ref="AG282" si="345">AG277/AG278*100</f>
        <v>145.15481579837183</v>
      </c>
    </row>
    <row r="283" spans="2:33">
      <c r="B283" s="119"/>
      <c r="C283" s="119"/>
      <c r="D283" s="119"/>
      <c r="E283" s="119"/>
      <c r="F283" s="119"/>
      <c r="H283" s="1304" t="s">
        <v>2370</v>
      </c>
      <c r="Q283" s="130">
        <f>AD283</f>
        <v>72.307892736280408</v>
      </c>
      <c r="R283" s="130">
        <f t="shared" si="331"/>
        <v>0</v>
      </c>
      <c r="AA283" s="510">
        <f>[30]GA235!$C$26</f>
        <v>71.761695496569573</v>
      </c>
      <c r="AB283" s="510">
        <f>[31]GA235!$C$26</f>
        <v>76.240262219157813</v>
      </c>
      <c r="AC283" s="510">
        <f>[32]GA235!$C$26</f>
        <v>74.107812779092242</v>
      </c>
      <c r="AD283" s="510">
        <f>[33]GA235!$C$26</f>
        <v>72.307892736280408</v>
      </c>
      <c r="AE283" s="510">
        <f>[34]GA235!$D$27</f>
        <v>69.130592634006419</v>
      </c>
      <c r="AF283" s="510">
        <f>[35]GA235!$D$27</f>
        <v>66.985226099425731</v>
      </c>
      <c r="AG283" s="510">
        <f>[36]GA235!$D$27</f>
        <v>0</v>
      </c>
    </row>
    <row r="284" spans="2:33">
      <c r="B284" s="119"/>
      <c r="C284" s="119"/>
      <c r="D284" s="119"/>
      <c r="E284" s="119"/>
      <c r="F284" s="119"/>
      <c r="H284" s="1304" t="s">
        <v>2371</v>
      </c>
      <c r="Q284" s="130">
        <f>AD284</f>
        <v>90.861398039240385</v>
      </c>
      <c r="R284" s="130">
        <f t="shared" si="331"/>
        <v>0</v>
      </c>
      <c r="AA284" s="510">
        <f>[30]GA235!$E$26</f>
        <v>90.50716774587363</v>
      </c>
      <c r="AB284" s="510">
        <f>[31]GA235!$E$26</f>
        <v>93.700492360140686</v>
      </c>
      <c r="AC284" s="510">
        <f>[32]GA235!$E$26</f>
        <v>94.364069506277644</v>
      </c>
      <c r="AD284" s="510">
        <f>[33]GA235!$E$26</f>
        <v>90.861398039240385</v>
      </c>
      <c r="AE284" s="510">
        <f>[34]GA235!$F$27</f>
        <v>93.034152381783784</v>
      </c>
      <c r="AF284" s="510">
        <f>[35]GA235!$F$27</f>
        <v>87.165899294779706</v>
      </c>
      <c r="AG284" s="510">
        <f>[36]GA235!$F$27</f>
        <v>0</v>
      </c>
    </row>
    <row r="285" spans="2:33">
      <c r="B285" s="119"/>
      <c r="C285" s="119"/>
      <c r="D285" s="119"/>
      <c r="E285" s="119"/>
      <c r="F285" s="119"/>
    </row>
    <row r="286" spans="2:33">
      <c r="B286" s="119"/>
      <c r="C286" s="119"/>
      <c r="D286" s="119"/>
      <c r="E286" s="119"/>
      <c r="F286" s="119"/>
      <c r="G286" s="110" t="s">
        <v>412</v>
      </c>
      <c r="I286" s="124"/>
      <c r="J286" s="385"/>
      <c r="K286" s="128">
        <f t="shared" ref="K286:L286" si="346">SUM(K287:K291)</f>
        <v>16097.496804479999</v>
      </c>
      <c r="L286" s="128">
        <f t="shared" si="346"/>
        <v>23411.490108690003</v>
      </c>
      <c r="M286" s="128">
        <f t="shared" ref="M286:N286" si="347">SUM(M287:M291)</f>
        <v>26212.966306240003</v>
      </c>
      <c r="N286" s="128">
        <f t="shared" si="347"/>
        <v>30311.469786780002</v>
      </c>
      <c r="O286" s="125">
        <f t="shared" ref="O286" si="348">V286</f>
        <v>45243.082949379997</v>
      </c>
      <c r="P286" s="125">
        <f>Z286</f>
        <v>67418.260616129992</v>
      </c>
      <c r="Q286" s="125">
        <f t="shared" ref="Q286:Q293" si="349">AD286</f>
        <v>82989.910953229992</v>
      </c>
      <c r="R286" s="125">
        <f t="shared" ref="R286:R293" si="350">AG286</f>
        <v>111827.8987429</v>
      </c>
      <c r="S286" s="124"/>
      <c r="T286" s="124"/>
      <c r="U286" s="124"/>
      <c r="V286" s="128">
        <f t="shared" ref="V286:Z286" si="351">SUM(V287:V291)</f>
        <v>45243.082949379997</v>
      </c>
      <c r="W286" s="128"/>
      <c r="X286" s="128"/>
      <c r="Y286" s="128"/>
      <c r="Z286" s="128">
        <f t="shared" si="351"/>
        <v>67418.260616129992</v>
      </c>
      <c r="AA286" s="128">
        <f t="shared" ref="AA286:AB286" si="352">SUM(AA287:AA291)</f>
        <v>78898.621462570009</v>
      </c>
      <c r="AB286" s="128">
        <f t="shared" si="352"/>
        <v>81427.125106919993</v>
      </c>
      <c r="AC286" s="128">
        <f t="shared" ref="AC286:AD286" si="353">SUM(AC287:AC291)</f>
        <v>80646.91676338001</v>
      </c>
      <c r="AD286" s="128">
        <f t="shared" si="353"/>
        <v>82989.910953229992</v>
      </c>
      <c r="AE286" s="128">
        <f t="shared" ref="AE286:AF286" si="354">SUM(AE287:AE291)</f>
        <v>118168.35100372</v>
      </c>
      <c r="AF286" s="128">
        <f t="shared" si="354"/>
        <v>133929.06428364001</v>
      </c>
      <c r="AG286" s="128">
        <f t="shared" ref="AG286" si="355">SUM(AG287:AG291)</f>
        <v>111827.8987429</v>
      </c>
    </row>
    <row r="287" spans="2:33">
      <c r="B287" s="119"/>
      <c r="C287" s="119"/>
      <c r="D287" s="119"/>
      <c r="E287" s="119"/>
      <c r="F287" s="119"/>
      <c r="H287" s="110" t="s">
        <v>413</v>
      </c>
      <c r="I287" s="124"/>
      <c r="J287" s="385"/>
      <c r="K287" s="129">
        <f>[24]GA032!$B$38/100000000</f>
        <v>15661.83230803</v>
      </c>
      <c r="L287" s="129">
        <f>[25]GA032!$B$38/100000000</f>
        <v>22557.021657860001</v>
      </c>
      <c r="M287" s="129">
        <f>[26]GA032!$B$38/100000000</f>
        <v>25558.61017761</v>
      </c>
      <c r="N287" s="129">
        <f>[27]GA032!$B$38/100000000</f>
        <v>29637.883322180001</v>
      </c>
      <c r="O287" s="125">
        <f t="shared" ref="O287:O293" si="356">V287</f>
        <v>44821.009941149998</v>
      </c>
      <c r="P287" s="125">
        <f t="shared" ref="P287:P293" si="357">Z287</f>
        <v>67047.147419269997</v>
      </c>
      <c r="Q287" s="125">
        <f t="shared" si="349"/>
        <v>82522.846310909998</v>
      </c>
      <c r="R287" s="125">
        <f t="shared" si="350"/>
        <v>111296.62265373</v>
      </c>
      <c r="S287" s="124"/>
      <c r="T287" s="124"/>
      <c r="U287" s="124"/>
      <c r="V287" s="129">
        <f>[28]GA032!$B$38/100000000</f>
        <v>44821.009941149998</v>
      </c>
      <c r="W287" s="1240"/>
      <c r="X287" s="1240"/>
      <c r="Y287" s="1240"/>
      <c r="Z287" s="1240">
        <f>[29]GA032!$B$39/100000000</f>
        <v>67047.147419269997</v>
      </c>
      <c r="AA287" s="1240">
        <f>[30]GA032!$B$39/100000000</f>
        <v>78430.812510539996</v>
      </c>
      <c r="AB287" s="1240">
        <f>[31]GA032!$B$39/100000000</f>
        <v>80957.305471369997</v>
      </c>
      <c r="AC287" s="1240">
        <f>[32]GA032!$B$39/100000000</f>
        <v>80151.078547380006</v>
      </c>
      <c r="AD287" s="1244">
        <f>[33]GA032!$B$39/100000000</f>
        <v>82522.846310909998</v>
      </c>
      <c r="AE287" s="1244">
        <f>[34]GA032!$C$40/100000000</f>
        <v>117686.78351438</v>
      </c>
      <c r="AF287" s="1244">
        <f>[35]GA032!$C$40/100000000</f>
        <v>133440.92266459001</v>
      </c>
      <c r="AG287" s="1244">
        <f>[36]GA032!$C$40/100000000</f>
        <v>111296.62265373</v>
      </c>
    </row>
    <row r="288" spans="2:33">
      <c r="B288" s="119"/>
      <c r="C288" s="119"/>
      <c r="D288" s="119"/>
      <c r="E288" s="119"/>
      <c r="F288" s="119"/>
      <c r="H288" s="110" t="s">
        <v>414</v>
      </c>
      <c r="I288" s="124"/>
      <c r="J288" s="385"/>
      <c r="K288" s="129">
        <f>[24]GA032!$C$38/100000000</f>
        <v>64.596251839999994</v>
      </c>
      <c r="L288" s="129">
        <f>[25]GA032!$C$38/100000000</f>
        <v>85.335965880000003</v>
      </c>
      <c r="M288" s="129">
        <f>[26]GA032!$C$38/100000000</f>
        <v>44.616529610000001</v>
      </c>
      <c r="N288" s="129">
        <f>[27]GA032!$C$38/100000000</f>
        <v>27.54443337</v>
      </c>
      <c r="O288" s="125">
        <f t="shared" si="356"/>
        <v>48.375114490000001</v>
      </c>
      <c r="P288" s="125">
        <f t="shared" si="357"/>
        <v>1.15E-6</v>
      </c>
      <c r="Q288" s="125">
        <f t="shared" si="349"/>
        <v>0</v>
      </c>
      <c r="R288" s="125">
        <f t="shared" si="350"/>
        <v>0</v>
      </c>
      <c r="S288" s="124"/>
      <c r="T288" s="124"/>
      <c r="U288" s="124"/>
      <c r="V288" s="129">
        <f>[28]GA032!$C$38/100000000</f>
        <v>48.375114490000001</v>
      </c>
      <c r="W288" s="1240"/>
      <c r="X288" s="1240"/>
      <c r="Y288" s="1240"/>
      <c r="Z288" s="1240">
        <f>[29]GA032!$C$39/100000000</f>
        <v>1.15E-6</v>
      </c>
      <c r="AA288" s="1240">
        <f>[30]GA032!$C$39/100000000</f>
        <v>0</v>
      </c>
      <c r="AB288" s="1240">
        <f>[31]GA032!$C$39/100000000</f>
        <v>0</v>
      </c>
      <c r="AC288" s="1240">
        <f>[32]GA032!$C$39/100000000</f>
        <v>25</v>
      </c>
      <c r="AD288" s="1244">
        <f>[33]GA032!$C$39/100000000</f>
        <v>0</v>
      </c>
      <c r="AE288" s="1244">
        <f>[34]GA032!$D$40/100000000</f>
        <v>0</v>
      </c>
      <c r="AF288" s="1244">
        <f>[35]GA032!$D$40/100000000</f>
        <v>25</v>
      </c>
      <c r="AG288" s="1244">
        <f>[36]GA032!$D$40/100000000</f>
        <v>0</v>
      </c>
    </row>
    <row r="289" spans="2:35">
      <c r="B289" s="119"/>
      <c r="C289" s="119"/>
      <c r="D289" s="119"/>
      <c r="E289" s="119"/>
      <c r="F289" s="119"/>
      <c r="H289" s="110" t="s">
        <v>415</v>
      </c>
      <c r="I289" s="124"/>
      <c r="J289" s="385"/>
      <c r="K289" s="129">
        <f>[24]GA032!$D$38/100000000</f>
        <v>127.36112147999999</v>
      </c>
      <c r="L289" s="129">
        <f>[25]GA032!$D$38/100000000</f>
        <v>56.054479890000003</v>
      </c>
      <c r="M289" s="129">
        <f>[26]GA032!$D$38/100000000</f>
        <v>22.062526439999999</v>
      </c>
      <c r="N289" s="129">
        <f>[27]GA032!$D$38/100000000</f>
        <v>1.0982588600000001</v>
      </c>
      <c r="O289" s="125">
        <f t="shared" si="356"/>
        <v>0.88264894000000005</v>
      </c>
      <c r="P289" s="125">
        <f t="shared" si="357"/>
        <v>0.80971605000000002</v>
      </c>
      <c r="Q289" s="125">
        <f t="shared" si="349"/>
        <v>0.57437075000000004</v>
      </c>
      <c r="R289" s="125">
        <f t="shared" si="350"/>
        <v>0.60055086999999996</v>
      </c>
      <c r="S289" s="124"/>
      <c r="T289" s="124"/>
      <c r="U289" s="124"/>
      <c r="V289" s="129">
        <f>[28]GA032!$D$38/100000000</f>
        <v>0.88264894000000005</v>
      </c>
      <c r="W289" s="1240"/>
      <c r="X289" s="1240"/>
      <c r="Y289" s="1240"/>
      <c r="Z289" s="1240">
        <f>[29]GA032!$D$39/100000000</f>
        <v>0.80971605000000002</v>
      </c>
      <c r="AA289" s="1240">
        <f>[30]GA032!$D$39/100000000</f>
        <v>0.81975335000000005</v>
      </c>
      <c r="AB289" s="1240">
        <f>[31]GA032!$D$39/100000000</f>
        <v>0.82979064999999996</v>
      </c>
      <c r="AC289" s="1240">
        <f>[32]GA032!$D$39/100000000</f>
        <v>0.83982794999999999</v>
      </c>
      <c r="AD289" s="1244">
        <f>[33]GA032!$D$39/100000000</f>
        <v>0.57437075000000004</v>
      </c>
      <c r="AE289" s="1244">
        <f>[34]GA032!$E$40/100000000</f>
        <v>0.58277895999999996</v>
      </c>
      <c r="AF289" s="1244">
        <f>[35]GA032!$E$40/100000000</f>
        <v>6.9597023</v>
      </c>
      <c r="AG289" s="1244">
        <f>[36]GA032!$E$40/100000000</f>
        <v>0.60055086999999996</v>
      </c>
    </row>
    <row r="290" spans="2:35">
      <c r="B290" s="119"/>
      <c r="C290" s="119"/>
      <c r="D290" s="119"/>
      <c r="E290" s="119"/>
      <c r="F290" s="119"/>
      <c r="H290" s="110" t="s">
        <v>416</v>
      </c>
      <c r="I290" s="124"/>
      <c r="J290" s="385"/>
      <c r="K290" s="129">
        <f>[24]GA032!$E$38/100000000</f>
        <v>40.283500480000001</v>
      </c>
      <c r="L290" s="129">
        <f>[25]GA032!$E$38/100000000</f>
        <v>319.48742084999998</v>
      </c>
      <c r="M290" s="129">
        <f>[26]GA032!$E$38/100000000</f>
        <v>357.13737787999997</v>
      </c>
      <c r="N290" s="129">
        <f>[27]GA032!$E$38/100000000</f>
        <v>345.08645238000003</v>
      </c>
      <c r="O290" s="125">
        <f t="shared" si="356"/>
        <v>72.965619840000002</v>
      </c>
      <c r="P290" s="125">
        <f t="shared" si="357"/>
        <v>93.045215110000001</v>
      </c>
      <c r="Q290" s="125">
        <f t="shared" si="349"/>
        <v>87.227283170000007</v>
      </c>
      <c r="R290" s="125">
        <f t="shared" si="350"/>
        <v>111.77698221</v>
      </c>
      <c r="S290" s="124"/>
      <c r="T290" s="124"/>
      <c r="U290" s="124"/>
      <c r="V290" s="129">
        <f>[28]GA032!$E$38/100000000</f>
        <v>72.965619840000002</v>
      </c>
      <c r="W290" s="1240"/>
      <c r="X290" s="1240"/>
      <c r="Y290" s="1240"/>
      <c r="Z290" s="1240">
        <f>[29]GA032!$E$39/100000000</f>
        <v>93.045215110000001</v>
      </c>
      <c r="AA290" s="1240">
        <f>[30]GA032!$E$39/100000000</f>
        <v>189.75467891</v>
      </c>
      <c r="AB290" s="1240">
        <f>[31]GA032!$E$39/100000000</f>
        <v>93.462751999999995</v>
      </c>
      <c r="AC290" s="1240">
        <f>[32]GA032!$E$39/100000000</f>
        <v>93.428432819999998</v>
      </c>
      <c r="AD290" s="1244">
        <f>[33]GA032!$E$39/100000000</f>
        <v>87.227283170000007</v>
      </c>
      <c r="AE290" s="1244">
        <f>[34]GA032!$F$40/100000000</f>
        <v>104.04476821999999</v>
      </c>
      <c r="AF290" s="1244">
        <f>[35]GA032!$F$40/100000000</f>
        <v>52.151120720000002</v>
      </c>
      <c r="AG290" s="1244">
        <f>[36]GA032!$F$40/100000000</f>
        <v>111.77698221</v>
      </c>
    </row>
    <row r="291" spans="2:35">
      <c r="B291" s="119"/>
      <c r="C291" s="119"/>
      <c r="D291" s="119"/>
      <c r="E291" s="119"/>
      <c r="F291" s="119"/>
      <c r="H291" s="110" t="s">
        <v>417</v>
      </c>
      <c r="I291" s="124"/>
      <c r="J291" s="385"/>
      <c r="K291" s="129">
        <f>[24]GA032!$F$38/100000000</f>
        <v>203.42362265</v>
      </c>
      <c r="L291" s="129">
        <f>[25]GA032!$F$38/100000000</f>
        <v>393.59058420999997</v>
      </c>
      <c r="M291" s="129">
        <f>[26]GA032!$F$38/100000000</f>
        <v>230.53969470000001</v>
      </c>
      <c r="N291" s="129">
        <f>[27]GA032!$F$38/100000000</f>
        <v>299.85731999000001</v>
      </c>
      <c r="O291" s="125">
        <f t="shared" si="356"/>
        <v>299.84962496000003</v>
      </c>
      <c r="P291" s="125">
        <f t="shared" si="357"/>
        <v>277.25826454999998</v>
      </c>
      <c r="Q291" s="125">
        <f t="shared" si="349"/>
        <v>379.26298839999998</v>
      </c>
      <c r="R291" s="125">
        <f t="shared" si="350"/>
        <v>418.89855609</v>
      </c>
      <c r="S291" s="124"/>
      <c r="T291" s="124"/>
      <c r="U291" s="124"/>
      <c r="V291" s="129">
        <f>[28]GA032!$F$38/100000000</f>
        <v>299.84962496000003</v>
      </c>
      <c r="W291" s="1240"/>
      <c r="X291" s="1240"/>
      <c r="Y291" s="1240"/>
      <c r="Z291" s="1240">
        <f>[29]GA032!$F$39/100000000</f>
        <v>277.25826454999998</v>
      </c>
      <c r="AA291" s="1240">
        <f>[30]GA032!$F$39/100000000</f>
        <v>277.23451977000002</v>
      </c>
      <c r="AB291" s="1240">
        <f>[31]GA032!$F$39/100000000</f>
        <v>375.52709290000001</v>
      </c>
      <c r="AC291" s="1240">
        <f>[32]GA032!$F$39/100000000</f>
        <v>376.56995523000001</v>
      </c>
      <c r="AD291" s="1244">
        <f>[33]GA032!$F$39/100000000</f>
        <v>379.26298839999998</v>
      </c>
      <c r="AE291" s="1244">
        <f>[34]GA032!$G$40/100000000</f>
        <v>376.93994215999999</v>
      </c>
      <c r="AF291" s="1244">
        <f>[35]GA032!$G$40/100000000</f>
        <v>404.03079602999998</v>
      </c>
      <c r="AG291" s="1244">
        <f>[36]GA032!$G$40/100000000</f>
        <v>418.89855609</v>
      </c>
    </row>
    <row r="292" spans="2:35">
      <c r="B292" s="119"/>
      <c r="C292" s="119"/>
      <c r="D292" s="119"/>
      <c r="E292" s="119"/>
      <c r="F292" s="119"/>
      <c r="H292" s="110" t="s">
        <v>418</v>
      </c>
      <c r="I292" s="124"/>
      <c r="J292" s="128"/>
      <c r="K292" s="128">
        <f>K289+K290+K291</f>
        <v>371.06824460999997</v>
      </c>
      <c r="L292" s="128">
        <f>L289+L290+L291</f>
        <v>769.13248494999993</v>
      </c>
      <c r="M292" s="128">
        <f>M289+M290+M291</f>
        <v>609.73959902000001</v>
      </c>
      <c r="N292" s="128">
        <f>N289+N290+N291</f>
        <v>646.04203123000002</v>
      </c>
      <c r="O292" s="125">
        <f t="shared" si="356"/>
        <v>373.69789374000004</v>
      </c>
      <c r="P292" s="125">
        <f t="shared" si="357"/>
        <v>371.11319571000001</v>
      </c>
      <c r="Q292" s="125">
        <f t="shared" si="349"/>
        <v>467.06464231999996</v>
      </c>
      <c r="R292" s="125">
        <f t="shared" si="350"/>
        <v>531.27608916999998</v>
      </c>
      <c r="S292" s="124"/>
      <c r="T292" s="124"/>
      <c r="U292" s="124"/>
      <c r="V292" s="128">
        <f>V289+V290+V291</f>
        <v>373.69789374000004</v>
      </c>
      <c r="W292" s="128"/>
      <c r="X292" s="128"/>
      <c r="Y292" s="128"/>
      <c r="Z292" s="128">
        <f t="shared" ref="Z292:AE292" si="358">Z289+Z290+Z291</f>
        <v>371.11319571000001</v>
      </c>
      <c r="AA292" s="128">
        <f t="shared" si="358"/>
        <v>467.80895203</v>
      </c>
      <c r="AB292" s="128">
        <f t="shared" si="358"/>
        <v>469.81963555000004</v>
      </c>
      <c r="AC292" s="128">
        <f t="shared" si="358"/>
        <v>470.83821599999999</v>
      </c>
      <c r="AD292" s="128">
        <f t="shared" si="358"/>
        <v>467.06464231999996</v>
      </c>
      <c r="AE292" s="128">
        <f t="shared" si="358"/>
        <v>481.56748933999995</v>
      </c>
      <c r="AF292" s="128">
        <f t="shared" ref="AF292:AG292" si="359">AF289+AF290+AF291</f>
        <v>463.14161904999997</v>
      </c>
      <c r="AG292" s="128">
        <f t="shared" si="359"/>
        <v>531.27608916999998</v>
      </c>
    </row>
    <row r="293" spans="2:35">
      <c r="B293" s="119"/>
      <c r="C293" s="119"/>
      <c r="D293" s="119"/>
      <c r="E293" s="119"/>
      <c r="F293" s="119"/>
      <c r="H293" s="110" t="s">
        <v>558</v>
      </c>
      <c r="I293" s="124"/>
      <c r="J293" s="128"/>
      <c r="K293" s="128">
        <f>K292+K288</f>
        <v>435.66449644999994</v>
      </c>
      <c r="L293" s="128">
        <f>L292+L288</f>
        <v>854.46845082999994</v>
      </c>
      <c r="M293" s="128">
        <f>M292+M288</f>
        <v>654.35612863000006</v>
      </c>
      <c r="N293" s="128">
        <f>N292+N288</f>
        <v>673.5864646</v>
      </c>
      <c r="O293" s="125">
        <f t="shared" si="356"/>
        <v>422.07300823000003</v>
      </c>
      <c r="P293" s="125">
        <f t="shared" si="357"/>
        <v>371.11319686000002</v>
      </c>
      <c r="Q293" s="125">
        <f t="shared" si="349"/>
        <v>467.06464231999996</v>
      </c>
      <c r="R293" s="125">
        <f t="shared" si="350"/>
        <v>531.27608916999998</v>
      </c>
      <c r="S293" s="124"/>
      <c r="T293" s="124"/>
      <c r="U293" s="124"/>
      <c r="V293" s="128">
        <f>V292+V288</f>
        <v>422.07300823000003</v>
      </c>
      <c r="W293" s="128"/>
      <c r="X293" s="128"/>
      <c r="Y293" s="128"/>
      <c r="Z293" s="128">
        <f t="shared" ref="Z293:AE293" si="360">Z292+Z288</f>
        <v>371.11319686000002</v>
      </c>
      <c r="AA293" s="128">
        <f t="shared" si="360"/>
        <v>467.80895203</v>
      </c>
      <c r="AB293" s="128">
        <f t="shared" si="360"/>
        <v>469.81963555000004</v>
      </c>
      <c r="AC293" s="128">
        <f t="shared" si="360"/>
        <v>495.83821599999999</v>
      </c>
      <c r="AD293" s="128">
        <f t="shared" si="360"/>
        <v>467.06464231999996</v>
      </c>
      <c r="AE293" s="128">
        <f t="shared" si="360"/>
        <v>481.56748933999995</v>
      </c>
      <c r="AF293" s="128">
        <f t="shared" ref="AF293:AG293" si="361">AF292+AF288</f>
        <v>488.14161904999997</v>
      </c>
      <c r="AG293" s="128">
        <f t="shared" si="361"/>
        <v>531.27608916999998</v>
      </c>
    </row>
    <row r="294" spans="2:35">
      <c r="B294" s="119"/>
      <c r="C294" s="119"/>
      <c r="D294" s="119"/>
      <c r="E294" s="119"/>
      <c r="F294" s="119"/>
      <c r="I294" s="124"/>
      <c r="J294" s="163"/>
      <c r="K294" s="128"/>
      <c r="L294" s="128"/>
      <c r="M294" s="128"/>
      <c r="N294" s="128"/>
      <c r="O294" s="125"/>
      <c r="P294" s="125"/>
      <c r="Q294" s="125"/>
      <c r="R294" s="125"/>
      <c r="S294" s="124"/>
      <c r="T294" s="124"/>
      <c r="U294" s="124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</row>
    <row r="295" spans="2:35">
      <c r="B295" s="119"/>
      <c r="C295" s="119"/>
      <c r="D295" s="119"/>
      <c r="E295" s="119"/>
      <c r="F295" s="119"/>
      <c r="H295" s="110" t="s">
        <v>463</v>
      </c>
      <c r="I295" s="124"/>
      <c r="J295" s="163"/>
      <c r="K295" s="129">
        <f>[24]GA027!$B$13/100000000</f>
        <v>102.36409999999999</v>
      </c>
      <c r="L295" s="129">
        <f>[25]GA027!$B$13/100000000</f>
        <v>2385.4323060000002</v>
      </c>
      <c r="M295" s="129">
        <f>[26]GA027!$B$13/100000000</f>
        <v>5608.8545560000002</v>
      </c>
      <c r="N295" s="129">
        <f>[27]GA027!$B$13/100000000</f>
        <v>275.42225000000002</v>
      </c>
      <c r="O295" s="125">
        <f t="shared" ref="O295:O301" si="362">V295</f>
        <v>0</v>
      </c>
      <c r="P295" s="125">
        <f t="shared" ref="P295:P301" si="363">Z295</f>
        <v>0</v>
      </c>
      <c r="Q295" s="125">
        <f t="shared" ref="Q295:Q304" si="364">AD295</f>
        <v>0</v>
      </c>
      <c r="R295" s="125">
        <f t="shared" ref="R295:R304" si="365">AG295</f>
        <v>0</v>
      </c>
      <c r="S295" s="124"/>
      <c r="T295" s="124"/>
      <c r="U295" s="124"/>
      <c r="V295" s="129">
        <f>[28]GA027!$B$13/100000000</f>
        <v>0</v>
      </c>
      <c r="W295" s="129"/>
      <c r="X295" s="129"/>
      <c r="Y295" s="129"/>
      <c r="Z295" s="129">
        <f>[29]GA027!$B$13/100000000</f>
        <v>0</v>
      </c>
      <c r="AA295" s="129">
        <f>[30]GA027!$B$13/100000000</f>
        <v>0</v>
      </c>
      <c r="AB295" s="129">
        <f>[31]GA027!$B$13/100000000</f>
        <v>0</v>
      </c>
      <c r="AC295" s="129">
        <f>[32]GA027!$B$13/100000000</f>
        <v>0</v>
      </c>
      <c r="AD295" s="129">
        <f>[33]GA027!$B$13/100000000</f>
        <v>0</v>
      </c>
      <c r="AE295" s="129">
        <f>[34]GA027!$C$14/100000000</f>
        <v>0</v>
      </c>
      <c r="AF295" s="129">
        <f>[35]GA027!$C$14/100000000</f>
        <v>0</v>
      </c>
      <c r="AG295" s="129">
        <f>[36]GA027!$C$14/100000000</f>
        <v>0</v>
      </c>
    </row>
    <row r="296" spans="2:35">
      <c r="B296" s="119"/>
      <c r="C296" s="119"/>
      <c r="D296" s="119"/>
      <c r="E296" s="119"/>
      <c r="F296" s="119"/>
      <c r="H296" s="110" t="s">
        <v>464</v>
      </c>
      <c r="I296" s="124"/>
      <c r="J296" s="163"/>
      <c r="K296" s="129">
        <f>[24]GA027!$B$20/100000000</f>
        <v>3578</v>
      </c>
      <c r="L296" s="129">
        <f>[25]GA027!$B$20/100000000</f>
        <v>4696.3</v>
      </c>
      <c r="M296" s="129">
        <f>[26]GA027!$B$20/100000000</f>
        <v>5115.97</v>
      </c>
      <c r="N296" s="129">
        <f>[27]GA027!$B$20/100000000</f>
        <v>5910.35</v>
      </c>
      <c r="O296" s="125">
        <f t="shared" si="362"/>
        <v>12579.99842018</v>
      </c>
      <c r="P296" s="125">
        <f t="shared" si="363"/>
        <v>12339.76683868</v>
      </c>
      <c r="Q296" s="125">
        <f t="shared" si="364"/>
        <v>11442.425442670001</v>
      </c>
      <c r="R296" s="125">
        <f t="shared" si="365"/>
        <v>6759.7199731800001</v>
      </c>
      <c r="S296" s="124"/>
      <c r="T296" s="124"/>
      <c r="U296" s="124" t="s">
        <v>726</v>
      </c>
      <c r="V296" s="129">
        <f>[28]GA027!$B$20/100000000</f>
        <v>12579.99842018</v>
      </c>
      <c r="W296" s="129"/>
      <c r="X296" s="129"/>
      <c r="Y296" s="129"/>
      <c r="Z296" s="129">
        <f>[29]GA027!$B$20/100000000</f>
        <v>12339.76683868</v>
      </c>
      <c r="AA296" s="129">
        <f>[30]GA027!$B$20/100000000</f>
        <v>13743.505163309999</v>
      </c>
      <c r="AB296" s="129">
        <f>[31]GA027!$B$20/100000000</f>
        <v>11636.926524050001</v>
      </c>
      <c r="AC296" s="129">
        <f>[32]GA027!$B$20/100000000</f>
        <v>10292.32266933</v>
      </c>
      <c r="AD296" s="129">
        <f>[33]GA027!$B$20/100000000</f>
        <v>11442.425442670001</v>
      </c>
      <c r="AE296" s="129">
        <f>[34]GA027!$C$21/100000000</f>
        <v>10232.480207250001</v>
      </c>
      <c r="AF296" s="129">
        <f>[35]GA027!$C$21/100000000</f>
        <v>10335.654727409999</v>
      </c>
      <c r="AG296" s="129">
        <f>[36]GA027!$C$21/100000000</f>
        <v>6759.7199731800001</v>
      </c>
      <c r="AI296" s="110" t="s">
        <v>725</v>
      </c>
    </row>
    <row r="297" spans="2:35">
      <c r="B297" s="119"/>
      <c r="C297" s="119"/>
      <c r="D297" s="119"/>
      <c r="E297" s="119"/>
      <c r="F297" s="119"/>
      <c r="H297" s="110" t="s">
        <v>465</v>
      </c>
      <c r="I297" s="124"/>
      <c r="J297" s="163"/>
      <c r="K297" s="129">
        <f>[24]GA027!$B$21/100000000</f>
        <v>0</v>
      </c>
      <c r="L297" s="129">
        <f>[25]GA027!$B$21/100000000</f>
        <v>0</v>
      </c>
      <c r="M297" s="129">
        <f>[26]GA027!$B$21/100000000</f>
        <v>0</v>
      </c>
      <c r="N297" s="129">
        <f>[27]GA027!$B$21/100000000</f>
        <v>0</v>
      </c>
      <c r="O297" s="125">
        <f t="shared" si="362"/>
        <v>0</v>
      </c>
      <c r="P297" s="125">
        <f t="shared" si="363"/>
        <v>0</v>
      </c>
      <c r="Q297" s="125">
        <f t="shared" si="364"/>
        <v>0</v>
      </c>
      <c r="R297" s="125">
        <f t="shared" si="365"/>
        <v>0</v>
      </c>
      <c r="S297" s="124"/>
      <c r="T297" s="124"/>
      <c r="U297" s="124"/>
      <c r="V297" s="129">
        <f>[28]GA027!$B$21/100000000</f>
        <v>0</v>
      </c>
      <c r="W297" s="129"/>
      <c r="X297" s="129"/>
      <c r="Y297" s="129"/>
      <c r="Z297" s="129">
        <f>[29]GA027!$B$21/100000000</f>
        <v>0</v>
      </c>
      <c r="AA297" s="129">
        <f>[30]GA027!$B$21/100000000</f>
        <v>0</v>
      </c>
      <c r="AB297" s="129">
        <f>[31]GA027!$B$21/100000000</f>
        <v>0</v>
      </c>
      <c r="AC297" s="129">
        <f>[32]GA027!$B$21/100000000</f>
        <v>0</v>
      </c>
      <c r="AD297" s="129">
        <f>[33]GA027!$B$21/100000000</f>
        <v>0</v>
      </c>
      <c r="AE297" s="129">
        <f>[34]GA027!$C$22/100000000</f>
        <v>0</v>
      </c>
      <c r="AF297" s="129">
        <f>[35]GA027!$C$22/100000000</f>
        <v>0</v>
      </c>
      <c r="AG297" s="129">
        <f>[36]GA027!$C$22/100000000</f>
        <v>0</v>
      </c>
      <c r="AI297" s="110" t="s">
        <v>722</v>
      </c>
    </row>
    <row r="298" spans="2:35">
      <c r="B298" s="119"/>
      <c r="C298" s="119"/>
      <c r="D298" s="119"/>
      <c r="E298" s="119"/>
      <c r="F298" s="119"/>
      <c r="H298" s="573" t="s">
        <v>1416</v>
      </c>
      <c r="I298" s="124"/>
      <c r="J298" s="163"/>
      <c r="K298" s="129">
        <f>[24]GA027!$B$22/100000000</f>
        <v>0</v>
      </c>
      <c r="L298" s="129">
        <f>[25]GA027!$B$22/100000000</f>
        <v>0</v>
      </c>
      <c r="M298" s="129">
        <f>[26]GA027!$B$22/100000000</f>
        <v>0</v>
      </c>
      <c r="N298" s="129">
        <f>[27]GA027!$B$22/100000000</f>
        <v>4495</v>
      </c>
      <c r="O298" s="125">
        <f t="shared" si="362"/>
        <v>11150</v>
      </c>
      <c r="P298" s="125">
        <f t="shared" si="363"/>
        <v>19711.361607480001</v>
      </c>
      <c r="Q298" s="125">
        <f t="shared" si="364"/>
        <v>27947.700614410001</v>
      </c>
      <c r="R298" s="125">
        <f t="shared" si="365"/>
        <v>34798.975192940001</v>
      </c>
      <c r="S298" s="124"/>
      <c r="T298" s="124"/>
      <c r="U298" s="124"/>
      <c r="V298" s="129">
        <f>[28]GA027!$B$22/100000000</f>
        <v>11150</v>
      </c>
      <c r="W298" s="129"/>
      <c r="X298" s="129"/>
      <c r="Y298" s="129"/>
      <c r="Z298" s="129">
        <f>[29]GA027!$B$22/100000000+[29]GA027!$B$26/100000000</f>
        <v>19711.361607480001</v>
      </c>
      <c r="AA298" s="129">
        <f>[30]GA027!$B$22/100000000+[30]GA027!$B$26/100000000</f>
        <v>21538.650842989999</v>
      </c>
      <c r="AB298" s="129">
        <f>[31]GA027!$B$22/100000000+[31]GA027!$B$26/100000000</f>
        <v>24110.705949489999</v>
      </c>
      <c r="AC298" s="129">
        <f>[32]GA027!$B$22/100000000+[32]GA027!$B$26/100000000</f>
        <v>25666.225134380002</v>
      </c>
      <c r="AD298" s="129">
        <f>[33]GA027!$B$22/100000000+[33]GA027!$B$26/100000000</f>
        <v>27947.700614410001</v>
      </c>
      <c r="AE298" s="129">
        <f>[34]GA027!$C$23/100000000+[34]GA027!$C$27/100000000</f>
        <v>30389.44610659</v>
      </c>
      <c r="AF298" s="129">
        <f>[35]GA027!$C$23/100000000+[35]GA027!$C$27/100000000</f>
        <v>32892.34257606</v>
      </c>
      <c r="AG298" s="129">
        <f>[36]GA027!$C$23/100000000+[36]GA027!$C$27/100000000</f>
        <v>34798.975192940001</v>
      </c>
      <c r="AI298" s="110" t="s">
        <v>723</v>
      </c>
    </row>
    <row r="299" spans="2:35">
      <c r="B299" s="119"/>
      <c r="C299" s="119"/>
      <c r="D299" s="119"/>
      <c r="E299" s="119"/>
      <c r="F299" s="159"/>
      <c r="H299" s="110" t="s">
        <v>466</v>
      </c>
      <c r="I299" s="124"/>
      <c r="J299" s="163"/>
      <c r="K299" s="128">
        <f>K295+K296+K297+K298</f>
        <v>3680.3640999999998</v>
      </c>
      <c r="L299" s="128">
        <f>L295+L296+L297+L298</f>
        <v>7081.7323059999999</v>
      </c>
      <c r="M299" s="128">
        <f>M295+M296+M297+M298</f>
        <v>10724.824556</v>
      </c>
      <c r="N299" s="128">
        <f>N295+N296+N297+N298</f>
        <v>10680.77225</v>
      </c>
      <c r="O299" s="125">
        <f t="shared" si="362"/>
        <v>23729.99842018</v>
      </c>
      <c r="P299" s="125">
        <f t="shared" si="363"/>
        <v>32051.128446160001</v>
      </c>
      <c r="Q299" s="125">
        <f t="shared" si="364"/>
        <v>39390.12605708</v>
      </c>
      <c r="R299" s="125">
        <f t="shared" si="365"/>
        <v>41558.69516612</v>
      </c>
      <c r="S299" s="124"/>
      <c r="T299" s="124"/>
      <c r="U299" s="124"/>
      <c r="V299" s="128">
        <f>V295+V296+V297+V298</f>
        <v>23729.99842018</v>
      </c>
      <c r="W299" s="128"/>
      <c r="X299" s="128"/>
      <c r="Y299" s="128"/>
      <c r="Z299" s="128">
        <f t="shared" ref="Z299:AE299" si="366">Z295+Z296+Z297+Z298</f>
        <v>32051.128446160001</v>
      </c>
      <c r="AA299" s="128">
        <f t="shared" si="366"/>
        <v>35282.1560063</v>
      </c>
      <c r="AB299" s="128">
        <f t="shared" si="366"/>
        <v>35747.632473539998</v>
      </c>
      <c r="AC299" s="128">
        <f t="shared" si="366"/>
        <v>35958.547803710004</v>
      </c>
      <c r="AD299" s="128">
        <f t="shared" si="366"/>
        <v>39390.12605708</v>
      </c>
      <c r="AE299" s="128">
        <f t="shared" si="366"/>
        <v>40621.926313839998</v>
      </c>
      <c r="AF299" s="128">
        <f t="shared" ref="AF299:AG299" si="367">AF295+AF296+AF297+AF298</f>
        <v>43227.997303470001</v>
      </c>
      <c r="AG299" s="128">
        <f t="shared" si="367"/>
        <v>41558.69516612</v>
      </c>
      <c r="AI299" s="110" t="s">
        <v>724</v>
      </c>
    </row>
    <row r="300" spans="2:35">
      <c r="B300" s="119"/>
      <c r="C300" s="119"/>
      <c r="D300" s="119"/>
      <c r="E300" s="119"/>
      <c r="F300" s="119"/>
      <c r="H300" s="110" t="s">
        <v>501</v>
      </c>
      <c r="I300" s="124"/>
      <c r="J300" s="163"/>
      <c r="K300" s="163">
        <f>K299/K58*100</f>
        <v>11.521110941275211</v>
      </c>
      <c r="L300" s="163">
        <f>L299/L58*100</f>
        <v>22.971489673304369</v>
      </c>
      <c r="M300" s="163">
        <f>M299/M58*100</f>
        <v>33.616537797402394</v>
      </c>
      <c r="N300" s="163">
        <f>N299/N58*100</f>
        <v>32.416473605721926</v>
      </c>
      <c r="O300" s="130">
        <f t="shared" si="362"/>
        <v>58.266590938394756</v>
      </c>
      <c r="P300" s="130">
        <f t="shared" si="363"/>
        <v>75.560467018801219</v>
      </c>
      <c r="Q300" s="130">
        <f t="shared" si="364"/>
        <v>90.541642532799102</v>
      </c>
      <c r="R300" s="130">
        <f t="shared" si="365"/>
        <v>89.483620718097228</v>
      </c>
      <c r="S300" s="124"/>
      <c r="T300" s="124"/>
      <c r="U300" s="124"/>
      <c r="V300" s="163">
        <f>V299/V58*100</f>
        <v>58.266590938394756</v>
      </c>
      <c r="W300" s="163"/>
      <c r="X300" s="163"/>
      <c r="Y300" s="163"/>
      <c r="Z300" s="163">
        <f t="shared" ref="Z300:AE300" si="368">Z299/Z58*100</f>
        <v>75.560467018801219</v>
      </c>
      <c r="AA300" s="163">
        <f t="shared" si="368"/>
        <v>85.109179846127475</v>
      </c>
      <c r="AB300" s="163">
        <f t="shared" si="368"/>
        <v>82.933924436155493</v>
      </c>
      <c r="AC300" s="163">
        <f t="shared" si="368"/>
        <v>80.916383562641371</v>
      </c>
      <c r="AD300" s="163">
        <f t="shared" si="368"/>
        <v>90.541642532799102</v>
      </c>
      <c r="AE300" s="163">
        <f t="shared" si="368"/>
        <v>92.995351931496032</v>
      </c>
      <c r="AF300" s="163">
        <f t="shared" ref="AF300:AG300" si="369">AF299/AF58*100</f>
        <v>94.738738213429883</v>
      </c>
      <c r="AG300" s="163">
        <f t="shared" si="369"/>
        <v>89.483620718097228</v>
      </c>
    </row>
    <row r="301" spans="2:35">
      <c r="B301" s="119"/>
      <c r="C301" s="119"/>
      <c r="D301" s="119"/>
      <c r="E301" s="119"/>
      <c r="F301" s="119"/>
      <c r="H301" s="110" t="s">
        <v>739</v>
      </c>
      <c r="I301" s="124"/>
      <c r="J301" s="504"/>
      <c r="K301" s="128">
        <f>K296+K302</f>
        <v>3578</v>
      </c>
      <c r="L301" s="128">
        <f>L296+L302</f>
        <v>4696.3</v>
      </c>
      <c r="M301" s="128">
        <f>M296+M302</f>
        <v>5115.97</v>
      </c>
      <c r="N301" s="128">
        <f>N296+N302</f>
        <v>5910.35</v>
      </c>
      <c r="O301" s="125">
        <f t="shared" si="362"/>
        <v>12579.99842018</v>
      </c>
      <c r="P301" s="125">
        <f t="shared" si="363"/>
        <v>12339.76683868</v>
      </c>
      <c r="Q301" s="125">
        <f t="shared" si="364"/>
        <v>11442.425442670001</v>
      </c>
      <c r="R301" s="125">
        <f t="shared" si="365"/>
        <v>6759.7199731800001</v>
      </c>
      <c r="S301" s="124"/>
      <c r="T301" s="124"/>
      <c r="U301" s="124"/>
      <c r="V301" s="128">
        <f>V296+V302</f>
        <v>12579.99842018</v>
      </c>
      <c r="W301" s="128"/>
      <c r="X301" s="128"/>
      <c r="Y301" s="128"/>
      <c r="Z301" s="128">
        <f t="shared" ref="Z301:AE301" si="370">Z296+Z302</f>
        <v>12339.76683868</v>
      </c>
      <c r="AA301" s="128">
        <f t="shared" si="370"/>
        <v>13743.505163309999</v>
      </c>
      <c r="AB301" s="128">
        <f t="shared" si="370"/>
        <v>11636.926524050001</v>
      </c>
      <c r="AC301" s="128">
        <f t="shared" si="370"/>
        <v>10292.32266933</v>
      </c>
      <c r="AD301" s="128">
        <f t="shared" si="370"/>
        <v>11442.425442670001</v>
      </c>
      <c r="AE301" s="128">
        <f t="shared" si="370"/>
        <v>10232.480207250001</v>
      </c>
      <c r="AF301" s="128">
        <f t="shared" ref="AF301:AG301" si="371">AF296+AF302</f>
        <v>10335.654727409999</v>
      </c>
      <c r="AG301" s="128">
        <f t="shared" si="371"/>
        <v>6759.7199731800001</v>
      </c>
      <c r="AI301" s="110" t="s">
        <v>1271</v>
      </c>
    </row>
    <row r="302" spans="2:35">
      <c r="B302" s="119"/>
      <c r="C302" s="119"/>
      <c r="D302" s="119"/>
      <c r="E302" s="119"/>
      <c r="F302" s="119"/>
      <c r="H302" s="110" t="s">
        <v>1269</v>
      </c>
      <c r="I302" s="124"/>
      <c r="J302" s="504"/>
      <c r="K302" s="129"/>
      <c r="L302" s="129"/>
      <c r="M302" s="129"/>
      <c r="N302" s="129">
        <f>[27]GA027!$B$24/100000000</f>
        <v>0</v>
      </c>
      <c r="O302" s="125">
        <f t="shared" ref="O302:O304" si="372">V302</f>
        <v>0</v>
      </c>
      <c r="P302" s="125">
        <f t="shared" ref="P302:P304" si="373">Z302</f>
        <v>0</v>
      </c>
      <c r="Q302" s="125">
        <f t="shared" si="364"/>
        <v>0</v>
      </c>
      <c r="R302" s="125">
        <f t="shared" si="365"/>
        <v>0</v>
      </c>
      <c r="S302" s="124"/>
      <c r="T302" s="124"/>
      <c r="U302" s="124"/>
      <c r="V302" s="129">
        <f>[28]GA027!$B$24/100000000</f>
        <v>0</v>
      </c>
      <c r="W302" s="129"/>
      <c r="X302" s="129"/>
      <c r="Y302" s="129"/>
      <c r="Z302" s="129">
        <f>[29]GA027!$B$24/100000000</f>
        <v>0</v>
      </c>
      <c r="AA302" s="129">
        <f>[30]GA027!$B$24/100000000</f>
        <v>0</v>
      </c>
      <c r="AB302" s="129">
        <f>[31]GA027!$B$24/100000000</f>
        <v>0</v>
      </c>
      <c r="AC302" s="129">
        <f>[32]GA027!$B$24/100000000</f>
        <v>0</v>
      </c>
      <c r="AD302" s="129">
        <f>[33]GA027!$B$24/100000000</f>
        <v>0</v>
      </c>
      <c r="AE302" s="129">
        <f>[34]GA027!$C$25/100000000</f>
        <v>0</v>
      </c>
      <c r="AF302" s="129">
        <f>[35]GA027!$C$25/100000000</f>
        <v>0</v>
      </c>
      <c r="AG302" s="129">
        <f>[36]GA027!$C$25/100000000</f>
        <v>0</v>
      </c>
      <c r="AI302" s="110" t="s">
        <v>1270</v>
      </c>
    </row>
    <row r="303" spans="2:35">
      <c r="B303" s="119"/>
      <c r="C303" s="119"/>
      <c r="D303" s="119"/>
      <c r="E303" s="119"/>
      <c r="F303" s="119"/>
      <c r="H303" s="110" t="s">
        <v>740</v>
      </c>
      <c r="I303" s="124"/>
      <c r="J303" s="504"/>
      <c r="K303" s="129"/>
      <c r="L303" s="129"/>
      <c r="M303" s="129"/>
      <c r="N303" s="129">
        <f>[27]GA027!$B$25/100000000</f>
        <v>0</v>
      </c>
      <c r="O303" s="125">
        <f t="shared" si="372"/>
        <v>0</v>
      </c>
      <c r="P303" s="125">
        <f t="shared" si="373"/>
        <v>954.16793029999997</v>
      </c>
      <c r="Q303" s="125">
        <f t="shared" si="364"/>
        <v>2322.4186039699998</v>
      </c>
      <c r="R303" s="125">
        <f t="shared" si="365"/>
        <v>2035.0310034500001</v>
      </c>
      <c r="S303" s="124"/>
      <c r="T303" s="124"/>
      <c r="U303" s="124"/>
      <c r="V303" s="129">
        <f>[28]GA027!$B$25/100000000</f>
        <v>0</v>
      </c>
      <c r="W303" s="129"/>
      <c r="X303" s="129"/>
      <c r="Y303" s="129"/>
      <c r="Z303" s="129">
        <f>[29]GA027!$B$25/100000000</f>
        <v>954.16793029999997</v>
      </c>
      <c r="AA303" s="129">
        <f>[30]GA027!$B$25/100000000</f>
        <v>774.45716580999999</v>
      </c>
      <c r="AB303" s="129">
        <f>[31]GA027!$B$25/100000000</f>
        <v>1015.34393905</v>
      </c>
      <c r="AC303" s="129">
        <f>[32]GA027!$B$25/100000000</f>
        <v>1174.9431239400001</v>
      </c>
      <c r="AD303" s="129">
        <f>[33]GA027!$B$25/100000000</f>
        <v>2322.4186039699998</v>
      </c>
      <c r="AE303" s="129">
        <f>[34]GA027!$C$26/100000000</f>
        <v>1937.90795207</v>
      </c>
      <c r="AF303" s="129">
        <f>[35]GA027!$C$26/100000000</f>
        <v>1961.80442154</v>
      </c>
      <c r="AG303" s="129">
        <f>[36]GA027!$C$26/100000000</f>
        <v>2035.0310034500001</v>
      </c>
      <c r="AI303" s="110" t="s">
        <v>723</v>
      </c>
    </row>
    <row r="304" spans="2:35">
      <c r="B304" s="119"/>
      <c r="C304" s="119"/>
      <c r="D304" s="119"/>
      <c r="E304" s="119"/>
      <c r="F304" s="119"/>
      <c r="H304" s="110" t="s">
        <v>741</v>
      </c>
      <c r="I304" s="124"/>
      <c r="J304" s="504"/>
      <c r="K304" s="129"/>
      <c r="L304" s="129"/>
      <c r="M304" s="129"/>
      <c r="N304" s="129">
        <f>[27]GA027!$B$23/100000000</f>
        <v>4495</v>
      </c>
      <c r="O304" s="125">
        <f t="shared" si="372"/>
        <v>11150</v>
      </c>
      <c r="P304" s="125">
        <f t="shared" si="373"/>
        <v>18757.193677179999</v>
      </c>
      <c r="Q304" s="125">
        <f t="shared" si="364"/>
        <v>25625.282010440002</v>
      </c>
      <c r="R304" s="125">
        <f t="shared" si="365"/>
        <v>32763.944189490001</v>
      </c>
      <c r="S304" s="124"/>
      <c r="T304" s="124"/>
      <c r="U304" s="124"/>
      <c r="V304" s="129">
        <f>[28]GA027!$B$23/100000000</f>
        <v>11150</v>
      </c>
      <c r="W304" s="129"/>
      <c r="X304" s="129"/>
      <c r="Y304" s="129"/>
      <c r="Z304" s="129">
        <f>[29]GA027!$B$23/100000000</f>
        <v>18757.193677179999</v>
      </c>
      <c r="AA304" s="129">
        <f>[30]GA027!$B$23/100000000</f>
        <v>20764.193677179999</v>
      </c>
      <c r="AB304" s="129">
        <f>[31]GA027!$B$23/100000000</f>
        <v>23095.36201044</v>
      </c>
      <c r="AC304" s="129">
        <f>[32]GA027!$B$23/100000000</f>
        <v>24491.282010440002</v>
      </c>
      <c r="AD304" s="129">
        <f>[33]GA027!$B$23/100000000</f>
        <v>25625.282010440002</v>
      </c>
      <c r="AE304" s="129">
        <f>[34]GA027!$C$24/100000000</f>
        <v>28451.53815452</v>
      </c>
      <c r="AF304" s="129">
        <f>[35]GA027!$C$24/100000000</f>
        <v>30930.53815452</v>
      </c>
      <c r="AG304" s="129">
        <f>[36]GA027!$C$24/100000000</f>
        <v>32763.944189490001</v>
      </c>
    </row>
    <row r="305" spans="1:35">
      <c r="B305" s="119"/>
      <c r="C305" s="119"/>
      <c r="D305" s="119"/>
      <c r="E305" s="119"/>
      <c r="F305" s="119"/>
      <c r="I305" s="124"/>
      <c r="J305" s="385"/>
      <c r="K305" s="124"/>
      <c r="L305" s="124"/>
      <c r="M305" s="124"/>
      <c r="N305" s="124"/>
      <c r="O305" s="124"/>
      <c r="P305" s="124"/>
      <c r="Q305" s="124"/>
      <c r="R305" s="124"/>
      <c r="S305" s="124"/>
      <c r="T305" s="124"/>
      <c r="U305" s="124"/>
      <c r="V305" s="124"/>
      <c r="W305" s="124"/>
      <c r="X305" s="124"/>
      <c r="Y305" s="124"/>
      <c r="Z305" s="124"/>
      <c r="AA305" s="124"/>
      <c r="AB305" s="124"/>
      <c r="AC305" s="124"/>
      <c r="AD305" s="124"/>
      <c r="AE305" s="124"/>
      <c r="AF305" s="124"/>
      <c r="AG305" s="124"/>
    </row>
    <row r="306" spans="1:35">
      <c r="B306" s="119"/>
      <c r="C306" s="119"/>
      <c r="D306" s="119"/>
      <c r="E306" s="119"/>
      <c r="F306" s="119"/>
      <c r="H306" s="110" t="s">
        <v>419</v>
      </c>
      <c r="I306" s="124"/>
      <c r="J306" s="505"/>
      <c r="K306" s="129">
        <f>[24]GA040!$C$12/100000000</f>
        <v>138087.74935345</v>
      </c>
      <c r="L306" s="129">
        <f>[25]GA040!$C$12/100000000</f>
        <v>138148.11877413001</v>
      </c>
      <c r="M306" s="129">
        <f>[26]GA040!$C$12/100000000</f>
        <v>144624.18772923999</v>
      </c>
      <c r="N306" s="129">
        <f>[27]GA040!$C$12/100000000</f>
        <v>205813.76232923</v>
      </c>
      <c r="O306" s="125">
        <f t="shared" ref="O306:O307" si="374">V306</f>
        <v>138920.33412539001</v>
      </c>
      <c r="P306" s="125">
        <f>Z306</f>
        <v>182857.40900121999</v>
      </c>
      <c r="Q306" s="125">
        <f>AD306</f>
        <v>173437.69287873001</v>
      </c>
      <c r="R306" s="125">
        <f>AG306</f>
        <v>211076.41133689001</v>
      </c>
      <c r="S306" s="124"/>
      <c r="T306" s="124"/>
      <c r="U306" s="124"/>
      <c r="V306" s="129">
        <f>[28]GA040!$C$12/100000000</f>
        <v>138920.33412539001</v>
      </c>
      <c r="W306" s="129"/>
      <c r="X306" s="129"/>
      <c r="Y306" s="129"/>
      <c r="Z306" s="129">
        <f>[29]GA040!$C$12/100000000</f>
        <v>182857.40900121999</v>
      </c>
      <c r="AA306" s="129">
        <f>[30]GA040!$C$12/100000000</f>
        <v>165133.79462274999</v>
      </c>
      <c r="AB306" s="129">
        <f>[31]GA040!$C$12/100000000</f>
        <v>179139.52782220999</v>
      </c>
      <c r="AC306" s="129">
        <f>[32]GA040!$C$12/100000000</f>
        <v>182818.75350066999</v>
      </c>
      <c r="AD306" s="129">
        <f>[33]GA040!$C$12/100000000</f>
        <v>173437.69287873001</v>
      </c>
      <c r="AE306" s="129">
        <f>[34]GA040!$D$13/100000000</f>
        <v>199111.2855455</v>
      </c>
      <c r="AF306" s="129">
        <f>[35]GA040!$D$13/100000000</f>
        <v>252053.17089315999</v>
      </c>
      <c r="AG306" s="129">
        <f>[36]GA040!$D$13/100000000</f>
        <v>211076.41133689001</v>
      </c>
    </row>
    <row r="307" spans="1:35">
      <c r="B307" s="119"/>
      <c r="C307" s="119"/>
      <c r="D307" s="119"/>
      <c r="E307" s="119"/>
      <c r="F307" s="119"/>
      <c r="H307" s="110" t="s">
        <v>420</v>
      </c>
      <c r="I307" s="124"/>
      <c r="J307" s="505"/>
      <c r="K307" s="129">
        <f>[24]GA040!$C$13/100000000</f>
        <v>88376.639458100006</v>
      </c>
      <c r="L307" s="129">
        <f>[25]GA040!$C$13/100000000</f>
        <v>95773.062221960005</v>
      </c>
      <c r="M307" s="129">
        <f>[26]GA040!$C$13/100000000</f>
        <v>110290.47337362</v>
      </c>
      <c r="N307" s="129">
        <f>[27]GA040!$C$13/100000000</f>
        <v>148290.15466629001</v>
      </c>
      <c r="O307" s="125">
        <f t="shared" si="374"/>
        <v>104359.48053541</v>
      </c>
      <c r="P307" s="125">
        <f>Z307</f>
        <v>141106.60547226999</v>
      </c>
      <c r="Q307" s="125">
        <f>AD307</f>
        <v>163523.75855065999</v>
      </c>
      <c r="R307" s="125">
        <f>AG307</f>
        <v>190965.55962089001</v>
      </c>
      <c r="S307" s="124"/>
      <c r="T307" s="124"/>
      <c r="U307" s="124"/>
      <c r="V307" s="129">
        <f>[28]GA040!$C$13/100000000</f>
        <v>104359.48053541</v>
      </c>
      <c r="W307" s="129"/>
      <c r="X307" s="129"/>
      <c r="Y307" s="129"/>
      <c r="Z307" s="129">
        <f>[29]GA040!$C$13/100000000</f>
        <v>141106.60547226999</v>
      </c>
      <c r="AA307" s="129">
        <f>[30]GA040!$C$13/100000000</f>
        <v>149849.18678128</v>
      </c>
      <c r="AB307" s="129">
        <f>[31]GA040!$C$13/100000000</f>
        <v>158999.22733108001</v>
      </c>
      <c r="AC307" s="129">
        <f>[32]GA040!$C$13/100000000</f>
        <v>160488.75100749001</v>
      </c>
      <c r="AD307" s="129">
        <f>[33]GA040!$C$13/100000000</f>
        <v>163523.75855065999</v>
      </c>
      <c r="AE307" s="129">
        <f>[34]GA040!$D$14/100000000</f>
        <v>177788.49219284</v>
      </c>
      <c r="AF307" s="129">
        <f>[35]GA040!$D$14/100000000</f>
        <v>205524.75013815999</v>
      </c>
      <c r="AG307" s="129">
        <f>[36]GA040!$D$14/100000000</f>
        <v>190965.55962089001</v>
      </c>
    </row>
    <row r="308" spans="1:35">
      <c r="B308" s="119"/>
      <c r="C308" s="119"/>
      <c r="D308" s="119"/>
      <c r="E308" s="119"/>
      <c r="F308" s="119"/>
      <c r="I308" s="124"/>
      <c r="J308" s="385"/>
      <c r="K308" s="124"/>
      <c r="L308" s="124"/>
      <c r="M308" s="124"/>
      <c r="N308" s="124"/>
      <c r="O308" s="124"/>
      <c r="P308" s="124"/>
      <c r="Q308" s="124"/>
      <c r="R308" s="124"/>
      <c r="S308" s="124"/>
      <c r="T308" s="124"/>
      <c r="U308" s="124"/>
      <c r="V308" s="124"/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</row>
    <row r="309" spans="1:35">
      <c r="B309" s="119"/>
      <c r="C309" s="119"/>
      <c r="D309" s="119"/>
      <c r="E309" s="119"/>
      <c r="F309" s="119"/>
      <c r="G309" s="110" t="s">
        <v>1282</v>
      </c>
      <c r="J309" s="125"/>
      <c r="K309" s="125">
        <f>K310+K144</f>
        <v>529752.52106518007</v>
      </c>
      <c r="L309" s="125">
        <f>L310+L144</f>
        <v>551721.40484181989</v>
      </c>
      <c r="M309" s="125">
        <f>M310+M144</f>
        <v>847764.02623865998</v>
      </c>
      <c r="N309" s="125">
        <f>N310+N144</f>
        <v>1099161.17325735</v>
      </c>
      <c r="O309" s="125">
        <f t="shared" ref="O309:O310" si="375">V309</f>
        <v>1233925.9891713499</v>
      </c>
      <c r="P309" s="125">
        <f>Z309</f>
        <v>1357329.3873311998</v>
      </c>
      <c r="Q309" s="125">
        <f>AD309</f>
        <v>1147413.87087792</v>
      </c>
      <c r="R309" s="125">
        <f>AG309</f>
        <v>1204013.2941014499</v>
      </c>
      <c r="V309" s="125">
        <f>V310+V144</f>
        <v>1233925.9891713499</v>
      </c>
      <c r="W309" s="125"/>
      <c r="X309" s="125"/>
      <c r="Y309" s="125"/>
      <c r="Z309" s="125">
        <f t="shared" ref="Z309:AE309" si="376">Z310+Z144</f>
        <v>1357329.3873311998</v>
      </c>
      <c r="AA309" s="125">
        <f t="shared" si="376"/>
        <v>1429619.24596575</v>
      </c>
      <c r="AB309" s="125">
        <f t="shared" si="376"/>
        <v>1423822.72261053</v>
      </c>
      <c r="AC309" s="125">
        <f t="shared" si="376"/>
        <v>1276667.6086551601</v>
      </c>
      <c r="AD309" s="125">
        <f t="shared" si="376"/>
        <v>1147413.87087792</v>
      </c>
      <c r="AE309" s="125">
        <f t="shared" si="376"/>
        <v>1221284.80724296</v>
      </c>
      <c r="AF309" s="125">
        <f t="shared" ref="AF309:AG309" si="377">AF310+AF144</f>
        <v>1226785.11085814</v>
      </c>
      <c r="AG309" s="125">
        <f t="shared" si="377"/>
        <v>1204013.2941014499</v>
      </c>
      <c r="AI309" s="110" t="s">
        <v>894</v>
      </c>
    </row>
    <row r="310" spans="1:35">
      <c r="B310" s="119"/>
      <c r="C310" s="119"/>
      <c r="D310" s="119"/>
      <c r="E310" s="119"/>
      <c r="F310" s="119"/>
      <c r="H310" s="1241" t="s">
        <v>2121</v>
      </c>
      <c r="I310" s="124"/>
      <c r="J310" s="124"/>
      <c r="K310" s="1239">
        <f>[24]GA027!$B$24/100000000</f>
        <v>516802.94163353002</v>
      </c>
      <c r="L310" s="1239">
        <f>[25]GA027!$B$24/100000000</f>
        <v>537080.49505529995</v>
      </c>
      <c r="M310" s="1239">
        <f>[26]GA027!$B$24/100000000</f>
        <v>825486.97007223999</v>
      </c>
      <c r="N310" s="507">
        <f>[27]GA027!$B$28/100000000</f>
        <v>1064367.09947056</v>
      </c>
      <c r="O310" s="125">
        <f t="shared" si="375"/>
        <v>1197316.2397191499</v>
      </c>
      <c r="P310" s="125">
        <f>Z310</f>
        <v>1323904.4940555899</v>
      </c>
      <c r="Q310" s="125">
        <f>AD310</f>
        <v>1108440.54846978</v>
      </c>
      <c r="R310" s="125">
        <f>AG310</f>
        <v>1165984.2692941399</v>
      </c>
      <c r="S310" s="124"/>
      <c r="T310" s="124"/>
      <c r="U310" s="124"/>
      <c r="V310" s="507">
        <f>[28]GA027!$B$28/100000000</f>
        <v>1197316.2397191499</v>
      </c>
      <c r="W310" s="507"/>
      <c r="X310" s="507"/>
      <c r="Y310" s="507"/>
      <c r="Z310" s="507">
        <f>[29]GA027!$B$28/100000000</f>
        <v>1323904.4940555899</v>
      </c>
      <c r="AA310" s="507">
        <f>[30]GA027!$B$28/100000000</f>
        <v>1391098.5273918901</v>
      </c>
      <c r="AB310" s="507">
        <f>[31]GA027!$B$28/100000000</f>
        <v>1383647.68625415</v>
      </c>
      <c r="AC310" s="507">
        <f>[32]GA027!$B$28/100000000</f>
        <v>1238387.83458954</v>
      </c>
      <c r="AD310" s="507">
        <f>[33]GA027!$B$28/100000000</f>
        <v>1108440.54846978</v>
      </c>
      <c r="AE310" s="507">
        <f>[34]GA027!$C$29/100000000</f>
        <v>1181880.84191818</v>
      </c>
      <c r="AF310" s="507">
        <f>[35]GA027!$C$29/100000000</f>
        <v>1189403.85238827</v>
      </c>
      <c r="AG310" s="507">
        <f>[36]GA027!$C$29/100000000</f>
        <v>1165984.2692941399</v>
      </c>
      <c r="AI310" s="110" t="s">
        <v>895</v>
      </c>
    </row>
    <row r="312" spans="1:35">
      <c r="H312" s="1491" t="s">
        <v>2480</v>
      </c>
      <c r="M312" s="510"/>
      <c r="N312" s="129">
        <f>[27]GA333!$C$13/100000000</f>
        <v>247528.72385777</v>
      </c>
      <c r="O312" s="129">
        <f>[28]GA333!$C$13/100000000</f>
        <v>288524.61419831001</v>
      </c>
      <c r="P312" s="129">
        <f>[29]GA333!$C$13/100000000</f>
        <v>327675.78524344001</v>
      </c>
      <c r="Q312" s="125">
        <f>AD312</f>
        <v>361772.63497160998</v>
      </c>
      <c r="R312" s="125">
        <f>AG312</f>
        <v>375529.75011801999</v>
      </c>
      <c r="AA312" s="510"/>
      <c r="AB312" s="510"/>
      <c r="AC312" s="510"/>
      <c r="AD312" s="129">
        <f>[33]GA333!$C$13/100000000</f>
        <v>361772.63497160998</v>
      </c>
      <c r="AE312" s="129">
        <f>[34]GA333!$D$14/100000000</f>
        <v>359122.66554675001</v>
      </c>
      <c r="AF312" s="129">
        <f>[35]GA333!$D$14/100000000</f>
        <v>396449.59073126997</v>
      </c>
      <c r="AG312" s="129">
        <f>[36]GA333!$D$14/100000000</f>
        <v>375529.75011801999</v>
      </c>
    </row>
    <row r="313" spans="1:35">
      <c r="H313" s="1491" t="s">
        <v>2481</v>
      </c>
      <c r="M313" s="510"/>
      <c r="N313" s="129">
        <f>[27]GA333!$C$21/100000000</f>
        <v>32662.51876743</v>
      </c>
      <c r="O313" s="129">
        <f>[28]GA333!$C$22/100000000</f>
        <v>40636.654473859999</v>
      </c>
      <c r="P313" s="129">
        <f>[29]GA333!$C$23/100000000</f>
        <v>41715.472898090004</v>
      </c>
      <c r="Q313" s="125">
        <f>AD313</f>
        <v>42781.339038420003</v>
      </c>
      <c r="R313" s="125">
        <f>AG313</f>
        <v>45609.32006477</v>
      </c>
      <c r="AA313" s="510"/>
      <c r="AB313" s="510"/>
      <c r="AC313" s="510"/>
      <c r="AD313" s="129">
        <f>[33]GA333!$C$23/100000000</f>
        <v>42781.339038420003</v>
      </c>
      <c r="AE313" s="129">
        <f>[34]GA333!$D$24/100000000</f>
        <v>42875.209230679997</v>
      </c>
      <c r="AF313" s="129">
        <f>[35]GA333!$D$24/100000000</f>
        <v>44794.251451349999</v>
      </c>
      <c r="AG313" s="129">
        <f>[36]GA333!$D$24/100000000</f>
        <v>45609.32006477</v>
      </c>
    </row>
    <row r="314" spans="1:35">
      <c r="H314" s="1491" t="s">
        <v>2482</v>
      </c>
      <c r="M314" s="510"/>
      <c r="N314" s="510">
        <f>[27]GA333!$C$24</f>
        <v>757.84</v>
      </c>
      <c r="O314" s="510">
        <f>[28]GA333!$C$25</f>
        <v>710</v>
      </c>
      <c r="P314" s="510">
        <f>[29]GA333!$C$26</f>
        <v>785.5</v>
      </c>
      <c r="Q314" s="130">
        <f>AD314</f>
        <v>845.6</v>
      </c>
      <c r="R314" s="130">
        <f>AG314</f>
        <v>823.4</v>
      </c>
      <c r="AA314" s="510"/>
      <c r="AB314" s="510"/>
      <c r="AC314" s="510"/>
      <c r="AD314" s="510">
        <f>[33]GA333!$C$26</f>
        <v>845.6</v>
      </c>
      <c r="AE314" s="510">
        <f>[34]GA333!$D$27</f>
        <v>837.6</v>
      </c>
      <c r="AF314" s="510">
        <f>[35]GA333!$D$27</f>
        <v>885</v>
      </c>
      <c r="AG314" s="510">
        <f>[36]GA333!$D$27</f>
        <v>823.4</v>
      </c>
    </row>
    <row r="316" spans="1:35" s="122" customFormat="1">
      <c r="A316" s="121" t="s">
        <v>1407</v>
      </c>
      <c r="B316" s="121"/>
      <c r="C316" s="121"/>
      <c r="D316" s="121"/>
      <c r="E316" s="121"/>
      <c r="F316" s="121"/>
    </row>
    <row r="317" spans="1:35">
      <c r="I317" s="124"/>
      <c r="J317" s="124"/>
      <c r="K317" s="124"/>
      <c r="L317" s="124"/>
      <c r="M317" s="124"/>
      <c r="N317" s="124"/>
      <c r="O317" s="124"/>
      <c r="P317" s="124"/>
      <c r="Q317" s="124"/>
      <c r="R317" s="124"/>
      <c r="S317" s="124"/>
      <c r="T317" s="124"/>
      <c r="U317" s="124"/>
      <c r="V317" s="124"/>
      <c r="W317" s="124"/>
      <c r="X317" s="124"/>
      <c r="Y317" s="124"/>
      <c r="Z317" s="124"/>
      <c r="AA317" s="124"/>
      <c r="AB317" s="124"/>
      <c r="AC317" s="124"/>
      <c r="AD317" s="124"/>
      <c r="AE317" s="124"/>
      <c r="AF317" s="124"/>
      <c r="AG317" s="124"/>
    </row>
    <row r="318" spans="1:35">
      <c r="B318" s="119"/>
      <c r="C318" s="119"/>
      <c r="D318" s="119"/>
      <c r="E318" s="119"/>
      <c r="F318" s="119"/>
      <c r="H318" s="110" t="s">
        <v>1408</v>
      </c>
      <c r="I318" s="124"/>
      <c r="J318" s="124"/>
      <c r="K318" s="124"/>
      <c r="L318" s="124"/>
      <c r="M318" s="124"/>
      <c r="N318" s="124">
        <v>26126.499299999999</v>
      </c>
      <c r="O318" s="125">
        <f t="shared" ref="O318:O321" si="378">V318</f>
        <v>29393.747200000002</v>
      </c>
      <c r="P318" s="125">
        <f t="shared" ref="P318:P321" si="379">Z318</f>
        <v>29869.63</v>
      </c>
      <c r="Q318" s="125">
        <f t="shared" ref="Q318:Q325" si="380">AD318</f>
        <v>37992.82</v>
      </c>
      <c r="R318" s="125">
        <f t="shared" ref="R318:R325" si="381">AG318</f>
        <v>43999.27</v>
      </c>
      <c r="S318" s="124"/>
      <c r="T318" s="124"/>
      <c r="U318" s="124"/>
      <c r="V318" s="1212">
        <v>29393.747200000002</v>
      </c>
      <c r="W318" s="1286"/>
      <c r="X318" s="1286"/>
      <c r="Y318" s="1286"/>
      <c r="Z318" s="1251">
        <v>29869.63</v>
      </c>
      <c r="AA318" s="1286">
        <v>27996.21</v>
      </c>
      <c r="AB318" s="1286">
        <v>34936.629999999997</v>
      </c>
      <c r="AC318" s="1307">
        <v>38105.230000000003</v>
      </c>
      <c r="AD318" s="1307">
        <v>37992.82</v>
      </c>
      <c r="AE318" s="1307">
        <v>48150.58</v>
      </c>
      <c r="AF318" s="1490">
        <v>49881.71</v>
      </c>
      <c r="AG318" s="1490">
        <v>43999.27</v>
      </c>
    </row>
    <row r="319" spans="1:35">
      <c r="B319" s="119"/>
      <c r="C319" s="119"/>
      <c r="D319" s="119"/>
      <c r="E319" s="119"/>
      <c r="F319" s="119"/>
      <c r="H319" s="110" t="s">
        <v>1409</v>
      </c>
      <c r="I319" s="124"/>
      <c r="J319" s="124"/>
      <c r="K319" s="124"/>
      <c r="L319" s="124"/>
      <c r="M319" s="124"/>
      <c r="N319" s="124">
        <v>23447.655500000001</v>
      </c>
      <c r="O319" s="125">
        <f t="shared" si="378"/>
        <v>18804.713899999999</v>
      </c>
      <c r="P319" s="125">
        <f t="shared" si="379"/>
        <v>17504.12</v>
      </c>
      <c r="Q319" s="125">
        <f t="shared" si="380"/>
        <v>24971.43</v>
      </c>
      <c r="R319" s="125">
        <f t="shared" si="381"/>
        <v>18406.61</v>
      </c>
      <c r="S319" s="124"/>
      <c r="T319" s="124"/>
      <c r="U319" s="124"/>
      <c r="V319" s="1212">
        <v>18804.713899999999</v>
      </c>
      <c r="W319" s="1286"/>
      <c r="X319" s="1286"/>
      <c r="Y319" s="1286"/>
      <c r="Z319" s="1251">
        <v>17504.12</v>
      </c>
      <c r="AA319" s="1286">
        <v>21541.03</v>
      </c>
      <c r="AB319" s="1286">
        <v>20598.879999999997</v>
      </c>
      <c r="AC319" s="1307">
        <v>23327.64</v>
      </c>
      <c r="AD319" s="1307">
        <v>24971.43</v>
      </c>
      <c r="AE319" s="1307">
        <v>25648.959999999999</v>
      </c>
      <c r="AF319" s="1490">
        <v>25855.08</v>
      </c>
      <c r="AG319" s="1490">
        <v>18406.61</v>
      </c>
    </row>
    <row r="320" spans="1:35">
      <c r="B320" s="119"/>
      <c r="C320" s="119"/>
      <c r="D320" s="119"/>
      <c r="E320" s="119"/>
      <c r="F320" s="119"/>
      <c r="H320" s="110" t="s">
        <v>1410</v>
      </c>
      <c r="I320" s="124"/>
      <c r="J320" s="124"/>
      <c r="K320" s="124"/>
      <c r="L320" s="124"/>
      <c r="M320" s="124"/>
      <c r="N320" s="124">
        <v>2195</v>
      </c>
      <c r="O320" s="125">
        <f t="shared" si="378"/>
        <v>8816.9243680300006</v>
      </c>
      <c r="P320" s="125">
        <f t="shared" si="379"/>
        <v>7963.16</v>
      </c>
      <c r="Q320" s="125">
        <f t="shared" si="380"/>
        <v>2413.25</v>
      </c>
      <c r="R320" s="125">
        <f t="shared" si="381"/>
        <v>2799.64</v>
      </c>
      <c r="S320" s="124"/>
      <c r="T320" s="124"/>
      <c r="U320" s="124"/>
      <c r="V320" s="1212">
        <v>8816.9243680300006</v>
      </c>
      <c r="W320" s="1286"/>
      <c r="X320" s="1286"/>
      <c r="Y320" s="1286"/>
      <c r="Z320" s="1251">
        <v>7963.16</v>
      </c>
      <c r="AA320" s="1286">
        <v>5252.26</v>
      </c>
      <c r="AB320" s="1286">
        <v>3284.24</v>
      </c>
      <c r="AC320" s="1307">
        <v>2228.11</v>
      </c>
      <c r="AD320" s="1307">
        <v>2413.25</v>
      </c>
      <c r="AE320" s="1307">
        <v>2496.21</v>
      </c>
      <c r="AF320" s="1490">
        <v>1879.74</v>
      </c>
      <c r="AG320" s="1490">
        <v>2799.64</v>
      </c>
    </row>
    <row r="321" spans="1:33">
      <c r="B321" s="119"/>
      <c r="C321" s="119"/>
      <c r="D321" s="119"/>
      <c r="E321" s="119"/>
      <c r="F321" s="119"/>
      <c r="H321" s="110" t="s">
        <v>1411</v>
      </c>
      <c r="I321" s="124"/>
      <c r="J321" s="124"/>
      <c r="K321" s="124"/>
      <c r="L321" s="124"/>
      <c r="M321" s="124"/>
      <c r="N321" s="124">
        <v>3792</v>
      </c>
      <c r="O321" s="125">
        <f t="shared" si="378"/>
        <v>3796.9351999999999</v>
      </c>
      <c r="P321" s="125">
        <f t="shared" si="379"/>
        <v>2361.29</v>
      </c>
      <c r="Q321" s="125">
        <f t="shared" si="380"/>
        <v>2716.52</v>
      </c>
      <c r="R321" s="125">
        <f t="shared" si="381"/>
        <v>2768.8799999999997</v>
      </c>
      <c r="S321" s="124"/>
      <c r="T321" s="124"/>
      <c r="U321" s="124"/>
      <c r="V321" s="1212">
        <v>3796.9351999999999</v>
      </c>
      <c r="W321" s="1286"/>
      <c r="X321" s="1286"/>
      <c r="Y321" s="1286"/>
      <c r="Z321" s="1251">
        <v>2361.29</v>
      </c>
      <c r="AA321" s="1286">
        <v>2189.79</v>
      </c>
      <c r="AB321" s="1286">
        <v>2501.6699999999996</v>
      </c>
      <c r="AC321" s="1307">
        <v>2652.2200000000003</v>
      </c>
      <c r="AD321" s="1307">
        <v>2716.52</v>
      </c>
      <c r="AE321" s="1307">
        <v>2565.34</v>
      </c>
      <c r="AF321" s="1490">
        <v>2960.86</v>
      </c>
      <c r="AG321" s="1490">
        <v>2768.8799999999997</v>
      </c>
    </row>
    <row r="322" spans="1:33">
      <c r="B322" s="119"/>
      <c r="C322" s="119"/>
      <c r="D322" s="119"/>
      <c r="E322" s="119"/>
      <c r="F322" s="119"/>
      <c r="H322" s="570" t="s">
        <v>1414</v>
      </c>
      <c r="I322" s="124"/>
      <c r="J322" s="124"/>
      <c r="K322" s="124"/>
      <c r="L322" s="124"/>
      <c r="M322" s="124"/>
      <c r="N322" s="125">
        <f>SUM(N318:N321)</f>
        <v>55561.154800000004</v>
      </c>
      <c r="O322" s="125">
        <f t="shared" ref="O322" si="382">V322</f>
        <v>60812.320668029999</v>
      </c>
      <c r="P322" s="125">
        <f t="shared" ref="P322" si="383">Z322</f>
        <v>57698.200000000004</v>
      </c>
      <c r="Q322" s="125">
        <f t="shared" si="380"/>
        <v>68094.02</v>
      </c>
      <c r="R322" s="125">
        <f t="shared" si="381"/>
        <v>67974.399999999994</v>
      </c>
      <c r="S322" s="124"/>
      <c r="T322" s="124"/>
      <c r="U322" s="124"/>
      <c r="V322" s="125">
        <f>SUM(V318:V321)</f>
        <v>60812.320668029999</v>
      </c>
      <c r="W322" s="125"/>
      <c r="X322" s="125"/>
      <c r="Y322" s="125"/>
      <c r="Z322" s="125">
        <f t="shared" ref="Z322:AE322" si="384">SUM(Z318:Z321)</f>
        <v>57698.200000000004</v>
      </c>
      <c r="AA322" s="125">
        <f t="shared" si="384"/>
        <v>56979.29</v>
      </c>
      <c r="AB322" s="125">
        <f t="shared" si="384"/>
        <v>61321.419999999991</v>
      </c>
      <c r="AC322" s="125">
        <f t="shared" si="384"/>
        <v>66313.2</v>
      </c>
      <c r="AD322" s="125">
        <f t="shared" si="384"/>
        <v>68094.02</v>
      </c>
      <c r="AE322" s="125">
        <f t="shared" si="384"/>
        <v>78861.090000000011</v>
      </c>
      <c r="AF322" s="125">
        <f t="shared" ref="AF322:AG322" si="385">SUM(AF318:AF321)</f>
        <v>80577.390000000014</v>
      </c>
      <c r="AG322" s="125">
        <f t="shared" si="385"/>
        <v>67974.399999999994</v>
      </c>
    </row>
    <row r="323" spans="1:33">
      <c r="B323" s="119"/>
      <c r="C323" s="119"/>
      <c r="D323" s="119"/>
      <c r="E323" s="119"/>
      <c r="F323" s="119"/>
      <c r="H323" s="570" t="s">
        <v>1412</v>
      </c>
      <c r="I323" s="124"/>
      <c r="J323" s="124"/>
      <c r="K323" s="124"/>
      <c r="L323" s="124"/>
      <c r="M323" s="124"/>
      <c r="N323" s="125">
        <f t="shared" ref="N323" si="386">N318+N320</f>
        <v>28321.499299999999</v>
      </c>
      <c r="O323" s="125">
        <f t="shared" ref="O323:O324" si="387">V323</f>
        <v>38210.671568030004</v>
      </c>
      <c r="P323" s="125">
        <f t="shared" ref="P323:P324" si="388">Z323</f>
        <v>37832.79</v>
      </c>
      <c r="Q323" s="125">
        <f t="shared" si="380"/>
        <v>40406.07</v>
      </c>
      <c r="R323" s="125">
        <f t="shared" si="381"/>
        <v>46798.909999999996</v>
      </c>
      <c r="S323" s="124"/>
      <c r="T323" s="124"/>
      <c r="U323" s="124"/>
      <c r="V323" s="125">
        <f t="shared" ref="V323:AA324" si="389">V318+V320</f>
        <v>38210.671568030004</v>
      </c>
      <c r="W323" s="125"/>
      <c r="X323" s="125"/>
      <c r="Y323" s="125"/>
      <c r="Z323" s="125">
        <f t="shared" si="389"/>
        <v>37832.79</v>
      </c>
      <c r="AA323" s="125">
        <f t="shared" si="389"/>
        <v>33248.47</v>
      </c>
      <c r="AB323" s="125">
        <f t="shared" ref="AB323:AC323" si="390">AB318+AB320</f>
        <v>38220.869999999995</v>
      </c>
      <c r="AC323" s="125">
        <f t="shared" si="390"/>
        <v>40333.340000000004</v>
      </c>
      <c r="AD323" s="125">
        <f t="shared" ref="AD323:AE323" si="391">AD318+AD320</f>
        <v>40406.07</v>
      </c>
      <c r="AE323" s="125">
        <f t="shared" si="391"/>
        <v>50646.79</v>
      </c>
      <c r="AF323" s="125">
        <f t="shared" ref="AF323:AG323" si="392">AF318+AF320</f>
        <v>51761.45</v>
      </c>
      <c r="AG323" s="125">
        <f t="shared" si="392"/>
        <v>46798.909999999996</v>
      </c>
    </row>
    <row r="324" spans="1:33">
      <c r="B324" s="119"/>
      <c r="C324" s="119"/>
      <c r="D324" s="119"/>
      <c r="E324" s="119"/>
      <c r="F324" s="119"/>
      <c r="H324" s="570" t="s">
        <v>1413</v>
      </c>
      <c r="I324" s="124"/>
      <c r="J324" s="124"/>
      <c r="K324" s="124"/>
      <c r="L324" s="124"/>
      <c r="M324" s="124"/>
      <c r="N324" s="125">
        <f t="shared" ref="N324" si="393">N319+N321</f>
        <v>27239.655500000001</v>
      </c>
      <c r="O324" s="125">
        <f t="shared" si="387"/>
        <v>22601.649099999999</v>
      </c>
      <c r="P324" s="125">
        <f t="shared" si="388"/>
        <v>19865.41</v>
      </c>
      <c r="Q324" s="125">
        <f t="shared" si="380"/>
        <v>27687.95</v>
      </c>
      <c r="R324" s="125">
        <f t="shared" si="381"/>
        <v>21175.49</v>
      </c>
      <c r="S324" s="124"/>
      <c r="T324" s="124"/>
      <c r="U324" s="124"/>
      <c r="V324" s="125">
        <f t="shared" si="389"/>
        <v>22601.649099999999</v>
      </c>
      <c r="W324" s="125"/>
      <c r="X324" s="125"/>
      <c r="Y324" s="125"/>
      <c r="Z324" s="125">
        <f t="shared" si="389"/>
        <v>19865.41</v>
      </c>
      <c r="AA324" s="125">
        <f t="shared" si="389"/>
        <v>23730.82</v>
      </c>
      <c r="AB324" s="125">
        <f t="shared" ref="AB324:AC324" si="394">AB319+AB321</f>
        <v>23100.549999999996</v>
      </c>
      <c r="AC324" s="125">
        <f t="shared" si="394"/>
        <v>25979.86</v>
      </c>
      <c r="AD324" s="125">
        <f t="shared" ref="AD324:AE324" si="395">AD319+AD321</f>
        <v>27687.95</v>
      </c>
      <c r="AE324" s="125">
        <f t="shared" si="395"/>
        <v>28214.3</v>
      </c>
      <c r="AF324" s="125">
        <f t="shared" ref="AF324:AG324" si="396">AF319+AF321</f>
        <v>28815.940000000002</v>
      </c>
      <c r="AG324" s="125">
        <f t="shared" si="396"/>
        <v>21175.49</v>
      </c>
    </row>
    <row r="325" spans="1:33">
      <c r="B325" s="119"/>
      <c r="C325" s="119"/>
      <c r="D325" s="119"/>
      <c r="E325" s="119"/>
      <c r="F325" s="119"/>
      <c r="H325" s="570" t="s">
        <v>1415</v>
      </c>
      <c r="I325" s="124"/>
      <c r="J325" s="124"/>
      <c r="K325" s="124"/>
      <c r="L325" s="124"/>
      <c r="M325" s="124"/>
      <c r="N325" s="163">
        <f>N323/N322*100</f>
        <v>50.973561298261558</v>
      </c>
      <c r="O325" s="130">
        <f t="shared" ref="O325" si="397">V325</f>
        <v>62.833766493831497</v>
      </c>
      <c r="P325" s="130">
        <f t="shared" ref="P325" si="398">Z325</f>
        <v>65.570139103126266</v>
      </c>
      <c r="Q325" s="130">
        <f t="shared" si="380"/>
        <v>59.338646771038043</v>
      </c>
      <c r="R325" s="130">
        <f t="shared" si="381"/>
        <v>68.847845659542415</v>
      </c>
      <c r="S325" s="124"/>
      <c r="T325" s="124"/>
      <c r="U325" s="124"/>
      <c r="V325" s="163">
        <f>V323/V322*100</f>
        <v>62.833766493831497</v>
      </c>
      <c r="W325" s="163"/>
      <c r="X325" s="163"/>
      <c r="Y325" s="163"/>
      <c r="Z325" s="163">
        <f t="shared" ref="Z325:AE325" si="399">Z323/Z322*100</f>
        <v>65.570139103126266</v>
      </c>
      <c r="AA325" s="163">
        <f t="shared" si="399"/>
        <v>58.351850295080901</v>
      </c>
      <c r="AB325" s="163">
        <f t="shared" si="399"/>
        <v>62.328742550319284</v>
      </c>
      <c r="AC325" s="163">
        <f t="shared" si="399"/>
        <v>60.822490846467979</v>
      </c>
      <c r="AD325" s="163">
        <f t="shared" si="399"/>
        <v>59.338646771038043</v>
      </c>
      <c r="AE325" s="163">
        <f t="shared" si="399"/>
        <v>64.222787181866238</v>
      </c>
      <c r="AF325" s="163">
        <f t="shared" ref="AF325:AG325" si="400">AF323/AF322*100</f>
        <v>64.238181455120341</v>
      </c>
      <c r="AG325" s="163">
        <f t="shared" si="400"/>
        <v>68.847845659542415</v>
      </c>
    </row>
    <row r="326" spans="1:33">
      <c r="B326" s="119"/>
      <c r="C326" s="119"/>
      <c r="D326" s="119"/>
      <c r="E326" s="119"/>
      <c r="F326" s="119"/>
      <c r="I326" s="124"/>
      <c r="J326" s="124"/>
      <c r="K326" s="124"/>
      <c r="L326" s="124"/>
      <c r="M326" s="124"/>
      <c r="N326" s="124"/>
      <c r="O326" s="124"/>
      <c r="P326" s="124"/>
      <c r="Q326" s="124"/>
      <c r="R326" s="124"/>
      <c r="S326" s="124"/>
      <c r="T326" s="124"/>
      <c r="U326" s="124"/>
      <c r="V326" s="124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</row>
    <row r="327" spans="1:33" s="118" customFormat="1">
      <c r="A327" s="117" t="s">
        <v>1351</v>
      </c>
      <c r="B327" s="117"/>
      <c r="C327" s="117"/>
      <c r="D327" s="117"/>
      <c r="E327" s="117"/>
      <c r="F327" s="117"/>
    </row>
    <row r="328" spans="1:33">
      <c r="B328" s="119"/>
      <c r="C328" s="119"/>
      <c r="D328" s="119"/>
      <c r="E328" s="119"/>
      <c r="F328" s="119"/>
      <c r="I328" s="124"/>
      <c r="J328" s="124"/>
      <c r="K328" s="124"/>
      <c r="L328" s="124"/>
      <c r="M328" s="124"/>
      <c r="N328" s="124"/>
      <c r="O328" s="124"/>
      <c r="P328" s="124"/>
      <c r="Q328" s="124"/>
      <c r="R328" s="124"/>
      <c r="S328" s="124"/>
      <c r="T328" s="124"/>
      <c r="U328" s="124"/>
      <c r="V328" s="124"/>
      <c r="W328" s="124"/>
      <c r="X328" s="124"/>
      <c r="Y328" s="124"/>
      <c r="Z328" s="124"/>
      <c r="AA328" s="124"/>
      <c r="AB328" s="124"/>
      <c r="AC328" s="124"/>
      <c r="AD328" s="124"/>
      <c r="AE328" s="124"/>
      <c r="AF328" s="124"/>
      <c r="AG328" s="124"/>
    </row>
    <row r="329" spans="1:33">
      <c r="B329" s="119"/>
      <c r="C329" s="119"/>
      <c r="D329" s="119"/>
      <c r="E329" s="119"/>
      <c r="F329" s="119"/>
      <c r="H329" s="110" t="s">
        <v>1396</v>
      </c>
      <c r="I329" s="124"/>
      <c r="J329" s="124"/>
      <c r="K329" s="124"/>
      <c r="L329" s="124"/>
      <c r="M329" s="124"/>
      <c r="N329" s="1212">
        <v>49101</v>
      </c>
      <c r="O329" s="1311">
        <v>58811</v>
      </c>
      <c r="P329" s="125">
        <f t="shared" ref="P329" si="401">Z329</f>
        <v>46645</v>
      </c>
      <c r="Q329" s="125">
        <f t="shared" ref="Q329:Q336" si="402">AD329</f>
        <v>61021</v>
      </c>
      <c r="R329" s="125">
        <f t="shared" ref="R329:R336" si="403">AG329</f>
        <v>61043</v>
      </c>
      <c r="S329" s="124"/>
      <c r="T329" s="124"/>
      <c r="U329" s="124"/>
      <c r="V329" s="1311">
        <v>58811</v>
      </c>
      <c r="W329" s="1212"/>
      <c r="X329" s="1212"/>
      <c r="Y329" s="1212"/>
      <c r="Z329" s="1212">
        <v>46645</v>
      </c>
      <c r="AA329" s="1212">
        <v>48581</v>
      </c>
      <c r="AB329" s="1212">
        <v>53864</v>
      </c>
      <c r="AC329" s="1212">
        <v>59658</v>
      </c>
      <c r="AD329" s="1212">
        <v>61021</v>
      </c>
      <c r="AE329" s="1212">
        <v>71779</v>
      </c>
      <c r="AF329" s="1212">
        <v>74226</v>
      </c>
      <c r="AG329" s="1212">
        <v>61043</v>
      </c>
    </row>
    <row r="330" spans="1:33">
      <c r="B330" s="119"/>
      <c r="C330" s="119"/>
      <c r="D330" s="119"/>
      <c r="E330" s="119"/>
      <c r="F330" s="119"/>
      <c r="H330" s="110" t="s">
        <v>1397</v>
      </c>
      <c r="I330" s="124"/>
      <c r="J330" s="124"/>
      <c r="K330" s="124"/>
      <c r="L330" s="124"/>
      <c r="M330" s="124"/>
      <c r="N330" s="1212">
        <v>4939</v>
      </c>
      <c r="O330" s="1311">
        <v>6592</v>
      </c>
      <c r="P330" s="125">
        <f t="shared" ref="P330:P333" si="404">Z330</f>
        <v>10303</v>
      </c>
      <c r="Q330" s="125">
        <f t="shared" si="402"/>
        <v>4318</v>
      </c>
      <c r="R330" s="125">
        <f t="shared" si="403"/>
        <v>5257</v>
      </c>
      <c r="S330" s="124"/>
      <c r="T330" s="124"/>
      <c r="U330" s="124"/>
      <c r="V330" s="1311">
        <v>6592</v>
      </c>
      <c r="W330" s="1212"/>
      <c r="X330" s="1212"/>
      <c r="Y330" s="1212"/>
      <c r="Z330" s="1212">
        <v>10303</v>
      </c>
      <c r="AA330" s="1212">
        <v>6942</v>
      </c>
      <c r="AB330" s="1212">
        <v>5286</v>
      </c>
      <c r="AC330" s="1212">
        <v>4369</v>
      </c>
      <c r="AD330" s="1212">
        <v>4318</v>
      </c>
      <c r="AE330" s="1212">
        <v>4750</v>
      </c>
      <c r="AF330" s="1212">
        <v>4529</v>
      </c>
      <c r="AG330" s="1212">
        <v>5257</v>
      </c>
    </row>
    <row r="331" spans="1:33">
      <c r="B331" s="119"/>
      <c r="C331" s="119"/>
      <c r="D331" s="119"/>
      <c r="E331" s="119"/>
      <c r="F331" s="119"/>
      <c r="H331" s="110" t="s">
        <v>1398</v>
      </c>
      <c r="I331" s="124"/>
      <c r="J331" s="124"/>
      <c r="K331" s="124"/>
      <c r="L331" s="124"/>
      <c r="M331" s="124"/>
      <c r="N331" s="1212">
        <v>14368</v>
      </c>
      <c r="O331" s="1311">
        <v>17193</v>
      </c>
      <c r="P331" s="125">
        <f t="shared" si="404"/>
        <v>21541</v>
      </c>
      <c r="Q331" s="125">
        <f t="shared" si="402"/>
        <v>27799</v>
      </c>
      <c r="R331" s="125">
        <f t="shared" si="403"/>
        <v>28273</v>
      </c>
      <c r="S331" s="124"/>
      <c r="T331" s="124"/>
      <c r="U331" s="124"/>
      <c r="V331" s="1311">
        <v>17193</v>
      </c>
      <c r="W331" s="1212"/>
      <c r="X331" s="1212"/>
      <c r="Y331" s="1212"/>
      <c r="Z331" s="1212">
        <v>21541</v>
      </c>
      <c r="AA331" s="1212">
        <v>20753</v>
      </c>
      <c r="AB331" s="1212">
        <v>20787</v>
      </c>
      <c r="AC331" s="1212">
        <v>21457</v>
      </c>
      <c r="AD331" s="1212">
        <v>27799</v>
      </c>
      <c r="AE331" s="1212">
        <v>27026</v>
      </c>
      <c r="AF331" s="1212">
        <v>29360</v>
      </c>
      <c r="AG331" s="1212">
        <v>28273</v>
      </c>
    </row>
    <row r="332" spans="1:33">
      <c r="B332" s="119"/>
      <c r="C332" s="119"/>
      <c r="D332" s="119"/>
      <c r="E332" s="119"/>
      <c r="F332" s="119"/>
      <c r="H332" s="110" t="s">
        <v>1399</v>
      </c>
      <c r="I332" s="124"/>
      <c r="J332" s="124"/>
      <c r="K332" s="124"/>
      <c r="L332" s="124"/>
      <c r="M332" s="124"/>
      <c r="N332" s="1212">
        <v>3094</v>
      </c>
      <c r="O332" s="1311">
        <v>3561</v>
      </c>
      <c r="P332" s="125">
        <f t="shared" si="404"/>
        <v>9261</v>
      </c>
      <c r="Q332" s="125">
        <f t="shared" si="402"/>
        <v>23826</v>
      </c>
      <c r="R332" s="125">
        <f t="shared" si="403"/>
        <v>20146</v>
      </c>
      <c r="S332" s="124"/>
      <c r="T332" s="124"/>
      <c r="U332" s="124"/>
      <c r="V332" s="1311">
        <v>3561</v>
      </c>
      <c r="W332" s="1212"/>
      <c r="X332" s="1212"/>
      <c r="Y332" s="1212"/>
      <c r="Z332" s="1212">
        <v>9261</v>
      </c>
      <c r="AA332" s="1212">
        <v>13985</v>
      </c>
      <c r="AB332" s="1212">
        <v>19463</v>
      </c>
      <c r="AC332" s="1212">
        <v>20448</v>
      </c>
      <c r="AD332" s="1212">
        <v>23826</v>
      </c>
      <c r="AE332" s="1212">
        <v>23324</v>
      </c>
      <c r="AF332" s="1212">
        <v>21954</v>
      </c>
      <c r="AG332" s="1212">
        <v>20146</v>
      </c>
    </row>
    <row r="333" spans="1:33">
      <c r="B333" s="119"/>
      <c r="C333" s="119"/>
      <c r="D333" s="119"/>
      <c r="E333" s="119"/>
      <c r="F333" s="119"/>
      <c r="H333" s="110" t="s">
        <v>1400</v>
      </c>
      <c r="I333" s="124"/>
      <c r="J333" s="124"/>
      <c r="K333" s="124"/>
      <c r="L333" s="124"/>
      <c r="M333" s="124"/>
      <c r="N333" s="128">
        <f>SUM(N329:N332)</f>
        <v>71502</v>
      </c>
      <c r="O333" s="128">
        <f>SUM(O329:O332)</f>
        <v>86157</v>
      </c>
      <c r="P333" s="125">
        <f t="shared" si="404"/>
        <v>87750</v>
      </c>
      <c r="Q333" s="125">
        <f t="shared" si="402"/>
        <v>116964</v>
      </c>
      <c r="R333" s="125">
        <f t="shared" si="403"/>
        <v>114719</v>
      </c>
      <c r="S333" s="124"/>
      <c r="T333" s="124"/>
      <c r="U333" s="124"/>
      <c r="V333" s="128">
        <f>SUM(V329:V332)</f>
        <v>86157</v>
      </c>
      <c r="W333" s="128"/>
      <c r="X333" s="128"/>
      <c r="Y333" s="128"/>
      <c r="Z333" s="128">
        <f t="shared" ref="Z333:AE333" si="405">SUM(Z329:Z332)</f>
        <v>87750</v>
      </c>
      <c r="AA333" s="128">
        <f t="shared" si="405"/>
        <v>90261</v>
      </c>
      <c r="AB333" s="128">
        <f t="shared" si="405"/>
        <v>99400</v>
      </c>
      <c r="AC333" s="128">
        <f t="shared" si="405"/>
        <v>105932</v>
      </c>
      <c r="AD333" s="128">
        <f t="shared" si="405"/>
        <v>116964</v>
      </c>
      <c r="AE333" s="128">
        <f t="shared" si="405"/>
        <v>126879</v>
      </c>
      <c r="AF333" s="128">
        <f t="shared" ref="AF333:AG333" si="406">SUM(AF329:AF332)</f>
        <v>130069</v>
      </c>
      <c r="AG333" s="128">
        <f t="shared" si="406"/>
        <v>114719</v>
      </c>
    </row>
    <row r="334" spans="1:33">
      <c r="B334" s="119"/>
      <c r="C334" s="119"/>
      <c r="D334" s="119"/>
      <c r="E334" s="119"/>
      <c r="F334" s="119"/>
      <c r="H334" s="570" t="s">
        <v>1401</v>
      </c>
      <c r="I334" s="124"/>
      <c r="J334" s="124"/>
      <c r="K334" s="124"/>
      <c r="L334" s="124"/>
      <c r="M334" s="124"/>
      <c r="N334" s="128">
        <f>N329+N330</f>
        <v>54040</v>
      </c>
      <c r="O334" s="128">
        <f>O329+O330</f>
        <v>65403</v>
      </c>
      <c r="P334" s="125">
        <f t="shared" ref="P334:P335" si="407">Z334</f>
        <v>56948</v>
      </c>
      <c r="Q334" s="125">
        <f t="shared" si="402"/>
        <v>65339</v>
      </c>
      <c r="R334" s="125">
        <f t="shared" si="403"/>
        <v>66300</v>
      </c>
      <c r="S334" s="124"/>
      <c r="T334" s="124"/>
      <c r="U334" s="124"/>
      <c r="V334" s="128">
        <f>V329+V330</f>
        <v>65403</v>
      </c>
      <c r="W334" s="128"/>
      <c r="X334" s="128"/>
      <c r="Y334" s="128"/>
      <c r="Z334" s="128">
        <f t="shared" ref="Z334:AE334" si="408">Z329+Z330</f>
        <v>56948</v>
      </c>
      <c r="AA334" s="128">
        <f t="shared" si="408"/>
        <v>55523</v>
      </c>
      <c r="AB334" s="128">
        <f t="shared" si="408"/>
        <v>59150</v>
      </c>
      <c r="AC334" s="128">
        <f t="shared" si="408"/>
        <v>64027</v>
      </c>
      <c r="AD334" s="128">
        <f t="shared" si="408"/>
        <v>65339</v>
      </c>
      <c r="AE334" s="128">
        <f t="shared" si="408"/>
        <v>76529</v>
      </c>
      <c r="AF334" s="128">
        <f t="shared" ref="AF334:AG334" si="409">AF329+AF330</f>
        <v>78755</v>
      </c>
      <c r="AG334" s="128">
        <f t="shared" si="409"/>
        <v>66300</v>
      </c>
    </row>
    <row r="335" spans="1:33">
      <c r="B335" s="119"/>
      <c r="C335" s="119"/>
      <c r="D335" s="119"/>
      <c r="E335" s="119"/>
      <c r="F335" s="119"/>
      <c r="H335" s="570" t="s">
        <v>1402</v>
      </c>
      <c r="I335" s="124"/>
      <c r="J335" s="124"/>
      <c r="K335" s="124"/>
      <c r="L335" s="124"/>
      <c r="M335" s="124"/>
      <c r="N335" s="130">
        <f>N334/N333*100</f>
        <v>75.578305501944001</v>
      </c>
      <c r="O335" s="130">
        <f>O334/O333*100</f>
        <v>75.911417528465478</v>
      </c>
      <c r="P335" s="130">
        <f t="shared" si="407"/>
        <v>64.898005698005704</v>
      </c>
      <c r="Q335" s="130">
        <f t="shared" si="402"/>
        <v>55.862487603023148</v>
      </c>
      <c r="R335" s="130">
        <f t="shared" si="403"/>
        <v>57.793390807102575</v>
      </c>
      <c r="S335" s="124"/>
      <c r="T335" s="124"/>
      <c r="U335" s="124"/>
      <c r="V335" s="130">
        <f>V334/V333*100</f>
        <v>75.911417528465478</v>
      </c>
      <c r="W335" s="130"/>
      <c r="X335" s="130"/>
      <c r="Y335" s="130"/>
      <c r="Z335" s="130">
        <f t="shared" ref="Z335:AE335" si="410">Z334/Z333*100</f>
        <v>64.898005698005704</v>
      </c>
      <c r="AA335" s="130">
        <f t="shared" si="410"/>
        <v>61.513832109105813</v>
      </c>
      <c r="AB335" s="130">
        <f t="shared" si="410"/>
        <v>59.507042253521128</v>
      </c>
      <c r="AC335" s="130">
        <f t="shared" si="410"/>
        <v>60.441604047879771</v>
      </c>
      <c r="AD335" s="130">
        <f t="shared" si="410"/>
        <v>55.862487603023148</v>
      </c>
      <c r="AE335" s="130">
        <f t="shared" si="410"/>
        <v>60.316522040684426</v>
      </c>
      <c r="AF335" s="130">
        <f t="shared" ref="AF335:AG335" si="411">AF334/AF333*100</f>
        <v>60.548631880002155</v>
      </c>
      <c r="AG335" s="130">
        <f t="shared" si="411"/>
        <v>57.793390807102575</v>
      </c>
    </row>
    <row r="336" spans="1:33">
      <c r="B336" s="119"/>
      <c r="C336" s="119"/>
      <c r="D336" s="119"/>
      <c r="E336" s="119"/>
      <c r="F336" s="119"/>
      <c r="H336" s="1273" t="s">
        <v>2253</v>
      </c>
      <c r="I336" s="124"/>
      <c r="J336" s="124"/>
      <c r="K336" s="124"/>
      <c r="L336" s="124"/>
      <c r="M336" s="124"/>
      <c r="N336" s="163">
        <f>N334/N17*100</f>
        <v>164.01308826872412</v>
      </c>
      <c r="O336" s="163">
        <f>O334/O17*100</f>
        <v>160.59041525450573</v>
      </c>
      <c r="P336" s="130">
        <f t="shared" ref="P336" si="412">Z336</f>
        <v>134.25480075015591</v>
      </c>
      <c r="Q336" s="130">
        <f t="shared" si="402"/>
        <v>150.18740383284853</v>
      </c>
      <c r="R336" s="130">
        <f t="shared" si="403"/>
        <v>142.75625069978554</v>
      </c>
      <c r="S336" s="124"/>
      <c r="T336" s="124"/>
      <c r="U336" s="124"/>
      <c r="V336" s="163">
        <f>V334/V17*100</f>
        <v>160.59041525450573</v>
      </c>
      <c r="W336" s="163"/>
      <c r="X336" s="163"/>
      <c r="Y336" s="163"/>
      <c r="Z336" s="163">
        <f t="shared" ref="Z336:AF336" si="413">Z334/Z17*100</f>
        <v>134.25480075015591</v>
      </c>
      <c r="AA336" s="163">
        <f t="shared" si="413"/>
        <v>133.93504356633926</v>
      </c>
      <c r="AB336" s="163">
        <f t="shared" si="413"/>
        <v>137.2270394107241</v>
      </c>
      <c r="AC336" s="163">
        <f t="shared" si="413"/>
        <v>144.07794570281965</v>
      </c>
      <c r="AD336" s="163">
        <f t="shared" si="413"/>
        <v>150.18740383284853</v>
      </c>
      <c r="AE336" s="163">
        <f t="shared" si="413"/>
        <v>175.19705633965</v>
      </c>
      <c r="AF336" s="163">
        <f t="shared" si="413"/>
        <v>172.59992846598101</v>
      </c>
      <c r="AG336" s="163">
        <f t="shared" ref="AG336" si="414">AG334/AG17*100</f>
        <v>142.75625069978554</v>
      </c>
    </row>
    <row r="337" spans="1:35">
      <c r="H337" s="1306"/>
      <c r="I337" s="124"/>
      <c r="J337" s="1307"/>
      <c r="K337" s="1307"/>
      <c r="L337" s="1307"/>
      <c r="M337" s="1307"/>
      <c r="N337" s="1307"/>
      <c r="O337" s="125"/>
      <c r="P337" s="125"/>
      <c r="Q337" s="124"/>
      <c r="R337" s="124"/>
      <c r="S337" s="124"/>
      <c r="T337" s="124"/>
      <c r="U337" s="124"/>
      <c r="V337" s="124"/>
      <c r="W337" s="124"/>
      <c r="X337" s="124"/>
      <c r="Y337" s="124"/>
      <c r="Z337" s="124"/>
      <c r="AA337" s="124"/>
      <c r="AB337" s="124"/>
      <c r="AC337" s="124"/>
      <c r="AD337" s="124"/>
      <c r="AE337" s="124"/>
      <c r="AF337" s="124"/>
      <c r="AG337" s="124"/>
    </row>
    <row r="338" spans="1:35" s="118" customFormat="1">
      <c r="A338" s="117" t="s">
        <v>421</v>
      </c>
      <c r="B338" s="117"/>
      <c r="C338" s="117"/>
      <c r="D338" s="117"/>
      <c r="E338" s="117"/>
      <c r="F338" s="117"/>
    </row>
    <row r="339" spans="1:35">
      <c r="I339" s="124"/>
      <c r="J339" s="124"/>
      <c r="K339" s="124"/>
      <c r="L339" s="124"/>
      <c r="M339" s="124"/>
      <c r="N339" s="124"/>
      <c r="O339" s="124"/>
      <c r="P339" s="124"/>
      <c r="Q339" s="124"/>
      <c r="R339" s="124"/>
      <c r="S339" s="124"/>
      <c r="T339" s="124"/>
      <c r="U339" s="124"/>
      <c r="V339" s="124"/>
      <c r="W339" s="124"/>
      <c r="X339" s="124"/>
      <c r="Y339" s="124"/>
      <c r="Z339" s="124"/>
      <c r="AA339" s="124"/>
      <c r="AB339" s="124"/>
      <c r="AC339" s="124"/>
      <c r="AD339" s="124"/>
      <c r="AE339" s="124"/>
      <c r="AF339" s="124"/>
      <c r="AG339" s="124"/>
    </row>
    <row r="340" spans="1:35">
      <c r="B340" s="119"/>
      <c r="C340" s="119"/>
      <c r="D340" s="119"/>
      <c r="E340" s="119"/>
      <c r="F340" s="119"/>
      <c r="H340" s="110" t="s">
        <v>425</v>
      </c>
      <c r="J340" s="130"/>
      <c r="K340" s="130">
        <f>K359/K292*100</f>
        <v>93.415683321088608</v>
      </c>
      <c r="L340" s="130">
        <f>L359/L292*100</f>
        <v>99.002154922568522</v>
      </c>
      <c r="M340" s="130">
        <f>M359/M292*100</f>
        <v>94.998867682366182</v>
      </c>
      <c r="N340" s="130">
        <f>N359/N292*100</f>
        <v>101.48056699372781</v>
      </c>
      <c r="O340" s="130">
        <f t="shared" ref="O340:O355" si="415">V340</f>
        <v>123.80934901171914</v>
      </c>
      <c r="P340" s="130">
        <f t="shared" ref="P340:P355" si="416">Z340</f>
        <v>289.0339069506432</v>
      </c>
      <c r="Q340" s="130">
        <f t="shared" ref="Q340:Q355" si="417">AD340</f>
        <v>280.74806847648432</v>
      </c>
      <c r="R340" s="130">
        <f t="shared" ref="R340:R365" si="418">AG340</f>
        <v>285.66494501399814</v>
      </c>
      <c r="S340" s="124"/>
      <c r="T340" s="124"/>
      <c r="U340" s="124"/>
      <c r="V340" s="130">
        <f t="shared" ref="V340:AF340" si="419">V359/V292*100</f>
        <v>123.80934901171914</v>
      </c>
      <c r="W340" s="130" t="e">
        <f t="shared" si="419"/>
        <v>#DIV/0!</v>
      </c>
      <c r="X340" s="130" t="e">
        <f t="shared" si="419"/>
        <v>#DIV/0!</v>
      </c>
      <c r="Y340" s="130" t="e">
        <f t="shared" si="419"/>
        <v>#DIV/0!</v>
      </c>
      <c r="Z340" s="130">
        <f t="shared" si="419"/>
        <v>289.0339069506432</v>
      </c>
      <c r="AA340" s="130">
        <f t="shared" si="419"/>
        <v>262.33731099726771</v>
      </c>
      <c r="AB340" s="130">
        <f t="shared" si="419"/>
        <v>272.79651531584432</v>
      </c>
      <c r="AC340" s="130">
        <f t="shared" si="419"/>
        <v>273.01418519519666</v>
      </c>
      <c r="AD340" s="130">
        <f t="shared" si="419"/>
        <v>280.74806847648432</v>
      </c>
      <c r="AE340" s="130">
        <f t="shared" si="419"/>
        <v>296.67582289619685</v>
      </c>
      <c r="AF340" s="130">
        <f t="shared" si="419"/>
        <v>307.12514366721979</v>
      </c>
      <c r="AG340" s="130">
        <f t="shared" ref="AG340" si="420">AG359/AG292*100</f>
        <v>285.66494501399814</v>
      </c>
      <c r="AH340" s="124"/>
      <c r="AI340" s="124"/>
    </row>
    <row r="341" spans="1:35">
      <c r="B341" s="119"/>
      <c r="C341" s="119"/>
      <c r="D341" s="119"/>
      <c r="E341" s="119"/>
      <c r="F341" s="119"/>
      <c r="H341" s="110" t="s">
        <v>677</v>
      </c>
      <c r="J341" s="130"/>
      <c r="K341" s="130">
        <f>K292/K269*100</f>
        <v>2.3051301026301809</v>
      </c>
      <c r="L341" s="130">
        <f>L292/L269*100</f>
        <v>3.2852777904320978</v>
      </c>
      <c r="M341" s="130">
        <f>M292/M269*100</f>
        <v>2.3260991979944348</v>
      </c>
      <c r="N341" s="130">
        <f>N292/N269*100</f>
        <v>2.1313451171271276</v>
      </c>
      <c r="O341" s="130">
        <f t="shared" si="415"/>
        <v>0.82597796033950666</v>
      </c>
      <c r="P341" s="130">
        <f t="shared" si="416"/>
        <v>0.55046391336475708</v>
      </c>
      <c r="Q341" s="130">
        <f t="shared" si="417"/>
        <v>0.56279689537589694</v>
      </c>
      <c r="R341" s="130">
        <f t="shared" si="418"/>
        <v>0.47508367334294654</v>
      </c>
      <c r="S341" s="124"/>
      <c r="T341" s="124"/>
      <c r="U341" s="124"/>
      <c r="V341" s="130">
        <f t="shared" ref="V341:AF341" si="421">V292/V269*100</f>
        <v>0.82597796033950666</v>
      </c>
      <c r="W341" s="130" t="e">
        <f t="shared" si="421"/>
        <v>#DIV/0!</v>
      </c>
      <c r="X341" s="130" t="e">
        <f t="shared" si="421"/>
        <v>#DIV/0!</v>
      </c>
      <c r="Y341" s="130" t="e">
        <f t="shared" si="421"/>
        <v>#DIV/0!</v>
      </c>
      <c r="Z341" s="130">
        <f t="shared" si="421"/>
        <v>0.55046391336475708</v>
      </c>
      <c r="AA341" s="130">
        <f t="shared" si="421"/>
        <v>0.59292411370195042</v>
      </c>
      <c r="AB341" s="130">
        <f t="shared" si="421"/>
        <v>0.57698173051436019</v>
      </c>
      <c r="AC341" s="130">
        <f t="shared" si="421"/>
        <v>0.58382667917913178</v>
      </c>
      <c r="AD341" s="130">
        <f t="shared" si="421"/>
        <v>0.56279689537589694</v>
      </c>
      <c r="AE341" s="130">
        <f t="shared" si="421"/>
        <v>0.40752662218739089</v>
      </c>
      <c r="AF341" s="130">
        <f t="shared" si="421"/>
        <v>0.34581113631104093</v>
      </c>
      <c r="AG341" s="130">
        <f t="shared" ref="AG341" si="422">AG292/AG269*100</f>
        <v>0.47508367334294654</v>
      </c>
      <c r="AH341" s="124"/>
      <c r="AI341" s="124"/>
    </row>
    <row r="342" spans="1:35">
      <c r="B342" s="119"/>
      <c r="C342" s="119"/>
      <c r="D342" s="119"/>
      <c r="E342" s="119"/>
      <c r="F342" s="119"/>
      <c r="H342" s="110" t="s">
        <v>678</v>
      </c>
      <c r="J342" s="130"/>
      <c r="K342" s="130">
        <f>K293/K269*100</f>
        <v>2.7064114485722568</v>
      </c>
      <c r="L342" s="130">
        <f>L293/L269*100</f>
        <v>3.6497824224902025</v>
      </c>
      <c r="M342" s="130">
        <f>M293/M269*100</f>
        <v>2.496307060350627</v>
      </c>
      <c r="N342" s="130">
        <f>N293/N269*100</f>
        <v>2.222216439315579</v>
      </c>
      <c r="O342" s="130">
        <f t="shared" si="415"/>
        <v>0.93290063522469135</v>
      </c>
      <c r="P342" s="130">
        <f t="shared" si="416"/>
        <v>0.55046391507052639</v>
      </c>
      <c r="Q342" s="130">
        <f t="shared" si="417"/>
        <v>0.56279689537589694</v>
      </c>
      <c r="R342" s="130">
        <f t="shared" si="418"/>
        <v>0.47508367334294654</v>
      </c>
      <c r="S342" s="124"/>
      <c r="T342" s="124"/>
      <c r="U342" s="124"/>
      <c r="V342" s="130">
        <f t="shared" ref="V342:AF342" si="423">V293/V269*100</f>
        <v>0.93290063522469135</v>
      </c>
      <c r="W342" s="130" t="e">
        <f t="shared" si="423"/>
        <v>#DIV/0!</v>
      </c>
      <c r="X342" s="130" t="e">
        <f t="shared" si="423"/>
        <v>#DIV/0!</v>
      </c>
      <c r="Y342" s="130" t="e">
        <f t="shared" si="423"/>
        <v>#DIV/0!</v>
      </c>
      <c r="Z342" s="130">
        <f t="shared" si="423"/>
        <v>0.55046391507052639</v>
      </c>
      <c r="AA342" s="130">
        <f t="shared" si="423"/>
        <v>0.59292411370195042</v>
      </c>
      <c r="AB342" s="130">
        <f t="shared" si="423"/>
        <v>0.57698173051436019</v>
      </c>
      <c r="AC342" s="130">
        <f t="shared" si="423"/>
        <v>0.61482600438997725</v>
      </c>
      <c r="AD342" s="130">
        <f t="shared" si="423"/>
        <v>0.56279689537589694</v>
      </c>
      <c r="AE342" s="130">
        <f t="shared" si="423"/>
        <v>0.40752662218739089</v>
      </c>
      <c r="AF342" s="130">
        <f t="shared" si="423"/>
        <v>0.36447773428491614</v>
      </c>
      <c r="AG342" s="130">
        <f t="shared" ref="AG342" si="424">AG293/AG269*100</f>
        <v>0.47508367334294654</v>
      </c>
      <c r="AH342" s="124"/>
      <c r="AI342" s="124"/>
    </row>
    <row r="343" spans="1:35">
      <c r="B343" s="119"/>
      <c r="C343" s="119"/>
      <c r="D343" s="119"/>
      <c r="E343" s="119"/>
      <c r="F343" s="119"/>
      <c r="H343" s="110" t="s">
        <v>426</v>
      </c>
      <c r="J343" s="130"/>
      <c r="K343" s="130">
        <f>MAX(0,(K269-K287-K359)/K17*100)</f>
        <v>0.27869744219040077</v>
      </c>
      <c r="L343" s="130">
        <f>MAX(0,(L269-L287-L359)/L17*100)</f>
        <v>0.30170513997667059</v>
      </c>
      <c r="M343" s="130">
        <f>MAX(0,(M269-M287-M359)/M17*100)</f>
        <v>0.23543060195427082</v>
      </c>
      <c r="N343" s="130">
        <f>MAX(0,(N269-N287-N359)/N17*100)</f>
        <v>5.4567883754653032E-2</v>
      </c>
      <c r="O343" s="130">
        <f t="shared" si="415"/>
        <v>0</v>
      </c>
      <c r="P343" s="130">
        <f t="shared" si="416"/>
        <v>0</v>
      </c>
      <c r="Q343" s="130">
        <f t="shared" si="417"/>
        <v>0</v>
      </c>
      <c r="R343" s="130">
        <f t="shared" si="418"/>
        <v>0</v>
      </c>
      <c r="S343" s="124"/>
      <c r="T343" s="124"/>
      <c r="U343" s="124"/>
      <c r="V343" s="130">
        <f t="shared" ref="V343:AF343" si="425">MAX(0,(V269-V287-V359)/V17*100)</f>
        <v>0</v>
      </c>
      <c r="W343" s="130" t="e">
        <f t="shared" si="425"/>
        <v>#DIV/0!</v>
      </c>
      <c r="X343" s="130" t="e">
        <f t="shared" si="425"/>
        <v>#DIV/0!</v>
      </c>
      <c r="Y343" s="130" t="e">
        <f t="shared" si="425"/>
        <v>#DIV/0!</v>
      </c>
      <c r="Z343" s="130">
        <f t="shared" si="425"/>
        <v>0</v>
      </c>
      <c r="AA343" s="130">
        <f t="shared" si="425"/>
        <v>0</v>
      </c>
      <c r="AB343" s="130">
        <f t="shared" si="425"/>
        <v>0</v>
      </c>
      <c r="AC343" s="130">
        <f t="shared" si="425"/>
        <v>0</v>
      </c>
      <c r="AD343" s="130">
        <f t="shared" si="425"/>
        <v>0</v>
      </c>
      <c r="AE343" s="130">
        <f t="shared" si="425"/>
        <v>0</v>
      </c>
      <c r="AF343" s="130">
        <f t="shared" si="425"/>
        <v>0</v>
      </c>
      <c r="AG343" s="130">
        <f t="shared" ref="AG343" si="426">MAX(0,(AG269-AG287-AG359)/AG17*100)</f>
        <v>0</v>
      </c>
      <c r="AH343" s="124"/>
      <c r="AI343" s="124"/>
    </row>
    <row r="344" spans="1:35">
      <c r="B344" s="119"/>
      <c r="C344" s="119"/>
      <c r="D344" s="119"/>
      <c r="E344" s="119"/>
      <c r="F344" s="159"/>
      <c r="H344" s="1234" t="s">
        <v>2113</v>
      </c>
      <c r="J344" s="130"/>
      <c r="K344" s="130">
        <f>K345/K58*100</f>
        <v>0.27869740348390154</v>
      </c>
      <c r="L344" s="130">
        <f>L345/L58*100</f>
        <v>0.30170509442097121</v>
      </c>
      <c r="M344" s="130">
        <f>M345/M58*100</f>
        <v>0.23543061703445747</v>
      </c>
      <c r="N344" s="130">
        <f>N345/N58*100</f>
        <v>5.456787727037031E-2</v>
      </c>
      <c r="O344" s="130">
        <f t="shared" ref="O344" si="427">V344</f>
        <v>0</v>
      </c>
      <c r="P344" s="130">
        <f t="shared" ref="P344" si="428">Z344</f>
        <v>0</v>
      </c>
      <c r="Q344" s="130">
        <f t="shared" si="417"/>
        <v>0</v>
      </c>
      <c r="R344" s="130">
        <f t="shared" si="418"/>
        <v>0</v>
      </c>
      <c r="S344" s="124"/>
      <c r="T344" s="124"/>
      <c r="U344" s="124"/>
      <c r="V344" s="130">
        <f t="shared" ref="V344:AF344" si="429">V345/V58*100</f>
        <v>0</v>
      </c>
      <c r="W344" s="130">
        <f t="shared" si="429"/>
        <v>0</v>
      </c>
      <c r="X344" s="130">
        <f t="shared" si="429"/>
        <v>0</v>
      </c>
      <c r="Y344" s="130">
        <f t="shared" si="429"/>
        <v>0</v>
      </c>
      <c r="Z344" s="130">
        <f t="shared" si="429"/>
        <v>0</v>
      </c>
      <c r="AA344" s="130">
        <f t="shared" si="429"/>
        <v>0</v>
      </c>
      <c r="AB344" s="130">
        <f t="shared" si="429"/>
        <v>0</v>
      </c>
      <c r="AC344" s="130">
        <f t="shared" si="429"/>
        <v>0</v>
      </c>
      <c r="AD344" s="130">
        <f t="shared" si="429"/>
        <v>0</v>
      </c>
      <c r="AE344" s="130">
        <f t="shared" si="429"/>
        <v>0</v>
      </c>
      <c r="AF344" s="130">
        <f t="shared" si="429"/>
        <v>0</v>
      </c>
      <c r="AG344" s="130">
        <f t="shared" ref="AG344" si="430">AG345/AG58*100</f>
        <v>0</v>
      </c>
      <c r="AH344" s="124"/>
      <c r="AI344" s="124"/>
    </row>
    <row r="345" spans="1:35">
      <c r="B345" s="119"/>
      <c r="C345" s="119"/>
      <c r="D345" s="119"/>
      <c r="E345" s="119"/>
      <c r="F345" s="119"/>
      <c r="H345" s="110" t="s">
        <v>734</v>
      </c>
      <c r="J345" s="127"/>
      <c r="K345" s="127">
        <f>MAX(0,(K269-K287-K359))</f>
        <v>89.028560160001007</v>
      </c>
      <c r="L345" s="127">
        <f>MAX(0,(L269-L287-L359))</f>
        <v>93.010716519997914</v>
      </c>
      <c r="M345" s="127">
        <f>MAX(0,(M269-M287-M359))</f>
        <v>75.110413749999225</v>
      </c>
      <c r="N345" s="127">
        <f>MAX(0,(N269-N287-N359))</f>
        <v>17.979348289997233</v>
      </c>
      <c r="O345" s="125">
        <f t="shared" si="415"/>
        <v>0</v>
      </c>
      <c r="P345" s="125">
        <f t="shared" si="416"/>
        <v>0</v>
      </c>
      <c r="Q345" s="125">
        <f t="shared" si="417"/>
        <v>0</v>
      </c>
      <c r="R345" s="125">
        <f t="shared" si="418"/>
        <v>0</v>
      </c>
      <c r="S345" s="124"/>
      <c r="T345" s="124"/>
      <c r="U345" s="124"/>
      <c r="V345" s="127">
        <f t="shared" ref="V345:AF345" si="431">MAX(0,(V269-V287-V359))</f>
        <v>0</v>
      </c>
      <c r="W345" s="127">
        <f t="shared" si="431"/>
        <v>0</v>
      </c>
      <c r="X345" s="127">
        <f t="shared" si="431"/>
        <v>0</v>
      </c>
      <c r="Y345" s="127">
        <f t="shared" si="431"/>
        <v>0</v>
      </c>
      <c r="Z345" s="127">
        <f t="shared" si="431"/>
        <v>0</v>
      </c>
      <c r="AA345" s="127">
        <f t="shared" si="431"/>
        <v>0</v>
      </c>
      <c r="AB345" s="127">
        <f t="shared" si="431"/>
        <v>0</v>
      </c>
      <c r="AC345" s="127">
        <f t="shared" si="431"/>
        <v>0</v>
      </c>
      <c r="AD345" s="127">
        <f t="shared" si="431"/>
        <v>0</v>
      </c>
      <c r="AE345" s="127">
        <f t="shared" si="431"/>
        <v>0</v>
      </c>
      <c r="AF345" s="127">
        <f t="shared" si="431"/>
        <v>0</v>
      </c>
      <c r="AG345" s="127">
        <f t="shared" ref="AG345" si="432">MAX(0,(AG269-AG287-AG359))</f>
        <v>0</v>
      </c>
      <c r="AH345" s="124"/>
      <c r="AI345" s="124"/>
    </row>
    <row r="346" spans="1:35">
      <c r="B346" s="119"/>
      <c r="C346" s="119"/>
      <c r="D346" s="119"/>
      <c r="E346" s="119"/>
      <c r="F346" s="119"/>
      <c r="H346" s="110" t="s">
        <v>427</v>
      </c>
      <c r="J346" s="130"/>
      <c r="K346" s="130">
        <f>K271/K272*100</f>
        <v>451.24210285597206</v>
      </c>
      <c r="L346" s="130">
        <f>L271/L272*100</f>
        <v>425.46744879097724</v>
      </c>
      <c r="M346" s="130">
        <f>M271/M272*100</f>
        <v>400.41462917963975</v>
      </c>
      <c r="N346" s="130">
        <f>N271/N272*100</f>
        <v>320.12974268874166</v>
      </c>
      <c r="O346" s="130">
        <f t="shared" si="415"/>
        <v>334.0312568368596</v>
      </c>
      <c r="P346" s="130">
        <f t="shared" si="416"/>
        <v>244.12590158507808</v>
      </c>
      <c r="Q346" s="130">
        <f t="shared" si="417"/>
        <v>164.72644343497888</v>
      </c>
      <c r="R346" s="130">
        <f t="shared" si="418"/>
        <v>120.26549717834413</v>
      </c>
      <c r="S346" s="124">
        <f>AVERAGE(J346:N346)</f>
        <v>399.31348087883271</v>
      </c>
      <c r="T346" s="124"/>
      <c r="U346" s="124"/>
      <c r="V346" s="130">
        <f t="shared" ref="V346:AF346" si="433">V271/V272*100</f>
        <v>334.0312568368596</v>
      </c>
      <c r="W346" s="130" t="e">
        <f t="shared" si="433"/>
        <v>#DIV/0!</v>
      </c>
      <c r="X346" s="130" t="e">
        <f t="shared" si="433"/>
        <v>#DIV/0!</v>
      </c>
      <c r="Y346" s="130" t="e">
        <f t="shared" si="433"/>
        <v>#DIV/0!</v>
      </c>
      <c r="Z346" s="130">
        <f t="shared" si="433"/>
        <v>244.12590158507808</v>
      </c>
      <c r="AA346" s="130">
        <f t="shared" si="433"/>
        <v>188.45298936305514</v>
      </c>
      <c r="AB346" s="130">
        <f t="shared" si="433"/>
        <v>182.06251695522525</v>
      </c>
      <c r="AC346" s="130">
        <f t="shared" si="433"/>
        <v>188.22356503195073</v>
      </c>
      <c r="AD346" s="130">
        <f t="shared" si="433"/>
        <v>164.72644343497888</v>
      </c>
      <c r="AE346" s="130">
        <f t="shared" si="433"/>
        <v>126.45289189546043</v>
      </c>
      <c r="AF346" s="130">
        <f t="shared" si="433"/>
        <v>124.28759497506363</v>
      </c>
      <c r="AG346" s="130">
        <f t="shared" ref="AG346" si="434">AG271/AG272*100</f>
        <v>120.26549717834413</v>
      </c>
      <c r="AH346" s="124"/>
      <c r="AI346" s="124"/>
    </row>
    <row r="347" spans="1:35">
      <c r="B347" s="119"/>
      <c r="C347" s="119"/>
      <c r="D347" s="119"/>
      <c r="E347" s="119"/>
      <c r="F347" s="119"/>
      <c r="H347" s="110" t="s">
        <v>690</v>
      </c>
      <c r="J347" s="130"/>
      <c r="K347" s="130"/>
      <c r="L347" s="130"/>
      <c r="M347" s="130"/>
      <c r="N347" s="130">
        <f>N273/N274*100</f>
        <v>596.54964919754457</v>
      </c>
      <c r="O347" s="130">
        <f t="shared" si="415"/>
        <v>1479.2119430744049</v>
      </c>
      <c r="P347" s="130">
        <f t="shared" si="416"/>
        <v>1416.0479737693454</v>
      </c>
      <c r="Q347" s="130">
        <f t="shared" si="417"/>
        <v>875.1970948578869</v>
      </c>
      <c r="R347" s="130">
        <f t="shared" si="418"/>
        <v>389.91407647979139</v>
      </c>
      <c r="S347" s="124"/>
      <c r="T347" s="124"/>
      <c r="U347" s="124"/>
      <c r="V347" s="130">
        <f t="shared" ref="V347:AF347" si="435">V273/V274*100</f>
        <v>1479.2119430744049</v>
      </c>
      <c r="W347" s="130" t="e">
        <f t="shared" si="435"/>
        <v>#DIV/0!</v>
      </c>
      <c r="X347" s="130" t="e">
        <f t="shared" si="435"/>
        <v>#DIV/0!</v>
      </c>
      <c r="Y347" s="130" t="e">
        <f t="shared" si="435"/>
        <v>#DIV/0!</v>
      </c>
      <c r="Z347" s="130">
        <f t="shared" si="435"/>
        <v>1416.0479737693454</v>
      </c>
      <c r="AA347" s="130">
        <f t="shared" si="435"/>
        <v>924.45694283110117</v>
      </c>
      <c r="AB347" s="130">
        <f t="shared" si="435"/>
        <v>953.68025920758919</v>
      </c>
      <c r="AC347" s="130">
        <f t="shared" si="435"/>
        <v>1036.5875148958335</v>
      </c>
      <c r="AD347" s="130">
        <f t="shared" si="435"/>
        <v>875.1970948578869</v>
      </c>
      <c r="AE347" s="130">
        <f t="shared" si="435"/>
        <v>415.94740086011905</v>
      </c>
      <c r="AF347" s="130">
        <f t="shared" si="435"/>
        <v>440.94698498640349</v>
      </c>
      <c r="AG347" s="130">
        <f t="shared" ref="AG347" si="436">AG273/AG274*100</f>
        <v>389.91407647979139</v>
      </c>
      <c r="AH347" s="124"/>
      <c r="AI347" s="124"/>
    </row>
    <row r="348" spans="1:35">
      <c r="B348" s="119"/>
      <c r="C348" s="119"/>
      <c r="D348" s="119"/>
      <c r="E348" s="119"/>
      <c r="F348" s="159"/>
      <c r="H348" s="110" t="s">
        <v>428</v>
      </c>
      <c r="I348" s="124"/>
      <c r="J348" s="130" t="e">
        <f>J306/J307*100</f>
        <v>#DIV/0!</v>
      </c>
      <c r="K348" s="130">
        <f>K306/K307*100</f>
        <v>156.24915158594413</v>
      </c>
      <c r="L348" s="130">
        <f>L306/L307*100</f>
        <v>144.24527687541533</v>
      </c>
      <c r="M348" s="130">
        <f>M306/M307*100</f>
        <v>131.13026293695475</v>
      </c>
      <c r="N348" s="130">
        <f>N306/N307*100</f>
        <v>138.79125205067746</v>
      </c>
      <c r="O348" s="130">
        <f t="shared" si="415"/>
        <v>133.11711922354121</v>
      </c>
      <c r="P348" s="130">
        <f t="shared" si="416"/>
        <v>129.5881283439667</v>
      </c>
      <c r="Q348" s="130">
        <f t="shared" si="417"/>
        <v>106.0626874137061</v>
      </c>
      <c r="R348" s="130">
        <f t="shared" si="418"/>
        <v>110.53114067056103</v>
      </c>
      <c r="S348" s="124"/>
      <c r="T348" s="124"/>
      <c r="U348" s="124"/>
      <c r="V348" s="130">
        <f t="shared" ref="V348:AF348" si="437">V306/V307*100</f>
        <v>133.11711922354121</v>
      </c>
      <c r="W348" s="130" t="e">
        <f t="shared" si="437"/>
        <v>#DIV/0!</v>
      </c>
      <c r="X348" s="130" t="e">
        <f t="shared" si="437"/>
        <v>#DIV/0!</v>
      </c>
      <c r="Y348" s="130" t="e">
        <f t="shared" si="437"/>
        <v>#DIV/0!</v>
      </c>
      <c r="Z348" s="130">
        <f t="shared" si="437"/>
        <v>129.5881283439667</v>
      </c>
      <c r="AA348" s="130">
        <f t="shared" si="437"/>
        <v>110.19999385367329</v>
      </c>
      <c r="AB348" s="130">
        <f t="shared" si="437"/>
        <v>112.66691721035372</v>
      </c>
      <c r="AC348" s="130">
        <f t="shared" si="437"/>
        <v>113.91374931451604</v>
      </c>
      <c r="AD348" s="130">
        <f t="shared" si="437"/>
        <v>106.0626874137061</v>
      </c>
      <c r="AE348" s="130">
        <f t="shared" si="437"/>
        <v>111.99334843873474</v>
      </c>
      <c r="AF348" s="130">
        <f t="shared" si="437"/>
        <v>122.63884068644879</v>
      </c>
      <c r="AG348" s="130">
        <f t="shared" ref="AG348" si="438">AG306/AG307*100</f>
        <v>110.53114067056103</v>
      </c>
    </row>
    <row r="349" spans="1:35">
      <c r="B349" s="119"/>
      <c r="C349" s="119"/>
      <c r="D349" s="119"/>
      <c r="E349" s="119"/>
      <c r="F349" s="119"/>
      <c r="H349" s="110" t="s">
        <v>461</v>
      </c>
      <c r="I349" s="124"/>
      <c r="J349" s="130" t="e">
        <f>J306/J365*100</f>
        <v>#DIV/0!</v>
      </c>
      <c r="K349" s="130">
        <f>K306/K365*100</f>
        <v>150.00243763778229</v>
      </c>
      <c r="L349" s="130">
        <f>L306/L365*100</f>
        <v>134.31373754441353</v>
      </c>
      <c r="M349" s="130">
        <f>M306/M365*100</f>
        <v>119.50901266495286</v>
      </c>
      <c r="N349" s="130">
        <f>N306/N365*100</f>
        <v>129.46629067439872</v>
      </c>
      <c r="O349" s="130">
        <f t="shared" si="415"/>
        <v>108.45569461138584</v>
      </c>
      <c r="P349" s="130">
        <f t="shared" si="416"/>
        <v>105.60164126850913</v>
      </c>
      <c r="Q349" s="130">
        <f t="shared" si="417"/>
        <v>85.473546186358092</v>
      </c>
      <c r="R349" s="130">
        <f t="shared" si="418"/>
        <v>90.77608335106116</v>
      </c>
      <c r="S349" s="124"/>
      <c r="T349" s="124"/>
      <c r="U349" s="124"/>
      <c r="V349" s="130">
        <f t="shared" ref="V349:AF349" si="439">V306/V365*100</f>
        <v>108.45569461138584</v>
      </c>
      <c r="W349" s="130" t="e">
        <f t="shared" si="439"/>
        <v>#DIV/0!</v>
      </c>
      <c r="X349" s="130" t="e">
        <f t="shared" si="439"/>
        <v>#DIV/0!</v>
      </c>
      <c r="Y349" s="130" t="e">
        <f t="shared" si="439"/>
        <v>#DIV/0!</v>
      </c>
      <c r="Z349" s="130">
        <f t="shared" si="439"/>
        <v>105.60164126850913</v>
      </c>
      <c r="AA349" s="130">
        <f t="shared" si="439"/>
        <v>89.198183374181411</v>
      </c>
      <c r="AB349" s="130">
        <f t="shared" si="439"/>
        <v>91.98583638366847</v>
      </c>
      <c r="AC349" s="130">
        <f t="shared" si="439"/>
        <v>93.062492896057563</v>
      </c>
      <c r="AD349" s="130">
        <f t="shared" si="439"/>
        <v>85.473546186358092</v>
      </c>
      <c r="AE349" s="130">
        <f t="shared" si="439"/>
        <v>91.163822177928864</v>
      </c>
      <c r="AF349" s="130">
        <f t="shared" si="439"/>
        <v>101.32678874322964</v>
      </c>
      <c r="AG349" s="130">
        <f t="shared" ref="AG349" si="440">AG306/AG365*100</f>
        <v>90.77608335106116</v>
      </c>
    </row>
    <row r="350" spans="1:35">
      <c r="B350" s="119"/>
      <c r="C350" s="119"/>
      <c r="D350" s="119"/>
      <c r="E350" s="119"/>
      <c r="F350" s="119"/>
      <c r="H350" s="110" t="s">
        <v>429</v>
      </c>
      <c r="I350" s="124"/>
      <c r="J350" s="130">
        <f>J358/J15*100</f>
        <v>9.1304676779716605</v>
      </c>
      <c r="K350" s="130">
        <f>K358/K15*100</f>
        <v>9.2797742169404973</v>
      </c>
      <c r="L350" s="130">
        <f>L358/L15*100</f>
        <v>7.4063556832647235</v>
      </c>
      <c r="M350" s="130">
        <f>M358/M15*100</f>
        <v>6.1328173685448073</v>
      </c>
      <c r="N350" s="130">
        <f>N358/N57*100</f>
        <v>4.9585478294512129</v>
      </c>
      <c r="O350" s="130">
        <f t="shared" si="415"/>
        <v>4.3853370499978839</v>
      </c>
      <c r="P350" s="130">
        <f t="shared" si="416"/>
        <v>5.082523801403747</v>
      </c>
      <c r="Q350" s="130">
        <f t="shared" si="417"/>
        <v>5.9050921372988778</v>
      </c>
      <c r="R350" s="130">
        <f t="shared" si="418"/>
        <v>6.3748129799812343</v>
      </c>
      <c r="S350" s="124"/>
      <c r="T350" s="124"/>
      <c r="U350" s="124"/>
      <c r="V350" s="130">
        <f t="shared" ref="V350:AF350" si="441">V358/V57*100</f>
        <v>4.3853370499978839</v>
      </c>
      <c r="W350" s="130">
        <f t="shared" si="441"/>
        <v>2.1707783778953416</v>
      </c>
      <c r="X350" s="130">
        <f t="shared" si="441"/>
        <v>3.0311092768609664</v>
      </c>
      <c r="Y350" s="130">
        <f t="shared" si="441"/>
        <v>3.5323143096325227</v>
      </c>
      <c r="Z350" s="130">
        <f t="shared" si="441"/>
        <v>5.082523801403747</v>
      </c>
      <c r="AA350" s="130">
        <f t="shared" si="441"/>
        <v>4.4311637925262115</v>
      </c>
      <c r="AB350" s="130">
        <f t="shared" si="441"/>
        <v>5.1842524599379285</v>
      </c>
      <c r="AC350" s="130">
        <f t="shared" si="441"/>
        <v>3.5984623402163152</v>
      </c>
      <c r="AD350" s="130">
        <f t="shared" si="441"/>
        <v>5.9050921372988778</v>
      </c>
      <c r="AE350" s="130">
        <f t="shared" si="441"/>
        <v>5.2399235247518394</v>
      </c>
      <c r="AF350" s="130">
        <f t="shared" si="441"/>
        <v>5.7270015868370407</v>
      </c>
      <c r="AG350" s="130">
        <f t="shared" ref="AG350" si="442">AG358/AG57*100</f>
        <v>6.3748129799812343</v>
      </c>
    </row>
    <row r="351" spans="1:35">
      <c r="B351" s="119"/>
      <c r="C351" s="119"/>
      <c r="D351" s="119"/>
      <c r="E351" s="119"/>
      <c r="F351" s="119"/>
      <c r="H351" s="110" t="s">
        <v>430</v>
      </c>
      <c r="I351" s="124"/>
      <c r="J351" s="130">
        <f>(1-J192/J204)*100</f>
        <v>36.354325231418137</v>
      </c>
      <c r="K351" s="130">
        <f>(1-K192/K204)*100</f>
        <v>38.969334614795095</v>
      </c>
      <c r="L351" s="130">
        <f>(1-L192/L204)*100</f>
        <v>40.447966746858491</v>
      </c>
      <c r="M351" s="130">
        <f>(1-M192/M204)*100</f>
        <v>45.042905561866483</v>
      </c>
      <c r="N351" s="130">
        <f>(1-N192/N204)*100</f>
        <v>43.984272929187249</v>
      </c>
      <c r="O351" s="130">
        <f t="shared" si="415"/>
        <v>54.325925632909986</v>
      </c>
      <c r="P351" s="130">
        <f t="shared" si="416"/>
        <v>58.796391117585877</v>
      </c>
      <c r="Q351" s="130">
        <f t="shared" si="417"/>
        <v>58.462554707821027</v>
      </c>
      <c r="R351" s="130">
        <f t="shared" si="418"/>
        <v>68.756187981912063</v>
      </c>
      <c r="S351" s="124"/>
      <c r="T351" s="124"/>
      <c r="U351" s="124"/>
      <c r="V351" s="130">
        <f t="shared" ref="V351:AF351" si="443">(1-V192/V204)*100</f>
        <v>54.325925632909986</v>
      </c>
      <c r="W351" s="130">
        <f t="shared" si="443"/>
        <v>57.836794837981699</v>
      </c>
      <c r="X351" s="130">
        <f t="shared" si="443"/>
        <v>57.472448224257192</v>
      </c>
      <c r="Y351" s="130">
        <f t="shared" si="443"/>
        <v>59.054094342436727</v>
      </c>
      <c r="Z351" s="130">
        <f t="shared" si="443"/>
        <v>58.796391117585877</v>
      </c>
      <c r="AA351" s="130">
        <f t="shared" si="443"/>
        <v>51.871659340864781</v>
      </c>
      <c r="AB351" s="130">
        <f t="shared" si="443"/>
        <v>54.681554603164287</v>
      </c>
      <c r="AC351" s="130">
        <f t="shared" si="443"/>
        <v>57.304790482812017</v>
      </c>
      <c r="AD351" s="130">
        <f t="shared" si="443"/>
        <v>58.462554707821027</v>
      </c>
      <c r="AE351" s="130">
        <f t="shared" si="443"/>
        <v>62.659024364407671</v>
      </c>
      <c r="AF351" s="130">
        <f t="shared" si="443"/>
        <v>67.787436614319361</v>
      </c>
      <c r="AG351" s="130">
        <f t="shared" ref="AG351" si="444">(1-AG192/AG204)*100</f>
        <v>68.756187981912063</v>
      </c>
    </row>
    <row r="352" spans="1:35">
      <c r="B352" s="119"/>
      <c r="C352" s="119"/>
      <c r="D352" s="119"/>
      <c r="E352" s="119"/>
      <c r="F352" s="159"/>
      <c r="H352" s="110" t="s">
        <v>431</v>
      </c>
      <c r="I352" s="124"/>
      <c r="J352" s="501"/>
      <c r="K352" s="501">
        <f>K$21/(K$57+J$57)*200</f>
        <v>0.88153176026586999</v>
      </c>
      <c r="L352" s="547">
        <f>L$21/(L$57+K$57)*200*L$7</f>
        <v>0.51482215476503446</v>
      </c>
      <c r="M352" s="501">
        <f>M$21/(M$57+L$57)*200</f>
        <v>1.0155999355878853</v>
      </c>
      <c r="N352" s="501">
        <f>N$21/(N$57+M$57)*200</f>
        <v>0.98545027227548088</v>
      </c>
      <c r="O352" s="501">
        <f t="shared" ref="O352:O353" si="445">V352</f>
        <v>0.79510455928738966</v>
      </c>
      <c r="P352" s="501">
        <f>Z352</f>
        <v>1.3422790132847369</v>
      </c>
      <c r="Q352" s="501">
        <f t="shared" si="417"/>
        <v>1.2296256503352065</v>
      </c>
      <c r="R352" s="501">
        <f t="shared" si="418"/>
        <v>1.5174251502121172</v>
      </c>
      <c r="S352" s="546"/>
      <c r="T352" s="546"/>
      <c r="U352" s="546"/>
      <c r="V352" s="547">
        <f>V$21*V$7/(V$57+$N$57)*200</f>
        <v>0.79510455928738966</v>
      </c>
      <c r="W352" s="547">
        <f>W$21*W$7/(W$57+$O$57)*200</f>
        <v>1.6850458642597499</v>
      </c>
      <c r="X352" s="547">
        <f>X$21*X$7/(X$57+$O$57)*200</f>
        <v>1.5434808947797281</v>
      </c>
      <c r="Y352" s="547">
        <f>Y$21*Y$7/(Y$57+$O$57)*200</f>
        <v>1.4383417862010845</v>
      </c>
      <c r="Z352" s="547">
        <f>Z$21*Z$7/(Z$57+$O$57)*200</f>
        <v>1.3422790132847369</v>
      </c>
      <c r="AA352" s="547">
        <f>AA$21*AA$7/(AA$57+$P$57)*200</f>
        <v>1.6957997004640699</v>
      </c>
      <c r="AB352" s="547">
        <f>AB$21*AB$7/(AB$57+$P$57)*200</f>
        <v>1.4998350069601574</v>
      </c>
      <c r="AC352" s="547">
        <f>AC$21*AC$7/(AC$57+$P$57)*200</f>
        <v>1.3707312350779608</v>
      </c>
      <c r="AD352" s="547">
        <f>AD$21*AD$7/(AD$57+$P$57)*200</f>
        <v>1.2296256503352065</v>
      </c>
      <c r="AE352" s="547">
        <f>AE$21*AE$7/(AE$57+$Q$57)*200</f>
        <v>2.0633881417119171</v>
      </c>
      <c r="AF352" s="547">
        <f>AF$21*AF$7/(AF$57+$Q$57)*200</f>
        <v>1.7487864085957336</v>
      </c>
      <c r="AG352" s="547">
        <f>AG$21*AG$7/(AG$57+$Q$57)*200</f>
        <v>1.5174251502121172</v>
      </c>
    </row>
    <row r="353" spans="2:35">
      <c r="B353" s="119"/>
      <c r="C353" s="119"/>
      <c r="D353" s="119"/>
      <c r="E353" s="119"/>
      <c r="F353" s="119"/>
      <c r="H353" s="915" t="s">
        <v>1678</v>
      </c>
      <c r="I353" s="124"/>
      <c r="J353" s="501"/>
      <c r="K353" s="501">
        <f>K$189/(K$58+J$58)*200</f>
        <v>5.0188521235546961</v>
      </c>
      <c r="L353" s="547">
        <f>L$189/(L$58+K$58)*200*L$7</f>
        <v>3.2089539166717262</v>
      </c>
      <c r="M353" s="501">
        <f>M$189/(M$58+L$58)*200</f>
        <v>7.0169477145336927</v>
      </c>
      <c r="N353" s="501">
        <f>N$189/(N$58+M$58)*200</f>
        <v>7.8967777953109719</v>
      </c>
      <c r="O353" s="501">
        <f t="shared" si="445"/>
        <v>6.6159939020548659</v>
      </c>
      <c r="P353" s="501">
        <f>Z353</f>
        <v>11.360468829431163</v>
      </c>
      <c r="Q353" s="501">
        <f t="shared" si="417"/>
        <v>11.720051652172799</v>
      </c>
      <c r="R353" s="501">
        <f t="shared" si="418"/>
        <v>15.569237026868105</v>
      </c>
      <c r="S353" s="546"/>
      <c r="T353" s="546"/>
      <c r="U353" s="546"/>
      <c r="V353" s="547">
        <f>V$189*V$7/(V$58+$N$58)*200</f>
        <v>6.6159939020548659</v>
      </c>
      <c r="W353" s="547">
        <f>W$189*W$7/(W$58+$P$58)*200</f>
        <v>13.727932797733652</v>
      </c>
      <c r="X353" s="547">
        <f>X$189*X$7/(X$58+$P$58)*200</f>
        <v>12.353831891373792</v>
      </c>
      <c r="Y353" s="547">
        <f>Y$189*Y$7/(Y$58+$P$58)*200</f>
        <v>11.872560790964402</v>
      </c>
      <c r="Z353" s="547">
        <f>Z$189*Z$7/(Z$58+$O$58)*200</f>
        <v>11.360468829431163</v>
      </c>
      <c r="AA353" s="547">
        <f>AA$189*AA$7/(AA$58+$P$58)*200</f>
        <v>15.678164785464944</v>
      </c>
      <c r="AB353" s="547">
        <f>AB$189*AB$7/(AB$58+$P$58)*200</f>
        <v>13.821830075486972</v>
      </c>
      <c r="AC353" s="547">
        <f>AC$189*AC$7/(AC$58+$P$58)*200</f>
        <v>12.696063453042036</v>
      </c>
      <c r="AD353" s="547">
        <f>AD$189*AD$7/(AD$58+$P$58)*200</f>
        <v>11.720051652172799</v>
      </c>
      <c r="AE353" s="547">
        <f>AE$189*AE$7/(AE$58+$Q$58)*200</f>
        <v>21.657667070082443</v>
      </c>
      <c r="AF353" s="547">
        <f>AF$189*AF$7/(AF$58+$Q$58)*200</f>
        <v>18.451913923700317</v>
      </c>
      <c r="AG353" s="547">
        <f>AG$189*AG$7/(AG$58+$Q$58)*200</f>
        <v>15.569237026868105</v>
      </c>
    </row>
    <row r="354" spans="2:35">
      <c r="B354" s="119"/>
      <c r="C354" s="119"/>
      <c r="D354" s="119"/>
      <c r="E354" s="119"/>
      <c r="F354" s="119"/>
      <c r="H354" s="110" t="s">
        <v>432</v>
      </c>
      <c r="I354" s="124"/>
      <c r="J354" s="130">
        <f>J18/J360*100</f>
        <v>35.708051070738854</v>
      </c>
      <c r="K354" s="130">
        <f>K18/K360*100</f>
        <v>30.797000215378045</v>
      </c>
      <c r="L354" s="130">
        <f>L18/L360*100</f>
        <v>22.492919842124117</v>
      </c>
      <c r="M354" s="130">
        <f>M18/M360*100</f>
        <v>41.403037482731619</v>
      </c>
      <c r="N354" s="130">
        <f>N18/N360*100</f>
        <v>39.45995423366557</v>
      </c>
      <c r="O354" s="130">
        <f t="shared" si="415"/>
        <v>39.145525997367507</v>
      </c>
      <c r="P354" s="130">
        <f t="shared" si="416"/>
        <v>53.020415148105201</v>
      </c>
      <c r="Q354" s="130">
        <f t="shared" si="417"/>
        <v>52.342530631683061</v>
      </c>
      <c r="R354" s="130">
        <f t="shared" si="418"/>
        <v>58.103048330888186</v>
      </c>
      <c r="S354" s="124"/>
      <c r="T354" s="124"/>
      <c r="U354" s="124"/>
      <c r="V354" s="130">
        <f t="shared" ref="V354:AF354" si="446">V18/V360*100</f>
        <v>39.145525997367507</v>
      </c>
      <c r="W354" s="130">
        <f t="shared" si="446"/>
        <v>58.505087035142331</v>
      </c>
      <c r="X354" s="130">
        <f t="shared" si="446"/>
        <v>57.469851832344133</v>
      </c>
      <c r="Y354" s="130">
        <f t="shared" si="446"/>
        <v>55.92886468770859</v>
      </c>
      <c r="Z354" s="130">
        <f t="shared" si="446"/>
        <v>53.020415148105201</v>
      </c>
      <c r="AA354" s="130">
        <f t="shared" si="446"/>
        <v>55.723393740751739</v>
      </c>
      <c r="AB354" s="130">
        <f t="shared" si="446"/>
        <v>54.478362218853995</v>
      </c>
      <c r="AC354" s="130">
        <f t="shared" si="446"/>
        <v>54.398883435400904</v>
      </c>
      <c r="AD354" s="130">
        <f t="shared" si="446"/>
        <v>52.342530631683061</v>
      </c>
      <c r="AE354" s="130">
        <f t="shared" si="446"/>
        <v>65.883794923875783</v>
      </c>
      <c r="AF354" s="130">
        <f t="shared" si="446"/>
        <v>61.677680019056659</v>
      </c>
      <c r="AG354" s="130">
        <f t="shared" ref="AG354" si="447">AG18/AG360*100</f>
        <v>58.103048330888186</v>
      </c>
    </row>
    <row r="355" spans="2:35">
      <c r="B355" s="119"/>
      <c r="C355" s="119"/>
      <c r="D355" s="119"/>
      <c r="E355" s="119"/>
      <c r="F355" s="119"/>
      <c r="H355" s="110" t="s">
        <v>747</v>
      </c>
      <c r="I355" s="124"/>
      <c r="J355" s="387">
        <f>J222/J224*100</f>
        <v>154.5468027283996</v>
      </c>
      <c r="K355" s="387">
        <f>K222/K224*100</f>
        <v>146.73178871745688</v>
      </c>
      <c r="L355" s="387">
        <f>L222/L224*100</f>
        <v>135.99680055821472</v>
      </c>
      <c r="M355" s="387">
        <f>M222/M224*100</f>
        <v>169.06138115316119</v>
      </c>
      <c r="N355" s="387">
        <f>N222/N224*100</f>
        <v>165.80829369368178</v>
      </c>
      <c r="O355" s="130">
        <f t="shared" si="415"/>
        <v>164.53900493446477</v>
      </c>
      <c r="P355" s="130">
        <f t="shared" si="416"/>
        <v>213.75220057966396</v>
      </c>
      <c r="Q355" s="130">
        <f t="shared" si="417"/>
        <v>214.56386456134084</v>
      </c>
      <c r="R355" s="130">
        <f t="shared" si="418"/>
        <v>244.15477310874735</v>
      </c>
      <c r="S355" s="124">
        <f>AVERAGE(J355:N355)</f>
        <v>154.42901337018284</v>
      </c>
      <c r="T355" s="124"/>
      <c r="U355" s="124"/>
      <c r="V355" s="387">
        <f t="shared" ref="V355:AF355" si="448">V222/V224*100</f>
        <v>164.53900493446477</v>
      </c>
      <c r="W355" s="387">
        <f t="shared" si="448"/>
        <v>241.08473097342346</v>
      </c>
      <c r="X355" s="387">
        <f t="shared" si="448"/>
        <v>235.74590641314037</v>
      </c>
      <c r="Y355" s="387">
        <f t="shared" si="448"/>
        <v>227.07265960176227</v>
      </c>
      <c r="Z355" s="387">
        <f t="shared" si="448"/>
        <v>213.75220057966396</v>
      </c>
      <c r="AA355" s="387">
        <f t="shared" si="448"/>
        <v>244.90783839766942</v>
      </c>
      <c r="AB355" s="387">
        <f t="shared" si="448"/>
        <v>228.58894974191361</v>
      </c>
      <c r="AC355" s="387">
        <f t="shared" si="448"/>
        <v>226.15092895449624</v>
      </c>
      <c r="AD355" s="387">
        <f t="shared" si="448"/>
        <v>214.56386456134084</v>
      </c>
      <c r="AE355" s="387">
        <f t="shared" si="448"/>
        <v>300.21111661473083</v>
      </c>
      <c r="AF355" s="387">
        <f t="shared" si="448"/>
        <v>263.78491143175967</v>
      </c>
      <c r="AG355" s="387">
        <f t="shared" ref="AG355" si="449">AG222/AG224*100</f>
        <v>244.15477310874735</v>
      </c>
    </row>
    <row r="356" spans="2:35">
      <c r="B356" s="119"/>
      <c r="C356" s="119"/>
      <c r="D356" s="119"/>
      <c r="E356" s="119"/>
      <c r="F356" s="119"/>
      <c r="H356" s="1491" t="s">
        <v>2638</v>
      </c>
      <c r="I356" s="124"/>
      <c r="J356" s="387">
        <f>J223/J224*100</f>
        <v>155.18568864556826</v>
      </c>
      <c r="K356" s="387">
        <f>K223/K224*100</f>
        <v>145.1890597351441</v>
      </c>
      <c r="L356" s="387">
        <f>L223/L224*100</f>
        <v>130.58960816441248</v>
      </c>
      <c r="M356" s="387">
        <f>M223/M224*100</f>
        <v>169.99646929099606</v>
      </c>
      <c r="N356" s="387">
        <f>N223/N224*100</f>
        <v>165.42797830012341</v>
      </c>
      <c r="O356" s="130">
        <f t="shared" ref="O356" si="450">V356</f>
        <v>164.4095874661329</v>
      </c>
      <c r="P356" s="130">
        <f t="shared" ref="P356" si="451">Z356</f>
        <v>213.33228579803989</v>
      </c>
      <c r="Q356" s="130">
        <f t="shared" ref="Q356" si="452">AD356</f>
        <v>212.30812295941314</v>
      </c>
      <c r="R356" s="130">
        <f t="shared" si="418"/>
        <v>241.86126590526214</v>
      </c>
      <c r="S356" s="124">
        <f>AVERAGE(J356:N356)</f>
        <v>153.27776082724887</v>
      </c>
      <c r="T356" s="124"/>
      <c r="U356" s="124"/>
      <c r="V356" s="387">
        <f t="shared" ref="V356:AF356" si="453">V223/V224*100</f>
        <v>164.4095874661329</v>
      </c>
      <c r="W356" s="387">
        <f t="shared" si="453"/>
        <v>241.04666006413368</v>
      </c>
      <c r="X356" s="387">
        <f t="shared" si="453"/>
        <v>235.48295103083191</v>
      </c>
      <c r="Y356" s="387">
        <f t="shared" si="453"/>
        <v>226.99903247057077</v>
      </c>
      <c r="Z356" s="387">
        <f t="shared" si="453"/>
        <v>213.33228579803989</v>
      </c>
      <c r="AA356" s="387">
        <f t="shared" si="453"/>
        <v>236.47077436196557</v>
      </c>
      <c r="AB356" s="387">
        <f t="shared" si="453"/>
        <v>224.53142792779678</v>
      </c>
      <c r="AC356" s="387">
        <f t="shared" si="453"/>
        <v>223.0236912552528</v>
      </c>
      <c r="AD356" s="387">
        <f t="shared" si="453"/>
        <v>212.30812295941314</v>
      </c>
      <c r="AE356" s="387">
        <f t="shared" si="453"/>
        <v>297.79062010593145</v>
      </c>
      <c r="AF356" s="387">
        <f t="shared" si="453"/>
        <v>262.69648850858391</v>
      </c>
      <c r="AG356" s="387">
        <f t="shared" ref="AG356" si="454">AG223/AG224*100</f>
        <v>241.86126590526214</v>
      </c>
    </row>
    <row r="357" spans="2:35">
      <c r="B357" s="119"/>
      <c r="C357" s="119"/>
      <c r="D357" s="119"/>
      <c r="E357" s="119"/>
      <c r="F357" s="119"/>
      <c r="H357" s="110" t="s">
        <v>422</v>
      </c>
      <c r="I357" s="124"/>
      <c r="J357" s="125">
        <f>J150+J143+J152</f>
        <v>103024.46918413999</v>
      </c>
      <c r="K357" s="125">
        <f>K150+K143+K152</f>
        <v>121441.57188047998</v>
      </c>
      <c r="L357" s="125">
        <f>L150+L143+L152</f>
        <v>139432.38650522</v>
      </c>
      <c r="M357" s="125">
        <f>M150+M143+M152</f>
        <v>162729.95110902999</v>
      </c>
      <c r="N357" s="125">
        <f>N150+N143+N152</f>
        <v>204770.71165647003</v>
      </c>
      <c r="O357" s="125">
        <f t="shared" ref="O357:O365" si="455">V357</f>
        <v>236981.69017647998</v>
      </c>
      <c r="P357" s="125">
        <f t="shared" ref="P357:P365" si="456">Z357</f>
        <v>253108.26862404001</v>
      </c>
      <c r="Q357" s="125">
        <f t="shared" ref="Q357:Q365" si="457">AD357</f>
        <v>265547.90093310998</v>
      </c>
      <c r="R357" s="125">
        <f t="shared" si="418"/>
        <v>263306.82306898001</v>
      </c>
      <c r="S357" s="124"/>
      <c r="T357" s="124"/>
      <c r="U357" s="124"/>
      <c r="V357" s="125">
        <f t="shared" ref="V357:AF357" si="458">V150+V143+V152</f>
        <v>236981.69017647998</v>
      </c>
      <c r="W357" s="125">
        <f t="shared" si="458"/>
        <v>253089.50825133998</v>
      </c>
      <c r="X357" s="125">
        <f t="shared" si="458"/>
        <v>249607.13786946001</v>
      </c>
      <c r="Y357" s="125">
        <f t="shared" si="458"/>
        <v>254324.9881128</v>
      </c>
      <c r="Z357" s="125">
        <f t="shared" si="458"/>
        <v>253108.26862404001</v>
      </c>
      <c r="AA357" s="125">
        <f t="shared" si="458"/>
        <v>248574.43154071001</v>
      </c>
      <c r="AB357" s="125">
        <f t="shared" si="458"/>
        <v>262824.60443726002</v>
      </c>
      <c r="AC357" s="125">
        <f t="shared" si="458"/>
        <v>267944.55772638001</v>
      </c>
      <c r="AD357" s="125">
        <f t="shared" si="458"/>
        <v>265547.90093310998</v>
      </c>
      <c r="AE357" s="125">
        <f t="shared" si="458"/>
        <v>277252.28729881998</v>
      </c>
      <c r="AF357" s="125">
        <f t="shared" si="458"/>
        <v>270398.47256709996</v>
      </c>
      <c r="AG357" s="125">
        <f t="shared" ref="AG357" si="459">AG150+AG143+AG152</f>
        <v>263306.82306898001</v>
      </c>
    </row>
    <row r="358" spans="2:35">
      <c r="B358" s="119"/>
      <c r="C358" s="119"/>
      <c r="D358" s="119"/>
      <c r="E358" s="119"/>
      <c r="F358" s="159"/>
      <c r="H358" s="110" t="s">
        <v>423</v>
      </c>
      <c r="I358" s="124"/>
      <c r="J358" s="125">
        <f>SUM(J148,J149,J156,J153,J154,,J155)</f>
        <v>15344.03945561</v>
      </c>
      <c r="K358" s="125">
        <f>SUM(K148,K149,K156,K153,K154,,K155)</f>
        <v>17885.138986710001</v>
      </c>
      <c r="L358" s="125">
        <f>SUM(L148,L149,L156,L153,L154,,L155)</f>
        <v>14704.423780720001</v>
      </c>
      <c r="M358" s="125">
        <f>SUM(M148,M149,M156,M153,M154,,M155)</f>
        <v>14405.17172072</v>
      </c>
      <c r="N358" s="125">
        <f>SUM(N148,N149,N156,N153,N154,,N155)</f>
        <v>14121.77355849</v>
      </c>
      <c r="O358" s="125">
        <f t="shared" si="455"/>
        <v>14394.752296160001</v>
      </c>
      <c r="P358" s="125">
        <f t="shared" si="456"/>
        <v>19082.40476804</v>
      </c>
      <c r="Q358" s="125">
        <f t="shared" si="457"/>
        <v>26189.871241150002</v>
      </c>
      <c r="R358" s="125">
        <f t="shared" si="418"/>
        <v>30559.456836190002</v>
      </c>
      <c r="S358" s="124"/>
      <c r="T358" s="124"/>
      <c r="U358" s="124"/>
      <c r="V358" s="125">
        <f t="shared" ref="V358:AF358" si="460">SUM(V148,V149,V156,V153,V154,,V155)</f>
        <v>14394.752296160001</v>
      </c>
      <c r="W358" s="125">
        <f t="shared" si="460"/>
        <v>7635.7811121799996</v>
      </c>
      <c r="X358" s="125">
        <f t="shared" si="460"/>
        <v>10882.523953800001</v>
      </c>
      <c r="Y358" s="125">
        <f t="shared" si="460"/>
        <v>12991.99994747</v>
      </c>
      <c r="Z358" s="125">
        <f t="shared" si="460"/>
        <v>19082.40476804</v>
      </c>
      <c r="AA358" s="125">
        <f t="shared" si="460"/>
        <v>17723.761904890001</v>
      </c>
      <c r="AB358" s="125">
        <f t="shared" si="460"/>
        <v>21394.26918947</v>
      </c>
      <c r="AC358" s="125">
        <f t="shared" si="460"/>
        <v>15438.8401187</v>
      </c>
      <c r="AD358" s="125">
        <f t="shared" si="460"/>
        <v>26189.871241150002</v>
      </c>
      <c r="AE358" s="125">
        <f t="shared" si="460"/>
        <v>24712.037782560001</v>
      </c>
      <c r="AF358" s="125">
        <f t="shared" si="460"/>
        <v>28460.809139450001</v>
      </c>
      <c r="AG358" s="125">
        <f t="shared" ref="AG358" si="461">SUM(AG148,AG149,AG156,AG153,AG154,,AG155)</f>
        <v>30559.456836190002</v>
      </c>
    </row>
    <row r="359" spans="2:35">
      <c r="B359" s="119"/>
      <c r="C359" s="119"/>
      <c r="D359" s="119"/>
      <c r="E359" s="119"/>
      <c r="F359" s="119"/>
      <c r="H359" s="110" t="s">
        <v>424</v>
      </c>
      <c r="J359" s="125">
        <f>J267+J268</f>
        <v>0</v>
      </c>
      <c r="K359" s="125">
        <f>K267+K268</f>
        <v>346.63593629000002</v>
      </c>
      <c r="L359" s="125">
        <f>L267+L268</f>
        <v>761.45773430999998</v>
      </c>
      <c r="M359" s="125">
        <f>M267+M268</f>
        <v>579.24571487999992</v>
      </c>
      <c r="N359" s="125">
        <f>N267+N268</f>
        <v>655.60711631000004</v>
      </c>
      <c r="O359" s="125">
        <f t="shared" si="455"/>
        <v>462.67292951000002</v>
      </c>
      <c r="P359" s="125">
        <f t="shared" si="456"/>
        <v>1072.6429687699999</v>
      </c>
      <c r="Q359" s="125">
        <f t="shared" si="457"/>
        <v>1311.27496185</v>
      </c>
      <c r="R359" s="125">
        <f t="shared" si="418"/>
        <v>1517.6695480000001</v>
      </c>
      <c r="S359" s="124"/>
      <c r="T359" s="124"/>
      <c r="U359" s="124"/>
      <c r="V359" s="125">
        <f t="shared" ref="V359:AF359" si="462">V267+V268</f>
        <v>462.67292951000002</v>
      </c>
      <c r="W359" s="125">
        <f t="shared" si="462"/>
        <v>0</v>
      </c>
      <c r="X359" s="125">
        <f t="shared" si="462"/>
        <v>0</v>
      </c>
      <c r="Y359" s="125">
        <f t="shared" si="462"/>
        <v>0</v>
      </c>
      <c r="Z359" s="125">
        <f t="shared" si="462"/>
        <v>1072.6429687699999</v>
      </c>
      <c r="AA359" s="125">
        <f t="shared" si="462"/>
        <v>1227.2374253600001</v>
      </c>
      <c r="AB359" s="125">
        <f t="shared" si="462"/>
        <v>1281.6515940499999</v>
      </c>
      <c r="AC359" s="125">
        <f t="shared" si="462"/>
        <v>1285.455119</v>
      </c>
      <c r="AD359" s="125">
        <f t="shared" si="462"/>
        <v>1311.27496185</v>
      </c>
      <c r="AE359" s="125">
        <f t="shared" si="462"/>
        <v>1428.6943117999999</v>
      </c>
      <c r="AF359" s="125">
        <f t="shared" si="462"/>
        <v>1422.4243628900001</v>
      </c>
      <c r="AG359" s="125">
        <f t="shared" ref="AG359" si="463">AG267+AG268</f>
        <v>1517.6695480000001</v>
      </c>
      <c r="AH359" s="124"/>
      <c r="AI359" s="124"/>
    </row>
    <row r="360" spans="2:35">
      <c r="B360" s="119"/>
      <c r="C360" s="119"/>
      <c r="D360" s="119"/>
      <c r="E360" s="119"/>
      <c r="F360" s="159"/>
      <c r="H360" s="110" t="s">
        <v>527</v>
      </c>
      <c r="J360" s="128">
        <f>J233+J224-J238</f>
        <v>7529.0863527500005</v>
      </c>
      <c r="K360" s="128">
        <f>K233+K224-K238</f>
        <v>6802.6105963199998</v>
      </c>
      <c r="L360" s="128">
        <f>L233+L224-L238</f>
        <v>4074.1709232600001</v>
      </c>
      <c r="M360" s="128">
        <f>M233+M224-M238</f>
        <v>7156.9628224399994</v>
      </c>
      <c r="N360" s="128">
        <f>N233+N224-N238</f>
        <v>7968.6610414699999</v>
      </c>
      <c r="O360" s="125">
        <f t="shared" si="455"/>
        <v>7658.8829083599994</v>
      </c>
      <c r="P360" s="125">
        <f t="shared" si="456"/>
        <v>11381.578177279998</v>
      </c>
      <c r="Q360" s="125">
        <f t="shared" si="457"/>
        <v>12812.620863119999</v>
      </c>
      <c r="R360" s="125">
        <f t="shared" si="418"/>
        <v>12127.96953418</v>
      </c>
      <c r="S360" s="124"/>
      <c r="T360" s="124"/>
      <c r="U360" s="124"/>
      <c r="V360" s="128">
        <f t="shared" ref="V360:AF360" si="464">V233+V224-V238</f>
        <v>7658.8829083599994</v>
      </c>
      <c r="W360" s="128">
        <f t="shared" si="464"/>
        <v>2996.6966786099997</v>
      </c>
      <c r="X360" s="128">
        <f t="shared" si="464"/>
        <v>5897.6661535299991</v>
      </c>
      <c r="Y360" s="128">
        <f t="shared" si="464"/>
        <v>8610.5091295700004</v>
      </c>
      <c r="Z360" s="128">
        <f t="shared" si="464"/>
        <v>11381.578177279998</v>
      </c>
      <c r="AA360" s="128">
        <f t="shared" si="464"/>
        <v>3781.3023553500002</v>
      </c>
      <c r="AB360" s="128">
        <f t="shared" si="464"/>
        <v>6976.4028234400002</v>
      </c>
      <c r="AC360" s="128">
        <f t="shared" si="464"/>
        <v>9952.9432555900003</v>
      </c>
      <c r="AD360" s="128">
        <f t="shared" si="464"/>
        <v>12812.620863119999</v>
      </c>
      <c r="AE360" s="128">
        <f t="shared" si="464"/>
        <v>4677.9029707700001</v>
      </c>
      <c r="AF360" s="128">
        <f t="shared" si="464"/>
        <v>8892.3902428000001</v>
      </c>
      <c r="AG360" s="128">
        <f t="shared" ref="AG360" si="465">AG233+AG224-AG238</f>
        <v>12127.96953418</v>
      </c>
      <c r="AH360" s="124"/>
      <c r="AI360" s="124"/>
    </row>
    <row r="361" spans="2:35">
      <c r="B361" s="119"/>
      <c r="C361" s="119"/>
      <c r="D361" s="119"/>
      <c r="E361" s="119"/>
      <c r="F361" s="119"/>
      <c r="H361" s="110" t="s">
        <v>433</v>
      </c>
      <c r="I361" s="124"/>
      <c r="J361" s="130" t="e">
        <f>(J15/#REF!-1)*100</f>
        <v>#REF!</v>
      </c>
      <c r="K361" s="130">
        <f>(K15/J15-1)*100</f>
        <v>14.685424540663217</v>
      </c>
      <c r="L361" s="130">
        <f>(L15/K15-1)*100</f>
        <v>3.0121700296701359</v>
      </c>
      <c r="M361" s="130">
        <f>(M15/L15-1)*100</f>
        <v>18.308231410313525</v>
      </c>
      <c r="N361" s="130">
        <f>(N57/M15-1)*100</f>
        <v>21.248487204971056</v>
      </c>
      <c r="O361" s="130">
        <f t="shared" si="455"/>
        <v>15.256779019040835</v>
      </c>
      <c r="P361" s="130">
        <f t="shared" si="456"/>
        <v>14.380625492986464</v>
      </c>
      <c r="Q361" s="130">
        <f t="shared" si="457"/>
        <v>18.128041159111461</v>
      </c>
      <c r="R361" s="130">
        <f t="shared" si="418"/>
        <v>11.732746615708045</v>
      </c>
      <c r="S361" s="130"/>
      <c r="T361" s="130"/>
      <c r="U361" s="124"/>
      <c r="V361" s="131">
        <f>(V57/$N$15-1)*100</f>
        <v>15.256779019040835</v>
      </c>
      <c r="W361" s="131">
        <f>(W57/$P$15-1)*100</f>
        <v>-6.3119280609344353</v>
      </c>
      <c r="X361" s="131">
        <f>(X57/$P$15-1)*100</f>
        <v>-4.3743596885785667</v>
      </c>
      <c r="Y361" s="131">
        <f>(Y57/$P$15-1)*100</f>
        <v>-2.0367944524851245</v>
      </c>
      <c r="Z361" s="131">
        <f>(Z57/$O$15-1)*100</f>
        <v>14.380625492986464</v>
      </c>
      <c r="AA361" s="131">
        <f t="shared" ref="AA361:AG361" si="466">(AA57/W57-1)*100</f>
        <v>13.710382516503671</v>
      </c>
      <c r="AB361" s="131">
        <f t="shared" si="466"/>
        <v>14.943197838030153</v>
      </c>
      <c r="AC361" s="131">
        <f t="shared" si="466"/>
        <v>16.649004920698872</v>
      </c>
      <c r="AD361" s="131">
        <f t="shared" si="466"/>
        <v>18.128041159111461</v>
      </c>
      <c r="AE361" s="131">
        <f t="shared" si="466"/>
        <v>17.908606562946773</v>
      </c>
      <c r="AF361" s="131">
        <f t="shared" si="466"/>
        <v>20.422773653340531</v>
      </c>
      <c r="AG361" s="131">
        <f t="shared" si="466"/>
        <v>11.732746615708045</v>
      </c>
    </row>
    <row r="362" spans="2:35">
      <c r="B362" s="119"/>
      <c r="C362" s="119"/>
      <c r="D362" s="119"/>
      <c r="E362" s="119"/>
      <c r="F362" s="119"/>
      <c r="H362" s="110" t="s">
        <v>434</v>
      </c>
      <c r="I362" s="124"/>
      <c r="J362" s="130" t="e">
        <f>(J357/#REF!-1)*100</f>
        <v>#REF!</v>
      </c>
      <c r="K362" s="130">
        <f>(K357/J357-1)*100</f>
        <v>17.876435415961556</v>
      </c>
      <c r="L362" s="130">
        <f>(L357/K357-1)*100</f>
        <v>14.81437891996833</v>
      </c>
      <c r="M362" s="130">
        <f>(M357/L357-1)*100</f>
        <v>16.708861683965925</v>
      </c>
      <c r="N362" s="130">
        <f>(N357/M357-1)*100</f>
        <v>25.834679025542439</v>
      </c>
      <c r="O362" s="130">
        <f t="shared" si="455"/>
        <v>15.730266432852048</v>
      </c>
      <c r="P362" s="130">
        <f t="shared" si="456"/>
        <v>6.8049892105801923</v>
      </c>
      <c r="Q362" s="130">
        <f t="shared" si="457"/>
        <v>4.914747501808181</v>
      </c>
      <c r="R362" s="130">
        <f t="shared" si="418"/>
        <v>-1.730856075881182</v>
      </c>
      <c r="S362" s="124"/>
      <c r="T362" s="124"/>
      <c r="U362" s="124"/>
      <c r="V362" s="131">
        <f>(V357/$N$357-1)*100</f>
        <v>15.730266432852048</v>
      </c>
      <c r="W362" s="131">
        <f>(W357/$P$357-1)*100</f>
        <v>-7.4119951916307159E-3</v>
      </c>
      <c r="X362" s="131">
        <f>(X357/$P$357-1)*100</f>
        <v>-1.3832541993246683</v>
      </c>
      <c r="Y362" s="131">
        <f>(Y357/$P$357-1)*100</f>
        <v>0.48071107884952724</v>
      </c>
      <c r="Z362" s="131">
        <f>(Z357/$O$357-1)*100</f>
        <v>6.8049892105801923</v>
      </c>
      <c r="AA362" s="131">
        <f t="shared" ref="AA362:AB362" si="467">(AA357/W357-1)*100</f>
        <v>-1.7839841492544695</v>
      </c>
      <c r="AB362" s="131">
        <f t="shared" si="467"/>
        <v>5.2953079309424611</v>
      </c>
      <c r="AC362" s="131">
        <f>(AC357/Y357-1)*100</f>
        <v>5.3551834267812293</v>
      </c>
      <c r="AD362" s="131">
        <f>(AD357/Z357-1)*100</f>
        <v>4.914747501808181</v>
      </c>
      <c r="AE362" s="131">
        <f>(AE357/AA357-1)*100</f>
        <v>11.536929031823329</v>
      </c>
      <c r="AF362" s="131">
        <f>(AF357/AB357-1)*100</f>
        <v>2.8817195962518527</v>
      </c>
      <c r="AG362" s="131">
        <f>(AG357/AC357-1)*100</f>
        <v>-1.730856075881182</v>
      </c>
    </row>
    <row r="363" spans="2:35">
      <c r="B363" s="119"/>
      <c r="C363" s="119"/>
      <c r="D363" s="119"/>
      <c r="E363" s="119"/>
      <c r="F363" s="119"/>
      <c r="H363" s="110" t="s">
        <v>435</v>
      </c>
      <c r="I363" s="124"/>
      <c r="J363" s="130" t="e">
        <f>(J18/#REF!-1)*100</f>
        <v>#REF!</v>
      </c>
      <c r="K363" s="130">
        <f>(K18/J18-1)*100</f>
        <v>-22.075216943339939</v>
      </c>
      <c r="L363" s="130">
        <f>(L18/K18-1)*100</f>
        <v>-56.257756563245835</v>
      </c>
      <c r="M363" s="130">
        <f>(M18/L18-1)*100</f>
        <v>223.35224792666955</v>
      </c>
      <c r="N363" s="130">
        <f>(N18/M18-1)*100</f>
        <v>6.1160232181425522</v>
      </c>
      <c r="O363" s="130">
        <f t="shared" si="455"/>
        <v>-4.6533075946991858</v>
      </c>
      <c r="P363" s="130">
        <f t="shared" si="456"/>
        <v>101.27880564755797</v>
      </c>
      <c r="Q363" s="130">
        <f t="shared" si="457"/>
        <v>11.134034627213897</v>
      </c>
      <c r="R363" s="130">
        <f t="shared" si="418"/>
        <v>30.150398297837768</v>
      </c>
      <c r="S363" s="124"/>
      <c r="T363" s="124"/>
      <c r="U363" s="124"/>
      <c r="V363" s="131">
        <f>(V18*V$7/$N$18-1)*100</f>
        <v>-4.6533075946991858</v>
      </c>
      <c r="W363" s="131">
        <f>(W18*W$7/$P$18-1)*100</f>
        <v>16.211952487008151</v>
      </c>
      <c r="X363" s="131">
        <f>(X18*X$7/$P$18-1)*100</f>
        <v>12.33229928942623</v>
      </c>
      <c r="Y363" s="131">
        <f>(Y18*Y$7/$P$18-1)*100</f>
        <v>6.4040018383002772</v>
      </c>
      <c r="Z363" s="131">
        <f>(Z18*Z$7/$O$18-1)*100</f>
        <v>101.27880564755797</v>
      </c>
      <c r="AA363" s="131">
        <f t="shared" ref="AA363:AG363" si="468">(AA18/W18-1)*100</f>
        <v>20.182863531102768</v>
      </c>
      <c r="AB363" s="131">
        <f t="shared" si="468"/>
        <v>12.133487540494126</v>
      </c>
      <c r="AC363" s="131">
        <f t="shared" si="468"/>
        <v>12.428567868830665</v>
      </c>
      <c r="AD363" s="131">
        <f t="shared" si="468"/>
        <v>11.134034627213897</v>
      </c>
      <c r="AE363" s="131">
        <f t="shared" si="468"/>
        <v>46.268515046960943</v>
      </c>
      <c r="AF363" s="131">
        <f t="shared" si="468"/>
        <v>44.308180485866799</v>
      </c>
      <c r="AG363" s="131">
        <f t="shared" si="468"/>
        <v>30.150398297837768</v>
      </c>
    </row>
    <row r="364" spans="2:35">
      <c r="B364" s="119"/>
      <c r="C364" s="119"/>
      <c r="D364" s="119"/>
      <c r="E364" s="119"/>
      <c r="F364" s="119"/>
      <c r="H364" s="110" t="s">
        <v>436</v>
      </c>
      <c r="I364" s="124"/>
      <c r="J364" s="130" t="e">
        <f>(J21/#REF!-1)*100</f>
        <v>#REF!</v>
      </c>
      <c r="K364" s="130">
        <f>(K21/J21-1)*100</f>
        <v>-25.905321032522586</v>
      </c>
      <c r="L364" s="130">
        <f>(L21/K21-1)*100</f>
        <v>-52.498396448290173</v>
      </c>
      <c r="M364" s="130">
        <f>(M21/L21-1)*100</f>
        <v>191.36725886308875</v>
      </c>
      <c r="N364" s="130">
        <f>(N21/M21-1)*100</f>
        <v>16.342182622800383</v>
      </c>
      <c r="O364" s="130">
        <f t="shared" si="455"/>
        <v>-4.8207263113086318</v>
      </c>
      <c r="P364" s="130">
        <f t="shared" si="456"/>
        <v>93.782132555381864</v>
      </c>
      <c r="Q364" s="130">
        <f t="shared" si="457"/>
        <v>6.6126026933175375</v>
      </c>
      <c r="R364" s="130">
        <f t="shared" si="418"/>
        <v>26.994302683252403</v>
      </c>
      <c r="S364" s="124"/>
      <c r="T364" s="124"/>
      <c r="U364" s="124"/>
      <c r="V364" s="131">
        <f>(V21*V$7/$N$21-1)*100</f>
        <v>-4.8207263113086318</v>
      </c>
      <c r="W364" s="131">
        <f>(W21*W$7/$P$21-1)*100</f>
        <v>21.308545777928334</v>
      </c>
      <c r="X364" s="131">
        <f>(X21*X$7/$P$21-1)*100</f>
        <v>12.305835521300912</v>
      </c>
      <c r="Y364" s="131">
        <f>(Y21*Y$7/$P$21-1)*100</f>
        <v>5.9922080121961319</v>
      </c>
      <c r="Z364" s="131">
        <f>(Z21*Z$7/$O$21-1)*100</f>
        <v>93.782132555381864</v>
      </c>
      <c r="AA364" s="131">
        <f t="shared" ref="AA364:AG364" si="469">(AA21/W21-1)*100</f>
        <v>14.761675359040428</v>
      </c>
      <c r="AB364" s="131">
        <f t="shared" si="469"/>
        <v>11.431792729233514</v>
      </c>
      <c r="AC364" s="131">
        <f t="shared" si="469"/>
        <v>10.146363551613469</v>
      </c>
      <c r="AD364" s="131">
        <f t="shared" si="469"/>
        <v>6.6126026933175375</v>
      </c>
      <c r="AE364" s="131">
        <f t="shared" si="469"/>
        <v>43.59623293504977</v>
      </c>
      <c r="AF364" s="131">
        <f t="shared" si="469"/>
        <v>39.136628811976351</v>
      </c>
      <c r="AG364" s="131">
        <f t="shared" si="469"/>
        <v>26.994302683252403</v>
      </c>
    </row>
    <row r="365" spans="2:35">
      <c r="B365" s="119"/>
      <c r="C365" s="119"/>
      <c r="D365" s="119"/>
      <c r="E365" s="119"/>
      <c r="F365" s="119"/>
      <c r="H365" s="110" t="s">
        <v>462</v>
      </c>
      <c r="J365" s="128">
        <f>J307+J299</f>
        <v>0</v>
      </c>
      <c r="K365" s="128">
        <f>K307+K299</f>
        <v>92057.003558100012</v>
      </c>
      <c r="L365" s="128">
        <f>L307+L299</f>
        <v>102854.79452796001</v>
      </c>
      <c r="M365" s="128">
        <f>M307+M299</f>
        <v>121015.29792961999</v>
      </c>
      <c r="N365" s="128">
        <f>N307+N299</f>
        <v>158970.92691629002</v>
      </c>
      <c r="O365" s="125">
        <f t="shared" si="455"/>
        <v>128089.47895558999</v>
      </c>
      <c r="P365" s="125">
        <f t="shared" si="456"/>
        <v>173157.73391842999</v>
      </c>
      <c r="Q365" s="125">
        <f t="shared" si="457"/>
        <v>202913.88460773998</v>
      </c>
      <c r="R365" s="125">
        <f t="shared" si="418"/>
        <v>232524.25478701002</v>
      </c>
      <c r="V365" s="128">
        <f t="shared" ref="V365:AF365" si="470">V307+V299</f>
        <v>128089.47895558999</v>
      </c>
      <c r="W365" s="128">
        <f t="shared" si="470"/>
        <v>0</v>
      </c>
      <c r="X365" s="128">
        <f t="shared" si="470"/>
        <v>0</v>
      </c>
      <c r="Y365" s="128">
        <f t="shared" si="470"/>
        <v>0</v>
      </c>
      <c r="Z365" s="128">
        <f t="shared" si="470"/>
        <v>173157.73391842999</v>
      </c>
      <c r="AA365" s="128">
        <f t="shared" si="470"/>
        <v>185131.34278758001</v>
      </c>
      <c r="AB365" s="128">
        <f t="shared" si="470"/>
        <v>194746.85980462001</v>
      </c>
      <c r="AC365" s="128">
        <f t="shared" si="470"/>
        <v>196447.29881120002</v>
      </c>
      <c r="AD365" s="128">
        <f t="shared" si="470"/>
        <v>202913.88460773998</v>
      </c>
      <c r="AE365" s="128">
        <f t="shared" si="470"/>
        <v>218410.41850668</v>
      </c>
      <c r="AF365" s="128">
        <f t="shared" si="470"/>
        <v>248752.74744163</v>
      </c>
      <c r="AG365" s="128">
        <f t="shared" ref="AG365" si="471">AG307+AG299</f>
        <v>232524.25478701002</v>
      </c>
    </row>
    <row r="366" spans="2:35">
      <c r="B366" s="119"/>
      <c r="C366" s="119"/>
      <c r="D366" s="119"/>
      <c r="E366" s="119"/>
      <c r="F366" s="119"/>
      <c r="H366" s="110" t="s">
        <v>487</v>
      </c>
      <c r="J366" s="128"/>
      <c r="K366" s="128"/>
      <c r="L366" s="128"/>
      <c r="M366" s="128"/>
      <c r="N366" s="128"/>
      <c r="O366" s="125"/>
      <c r="P366" s="125"/>
      <c r="Q366" s="125"/>
      <c r="R366" s="125"/>
      <c r="V366" s="128">
        <f t="shared" ref="V366:AF366" si="472">V269-V287</f>
        <v>422.07300822999969</v>
      </c>
      <c r="W366" s="128">
        <f t="shared" si="472"/>
        <v>0</v>
      </c>
      <c r="X366" s="128">
        <f t="shared" si="472"/>
        <v>0</v>
      </c>
      <c r="Y366" s="128">
        <f t="shared" si="472"/>
        <v>0</v>
      </c>
      <c r="Z366" s="128">
        <f t="shared" si="472"/>
        <v>371.11319686000934</v>
      </c>
      <c r="AA366" s="128">
        <f t="shared" si="472"/>
        <v>467.80895202999818</v>
      </c>
      <c r="AB366" s="128">
        <f t="shared" si="472"/>
        <v>469.81963554999675</v>
      </c>
      <c r="AC366" s="128">
        <f t="shared" si="472"/>
        <v>495.83821599998919</v>
      </c>
      <c r="AD366" s="128">
        <f t="shared" si="472"/>
        <v>467.06464232000872</v>
      </c>
      <c r="AE366" s="128">
        <f t="shared" si="472"/>
        <v>481.56748933999916</v>
      </c>
      <c r="AF366" s="128">
        <f t="shared" si="472"/>
        <v>488.14161905000219</v>
      </c>
      <c r="AG366" s="128">
        <f t="shared" ref="AG366" si="473">AG269-AG287</f>
        <v>531.2760891700018</v>
      </c>
    </row>
    <row r="367" spans="2:35">
      <c r="B367" s="119"/>
      <c r="C367" s="119"/>
      <c r="D367" s="119"/>
      <c r="E367" s="119"/>
      <c r="F367" s="119"/>
      <c r="H367" s="110" t="s">
        <v>580</v>
      </c>
      <c r="I367" s="124"/>
      <c r="J367" s="130" t="e">
        <f>J21/(J17+#REF!)*200</f>
        <v>#REF!</v>
      </c>
      <c r="K367" s="130">
        <f>K21/(K17+J17)*200</f>
        <v>5.0188425152031737</v>
      </c>
      <c r="L367" s="130">
        <f>L21/(L17+K17)*200</f>
        <v>2.4067085032116582</v>
      </c>
      <c r="M367" s="130">
        <f>M21/(M17+L17)*200</f>
        <v>7.0169548858576762</v>
      </c>
      <c r="N367" s="130">
        <f>N21/(N17+M17)*200</f>
        <v>7.8967791437767314</v>
      </c>
      <c r="O367" s="130">
        <f t="shared" ref="O367:O368" si="474">V367</f>
        <v>6.6159865506945499</v>
      </c>
      <c r="P367" s="130">
        <f>Z367</f>
        <v>11.360471006840626</v>
      </c>
      <c r="Q367" s="130">
        <f>AD367</f>
        <v>11.720051585824164</v>
      </c>
      <c r="R367" s="130">
        <f>AG367</f>
        <v>15.569241027034424</v>
      </c>
      <c r="S367" s="124"/>
      <c r="T367" s="124"/>
      <c r="U367" s="124"/>
      <c r="V367" s="131">
        <f>V21*V$7/(V17+$N17)*200</f>
        <v>6.6159865506945499</v>
      </c>
      <c r="W367" s="131">
        <f>W21*W$7/(W17+$O17)*200</f>
        <v>28.134739490833876</v>
      </c>
      <c r="X367" s="131">
        <f>X21*X$7/(X17+$O17)*200</f>
        <v>26.046766989330557</v>
      </c>
      <c r="Y367" s="131">
        <f>Y21*Y$7/(Y17+$O17)*200</f>
        <v>24.582465656957776</v>
      </c>
      <c r="Z367" s="131">
        <f>Z21*Z$7/(Z17+$O17)*200</f>
        <v>11.360471006840626</v>
      </c>
      <c r="AA367" s="131">
        <f>AA21*AA$7/(AA17+$P17)*200</f>
        <v>15.678176367084435</v>
      </c>
      <c r="AB367" s="131">
        <f>AB21*AB$7/(AB17+$P17)*200</f>
        <v>13.821818113786458</v>
      </c>
      <c r="AC367" s="131">
        <f>AC21*AC$7/(AC17+$P17)*200</f>
        <v>12.696057431109843</v>
      </c>
      <c r="AD367" s="131">
        <f>AD21*AD$7/(AD17+$P17)*200</f>
        <v>11.720051585824164</v>
      </c>
      <c r="AE367" s="131">
        <f>AE21*AE$7/(AE17+$Q17)*200</f>
        <v>21.657627629918117</v>
      </c>
      <c r="AF367" s="131">
        <f>AF21*AF$7/(AF17+$Q17)*200</f>
        <v>18.45189278748019</v>
      </c>
      <c r="AG367" s="131">
        <f>AG21*AG$7/(AG17+$Q17)*200</f>
        <v>15.569241027034424</v>
      </c>
    </row>
    <row r="368" spans="2:35">
      <c r="B368" s="119"/>
      <c r="C368" s="119"/>
      <c r="D368" s="119"/>
      <c r="E368" s="119"/>
      <c r="F368" s="159"/>
      <c r="H368" s="110" t="s">
        <v>823</v>
      </c>
      <c r="I368" s="124"/>
      <c r="J368" s="387">
        <f>J15/J17*100</f>
        <v>534.76737181655517</v>
      </c>
      <c r="K368" s="387">
        <f>K15/K17*100</f>
        <v>603.33503211192408</v>
      </c>
      <c r="L368" s="387">
        <f>L15/L17*100</f>
        <v>644.01082120840078</v>
      </c>
      <c r="M368" s="387">
        <f>M15/M17*100</f>
        <v>736.24297959278351</v>
      </c>
      <c r="N368" s="387">
        <f>N57/N17*100</f>
        <v>864.3664517080399</v>
      </c>
      <c r="O368" s="130">
        <f t="shared" si="474"/>
        <v>805.97796626977618</v>
      </c>
      <c r="P368" s="130">
        <f>Z368</f>
        <v>885.1258624755618</v>
      </c>
      <c r="Q368" s="130">
        <f>AD368</f>
        <v>1019.4541816782124</v>
      </c>
      <c r="R368" s="130">
        <f>AG368</f>
        <v>1032.1903331962974</v>
      </c>
      <c r="S368" s="124"/>
      <c r="T368" s="124"/>
      <c r="U368" s="124"/>
      <c r="V368" s="387">
        <f t="shared" ref="V368:AB368" si="475">V57/V17*100</f>
        <v>805.97796626977618</v>
      </c>
      <c r="W368" s="387" t="e">
        <f t="shared" si="475"/>
        <v>#DIV/0!</v>
      </c>
      <c r="X368" s="387" t="e">
        <f t="shared" si="475"/>
        <v>#DIV/0!</v>
      </c>
      <c r="Y368" s="387" t="e">
        <f t="shared" ref="Y368" si="476">Y57/Y17*100</f>
        <v>#DIV/0!</v>
      </c>
      <c r="Z368" s="387">
        <f t="shared" si="475"/>
        <v>885.1258624755618</v>
      </c>
      <c r="AA368" s="387">
        <f t="shared" si="475"/>
        <v>964.84911603426065</v>
      </c>
      <c r="AB368" s="387">
        <f t="shared" si="475"/>
        <v>957.40625022850679</v>
      </c>
      <c r="AC368" s="387">
        <f t="shared" ref="AC368:AD368" si="477">AC57/AC17*100</f>
        <v>965.45505787864045</v>
      </c>
      <c r="AD368" s="387">
        <f t="shared" si="477"/>
        <v>1019.4541816782124</v>
      </c>
      <c r="AE368" s="387">
        <f t="shared" ref="AE368:AF368" si="478">AE57/AE17*100</f>
        <v>1079.6534505301881</v>
      </c>
      <c r="AF368" s="387">
        <f t="shared" si="478"/>
        <v>1089.1367565242576</v>
      </c>
      <c r="AG368" s="387">
        <f t="shared" ref="AG368" si="479">AG57/AG17*100</f>
        <v>1032.1903331962974</v>
      </c>
    </row>
    <row r="370" spans="1:35" s="118" customFormat="1">
      <c r="A370" s="117" t="s">
        <v>467</v>
      </c>
      <c r="B370" s="117"/>
      <c r="C370" s="117"/>
      <c r="D370" s="117"/>
      <c r="E370" s="117"/>
      <c r="F370" s="117"/>
    </row>
    <row r="371" spans="1:35">
      <c r="J371" s="124"/>
      <c r="K371" s="124"/>
      <c r="L371" s="124"/>
      <c r="M371" s="124"/>
      <c r="N371" s="124"/>
      <c r="O371" s="124"/>
      <c r="P371" s="124"/>
      <c r="Q371" s="124"/>
      <c r="R371" s="124"/>
      <c r="S371" s="124"/>
      <c r="T371" s="124"/>
      <c r="U371" s="124"/>
      <c r="V371" s="124"/>
      <c r="W371" s="124"/>
      <c r="X371" s="124"/>
      <c r="Y371" s="124"/>
      <c r="Z371" s="124"/>
      <c r="AA371" s="124"/>
      <c r="AB371" s="124"/>
      <c r="AC371" s="124"/>
      <c r="AD371" s="124"/>
      <c r="AE371" s="124"/>
      <c r="AF371" s="124"/>
      <c r="AG371" s="124"/>
      <c r="AH371" s="124"/>
      <c r="AI371" s="124"/>
    </row>
    <row r="372" spans="1:35" s="118" customFormat="1">
      <c r="A372" s="117" t="s">
        <v>2383</v>
      </c>
      <c r="B372" s="117"/>
      <c r="C372" s="117"/>
      <c r="D372" s="117"/>
      <c r="E372" s="117"/>
      <c r="F372" s="117"/>
    </row>
    <row r="373" spans="1:35">
      <c r="I373" s="124"/>
      <c r="J373" s="124"/>
      <c r="K373" s="124"/>
      <c r="L373" s="124"/>
      <c r="M373" s="124"/>
      <c r="N373" s="124"/>
      <c r="O373" s="124"/>
      <c r="P373" s="124"/>
      <c r="Q373" s="124"/>
      <c r="R373" s="124"/>
      <c r="S373" s="124"/>
      <c r="T373" s="124"/>
      <c r="U373" s="124"/>
      <c r="V373" s="124"/>
      <c r="W373" s="124"/>
      <c r="X373" s="124"/>
      <c r="Y373" s="124"/>
      <c r="Z373" s="124"/>
      <c r="AA373" s="124"/>
      <c r="AB373" s="124"/>
      <c r="AC373" s="124"/>
      <c r="AD373" s="124"/>
      <c r="AE373" s="124"/>
      <c r="AF373" s="124"/>
      <c r="AG373" s="124"/>
    </row>
    <row r="374" spans="1:35">
      <c r="H374" s="1306" t="s">
        <v>2384</v>
      </c>
      <c r="I374" s="124"/>
      <c r="J374" s="126">
        <v>7.2046349823455449</v>
      </c>
      <c r="K374" s="510">
        <f>추정!C65</f>
        <v>7.6311111797747255</v>
      </c>
      <c r="L374" s="510">
        <f>추정!D65</f>
        <v>7.2616869635907815</v>
      </c>
      <c r="M374" s="510">
        <f>추정!E65</f>
        <v>7.9819838678104329</v>
      </c>
      <c r="N374" s="510">
        <f>추정!F65</f>
        <v>7.1171966443611794</v>
      </c>
      <c r="O374" s="1308">
        <f>추정!G65</f>
        <v>8.4392390931276928</v>
      </c>
      <c r="P374" s="1308">
        <f>추정!H65</f>
        <v>9.589610500876109</v>
      </c>
      <c r="Q374" s="130">
        <f>AD374</f>
        <v>9.8348290721739513</v>
      </c>
      <c r="R374" s="130">
        <f>AG374</f>
        <v>0</v>
      </c>
      <c r="S374" s="126"/>
      <c r="T374" s="126"/>
      <c r="U374" s="126"/>
      <c r="V374" s="126">
        <v>8.4392390931276928</v>
      </c>
      <c r="W374" s="126"/>
      <c r="X374" s="126"/>
      <c r="Y374" s="126"/>
      <c r="Z374" s="126">
        <v>9.589610500876109</v>
      </c>
      <c r="AA374" s="1307" t="s">
        <v>2385</v>
      </c>
      <c r="AB374" s="1307" t="s">
        <v>2385</v>
      </c>
      <c r="AC374" s="1307" t="s">
        <v>2385</v>
      </c>
      <c r="AD374" s="1319">
        <v>9.8348290721739513</v>
      </c>
      <c r="AE374" s="1319"/>
      <c r="AF374" s="1319"/>
      <c r="AG374" s="1319"/>
    </row>
    <row r="375" spans="1:35">
      <c r="H375" s="1306" t="s">
        <v>2386</v>
      </c>
      <c r="I375" s="124"/>
      <c r="J375" s="1307">
        <v>2822775.37</v>
      </c>
      <c r="K375" s="1307">
        <v>1854837.74</v>
      </c>
      <c r="L375" s="1307">
        <v>1211374.26</v>
      </c>
      <c r="M375" s="1307">
        <v>1196815.19</v>
      </c>
      <c r="N375" s="1307">
        <v>2393153.9300000002</v>
      </c>
      <c r="O375" s="125">
        <f>V375</f>
        <v>2010506.59</v>
      </c>
      <c r="P375" s="125">
        <f>Z375</f>
        <v>2315948.69</v>
      </c>
      <c r="Q375" s="130">
        <f>AD375</f>
        <v>2743358.95</v>
      </c>
      <c r="R375" s="130">
        <f>AG375</f>
        <v>0</v>
      </c>
      <c r="S375" s="124"/>
      <c r="T375" s="124"/>
      <c r="U375" s="124"/>
      <c r="V375" s="124">
        <v>2010506.59</v>
      </c>
      <c r="W375" s="124"/>
      <c r="X375" s="124"/>
      <c r="Y375" s="124"/>
      <c r="Z375" s="124">
        <v>2315948.69</v>
      </c>
      <c r="AA375" s="124"/>
      <c r="AB375" s="124"/>
      <c r="AC375" s="124"/>
      <c r="AD375" s="129">
        <f>'[37]수탁거래 FISIS활용'!$AH$44</f>
        <v>2743358.95</v>
      </c>
      <c r="AE375" s="129"/>
      <c r="AF375" s="129"/>
      <c r="AG375" s="129"/>
    </row>
    <row r="376" spans="1:35">
      <c r="B376" s="119"/>
      <c r="C376" s="119"/>
      <c r="D376" s="119"/>
      <c r="E376" s="119"/>
      <c r="F376" s="119"/>
    </row>
    <row r="377" spans="1:35">
      <c r="B377" s="119"/>
      <c r="C377" s="119"/>
      <c r="D377" s="119"/>
      <c r="E377" s="119"/>
      <c r="F377" s="119"/>
    </row>
  </sheetData>
  <mergeCells count="1">
    <mergeCell ref="A1:H1"/>
  </mergeCells>
  <phoneticPr fontId="7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7030A0"/>
  </sheetPr>
  <dimension ref="A1:AI308"/>
  <sheetViews>
    <sheetView zoomScale="119" zoomScaleNormal="100" workbookViewId="0">
      <pane xSplit="3" ySplit="2" topLeftCell="D3" activePane="bottomRight" state="frozen"/>
      <selection activeCell="P62" sqref="P62"/>
      <selection pane="topRight" activeCell="P62" sqref="P62"/>
      <selection pane="bottomLeft" activeCell="P62" sqref="P62"/>
      <selection pane="bottomRight" activeCell="J23" sqref="J23"/>
    </sheetView>
  </sheetViews>
  <sheetFormatPr baseColWidth="10" defaultColWidth="9.1640625" defaultRowHeight="14" outlineLevelCol="1"/>
  <cols>
    <col min="1" max="1" width="2" style="138" customWidth="1"/>
    <col min="2" max="2" width="3.6640625" style="138" customWidth="1"/>
    <col min="3" max="3" width="33.83203125" style="138" customWidth="1"/>
    <col min="4" max="7" width="9.1640625" style="138"/>
    <col min="8" max="12" width="10.1640625" style="138" bestFit="1" customWidth="1"/>
    <col min="13" max="19" width="9.1640625" style="138"/>
    <col min="20" max="29" width="9.1640625" style="1220" hidden="1" customWidth="1" outlineLevel="1"/>
    <col min="30" max="30" width="9.1640625" style="1220" collapsed="1"/>
    <col min="31" max="35" width="9.1640625" style="1220"/>
    <col min="36" max="16384" width="9.1640625" style="138"/>
  </cols>
  <sheetData>
    <row r="1" spans="1:35">
      <c r="D1" s="139" t="str">
        <f>Data!J4</f>
        <v>'12.03</v>
      </c>
      <c r="E1" s="139" t="str">
        <f>Data!K4</f>
        <v>'13.03</v>
      </c>
      <c r="F1" s="139" t="str">
        <f>Data!L4</f>
        <v>'13.12</v>
      </c>
      <c r="G1" s="139" t="str">
        <f>Data!M4</f>
        <v>'14.12</v>
      </c>
      <c r="H1" s="139" t="str">
        <f>Data!N4</f>
        <v>'15.12</v>
      </c>
      <c r="I1" s="139" t="str">
        <f>Data!O4</f>
        <v>'16.12</v>
      </c>
      <c r="J1" s="139" t="str">
        <f>Data!P4</f>
        <v>'17.12</v>
      </c>
      <c r="K1" s="139" t="str">
        <f>Data!Q4</f>
        <v>'18.12</v>
      </c>
      <c r="L1" s="139" t="str">
        <f>Data!R4</f>
        <v>'19.09</v>
      </c>
      <c r="M1" s="140"/>
      <c r="N1" s="139" t="s">
        <v>2084</v>
      </c>
      <c r="O1" s="139"/>
      <c r="P1" s="139"/>
      <c r="Q1" s="139"/>
      <c r="R1" s="140"/>
      <c r="S1" s="140"/>
      <c r="T1" s="1700" t="str">
        <f>D1</f>
        <v>'12.03</v>
      </c>
      <c r="U1" s="1700"/>
      <c r="V1" s="1700" t="str">
        <f>E1</f>
        <v>'13.03</v>
      </c>
      <c r="W1" s="1700"/>
      <c r="X1" s="1700" t="str">
        <f>F1</f>
        <v>'13.12</v>
      </c>
      <c r="Y1" s="1700"/>
      <c r="Z1" s="1700" t="str">
        <f>G1</f>
        <v>'14.12</v>
      </c>
      <c r="AA1" s="1700"/>
      <c r="AB1" s="1700" t="str">
        <f>H1</f>
        <v>'15.12</v>
      </c>
      <c r="AC1" s="1700"/>
      <c r="AD1" s="1700" t="str">
        <f>I1</f>
        <v>'16.12</v>
      </c>
      <c r="AE1" s="1700"/>
      <c r="AF1" s="1700" t="str">
        <f>J1</f>
        <v>'17.12</v>
      </c>
      <c r="AG1" s="1701"/>
      <c r="AH1" s="1700" t="str">
        <f>K1</f>
        <v>'18.12</v>
      </c>
      <c r="AI1" s="1701"/>
    </row>
    <row r="2" spans="1:35">
      <c r="D2" s="139" t="str">
        <f>Data!J3</f>
        <v>FY11</v>
      </c>
      <c r="E2" s="139" t="str">
        <f>Data!K3</f>
        <v>FY12</v>
      </c>
      <c r="F2" s="139" t="str">
        <f>Data!L3</f>
        <v>FY13</v>
      </c>
      <c r="G2" s="139" t="str">
        <f>Data!M3</f>
        <v>FY14</v>
      </c>
      <c r="H2" s="139" t="str">
        <f>Data!N3</f>
        <v>FY15</v>
      </c>
      <c r="I2" s="139" t="str">
        <f>Data!O3</f>
        <v>FY16</v>
      </c>
      <c r="J2" s="139" t="str">
        <f>Data!P3</f>
        <v>FY17</v>
      </c>
      <c r="K2" s="139" t="str">
        <f>Data!Q3</f>
        <v>FY18</v>
      </c>
      <c r="L2" s="139" t="str">
        <f>Data!R3</f>
        <v>FY19.1~9</v>
      </c>
      <c r="M2" s="140"/>
      <c r="N2" s="139"/>
      <c r="O2" s="139"/>
      <c r="P2" s="139"/>
      <c r="Q2" s="139"/>
      <c r="R2" s="140"/>
      <c r="S2" s="140"/>
      <c r="T2" s="141" t="s">
        <v>468</v>
      </c>
      <c r="U2" s="141" t="s">
        <v>469</v>
      </c>
      <c r="V2" s="141" t="s">
        <v>468</v>
      </c>
      <c r="W2" s="141" t="s">
        <v>469</v>
      </c>
      <c r="X2" s="141" t="s">
        <v>468</v>
      </c>
      <c r="Y2" s="141" t="s">
        <v>469</v>
      </c>
      <c r="Z2" s="141" t="s">
        <v>468</v>
      </c>
      <c r="AA2" s="141" t="s">
        <v>469</v>
      </c>
      <c r="AB2" s="141" t="s">
        <v>468</v>
      </c>
      <c r="AC2" s="141" t="s">
        <v>469</v>
      </c>
      <c r="AD2" s="141" t="s">
        <v>468</v>
      </c>
      <c r="AE2" s="141" t="s">
        <v>469</v>
      </c>
      <c r="AF2" s="141" t="s">
        <v>468</v>
      </c>
      <c r="AG2" s="1218" t="s">
        <v>469</v>
      </c>
      <c r="AH2" s="141" t="s">
        <v>468</v>
      </c>
      <c r="AI2" s="1218" t="s">
        <v>469</v>
      </c>
    </row>
    <row r="3" spans="1:35" s="145" customFormat="1">
      <c r="A3" s="142" t="s">
        <v>470</v>
      </c>
      <c r="B3" s="142"/>
      <c r="C3" s="143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219"/>
      <c r="U3" s="1219"/>
      <c r="V3" s="1219"/>
      <c r="W3" s="1219"/>
      <c r="X3" s="1219"/>
      <c r="Y3" s="1219"/>
      <c r="Z3" s="1219"/>
      <c r="AA3" s="1219"/>
      <c r="AB3" s="1219"/>
      <c r="AC3" s="1219"/>
      <c r="AD3" s="1219"/>
      <c r="AE3" s="1219"/>
      <c r="AF3" s="1219"/>
      <c r="AG3" s="1219"/>
      <c r="AH3" s="1219"/>
      <c r="AI3" s="1219"/>
    </row>
    <row r="4" spans="1:35">
      <c r="M4" s="146"/>
      <c r="N4" s="146"/>
      <c r="O4" s="146"/>
      <c r="P4" s="146"/>
      <c r="Q4" s="146"/>
      <c r="R4" s="146"/>
      <c r="S4" s="146"/>
    </row>
    <row r="5" spans="1:35">
      <c r="A5" s="147" t="s">
        <v>471</v>
      </c>
      <c r="B5" s="147"/>
      <c r="C5" s="148" t="s">
        <v>472</v>
      </c>
      <c r="D5" s="149"/>
      <c r="E5" s="149"/>
      <c r="F5" s="149"/>
      <c r="G5" s="149"/>
      <c r="H5" s="149"/>
      <c r="I5" s="149"/>
      <c r="J5" s="149"/>
      <c r="K5" s="149"/>
      <c r="L5" s="149"/>
      <c r="M5" s="146"/>
      <c r="N5" s="146"/>
      <c r="O5" s="146"/>
      <c r="P5" s="146"/>
      <c r="Q5" s="146"/>
      <c r="R5" s="146"/>
      <c r="S5" s="146"/>
    </row>
    <row r="6" spans="1:35">
      <c r="B6" s="138" t="s">
        <v>473</v>
      </c>
      <c r="M6" s="146"/>
      <c r="N6" s="146"/>
      <c r="O6" s="146"/>
      <c r="P6" s="146"/>
      <c r="Q6" s="146"/>
      <c r="R6" s="146"/>
      <c r="S6" s="146"/>
    </row>
    <row r="7" spans="1:35">
      <c r="C7" s="138" t="s">
        <v>64</v>
      </c>
      <c r="D7" s="150">
        <f>Data!J$360</f>
        <v>7529.0863527500005</v>
      </c>
      <c r="E7" s="150">
        <f>Data!K$360</f>
        <v>6802.6105963199998</v>
      </c>
      <c r="F7" s="150">
        <f>Data!L$360</f>
        <v>4074.1709232600001</v>
      </c>
      <c r="G7" s="150">
        <f>Data!M$360</f>
        <v>7156.9628224399994</v>
      </c>
      <c r="H7" s="150">
        <f>Data!N$360</f>
        <v>7968.6610414699999</v>
      </c>
      <c r="I7" s="150">
        <f>Data!O$360</f>
        <v>7658.8829083599994</v>
      </c>
      <c r="J7" s="150">
        <f>Data!P$360</f>
        <v>11381.578177279998</v>
      </c>
      <c r="K7" s="150">
        <f>Data!Q$360</f>
        <v>12812.620863119999</v>
      </c>
      <c r="L7" s="150">
        <f>Data!R$360</f>
        <v>12127.96953418</v>
      </c>
    </row>
    <row r="8" spans="1:35">
      <c r="C8" s="138" t="s">
        <v>45</v>
      </c>
      <c r="D8" s="150">
        <f>Data!J$18</f>
        <v>2688.49</v>
      </c>
      <c r="E8" s="150">
        <f>Data!K$18</f>
        <v>2095</v>
      </c>
      <c r="F8" s="150">
        <f>Data!L$18</f>
        <v>916.4</v>
      </c>
      <c r="G8" s="150">
        <f>Data!M$18</f>
        <v>2963.2</v>
      </c>
      <c r="H8" s="150">
        <f>Data!N$18</f>
        <v>3144.43</v>
      </c>
      <c r="I8" s="150">
        <f>Data!O$18</f>
        <v>2998.11</v>
      </c>
      <c r="J8" s="150">
        <f>Data!P$18</f>
        <v>6034.56</v>
      </c>
      <c r="K8" s="150">
        <f>Data!Q$18</f>
        <v>6706.45</v>
      </c>
      <c r="L8" s="150">
        <f>Data!R$18</f>
        <v>7046.72</v>
      </c>
    </row>
    <row r="9" spans="1:35">
      <c r="C9" s="138" t="s">
        <v>69</v>
      </c>
      <c r="D9" s="150">
        <f>Data!J$21</f>
        <v>2146.1999999999998</v>
      </c>
      <c r="E9" s="150">
        <f>Data!K$21</f>
        <v>1590.22</v>
      </c>
      <c r="F9" s="150">
        <f>Data!L$21</f>
        <v>755.38</v>
      </c>
      <c r="G9" s="150">
        <f>Data!M$21</f>
        <v>2200.9299999999998</v>
      </c>
      <c r="H9" s="150">
        <f>Data!N$21</f>
        <v>2560.61</v>
      </c>
      <c r="I9" s="150">
        <f>Data!O$21</f>
        <v>2437.17</v>
      </c>
      <c r="J9" s="150">
        <f>Data!P$21</f>
        <v>4722.8</v>
      </c>
      <c r="K9" s="150">
        <f>Data!Q$21</f>
        <v>5035.1000000000004</v>
      </c>
      <c r="L9" s="150">
        <f>Data!R$21</f>
        <v>5251.57</v>
      </c>
    </row>
    <row r="10" spans="1:35">
      <c r="C10" s="138" t="s">
        <v>78</v>
      </c>
      <c r="D10" s="150">
        <f>Data!J$15</f>
        <v>168053.16</v>
      </c>
      <c r="E10" s="150">
        <f>Data!K$15</f>
        <v>192732.48</v>
      </c>
      <c r="F10" s="150">
        <f>Data!L$15</f>
        <v>198537.91</v>
      </c>
      <c r="G10" s="150">
        <f>Data!M$15</f>
        <v>234886.69</v>
      </c>
      <c r="H10" s="150">
        <f>Data!N$15</f>
        <v>284796.56</v>
      </c>
      <c r="I10" s="150">
        <f>Data!O$15</f>
        <v>328247.34000000003</v>
      </c>
      <c r="J10" s="150">
        <f>Data!P$15</f>
        <v>375451.36</v>
      </c>
      <c r="K10" s="150">
        <f>Data!Q$15</f>
        <v>443513.34</v>
      </c>
      <c r="L10" s="150">
        <f>Data!R$15</f>
        <v>479378.09</v>
      </c>
    </row>
    <row r="11" spans="1:35">
      <c r="C11" s="138" t="s">
        <v>39</v>
      </c>
      <c r="D11" s="150">
        <f>Data!J$17</f>
        <v>31425.47</v>
      </c>
      <c r="E11" s="150">
        <f>Data!K$17</f>
        <v>31944.52</v>
      </c>
      <c r="F11" s="150">
        <f>Data!L$17</f>
        <v>30828.35</v>
      </c>
      <c r="G11" s="150">
        <f>Data!M$17</f>
        <v>31903.42</v>
      </c>
      <c r="H11" s="150">
        <f>Data!N$17</f>
        <v>32948.589999999997</v>
      </c>
      <c r="I11" s="150">
        <f>Data!O$17</f>
        <v>40726.589999999997</v>
      </c>
      <c r="J11" s="150">
        <f>Data!P$17</f>
        <v>42417.85</v>
      </c>
      <c r="K11" s="150">
        <f>Data!Q$17</f>
        <v>43504.98</v>
      </c>
      <c r="L11" s="150">
        <f>Data!R$17</f>
        <v>46442.8</v>
      </c>
      <c r="M11" s="528"/>
      <c r="N11" s="529"/>
      <c r="O11" s="529"/>
      <c r="P11" s="529"/>
      <c r="Q11" s="529"/>
      <c r="R11" s="529"/>
      <c r="S11" s="529"/>
    </row>
    <row r="12" spans="1:35">
      <c r="C12" s="138" t="s">
        <v>37</v>
      </c>
      <c r="D12" s="150">
        <f>Data!J$358</f>
        <v>15344.03945561</v>
      </c>
      <c r="E12" s="150">
        <f>Data!K$358</f>
        <v>17885.138986710001</v>
      </c>
      <c r="F12" s="150">
        <f>Data!L$358</f>
        <v>14704.423780720001</v>
      </c>
      <c r="G12" s="150">
        <f>Data!M$358</f>
        <v>14405.17172072</v>
      </c>
      <c r="H12" s="150">
        <f>Data!N$358</f>
        <v>14121.77355849</v>
      </c>
      <c r="I12" s="150">
        <f>Data!O$358</f>
        <v>14394.752296160001</v>
      </c>
      <c r="J12" s="150">
        <f>Data!P$358</f>
        <v>19082.40476804</v>
      </c>
      <c r="K12" s="150">
        <f>Data!Q$358</f>
        <v>26189.871241150002</v>
      </c>
      <c r="L12" s="150">
        <f>Data!R$358</f>
        <v>30559.456836190002</v>
      </c>
      <c r="M12" s="146"/>
      <c r="N12" s="146"/>
      <c r="O12" s="146"/>
      <c r="P12" s="146"/>
      <c r="Q12" s="146"/>
      <c r="R12" s="146"/>
      <c r="S12" s="146"/>
    </row>
    <row r="13" spans="1:35">
      <c r="C13" s="138" t="s">
        <v>226</v>
      </c>
      <c r="D13" s="151">
        <f>Data!J$352</f>
        <v>0</v>
      </c>
      <c r="E13" s="151">
        <f>Data!K$352</f>
        <v>0.88153176026586999</v>
      </c>
      <c r="F13" s="151">
        <f>Data!L$352</f>
        <v>0.51482215476503446</v>
      </c>
      <c r="G13" s="151">
        <f>Data!M$352</f>
        <v>1.0155999355878853</v>
      </c>
      <c r="H13" s="151">
        <f>Data!N$352</f>
        <v>0.98545027227548088</v>
      </c>
      <c r="I13" s="151">
        <f>Data!O$352</f>
        <v>0.79510455928738966</v>
      </c>
      <c r="J13" s="151">
        <f>Data!P$352</f>
        <v>1.3422790132847369</v>
      </c>
      <c r="K13" s="151">
        <f>Data!Q$352</f>
        <v>1.2296256503352065</v>
      </c>
      <c r="L13" s="151">
        <f>Data!R$352</f>
        <v>1.5174251502121172</v>
      </c>
      <c r="M13" s="146"/>
      <c r="N13" s="146"/>
      <c r="O13" s="146"/>
      <c r="P13" s="146"/>
      <c r="Q13" s="146"/>
      <c r="R13" s="146"/>
      <c r="S13" s="146"/>
    </row>
    <row r="14" spans="1:35">
      <c r="C14" s="138" t="s">
        <v>1274</v>
      </c>
      <c r="D14" s="1148">
        <f>Data!J$368</f>
        <v>534.76737181655517</v>
      </c>
      <c r="E14" s="1148">
        <f>Data!K$368</f>
        <v>603.33503211192408</v>
      </c>
      <c r="F14" s="1148">
        <f>Data!L$368</f>
        <v>644.01082120840078</v>
      </c>
      <c r="G14" s="1148">
        <f>Data!M$368</f>
        <v>736.24297959278351</v>
      </c>
      <c r="H14" s="1148">
        <f>Data!N$368</f>
        <v>864.3664517080399</v>
      </c>
      <c r="I14" s="1148">
        <f>Data!O$368</f>
        <v>805.97796626977618</v>
      </c>
      <c r="J14" s="1148">
        <f>Data!P$368</f>
        <v>885.1258624755618</v>
      </c>
      <c r="K14" s="1148">
        <f>Data!Q$368</f>
        <v>1019.4541816782124</v>
      </c>
      <c r="L14" s="1148">
        <f>Data!R$368</f>
        <v>1032.1903331962974</v>
      </c>
      <c r="M14" s="146"/>
      <c r="N14" s="146"/>
      <c r="O14" s="146"/>
      <c r="P14" s="146"/>
      <c r="Q14" s="146"/>
      <c r="R14" s="146"/>
      <c r="S14" s="146"/>
    </row>
    <row r="15" spans="1:35">
      <c r="C15" s="138" t="s">
        <v>2721</v>
      </c>
      <c r="D15" s="1148"/>
      <c r="E15" s="1148"/>
      <c r="F15" s="1148"/>
      <c r="G15" s="1148"/>
      <c r="H15" s="1148"/>
      <c r="I15" s="1148">
        <f>Data!O$281</f>
        <v>1602.6</v>
      </c>
      <c r="J15" s="1148">
        <f>Data!P$281</f>
        <v>1469.9</v>
      </c>
      <c r="K15" s="1148">
        <f>Data!Q$281</f>
        <v>1016.9</v>
      </c>
      <c r="L15" s="1148">
        <f>Data!R$281</f>
        <v>882.8</v>
      </c>
      <c r="M15" s="146"/>
    </row>
    <row r="16" spans="1:35">
      <c r="C16" s="138" t="s">
        <v>2722</v>
      </c>
      <c r="D16" s="1148"/>
      <c r="E16" s="1148">
        <f>Data!K$276</f>
        <v>451.24210285597206</v>
      </c>
      <c r="F16" s="1148">
        <f>Data!L$276</f>
        <v>425.46744879097724</v>
      </c>
      <c r="G16" s="1148">
        <f>Data!M$276</f>
        <v>400.41462917963975</v>
      </c>
      <c r="H16" s="1148">
        <f>Data!N$276</f>
        <v>320.12974268874166</v>
      </c>
      <c r="I16" s="1148">
        <f>Data!O$276</f>
        <v>334.0312568368596</v>
      </c>
      <c r="J16" s="1148">
        <f>Data!P$276</f>
        <v>244.12590158507808</v>
      </c>
      <c r="K16" s="1148">
        <f>Data!Q$276</f>
        <v>164.72644343497888</v>
      </c>
      <c r="L16" s="1148">
        <f>Data!R$276</f>
        <v>120.26549717834413</v>
      </c>
      <c r="M16" s="146"/>
    </row>
    <row r="17" spans="1:19">
      <c r="C17" s="138" t="s">
        <v>356</v>
      </c>
      <c r="D17" s="1148"/>
      <c r="E17" s="1148">
        <f>Data!K$348</f>
        <v>156.24915158594413</v>
      </c>
      <c r="F17" s="1148">
        <f>Data!L$348</f>
        <v>144.24527687541533</v>
      </c>
      <c r="G17" s="1148">
        <f>Data!M$348</f>
        <v>131.13026293695475</v>
      </c>
      <c r="H17" s="1148">
        <f>Data!N$348</f>
        <v>138.79125205067746</v>
      </c>
      <c r="I17" s="1148">
        <f>Data!O$348</f>
        <v>133.11711922354121</v>
      </c>
      <c r="J17" s="1148">
        <f>Data!P$348</f>
        <v>129.5881283439667</v>
      </c>
      <c r="K17" s="1148">
        <f>Data!Q$348</f>
        <v>106.0626874137061</v>
      </c>
      <c r="L17" s="1148">
        <f>Data!R$348</f>
        <v>110.53114067056103</v>
      </c>
      <c r="M17" s="146"/>
      <c r="N17" s="146"/>
      <c r="O17" s="146"/>
      <c r="P17" s="146"/>
      <c r="Q17" s="146"/>
      <c r="R17" s="146"/>
      <c r="S17" s="146"/>
    </row>
    <row r="18" spans="1:19">
      <c r="C18" s="138" t="s">
        <v>1275</v>
      </c>
      <c r="D18" s="150">
        <f>Data!J$299</f>
        <v>0</v>
      </c>
      <c r="E18" s="150">
        <f>Data!K$299</f>
        <v>3680.3640999999998</v>
      </c>
      <c r="F18" s="150">
        <f>Data!L$299</f>
        <v>7081.7323059999999</v>
      </c>
      <c r="G18" s="150">
        <f>Data!M$299</f>
        <v>10724.824556</v>
      </c>
      <c r="H18" s="150">
        <f>Data!N$299</f>
        <v>10680.77225</v>
      </c>
      <c r="I18" s="150">
        <f>Data!O$299</f>
        <v>23729.99842018</v>
      </c>
      <c r="J18" s="150">
        <f>Data!P$299</f>
        <v>32051.128446160001</v>
      </c>
      <c r="K18" s="150">
        <f>Data!Q$299</f>
        <v>39390.12605708</v>
      </c>
      <c r="L18" s="150">
        <f>Data!R$299</f>
        <v>41558.69516612</v>
      </c>
      <c r="M18" s="146"/>
      <c r="N18" s="146"/>
      <c r="O18" s="146"/>
      <c r="P18" s="146"/>
      <c r="Q18" s="146"/>
      <c r="R18" s="146"/>
      <c r="S18" s="146"/>
    </row>
    <row r="19" spans="1:19">
      <c r="M19" s="146"/>
      <c r="N19" s="146"/>
      <c r="O19" s="146"/>
      <c r="P19" s="146"/>
      <c r="Q19" s="146"/>
      <c r="R19" s="146"/>
      <c r="S19" s="146"/>
    </row>
    <row r="20" spans="1:19">
      <c r="A20" s="147" t="s">
        <v>474</v>
      </c>
      <c r="B20" s="147"/>
      <c r="C20" s="152"/>
      <c r="D20" s="149"/>
      <c r="E20" s="149"/>
      <c r="F20" s="149"/>
      <c r="G20" s="149"/>
      <c r="H20" s="149"/>
      <c r="I20" s="149"/>
      <c r="J20" s="149"/>
      <c r="K20" s="149"/>
      <c r="L20" s="149"/>
      <c r="M20" s="146"/>
      <c r="N20" s="146"/>
      <c r="O20" s="146"/>
      <c r="P20" s="146"/>
      <c r="Q20" s="146"/>
      <c r="R20" s="146"/>
      <c r="S20" s="146"/>
    </row>
    <row r="21" spans="1:19">
      <c r="G21" s="153"/>
      <c r="H21" s="153"/>
      <c r="I21" s="153"/>
      <c r="J21" s="153"/>
      <c r="K21" s="153"/>
      <c r="L21" s="153"/>
      <c r="M21" s="146"/>
      <c r="N21" s="146"/>
      <c r="O21" s="146"/>
      <c r="P21" s="146"/>
      <c r="Q21" s="146"/>
      <c r="R21" s="146"/>
      <c r="S21" s="146"/>
    </row>
    <row r="22" spans="1:19">
      <c r="C22" s="138" t="s">
        <v>78</v>
      </c>
      <c r="D22" s="150">
        <f>Data!J$15</f>
        <v>168053.16</v>
      </c>
      <c r="E22" s="150">
        <f>Data!K$15</f>
        <v>192732.48</v>
      </c>
      <c r="F22" s="150">
        <f>Data!L$15</f>
        <v>198537.91</v>
      </c>
      <c r="G22" s="150">
        <f>Data!M$15</f>
        <v>234886.69</v>
      </c>
      <c r="H22" s="150">
        <f>Data!N$15</f>
        <v>284796.56</v>
      </c>
      <c r="I22" s="150">
        <f>Data!O$15</f>
        <v>328247.34000000003</v>
      </c>
      <c r="J22" s="150">
        <f>Data!P$15</f>
        <v>375451.36</v>
      </c>
      <c r="K22" s="150">
        <f>Data!Q$15</f>
        <v>443513.34</v>
      </c>
      <c r="L22" s="150">
        <f>Data!R$15</f>
        <v>479378.09</v>
      </c>
    </row>
    <row r="23" spans="1:19">
      <c r="C23" s="138" t="s">
        <v>39</v>
      </c>
      <c r="D23" s="150">
        <f>Data!J$17</f>
        <v>31425.47</v>
      </c>
      <c r="E23" s="150">
        <f>Data!K$17</f>
        <v>31944.52</v>
      </c>
      <c r="F23" s="150">
        <f>Data!L$17</f>
        <v>30828.35</v>
      </c>
      <c r="G23" s="150">
        <f>Data!M$17</f>
        <v>31903.42</v>
      </c>
      <c r="H23" s="150">
        <f>Data!N$17</f>
        <v>32948.589999999997</v>
      </c>
      <c r="I23" s="150">
        <f>Data!O$17</f>
        <v>40726.589999999997</v>
      </c>
      <c r="J23" s="150">
        <f>Data!P$17</f>
        <v>42417.85</v>
      </c>
      <c r="K23" s="150">
        <f>Data!Q$17</f>
        <v>43504.98</v>
      </c>
      <c r="L23" s="150">
        <f>Data!R$17</f>
        <v>46442.8</v>
      </c>
      <c r="M23" s="528"/>
      <c r="N23" s="529"/>
      <c r="O23" s="529"/>
      <c r="P23" s="529"/>
      <c r="Q23" s="529"/>
      <c r="R23" s="529"/>
      <c r="S23" s="529"/>
    </row>
    <row r="24" spans="1:19">
      <c r="G24" s="153"/>
      <c r="H24" s="153"/>
      <c r="I24" s="153"/>
      <c r="J24" s="153"/>
      <c r="K24" s="153"/>
      <c r="L24" s="153"/>
      <c r="M24" s="146"/>
      <c r="N24" s="146"/>
      <c r="O24" s="146"/>
      <c r="P24" s="146"/>
      <c r="Q24" s="146"/>
      <c r="R24" s="146"/>
      <c r="S24" s="146"/>
    </row>
    <row r="25" spans="1:19">
      <c r="C25" s="138" t="s">
        <v>2143</v>
      </c>
      <c r="G25" s="153"/>
      <c r="H25" s="160"/>
      <c r="I25" s="160"/>
      <c r="J25" s="160">
        <f>Data!P$39</f>
        <v>100</v>
      </c>
      <c r="K25" s="160">
        <f>Data!Q$39</f>
        <v>100</v>
      </c>
      <c r="L25" s="160">
        <f>Data!R$39</f>
        <v>100</v>
      </c>
      <c r="M25" s="146"/>
      <c r="N25" s="146"/>
      <c r="O25" s="146"/>
      <c r="P25" s="146"/>
      <c r="Q25" s="146"/>
      <c r="R25" s="146"/>
      <c r="S25" s="146"/>
    </row>
    <row r="26" spans="1:19">
      <c r="C26" s="138" t="s">
        <v>2122</v>
      </c>
      <c r="F26" s="150">
        <f>Data!L$263</f>
        <v>109</v>
      </c>
      <c r="G26" s="150">
        <f>Data!M$263</f>
        <v>103</v>
      </c>
      <c r="H26" s="150">
        <f>Data!N$263</f>
        <v>93</v>
      </c>
      <c r="I26" s="150">
        <f>Data!O$263</f>
        <v>88</v>
      </c>
      <c r="J26" s="150">
        <f>Data!P$263</f>
        <v>78</v>
      </c>
      <c r="K26" s="150">
        <f>Data!Q$263</f>
        <v>78</v>
      </c>
      <c r="L26" s="150">
        <f>Data!R$263</f>
        <v>79</v>
      </c>
      <c r="M26" s="146"/>
      <c r="N26" s="146"/>
      <c r="O26" s="146"/>
      <c r="P26" s="146"/>
      <c r="Q26" s="146"/>
      <c r="R26" s="146"/>
      <c r="S26" s="146"/>
    </row>
    <row r="27" spans="1:19">
      <c r="C27" s="138" t="s">
        <v>2357</v>
      </c>
      <c r="F27" s="150">
        <f>Data!L$264</f>
        <v>2</v>
      </c>
      <c r="G27" s="150">
        <f>Data!M$264</f>
        <v>3</v>
      </c>
      <c r="H27" s="150">
        <f>Data!N$264</f>
        <v>3</v>
      </c>
      <c r="I27" s="150">
        <f>Data!O$264</f>
        <v>2</v>
      </c>
      <c r="J27" s="150">
        <f>Data!P$264</f>
        <v>2</v>
      </c>
      <c r="K27" s="150">
        <f>Data!Q$264</f>
        <v>2</v>
      </c>
      <c r="L27" s="150">
        <f>Data!R$264</f>
        <v>3</v>
      </c>
      <c r="M27" s="146"/>
      <c r="N27" s="146"/>
      <c r="O27" s="146"/>
      <c r="P27" s="146"/>
      <c r="Q27" s="146"/>
      <c r="R27" s="146"/>
      <c r="S27" s="146"/>
    </row>
    <row r="28" spans="1:19">
      <c r="C28" s="138" t="s">
        <v>2358</v>
      </c>
      <c r="F28" s="150">
        <f>Data!L$265</f>
        <v>6</v>
      </c>
      <c r="G28" s="150">
        <f>Data!M$265</f>
        <v>6</v>
      </c>
      <c r="H28" s="150">
        <f>Data!N$265</f>
        <v>6</v>
      </c>
      <c r="I28" s="150">
        <f>Data!O$265</f>
        <v>6</v>
      </c>
      <c r="J28" s="150">
        <f>Data!P$265</f>
        <v>6</v>
      </c>
      <c r="K28" s="150">
        <f>Data!Q$265</f>
        <v>7</v>
      </c>
      <c r="L28" s="150">
        <f>Data!R$265</f>
        <v>7</v>
      </c>
      <c r="M28" s="146"/>
      <c r="N28" s="146"/>
      <c r="O28" s="146"/>
      <c r="P28" s="146"/>
      <c r="Q28" s="146"/>
      <c r="R28" s="146"/>
      <c r="S28" s="146"/>
    </row>
    <row r="29" spans="1:19">
      <c r="G29" s="153"/>
      <c r="H29" s="160"/>
      <c r="I29" s="160"/>
      <c r="J29" s="160"/>
      <c r="K29" s="160"/>
      <c r="L29" s="160"/>
      <c r="M29" s="146"/>
      <c r="N29" s="146"/>
      <c r="O29" s="146"/>
      <c r="P29" s="146"/>
      <c r="Q29" s="146"/>
      <c r="R29" s="146"/>
      <c r="S29" s="146"/>
    </row>
    <row r="30" spans="1:19">
      <c r="C30" s="138" t="s">
        <v>2391</v>
      </c>
      <c r="G30" s="153"/>
      <c r="H30" s="150"/>
      <c r="I30" s="150">
        <f>Data!O$53</f>
        <v>340.24</v>
      </c>
      <c r="J30" s="150">
        <f>Data!P$53</f>
        <v>358.36</v>
      </c>
      <c r="K30" s="150">
        <f>Data!Q$53</f>
        <v>337.6</v>
      </c>
      <c r="L30" s="150">
        <f>Data!R$53</f>
        <v>403.2</v>
      </c>
      <c r="M30" s="146"/>
      <c r="N30" s="146"/>
      <c r="O30" s="146"/>
      <c r="P30" s="146"/>
      <c r="Q30" s="146"/>
      <c r="R30" s="146"/>
      <c r="S30" s="146"/>
    </row>
    <row r="31" spans="1:19">
      <c r="G31" s="153"/>
      <c r="H31" s="160"/>
      <c r="I31" s="160"/>
      <c r="J31" s="160"/>
      <c r="K31" s="160"/>
      <c r="L31" s="160"/>
      <c r="M31" s="146"/>
      <c r="N31" s="146"/>
      <c r="O31" s="146"/>
      <c r="P31" s="146"/>
      <c r="Q31" s="146"/>
      <c r="R31" s="146"/>
      <c r="S31" s="146"/>
    </row>
    <row r="32" spans="1:19">
      <c r="C32" s="138" t="s">
        <v>1275</v>
      </c>
      <c r="D32" s="150">
        <f>Data!J$299</f>
        <v>0</v>
      </c>
      <c r="E32" s="150">
        <f>Data!K$299</f>
        <v>3680.3640999999998</v>
      </c>
      <c r="F32" s="150">
        <f>Data!L$299</f>
        <v>7081.7323059999999</v>
      </c>
      <c r="G32" s="150">
        <f>Data!M$299</f>
        <v>10724.824556</v>
      </c>
      <c r="H32" s="150">
        <f>Data!N$299</f>
        <v>10680.77225</v>
      </c>
      <c r="I32" s="150">
        <f>Data!O$299</f>
        <v>23729.99842018</v>
      </c>
      <c r="J32" s="150">
        <f>Data!P$299</f>
        <v>32051.128446160001</v>
      </c>
      <c r="K32" s="150">
        <f>Data!Q$299</f>
        <v>39390.12605708</v>
      </c>
      <c r="L32" s="150">
        <f>Data!R$299</f>
        <v>41558.69516612</v>
      </c>
      <c r="N32" s="161"/>
      <c r="O32" s="161"/>
      <c r="P32" s="161"/>
      <c r="Q32" s="161"/>
      <c r="R32" s="161"/>
      <c r="S32" s="161"/>
    </row>
    <row r="33" spans="2:19">
      <c r="C33" s="138" t="s">
        <v>2144</v>
      </c>
      <c r="D33" s="150"/>
      <c r="E33" s="161">
        <f t="shared" ref="E33:K33" si="0">E32/E11*100</f>
        <v>11.521112541368597</v>
      </c>
      <c r="F33" s="161">
        <f t="shared" si="0"/>
        <v>22.971493141864553</v>
      </c>
      <c r="G33" s="161">
        <f t="shared" si="0"/>
        <v>33.616535644140974</v>
      </c>
      <c r="H33" s="161">
        <f t="shared" si="0"/>
        <v>32.41647745776072</v>
      </c>
      <c r="I33" s="161">
        <f t="shared" si="0"/>
        <v>58.266597866848166</v>
      </c>
      <c r="J33" s="161">
        <f t="shared" si="0"/>
        <v>75.560473824486635</v>
      </c>
      <c r="K33" s="161">
        <f t="shared" si="0"/>
        <v>90.541648466635309</v>
      </c>
      <c r="L33" s="161">
        <f t="shared" ref="L33" si="1">L32/L11*100</f>
        <v>89.483612456871668</v>
      </c>
      <c r="N33" s="161"/>
      <c r="O33" s="161"/>
      <c r="P33" s="161"/>
      <c r="Q33" s="161"/>
      <c r="R33" s="161"/>
      <c r="S33" s="161"/>
    </row>
    <row r="34" spans="2:19">
      <c r="E34" s="151"/>
      <c r="F34" s="151"/>
      <c r="G34" s="151"/>
      <c r="H34" s="151"/>
      <c r="I34" s="151"/>
      <c r="J34" s="151"/>
      <c r="K34" s="151"/>
      <c r="L34" s="151"/>
      <c r="N34" s="161"/>
      <c r="O34" s="161"/>
      <c r="P34" s="161"/>
      <c r="Q34" s="161"/>
      <c r="R34" s="161"/>
      <c r="S34" s="161"/>
    </row>
    <row r="35" spans="2:19">
      <c r="C35" s="138" t="s">
        <v>1403</v>
      </c>
      <c r="D35" s="150"/>
      <c r="E35" s="150"/>
      <c r="F35" s="150"/>
      <c r="G35" s="150"/>
      <c r="H35" s="150">
        <f>Data!N$333</f>
        <v>71502</v>
      </c>
      <c r="I35" s="150">
        <f>Data!O$333</f>
        <v>86157</v>
      </c>
      <c r="J35" s="150">
        <f>Data!P$333</f>
        <v>87750</v>
      </c>
      <c r="K35" s="150">
        <f>Data!Q$333</f>
        <v>116964</v>
      </c>
      <c r="L35" s="150">
        <f>Data!R$333</f>
        <v>114719</v>
      </c>
      <c r="M35" s="146"/>
      <c r="N35" s="146"/>
      <c r="O35" s="146"/>
      <c r="P35" s="146"/>
      <c r="Q35" s="146"/>
      <c r="R35" s="146"/>
      <c r="S35" s="146"/>
    </row>
    <row r="36" spans="2:19">
      <c r="C36" s="138" t="s">
        <v>1405</v>
      </c>
      <c r="D36" s="150"/>
      <c r="E36" s="150"/>
      <c r="F36" s="150"/>
      <c r="G36" s="150"/>
      <c r="H36" s="150">
        <f>Data!N$334</f>
        <v>54040</v>
      </c>
      <c r="I36" s="150">
        <f>Data!O$334</f>
        <v>65403</v>
      </c>
      <c r="J36" s="150">
        <f>Data!P$334</f>
        <v>56948</v>
      </c>
      <c r="K36" s="150">
        <f>Data!Q$334</f>
        <v>65339</v>
      </c>
      <c r="L36" s="150">
        <f>Data!R$334</f>
        <v>66300</v>
      </c>
      <c r="M36" s="146"/>
      <c r="N36" s="146"/>
      <c r="O36" s="146"/>
      <c r="P36" s="146"/>
      <c r="Q36" s="146"/>
      <c r="R36" s="146"/>
      <c r="S36" s="146"/>
    </row>
    <row r="37" spans="2:19">
      <c r="C37" s="138" t="s">
        <v>1404</v>
      </c>
      <c r="D37" s="150"/>
      <c r="E37" s="150"/>
      <c r="F37" s="150"/>
      <c r="G37" s="150"/>
      <c r="H37" s="150"/>
      <c r="I37" s="151">
        <f>Data!O$335</f>
        <v>75.911417528465478</v>
      </c>
      <c r="J37" s="151">
        <f>Data!P$335</f>
        <v>64.898005698005704</v>
      </c>
      <c r="K37" s="151">
        <f>Data!Q$335</f>
        <v>55.862487603023148</v>
      </c>
      <c r="L37" s="151">
        <f>Data!R$335</f>
        <v>57.793390807102575</v>
      </c>
      <c r="M37" s="146"/>
      <c r="N37" s="146"/>
      <c r="O37" s="146"/>
      <c r="P37" s="146"/>
      <c r="Q37" s="146"/>
      <c r="R37" s="146"/>
      <c r="S37" s="146"/>
    </row>
    <row r="38" spans="2:19">
      <c r="C38" s="138" t="s">
        <v>1406</v>
      </c>
      <c r="D38" s="150"/>
      <c r="E38" s="150"/>
      <c r="F38" s="150"/>
      <c r="G38" s="150"/>
      <c r="H38" s="150"/>
      <c r="I38" s="151">
        <f>Data!O336</f>
        <v>160.59041525450573</v>
      </c>
      <c r="J38" s="151">
        <f>Data!P336</f>
        <v>134.25480075015591</v>
      </c>
      <c r="K38" s="151">
        <f>Data!Q$336</f>
        <v>150.18740383284853</v>
      </c>
      <c r="L38" s="151">
        <f>Data!R$336</f>
        <v>142.75625069978554</v>
      </c>
      <c r="M38" s="146"/>
      <c r="N38" s="146"/>
      <c r="O38" s="146"/>
      <c r="P38" s="146"/>
      <c r="Q38" s="146"/>
      <c r="R38" s="146"/>
      <c r="S38" s="146"/>
    </row>
    <row r="39" spans="2:19">
      <c r="C39" s="138" t="s">
        <v>1415</v>
      </c>
      <c r="D39" s="150"/>
      <c r="E39" s="150"/>
      <c r="F39" s="150"/>
      <c r="G39" s="150"/>
      <c r="H39" s="150"/>
      <c r="I39" s="151">
        <f>Data!O$325</f>
        <v>62.833766493831497</v>
      </c>
      <c r="J39" s="151">
        <f>Data!P$325</f>
        <v>65.570139103126266</v>
      </c>
      <c r="K39" s="151">
        <f>Data!Q$325</f>
        <v>59.338646771038043</v>
      </c>
      <c r="L39" s="151">
        <f>Data!R$325</f>
        <v>68.847845659542415</v>
      </c>
      <c r="M39" s="146"/>
      <c r="N39" s="146"/>
      <c r="O39" s="146"/>
      <c r="P39" s="146"/>
      <c r="Q39" s="146"/>
      <c r="R39" s="146"/>
      <c r="S39" s="146"/>
    </row>
    <row r="40" spans="2:19">
      <c r="E40" s="151"/>
      <c r="F40" s="151"/>
      <c r="G40" s="151"/>
      <c r="H40" s="151"/>
      <c r="I40" s="151"/>
      <c r="J40" s="151"/>
      <c r="K40" s="151"/>
      <c r="L40" s="151"/>
      <c r="N40" s="161"/>
      <c r="O40" s="161"/>
      <c r="P40" s="161"/>
      <c r="Q40" s="161"/>
      <c r="R40" s="161"/>
      <c r="S40" s="161"/>
    </row>
    <row r="41" spans="2:19">
      <c r="B41" s="154" t="s">
        <v>2123</v>
      </c>
      <c r="G41" s="153"/>
      <c r="H41" s="160"/>
      <c r="I41" s="160"/>
      <c r="J41" s="160"/>
      <c r="K41" s="160"/>
      <c r="L41" s="160"/>
      <c r="M41" s="146"/>
      <c r="N41" s="1313" t="str">
        <f>Data!Y4</f>
        <v>'17.09</v>
      </c>
      <c r="O41" s="146"/>
      <c r="P41" s="146"/>
      <c r="Q41" s="146"/>
      <c r="R41" s="146"/>
      <c r="S41" s="146"/>
    </row>
    <row r="42" spans="2:19">
      <c r="C42" s="138" t="s">
        <v>26</v>
      </c>
      <c r="D42" s="150">
        <f>Data!J211</f>
        <v>3511.6284745600001</v>
      </c>
      <c r="E42" s="150">
        <f>Data!K211</f>
        <v>2549.5407356800001</v>
      </c>
      <c r="F42" s="150">
        <f>Data!L211</f>
        <v>1775.4715371</v>
      </c>
      <c r="G42" s="150">
        <f>Data!M211</f>
        <v>2254.4752445700001</v>
      </c>
      <c r="H42" s="150">
        <f>Data!N211</f>
        <v>2804.3513719699999</v>
      </c>
      <c r="I42" s="150">
        <f>Data!O211</f>
        <v>2288.01161146</v>
      </c>
      <c r="J42" s="150">
        <f>Data!P211</f>
        <v>2355.3938719299999</v>
      </c>
      <c r="K42" s="150">
        <f>Data!Q211</f>
        <v>2566.9765906600001</v>
      </c>
      <c r="L42" s="150">
        <f>Data!R211</f>
        <v>1532.4252660499999</v>
      </c>
      <c r="M42" s="146"/>
      <c r="N42" s="150">
        <f>Data!Y211</f>
        <v>1683.1520639600001</v>
      </c>
      <c r="O42" s="146"/>
      <c r="P42" s="146"/>
      <c r="Q42" s="146"/>
      <c r="R42" s="146"/>
      <c r="S42" s="146"/>
    </row>
    <row r="43" spans="2:19">
      <c r="C43" s="138" t="s">
        <v>27</v>
      </c>
      <c r="D43" s="150">
        <f>Data!J215</f>
        <v>1205.38988187</v>
      </c>
      <c r="E43" s="150">
        <f>Data!K215</f>
        <v>900.5811238</v>
      </c>
      <c r="F43" s="150">
        <f>Data!L215</f>
        <v>645.21910138999999</v>
      </c>
      <c r="G43" s="150">
        <f>Data!M215</f>
        <v>830.56379490999996</v>
      </c>
      <c r="H43" s="150">
        <f>Data!N215</f>
        <v>1010.2729842700001</v>
      </c>
      <c r="I43" s="150">
        <f>Data!O215</f>
        <v>1031.5412439900001</v>
      </c>
      <c r="J43" s="150">
        <f>Data!P215</f>
        <v>1199.69167595</v>
      </c>
      <c r="K43" s="150">
        <f>Data!Q215</f>
        <v>1285.02129752</v>
      </c>
      <c r="L43" s="150">
        <f>Data!R215</f>
        <v>1018.25081441</v>
      </c>
      <c r="M43" s="146"/>
      <c r="N43" s="150">
        <f>Data!Y215</f>
        <v>885.17339465999999</v>
      </c>
      <c r="O43" s="146"/>
      <c r="P43" s="146"/>
      <c r="Q43" s="146"/>
      <c r="R43" s="146"/>
      <c r="S43" s="146"/>
    </row>
    <row r="44" spans="2:19">
      <c r="C44" s="138" t="s">
        <v>28</v>
      </c>
      <c r="D44" s="150">
        <f>Data!J216</f>
        <v>580.06476129999999</v>
      </c>
      <c r="E44" s="150">
        <f>Data!K216</f>
        <v>508.64304060000001</v>
      </c>
      <c r="F44" s="150">
        <f>Data!L216</f>
        <v>402.81586871000002</v>
      </c>
      <c r="G44" s="150">
        <f>Data!M216</f>
        <v>697.69222471</v>
      </c>
      <c r="H44" s="150">
        <f>Data!N216</f>
        <v>867.94531057999995</v>
      </c>
      <c r="I44" s="150">
        <f>Data!O216</f>
        <v>1406.1302848</v>
      </c>
      <c r="J44" s="150">
        <f>Data!P216</f>
        <v>1741.6171613500001</v>
      </c>
      <c r="K44" s="150">
        <f>Data!Q216</f>
        <v>2035.68619304</v>
      </c>
      <c r="L44" s="150">
        <f>Data!R216</f>
        <v>2255.8437888200001</v>
      </c>
      <c r="M44" s="146"/>
      <c r="N44" s="150">
        <f>Data!Y216</f>
        <v>1199.7312593500001</v>
      </c>
      <c r="O44" s="146"/>
      <c r="P44" s="146"/>
      <c r="Q44" s="146"/>
      <c r="R44" s="146"/>
      <c r="S44" s="146"/>
    </row>
    <row r="45" spans="2:19">
      <c r="C45" s="138" t="s">
        <v>29</v>
      </c>
      <c r="D45" s="150">
        <f>Data!J217</f>
        <v>247.12555689999999</v>
      </c>
      <c r="E45" s="150">
        <f>Data!K217</f>
        <v>-338.46550351000002</v>
      </c>
      <c r="F45" s="150">
        <f>Data!L217</f>
        <v>-1219.66343338</v>
      </c>
      <c r="G45" s="150">
        <f>Data!M217</f>
        <v>-418.70206307000001</v>
      </c>
      <c r="H45" s="150">
        <f>Data!N217</f>
        <v>-1080.59307812</v>
      </c>
      <c r="I45" s="150">
        <f>Data!O217</f>
        <v>-841.57422439000004</v>
      </c>
      <c r="J45" s="150">
        <f>Data!P217</f>
        <v>814.88747707000005</v>
      </c>
      <c r="K45" s="150">
        <f>Data!Q217</f>
        <v>-217.79837427000001</v>
      </c>
      <c r="L45" s="150">
        <f>Data!R217</f>
        <v>1138.5713694599999</v>
      </c>
      <c r="M45" s="146"/>
      <c r="N45" s="150">
        <f>Data!Y217</f>
        <v>809.49074960999997</v>
      </c>
      <c r="O45" s="146"/>
      <c r="P45" s="146"/>
      <c r="Q45" s="146"/>
      <c r="R45" s="146"/>
      <c r="S45" s="146"/>
    </row>
    <row r="46" spans="2:19">
      <c r="C46" s="138" t="s">
        <v>492</v>
      </c>
      <c r="D46" s="150">
        <f>Data!J212</f>
        <v>2210.67814813</v>
      </c>
      <c r="E46" s="150">
        <f>Data!K212</f>
        <v>3376.7798659700002</v>
      </c>
      <c r="F46" s="150">
        <f>Data!L212</f>
        <v>2535.3586793600002</v>
      </c>
      <c r="G46" s="150">
        <f>Data!M212</f>
        <v>3781.7952330200001</v>
      </c>
      <c r="H46" s="150">
        <f>Data!N212</f>
        <v>4383.1420143100004</v>
      </c>
      <c r="I46" s="150">
        <f>Data!O212</f>
        <v>4134.2741015299998</v>
      </c>
      <c r="J46" s="150">
        <f>Data!P212</f>
        <v>5048.5961801900003</v>
      </c>
      <c r="K46" s="150">
        <f>Data!Q212</f>
        <v>6994.99408141</v>
      </c>
      <c r="L46" s="150">
        <f>Data!R212</f>
        <v>5934.1679940499998</v>
      </c>
      <c r="M46" s="146"/>
      <c r="N46" s="150">
        <f>Data!Y212</f>
        <v>3814.36355899</v>
      </c>
      <c r="O46" s="146"/>
      <c r="P46" s="146"/>
      <c r="Q46" s="146"/>
      <c r="R46" s="146"/>
      <c r="S46" s="146"/>
    </row>
    <row r="47" spans="2:19">
      <c r="C47" s="138" t="s">
        <v>4</v>
      </c>
      <c r="D47" s="150">
        <f>Data!J221</f>
        <v>-225.80047001</v>
      </c>
      <c r="E47" s="150">
        <f>Data!K221</f>
        <v>-194.46866621999999</v>
      </c>
      <c r="F47" s="150">
        <f>Data!L221</f>
        <v>-65.030829920000002</v>
      </c>
      <c r="G47" s="150">
        <f>Data!M221</f>
        <v>11.138388300000001</v>
      </c>
      <c r="H47" s="150">
        <f>Data!N221</f>
        <v>-16.45756154</v>
      </c>
      <c r="I47" s="150">
        <f>Data!O221</f>
        <v>-359.50010902999998</v>
      </c>
      <c r="J47" s="150">
        <f>Data!P221</f>
        <v>221.39181078999999</v>
      </c>
      <c r="K47" s="150">
        <f>Data!Q221</f>
        <v>147.74107476</v>
      </c>
      <c r="L47" s="150">
        <f>Data!R221</f>
        <v>248.71030139000001</v>
      </c>
      <c r="M47" s="146"/>
      <c r="N47" s="150">
        <f>Data!Y221</f>
        <v>218.59810300000001</v>
      </c>
      <c r="O47" s="146"/>
      <c r="P47" s="146"/>
      <c r="Q47" s="146"/>
      <c r="R47" s="146"/>
      <c r="S47" s="146"/>
    </row>
    <row r="48" spans="2:19">
      <c r="C48" s="138" t="s">
        <v>64</v>
      </c>
      <c r="D48" s="150">
        <f>Data!J$360</f>
        <v>7529.0863527500005</v>
      </c>
      <c r="E48" s="150">
        <f>Data!K$360</f>
        <v>6802.6105963199998</v>
      </c>
      <c r="F48" s="150">
        <f>Data!L$360</f>
        <v>4074.1709232600001</v>
      </c>
      <c r="G48" s="150">
        <f>Data!M$360</f>
        <v>7156.9628224399994</v>
      </c>
      <c r="H48" s="150">
        <f>Data!N$360</f>
        <v>7968.6610414699999</v>
      </c>
      <c r="I48" s="150">
        <f>Data!O$360</f>
        <v>7658.8829083599994</v>
      </c>
      <c r="J48" s="150">
        <f>Data!P$360</f>
        <v>11381.578177279998</v>
      </c>
      <c r="K48" s="150">
        <f>Data!Q$360</f>
        <v>12812.620863119999</v>
      </c>
      <c r="L48" s="150">
        <f>Data!R$360</f>
        <v>12127.96953418</v>
      </c>
      <c r="M48" s="146"/>
      <c r="N48" s="150">
        <f>Data!Y360</f>
        <v>8610.5091295700004</v>
      </c>
      <c r="O48" s="146"/>
      <c r="P48" s="146"/>
      <c r="Q48" s="146"/>
      <c r="R48" s="146"/>
      <c r="S48" s="146"/>
    </row>
    <row r="49" spans="3:19">
      <c r="C49" s="138" t="s">
        <v>24</v>
      </c>
      <c r="D49" s="150">
        <f>Data!J224</f>
        <v>4871.71925904</v>
      </c>
      <c r="E49" s="150">
        <f>Data!K224</f>
        <v>4636.0851017900004</v>
      </c>
      <c r="F49" s="150">
        <f>Data!L224</f>
        <v>2995.7843909100002</v>
      </c>
      <c r="G49" s="150">
        <f>Data!M224</f>
        <v>4233.35168187</v>
      </c>
      <c r="H49" s="150">
        <f>Data!N224</f>
        <v>4805.9484021899998</v>
      </c>
      <c r="I49" s="150">
        <f>Data!O224</f>
        <v>4654.7521734499996</v>
      </c>
      <c r="J49" s="150">
        <f>Data!P224</f>
        <v>5324.6601187799997</v>
      </c>
      <c r="K49" s="150">
        <f>Data!Q224</f>
        <v>5971.4718922100001</v>
      </c>
      <c r="L49" s="150">
        <f>Data!R224</f>
        <v>4967.3284612699999</v>
      </c>
      <c r="M49" s="146"/>
      <c r="N49" s="150">
        <f>Data!Y224</f>
        <v>3791.9620727000001</v>
      </c>
      <c r="O49" s="146"/>
      <c r="P49" s="146"/>
      <c r="Q49" s="146"/>
      <c r="R49" s="146"/>
      <c r="S49" s="146"/>
    </row>
    <row r="50" spans="3:19">
      <c r="C50" s="138" t="s">
        <v>45</v>
      </c>
      <c r="D50" s="150">
        <f>Data!J$18</f>
        <v>2688.49</v>
      </c>
      <c r="E50" s="150">
        <f>Data!K$18</f>
        <v>2095</v>
      </c>
      <c r="F50" s="150">
        <f>Data!L$18</f>
        <v>916.4</v>
      </c>
      <c r="G50" s="150">
        <f>Data!M$18</f>
        <v>2963.2</v>
      </c>
      <c r="H50" s="150">
        <f>Data!N$18</f>
        <v>3144.43</v>
      </c>
      <c r="I50" s="150">
        <f>Data!O$18</f>
        <v>2998.11</v>
      </c>
      <c r="J50" s="150">
        <f>Data!P$18</f>
        <v>6034.56</v>
      </c>
      <c r="K50" s="150">
        <f>Data!Q$18</f>
        <v>6706.45</v>
      </c>
      <c r="L50" s="150">
        <f>Data!R$18</f>
        <v>7046.72</v>
      </c>
      <c r="N50" s="150">
        <f>Data!Y$18</f>
        <v>4815.76</v>
      </c>
    </row>
    <row r="51" spans="3:19">
      <c r="C51" s="138" t="s">
        <v>1322</v>
      </c>
      <c r="D51" s="150">
        <f>Data!J$21</f>
        <v>2146.1999999999998</v>
      </c>
      <c r="E51" s="150">
        <f>Data!K$21</f>
        <v>1590.22</v>
      </c>
      <c r="F51" s="150">
        <f>Data!L$21</f>
        <v>755.38</v>
      </c>
      <c r="G51" s="150">
        <f>Data!M$21</f>
        <v>2200.9299999999998</v>
      </c>
      <c r="H51" s="150">
        <f>Data!N$21</f>
        <v>2560.61</v>
      </c>
      <c r="I51" s="150">
        <f>Data!O$21</f>
        <v>2437.17</v>
      </c>
      <c r="J51" s="150">
        <f>Data!P$21</f>
        <v>4722.8</v>
      </c>
      <c r="K51" s="150">
        <f>Data!Q$21</f>
        <v>5035.1000000000004</v>
      </c>
      <c r="L51" s="150">
        <f>Data!R$21</f>
        <v>5251.57</v>
      </c>
      <c r="M51" s="146"/>
      <c r="N51" s="150">
        <f>Data!Y$21</f>
        <v>3754.35</v>
      </c>
      <c r="O51" s="146"/>
      <c r="P51" s="146"/>
      <c r="Q51" s="146"/>
      <c r="R51" s="146"/>
      <c r="S51" s="146"/>
    </row>
    <row r="52" spans="3:19">
      <c r="C52" s="138" t="s">
        <v>1393</v>
      </c>
      <c r="D52" s="151">
        <f>Data!J$355</f>
        <v>154.5468027283996</v>
      </c>
      <c r="E52" s="151">
        <f>Data!K$355</f>
        <v>146.73178871745688</v>
      </c>
      <c r="F52" s="151">
        <f>Data!L$355</f>
        <v>135.99680055821472</v>
      </c>
      <c r="G52" s="151">
        <f>Data!M$355</f>
        <v>169.06138115316119</v>
      </c>
      <c r="H52" s="151">
        <f>Data!N$355</f>
        <v>165.80829369368178</v>
      </c>
      <c r="I52" s="151">
        <f>Data!O$355</f>
        <v>164.53900493446477</v>
      </c>
      <c r="J52" s="151">
        <f>Data!P$355</f>
        <v>213.75220057966396</v>
      </c>
      <c r="K52" s="151">
        <f>Data!Q$355</f>
        <v>214.56386456134084</v>
      </c>
      <c r="L52" s="151">
        <f>Data!R$355</f>
        <v>244.15477310874735</v>
      </c>
      <c r="M52" s="146"/>
      <c r="N52" s="151">
        <f>Data!Y$355</f>
        <v>227.07265960176227</v>
      </c>
      <c r="O52" s="146"/>
      <c r="P52" s="146"/>
      <c r="Q52" s="146"/>
      <c r="R52" s="146"/>
      <c r="S52" s="146"/>
    </row>
    <row r="53" spans="3:19">
      <c r="C53" s="138" t="s">
        <v>1323</v>
      </c>
      <c r="D53" s="151">
        <f>Data!J$352</f>
        <v>0</v>
      </c>
      <c r="E53" s="151">
        <f>Data!K$352</f>
        <v>0.88153176026586999</v>
      </c>
      <c r="F53" s="151">
        <f>Data!L$352</f>
        <v>0.51482215476503446</v>
      </c>
      <c r="G53" s="151">
        <f>Data!M$352</f>
        <v>1.0155999355878853</v>
      </c>
      <c r="H53" s="151">
        <f>Data!N$352</f>
        <v>0.98545027227548088</v>
      </c>
      <c r="I53" s="151">
        <f>Data!O$352</f>
        <v>0.79510455928738966</v>
      </c>
      <c r="J53" s="151">
        <f>Data!P$352</f>
        <v>1.3422790132847369</v>
      </c>
      <c r="K53" s="151">
        <f>Data!Q$352</f>
        <v>1.2296256503352065</v>
      </c>
      <c r="L53" s="151">
        <f>Data!R$352</f>
        <v>1.5174251502121172</v>
      </c>
      <c r="M53" s="146"/>
      <c r="N53" s="151">
        <f>Data!Y$352</f>
        <v>1.4383417862010845</v>
      </c>
      <c r="O53" s="146"/>
      <c r="P53" s="146"/>
      <c r="Q53" s="146"/>
      <c r="R53" s="146"/>
      <c r="S53" s="146"/>
    </row>
    <row r="54" spans="3:19">
      <c r="G54" s="153"/>
      <c r="H54" s="153"/>
      <c r="I54" s="153"/>
      <c r="J54" s="153"/>
      <c r="K54" s="153"/>
      <c r="L54" s="153"/>
      <c r="M54" s="146"/>
      <c r="N54" s="146"/>
      <c r="O54" s="146"/>
      <c r="P54" s="146"/>
      <c r="Q54" s="146"/>
      <c r="R54" s="146"/>
      <c r="S54" s="146"/>
    </row>
    <row r="55" spans="3:19">
      <c r="C55" s="138" t="s">
        <v>1395</v>
      </c>
      <c r="D55" s="161">
        <f t="shared" ref="D55:J55" si="2">D48-SUM(D42:D47)</f>
        <v>0</v>
      </c>
      <c r="E55" s="161">
        <f t="shared" si="2"/>
        <v>0</v>
      </c>
      <c r="F55" s="161">
        <f t="shared" si="2"/>
        <v>0</v>
      </c>
      <c r="G55" s="161">
        <f t="shared" si="2"/>
        <v>0</v>
      </c>
      <c r="H55" s="161">
        <f t="shared" si="2"/>
        <v>0</v>
      </c>
      <c r="I55" s="161">
        <f t="shared" si="2"/>
        <v>0</v>
      </c>
      <c r="J55" s="161">
        <f t="shared" si="2"/>
        <v>0</v>
      </c>
      <c r="K55" s="161">
        <f t="shared" ref="K55:L55" si="3">K48-SUM(K42:K47)</f>
        <v>0</v>
      </c>
      <c r="L55" s="161">
        <f t="shared" si="3"/>
        <v>0</v>
      </c>
      <c r="M55" s="146"/>
      <c r="N55" s="146"/>
      <c r="O55" s="146"/>
      <c r="P55" s="146"/>
      <c r="Q55" s="146"/>
      <c r="R55" s="146"/>
      <c r="S55" s="146"/>
    </row>
    <row r="56" spans="3:19">
      <c r="G56" s="153"/>
      <c r="H56" s="153"/>
      <c r="I56" s="153"/>
      <c r="J56" s="153"/>
      <c r="K56" s="153"/>
      <c r="L56" s="153"/>
      <c r="M56" s="146"/>
      <c r="N56" s="146"/>
      <c r="O56" s="146"/>
      <c r="P56" s="146"/>
      <c r="Q56" s="146"/>
      <c r="R56" s="146"/>
      <c r="S56" s="146"/>
    </row>
    <row r="57" spans="3:19">
      <c r="C57" s="138" t="s">
        <v>1403</v>
      </c>
      <c r="D57" s="150"/>
      <c r="E57" s="150"/>
      <c r="F57" s="150"/>
      <c r="G57" s="150"/>
      <c r="H57" s="150">
        <f>Data!N$333</f>
        <v>71502</v>
      </c>
      <c r="I57" s="150">
        <f>Data!O$333</f>
        <v>86157</v>
      </c>
      <c r="J57" s="150">
        <f>Data!P$333</f>
        <v>87750</v>
      </c>
      <c r="K57" s="150">
        <f>Data!Q$333</f>
        <v>116964</v>
      </c>
      <c r="L57" s="150">
        <f>Data!R$333</f>
        <v>114719</v>
      </c>
      <c r="M57" s="146"/>
      <c r="N57" s="146"/>
      <c r="O57" s="146"/>
      <c r="P57" s="146"/>
      <c r="Q57" s="146"/>
      <c r="R57" s="146"/>
      <c r="S57" s="146"/>
    </row>
    <row r="58" spans="3:19">
      <c r="C58" s="138" t="s">
        <v>1405</v>
      </c>
      <c r="D58" s="150"/>
      <c r="E58" s="150"/>
      <c r="F58" s="150"/>
      <c r="G58" s="150"/>
      <c r="H58" s="150">
        <f>Data!N$334</f>
        <v>54040</v>
      </c>
      <c r="I58" s="150">
        <f>Data!O$334</f>
        <v>65403</v>
      </c>
      <c r="J58" s="150">
        <f>Data!P$334</f>
        <v>56948</v>
      </c>
      <c r="K58" s="150">
        <f>Data!Q$334</f>
        <v>65339</v>
      </c>
      <c r="L58" s="150">
        <f>Data!R$334</f>
        <v>66300</v>
      </c>
      <c r="M58" s="146"/>
      <c r="N58" s="146"/>
      <c r="O58" s="146"/>
      <c r="P58" s="146"/>
      <c r="Q58" s="146"/>
      <c r="R58" s="146"/>
      <c r="S58" s="146"/>
    </row>
    <row r="59" spans="3:19">
      <c r="C59" s="138" t="s">
        <v>1404</v>
      </c>
      <c r="D59" s="150"/>
      <c r="E59" s="150"/>
      <c r="F59" s="150"/>
      <c r="G59" s="150"/>
      <c r="H59" s="150"/>
      <c r="I59" s="151">
        <f>Data!O$335</f>
        <v>75.911417528465478</v>
      </c>
      <c r="J59" s="151">
        <f>Data!P$335</f>
        <v>64.898005698005704</v>
      </c>
      <c r="K59" s="151">
        <f>Data!Q$335</f>
        <v>55.862487603023148</v>
      </c>
      <c r="L59" s="151">
        <f>Data!R$335</f>
        <v>57.793390807102575</v>
      </c>
      <c r="M59" s="146"/>
      <c r="N59" s="146"/>
      <c r="O59" s="146"/>
      <c r="P59" s="146"/>
      <c r="Q59" s="146"/>
      <c r="R59" s="146"/>
      <c r="S59" s="146"/>
    </row>
    <row r="60" spans="3:19">
      <c r="C60" s="138" t="s">
        <v>1406</v>
      </c>
      <c r="D60" s="150"/>
      <c r="E60" s="150"/>
      <c r="F60" s="150"/>
      <c r="G60" s="150"/>
      <c r="H60" s="150"/>
      <c r="I60" s="151">
        <f>Data!O$336</f>
        <v>160.59041525450573</v>
      </c>
      <c r="J60" s="151">
        <f>Data!P$336</f>
        <v>134.25480075015591</v>
      </c>
      <c r="K60" s="151">
        <f>Data!Q$336</f>
        <v>150.18740383284853</v>
      </c>
      <c r="L60" s="151">
        <f>Data!R$336</f>
        <v>142.75625069978554</v>
      </c>
      <c r="M60" s="146"/>
      <c r="N60" s="146"/>
      <c r="O60" s="146"/>
      <c r="P60" s="146"/>
      <c r="Q60" s="146"/>
      <c r="R60" s="146"/>
      <c r="S60" s="146"/>
    </row>
    <row r="61" spans="3:19">
      <c r="C61" s="138" t="s">
        <v>1415</v>
      </c>
      <c r="D61" s="150"/>
      <c r="E61" s="150"/>
      <c r="F61" s="150"/>
      <c r="G61" s="150"/>
      <c r="H61" s="150"/>
      <c r="I61" s="151">
        <f>Data!O$325</f>
        <v>62.833766493831497</v>
      </c>
      <c r="J61" s="151">
        <f>Data!P$325</f>
        <v>65.570139103126266</v>
      </c>
      <c r="K61" s="151">
        <f>Data!Q$325</f>
        <v>59.338646771038043</v>
      </c>
      <c r="L61" s="151">
        <f>Data!R$325</f>
        <v>68.847845659542415</v>
      </c>
      <c r="M61" s="146"/>
      <c r="N61" s="146"/>
      <c r="O61" s="146"/>
      <c r="P61" s="146"/>
      <c r="Q61" s="146"/>
      <c r="R61" s="146"/>
      <c r="S61" s="146"/>
    </row>
    <row r="62" spans="3:19">
      <c r="G62" s="153"/>
      <c r="H62" s="153"/>
      <c r="I62" s="153"/>
      <c r="J62" s="153"/>
      <c r="K62" s="153"/>
      <c r="L62" s="153"/>
      <c r="M62" s="146"/>
      <c r="N62" s="146"/>
      <c r="O62" s="146"/>
      <c r="P62" s="146"/>
      <c r="Q62" s="146"/>
      <c r="R62" s="146"/>
      <c r="S62" s="146"/>
    </row>
    <row r="63" spans="3:19">
      <c r="C63" s="138" t="s">
        <v>731</v>
      </c>
      <c r="D63" s="151"/>
      <c r="E63" s="151">
        <f>Data!K$340</f>
        <v>93.415683321088608</v>
      </c>
      <c r="F63" s="151">
        <f>Data!L$340</f>
        <v>99.002154922568522</v>
      </c>
      <c r="G63" s="151">
        <f>Data!M$340</f>
        <v>94.998867682366182</v>
      </c>
      <c r="H63" s="151">
        <f>Data!N$340</f>
        <v>101.48056699372781</v>
      </c>
      <c r="I63" s="151">
        <f>Data!O$340</f>
        <v>123.80934901171914</v>
      </c>
      <c r="J63" s="151">
        <f>Data!P$340</f>
        <v>289.0339069506432</v>
      </c>
      <c r="K63" s="151">
        <f>Data!Q$340</f>
        <v>280.74806847648432</v>
      </c>
      <c r="L63" s="151">
        <f>Data!R$340</f>
        <v>285.66494501399814</v>
      </c>
    </row>
    <row r="64" spans="3:19">
      <c r="C64" s="138" t="s">
        <v>732</v>
      </c>
      <c r="D64" s="150">
        <f>Data!J$359</f>
        <v>0</v>
      </c>
      <c r="E64" s="150">
        <f>Data!K$359</f>
        <v>346.63593629000002</v>
      </c>
      <c r="F64" s="150">
        <f>Data!L$359</f>
        <v>761.45773430999998</v>
      </c>
      <c r="G64" s="150">
        <f>Data!M$359</f>
        <v>579.24571487999992</v>
      </c>
      <c r="H64" s="150">
        <f>Data!N$359</f>
        <v>655.60711631000004</v>
      </c>
      <c r="I64" s="150">
        <f>Data!O$359</f>
        <v>462.67292951000002</v>
      </c>
      <c r="J64" s="150">
        <f>Data!P$359</f>
        <v>1072.6429687699999</v>
      </c>
      <c r="K64" s="150">
        <f>Data!Q$359</f>
        <v>1311.27496185</v>
      </c>
      <c r="L64" s="150">
        <f>Data!R$359</f>
        <v>1517.6695480000001</v>
      </c>
    </row>
    <row r="65" spans="3:19">
      <c r="C65" s="138" t="s">
        <v>225</v>
      </c>
      <c r="D65" s="150">
        <f>Data!J$292</f>
        <v>0</v>
      </c>
      <c r="E65" s="150">
        <f>Data!K$292</f>
        <v>371.06824460999997</v>
      </c>
      <c r="F65" s="150">
        <f>Data!L$292</f>
        <v>769.13248494999993</v>
      </c>
      <c r="G65" s="150">
        <f>Data!M$292</f>
        <v>609.73959902000001</v>
      </c>
      <c r="H65" s="150">
        <f>Data!N$292</f>
        <v>646.04203123000002</v>
      </c>
      <c r="I65" s="150">
        <f>Data!O$292</f>
        <v>373.69789374000004</v>
      </c>
      <c r="J65" s="150">
        <f>Data!P$292</f>
        <v>371.11319571000001</v>
      </c>
      <c r="K65" s="150">
        <f>Data!Q$292</f>
        <v>467.06464231999996</v>
      </c>
      <c r="L65" s="150">
        <f>Data!R$292</f>
        <v>531.27608916999998</v>
      </c>
    </row>
    <row r="66" spans="3:19">
      <c r="C66" s="138" t="s">
        <v>2136</v>
      </c>
      <c r="D66" s="151"/>
      <c r="E66" s="151">
        <f>Data!K$343</f>
        <v>0.27869744219040077</v>
      </c>
      <c r="F66" s="151">
        <f>Data!L$343</f>
        <v>0.30170513997667059</v>
      </c>
      <c r="G66" s="151">
        <f>Data!M$343</f>
        <v>0.23543060195427082</v>
      </c>
      <c r="H66" s="151">
        <f>Data!N$343</f>
        <v>5.4567883754653032E-2</v>
      </c>
      <c r="I66" s="151">
        <f>Data!O$343</f>
        <v>0</v>
      </c>
      <c r="J66" s="151">
        <f>Data!P$343</f>
        <v>0</v>
      </c>
      <c r="K66" s="151">
        <f>Data!Q$343</f>
        <v>0</v>
      </c>
      <c r="L66" s="151">
        <f>Data!R$343</f>
        <v>0</v>
      </c>
      <c r="M66" s="146"/>
      <c r="N66" s="146"/>
      <c r="O66" s="146"/>
      <c r="P66" s="146"/>
      <c r="Q66" s="146"/>
      <c r="R66" s="146"/>
      <c r="S66" s="146"/>
    </row>
    <row r="67" spans="3:19">
      <c r="C67" s="138" t="s">
        <v>733</v>
      </c>
      <c r="D67" s="150">
        <f>Data!J$345</f>
        <v>0</v>
      </c>
      <c r="E67" s="150">
        <f>Data!K$345</f>
        <v>89.028560160001007</v>
      </c>
      <c r="F67" s="150">
        <f>Data!L$345</f>
        <v>93.010716519997914</v>
      </c>
      <c r="G67" s="150">
        <f>Data!M$345</f>
        <v>75.110413749999225</v>
      </c>
      <c r="H67" s="150">
        <f>Data!N$345</f>
        <v>17.979348289997233</v>
      </c>
      <c r="I67" s="150">
        <f>Data!O$345</f>
        <v>0</v>
      </c>
      <c r="J67" s="150">
        <f>Data!P$345</f>
        <v>0</v>
      </c>
      <c r="K67" s="150">
        <f>Data!Q$345</f>
        <v>0</v>
      </c>
      <c r="L67" s="150">
        <f>Data!R$345</f>
        <v>0</v>
      </c>
      <c r="M67" s="146"/>
      <c r="N67" s="146"/>
      <c r="O67" s="146"/>
      <c r="P67" s="146"/>
      <c r="Q67" s="146"/>
      <c r="R67" s="146"/>
      <c r="S67" s="146"/>
    </row>
    <row r="68" spans="3:19">
      <c r="C68" s="138" t="s">
        <v>2112</v>
      </c>
      <c r="D68" s="151">
        <f>Data!J$344</f>
        <v>0</v>
      </c>
      <c r="E68" s="151">
        <f>Data!K$344</f>
        <v>0.27869740348390154</v>
      </c>
      <c r="F68" s="151">
        <f>Data!L$344</f>
        <v>0.30170509442097121</v>
      </c>
      <c r="G68" s="151">
        <f>Data!M$344</f>
        <v>0.23543061703445747</v>
      </c>
      <c r="H68" s="151">
        <f>Data!N$344</f>
        <v>5.456787727037031E-2</v>
      </c>
      <c r="I68" s="151">
        <f>Data!O$344</f>
        <v>0</v>
      </c>
      <c r="J68" s="151">
        <f>Data!P$344</f>
        <v>0</v>
      </c>
      <c r="K68" s="151">
        <f>Data!Q$344</f>
        <v>0</v>
      </c>
      <c r="L68" s="151">
        <f>Data!R$344</f>
        <v>0</v>
      </c>
    </row>
    <row r="69" spans="3:19">
      <c r="G69" s="153"/>
      <c r="H69" s="153"/>
      <c r="I69" s="153"/>
      <c r="J69" s="153"/>
      <c r="K69" s="153"/>
      <c r="L69" s="153"/>
      <c r="M69" s="146"/>
      <c r="N69" s="146"/>
      <c r="O69" s="146"/>
      <c r="P69" s="146"/>
      <c r="Q69" s="146"/>
      <c r="R69" s="146"/>
      <c r="S69" s="146"/>
    </row>
    <row r="70" spans="3:19">
      <c r="C70" s="138" t="s">
        <v>1275</v>
      </c>
      <c r="D70" s="150">
        <f>Data!J$299</f>
        <v>0</v>
      </c>
      <c r="E70" s="150">
        <f>Data!K$299</f>
        <v>3680.3640999999998</v>
      </c>
      <c r="F70" s="150">
        <f>Data!L$299</f>
        <v>7081.7323059999999</v>
      </c>
      <c r="G70" s="150">
        <f>Data!M$299</f>
        <v>10724.824556</v>
      </c>
      <c r="H70" s="150">
        <f>Data!N$299</f>
        <v>10680.77225</v>
      </c>
      <c r="I70" s="150">
        <f>Data!O$299</f>
        <v>23729.99842018</v>
      </c>
      <c r="J70" s="150">
        <f>Data!P$299</f>
        <v>32051.128446160001</v>
      </c>
      <c r="K70" s="150">
        <f>Data!Q$299</f>
        <v>39390.12605708</v>
      </c>
      <c r="L70" s="150">
        <f>Data!R$299</f>
        <v>41558.69516612</v>
      </c>
      <c r="M70" s="146"/>
      <c r="N70" s="146"/>
      <c r="O70" s="146"/>
      <c r="P70" s="146"/>
      <c r="Q70" s="146"/>
      <c r="R70" s="146"/>
      <c r="S70" s="146"/>
    </row>
    <row r="71" spans="3:19">
      <c r="C71" s="138" t="s">
        <v>1318</v>
      </c>
      <c r="D71" s="160">
        <f>Data!J300</f>
        <v>0</v>
      </c>
      <c r="E71" s="160">
        <f>Data!K$300</f>
        <v>11.521110941275211</v>
      </c>
      <c r="F71" s="160">
        <f>Data!L$300</f>
        <v>22.971489673304369</v>
      </c>
      <c r="G71" s="160">
        <f>Data!M$300</f>
        <v>33.616537797402394</v>
      </c>
      <c r="H71" s="160">
        <f>Data!N$300</f>
        <v>32.416473605721926</v>
      </c>
      <c r="I71" s="160">
        <f>Data!O$300</f>
        <v>58.266590938394756</v>
      </c>
      <c r="J71" s="160">
        <f>Data!P$300</f>
        <v>75.560467018801219</v>
      </c>
      <c r="K71" s="160">
        <f>Data!Q$300</f>
        <v>90.541642532799102</v>
      </c>
      <c r="L71" s="160">
        <f>Data!R$300</f>
        <v>89.483620718097228</v>
      </c>
      <c r="M71" s="146"/>
      <c r="N71" s="146"/>
      <c r="O71" s="146"/>
      <c r="P71" s="146"/>
      <c r="Q71" s="146"/>
      <c r="R71" s="146"/>
      <c r="S71" s="146"/>
    </row>
    <row r="72" spans="3:19">
      <c r="F72" s="502"/>
      <c r="G72" s="151"/>
      <c r="H72" s="151"/>
      <c r="I72" s="151"/>
      <c r="J72" s="151"/>
      <c r="K72" s="151"/>
      <c r="L72" s="151"/>
      <c r="N72" s="161"/>
      <c r="O72" s="161"/>
      <c r="P72" s="161"/>
      <c r="Q72" s="161"/>
      <c r="R72" s="161"/>
      <c r="S72" s="161"/>
    </row>
    <row r="73" spans="3:19">
      <c r="C73" s="138" t="s">
        <v>498</v>
      </c>
      <c r="D73" s="150">
        <f>Data!J21</f>
        <v>2146.1999999999998</v>
      </c>
      <c r="E73" s="150">
        <f>Data!K21</f>
        <v>1590.22</v>
      </c>
      <c r="F73" s="150">
        <f>Data!L21</f>
        <v>755.38</v>
      </c>
      <c r="G73" s="150">
        <f>Data!M21</f>
        <v>2200.9299999999998</v>
      </c>
      <c r="H73" s="150">
        <f>Data!N21</f>
        <v>2560.61</v>
      </c>
      <c r="I73" s="150">
        <f>Data!O21</f>
        <v>2437.17</v>
      </c>
      <c r="J73" s="150">
        <f>Data!P21</f>
        <v>4722.8</v>
      </c>
      <c r="K73" s="150">
        <f>Data!Q21</f>
        <v>5035.1000000000004</v>
      </c>
      <c r="L73" s="150">
        <f>Data!R21</f>
        <v>5251.57</v>
      </c>
      <c r="M73" s="146"/>
    </row>
    <row r="74" spans="3:19">
      <c r="C74" s="138" t="s">
        <v>226</v>
      </c>
      <c r="D74" s="151">
        <f>Data!J$352</f>
        <v>0</v>
      </c>
      <c r="E74" s="151">
        <f>Data!K$352</f>
        <v>0.88153176026586999</v>
      </c>
      <c r="F74" s="151">
        <f>Data!L$352</f>
        <v>0.51482215476503446</v>
      </c>
      <c r="G74" s="151">
        <f>Data!M$352</f>
        <v>1.0155999355878853</v>
      </c>
      <c r="H74" s="151">
        <f>Data!N$352</f>
        <v>0.98545027227548088</v>
      </c>
      <c r="I74" s="151">
        <f>Data!O$352</f>
        <v>0.79510455928738966</v>
      </c>
      <c r="J74" s="151">
        <f>Data!P$352</f>
        <v>1.3422790132847369</v>
      </c>
      <c r="K74" s="151">
        <f>Data!Q$352</f>
        <v>1.2296256503352065</v>
      </c>
      <c r="L74" s="151">
        <f>Data!R$352</f>
        <v>1.5174251502121172</v>
      </c>
      <c r="M74" s="146"/>
      <c r="N74" s="146"/>
      <c r="O74" s="146"/>
      <c r="P74" s="146"/>
      <c r="Q74" s="146"/>
      <c r="R74" s="146"/>
      <c r="S74" s="146"/>
    </row>
    <row r="75" spans="3:19">
      <c r="D75" s="150"/>
      <c r="E75" s="150"/>
      <c r="F75" s="150"/>
      <c r="G75" s="150"/>
      <c r="H75" s="150"/>
      <c r="I75" s="150"/>
      <c r="J75" s="150"/>
      <c r="K75" s="150"/>
      <c r="L75" s="150"/>
      <c r="M75" s="146"/>
      <c r="N75" s="146"/>
      <c r="O75" s="146"/>
      <c r="P75" s="146"/>
      <c r="Q75" s="146"/>
      <c r="R75" s="146"/>
      <c r="S75" s="146"/>
    </row>
    <row r="76" spans="3:19">
      <c r="C76" s="138" t="s">
        <v>2724</v>
      </c>
      <c r="D76" s="150"/>
      <c r="E76" s="150"/>
      <c r="F76" s="150"/>
      <c r="G76" s="150"/>
      <c r="H76" s="150"/>
      <c r="I76" s="150"/>
      <c r="J76" s="150"/>
      <c r="K76" s="150"/>
      <c r="L76" s="150"/>
      <c r="M76" s="146"/>
      <c r="N76" s="146"/>
      <c r="O76" s="146"/>
      <c r="P76" s="146"/>
      <c r="Q76" s="146"/>
      <c r="R76" s="146"/>
      <c r="S76" s="146"/>
    </row>
    <row r="77" spans="3:19">
      <c r="C77" s="138" t="s">
        <v>1272</v>
      </c>
      <c r="D77" s="150"/>
      <c r="E77" s="150"/>
      <c r="F77" s="150"/>
      <c r="G77" s="150"/>
      <c r="H77" s="571"/>
      <c r="I77" s="571">
        <f>Data!O$277</f>
        <v>30565.59255225</v>
      </c>
      <c r="J77" s="571">
        <f>Data!P$277</f>
        <v>34178.911393499999</v>
      </c>
      <c r="K77" s="571">
        <f>Data!Q$277</f>
        <v>32574.05482827</v>
      </c>
      <c r="L77" s="571">
        <f>Data!R$277</f>
        <v>38090.303250110002</v>
      </c>
      <c r="M77" s="146"/>
      <c r="N77" s="146"/>
      <c r="O77" s="146"/>
      <c r="P77" s="146"/>
      <c r="Q77" s="146"/>
      <c r="R77" s="146"/>
      <c r="S77" s="146"/>
    </row>
    <row r="78" spans="3:19">
      <c r="C78" s="138" t="s">
        <v>495</v>
      </c>
      <c r="D78" s="150"/>
      <c r="E78" s="150"/>
      <c r="F78" s="150"/>
      <c r="G78" s="150"/>
      <c r="H78" s="571"/>
      <c r="I78" s="571">
        <f>Data!O$278</f>
        <v>9026.9600008199996</v>
      </c>
      <c r="J78" s="571">
        <f>Data!P$278</f>
        <v>14423.40346989</v>
      </c>
      <c r="K78" s="571">
        <f>Data!Q$278</f>
        <v>18906.459308770001</v>
      </c>
      <c r="L78" s="571">
        <f>Data!R$278</f>
        <v>26241.157098790001</v>
      </c>
      <c r="M78" s="146"/>
      <c r="N78" s="146"/>
      <c r="O78" s="146"/>
      <c r="P78" s="146"/>
      <c r="Q78" s="146"/>
      <c r="R78" s="146"/>
      <c r="S78" s="146"/>
    </row>
    <row r="79" spans="3:19">
      <c r="C79" s="138" t="s">
        <v>496</v>
      </c>
      <c r="D79" s="571"/>
      <c r="E79" s="572"/>
      <c r="F79" s="572"/>
      <c r="G79" s="572"/>
      <c r="H79" s="571"/>
      <c r="I79" s="571">
        <f>Data!O$279</f>
        <v>21538.632551430001</v>
      </c>
      <c r="J79" s="571">
        <f>Data!P$279</f>
        <v>19755.507923609999</v>
      </c>
      <c r="K79" s="571">
        <f>Data!Q$279</f>
        <v>13667.595519500001</v>
      </c>
      <c r="L79" s="571">
        <f>Data!R$279</f>
        <v>11849.146151319999</v>
      </c>
      <c r="M79" s="146"/>
      <c r="N79" s="146"/>
      <c r="O79" s="146"/>
      <c r="P79" s="146"/>
      <c r="Q79" s="146"/>
      <c r="R79" s="146"/>
      <c r="S79" s="146"/>
    </row>
    <row r="80" spans="3:19">
      <c r="C80" s="138" t="s">
        <v>1299</v>
      </c>
      <c r="D80" s="1147"/>
      <c r="E80" s="1147"/>
      <c r="F80" s="1147"/>
      <c r="G80" s="1147"/>
      <c r="H80" s="1147"/>
      <c r="I80" s="1148">
        <f>Data!O$281</f>
        <v>1602.6</v>
      </c>
      <c r="J80" s="1148">
        <f>Data!P$281</f>
        <v>1469.9</v>
      </c>
      <c r="K80" s="1148">
        <f>Data!Q$281</f>
        <v>1016.9</v>
      </c>
      <c r="L80" s="1148">
        <f>Data!R$281</f>
        <v>882.8</v>
      </c>
      <c r="M80" s="146"/>
      <c r="N80" s="146"/>
      <c r="O80" s="146"/>
      <c r="P80" s="146"/>
      <c r="Q80" s="146"/>
      <c r="R80" s="146"/>
      <c r="S80" s="146"/>
    </row>
    <row r="81" spans="3:19">
      <c r="C81" s="138" t="s">
        <v>2725</v>
      </c>
      <c r="D81" s="150"/>
      <c r="E81" s="150"/>
      <c r="F81" s="150"/>
      <c r="G81" s="150"/>
      <c r="H81" s="150"/>
      <c r="I81" s="150"/>
      <c r="J81" s="150"/>
      <c r="K81" s="150"/>
      <c r="L81" s="150"/>
      <c r="M81" s="146"/>
      <c r="N81" s="146"/>
      <c r="O81" s="146"/>
      <c r="P81" s="146"/>
      <c r="Q81" s="146"/>
      <c r="R81" s="146"/>
      <c r="S81" s="146"/>
    </row>
    <row r="82" spans="3:19">
      <c r="C82" s="138" t="s">
        <v>1272</v>
      </c>
      <c r="D82" s="571"/>
      <c r="E82" s="571">
        <f>Data!K$271</f>
        <v>22794.47025857</v>
      </c>
      <c r="F82" s="571">
        <f>Data!L$271</f>
        <v>20855.915167409999</v>
      </c>
      <c r="G82" s="571">
        <f>Data!M$271</f>
        <v>22354.537245849999</v>
      </c>
      <c r="H82" s="571">
        <f>Data!N$271</f>
        <v>23319.710716400001</v>
      </c>
      <c r="I82" s="571">
        <f>Data!O$271</f>
        <v>28375.460349509998</v>
      </c>
      <c r="J82" s="571">
        <f>Data!P$271</f>
        <v>32236.587257679999</v>
      </c>
      <c r="K82" s="571">
        <f>Data!Q$271</f>
        <v>29935.513599779999</v>
      </c>
      <c r="L82" s="571">
        <f>Data!R$271</f>
        <v>31058.90318103</v>
      </c>
      <c r="M82" s="146"/>
      <c r="N82" s="146"/>
      <c r="O82" s="146"/>
      <c r="P82" s="146"/>
      <c r="Q82" s="146"/>
      <c r="R82" s="146"/>
      <c r="S82" s="146"/>
    </row>
    <row r="83" spans="3:19">
      <c r="C83" s="138" t="s">
        <v>495</v>
      </c>
      <c r="D83" s="571"/>
      <c r="E83" s="571">
        <f>Data!K$272</f>
        <v>5051.4945556499997</v>
      </c>
      <c r="F83" s="571">
        <f>Data!L$272</f>
        <v>4901.8826767299997</v>
      </c>
      <c r="G83" s="571">
        <f>Data!M$272</f>
        <v>5582.8472829900002</v>
      </c>
      <c r="H83" s="571">
        <f>Data!N$272</f>
        <v>7284.4561459799997</v>
      </c>
      <c r="I83" s="571">
        <f>Data!O$272</f>
        <v>8494.8518345899993</v>
      </c>
      <c r="J83" s="571">
        <f>Data!P$272</f>
        <v>13204.90249022</v>
      </c>
      <c r="K83" s="571">
        <f>Data!Q$272</f>
        <v>18172.86464489</v>
      </c>
      <c r="L83" s="571">
        <f>Data!R$272</f>
        <v>25825.281489479999</v>
      </c>
      <c r="M83" s="146"/>
      <c r="N83" s="146"/>
      <c r="O83" s="146"/>
      <c r="P83" s="146"/>
      <c r="Q83" s="146"/>
      <c r="R83" s="146"/>
      <c r="S83" s="146"/>
    </row>
    <row r="84" spans="3:19">
      <c r="C84" s="138" t="s">
        <v>2722</v>
      </c>
      <c r="D84" s="150"/>
      <c r="E84" s="1148">
        <f>Data!K$276</f>
        <v>451.24210285597206</v>
      </c>
      <c r="F84" s="1148">
        <f>Data!L$276</f>
        <v>425.46744879097724</v>
      </c>
      <c r="G84" s="1148">
        <f>Data!M$276</f>
        <v>400.41462917963975</v>
      </c>
      <c r="H84" s="1148">
        <f>Data!N$276</f>
        <v>320.12974268874166</v>
      </c>
      <c r="I84" s="1148">
        <f>Data!O$276</f>
        <v>334.0312568368596</v>
      </c>
      <c r="J84" s="1148">
        <f>Data!P$276</f>
        <v>244.12590158507808</v>
      </c>
      <c r="K84" s="1148">
        <f>Data!Q$276</f>
        <v>164.72644343497888</v>
      </c>
      <c r="L84" s="1148">
        <f>Data!R$276</f>
        <v>120.26549717834413</v>
      </c>
      <c r="M84" s="146"/>
      <c r="N84" s="146"/>
      <c r="O84" s="146"/>
      <c r="P84" s="146"/>
      <c r="Q84" s="146"/>
      <c r="R84" s="146"/>
      <c r="S84" s="146"/>
    </row>
    <row r="85" spans="3:19">
      <c r="D85" s="150"/>
      <c r="E85" s="150"/>
      <c r="F85" s="150"/>
      <c r="G85" s="150"/>
      <c r="H85" s="150"/>
      <c r="I85" s="150"/>
      <c r="J85" s="150"/>
      <c r="K85" s="150"/>
      <c r="L85" s="150"/>
      <c r="M85" s="146"/>
      <c r="N85" s="146"/>
      <c r="O85" s="146"/>
      <c r="P85" s="146"/>
      <c r="Q85" s="146"/>
      <c r="R85" s="146"/>
      <c r="S85" s="146"/>
    </row>
    <row r="86" spans="3:19">
      <c r="D86" s="150"/>
      <c r="E86" s="150"/>
      <c r="F86" s="150"/>
      <c r="G86" s="150"/>
      <c r="H86" s="150"/>
      <c r="I86" s="150"/>
      <c r="J86" s="150"/>
      <c r="K86" s="150"/>
      <c r="L86" s="150"/>
      <c r="M86" s="146"/>
      <c r="N86" s="146"/>
      <c r="O86" s="146"/>
      <c r="P86" s="146"/>
      <c r="Q86" s="146"/>
      <c r="R86" s="146"/>
      <c r="S86" s="146"/>
    </row>
    <row r="87" spans="3:19">
      <c r="C87" s="138" t="s">
        <v>2361</v>
      </c>
      <c r="D87" s="150">
        <f>Data!J$17</f>
        <v>31425.47</v>
      </c>
      <c r="E87" s="150">
        <f>Data!K$17</f>
        <v>31944.52</v>
      </c>
      <c r="F87" s="150">
        <f>Data!L$17</f>
        <v>30828.35</v>
      </c>
      <c r="G87" s="150">
        <f>Data!M$17</f>
        <v>31903.42</v>
      </c>
      <c r="H87" s="150">
        <f>Data!N$17</f>
        <v>32948.589999999997</v>
      </c>
      <c r="I87" s="150">
        <f>Data!O$17</f>
        <v>40726.589999999997</v>
      </c>
      <c r="J87" s="150">
        <f>Data!P$17</f>
        <v>42417.85</v>
      </c>
      <c r="K87" s="150">
        <f>Data!Q$17</f>
        <v>43504.98</v>
      </c>
      <c r="L87" s="150">
        <f>Data!R$17</f>
        <v>46442.8</v>
      </c>
      <c r="M87" s="146"/>
      <c r="N87" s="146"/>
      <c r="O87" s="146"/>
      <c r="P87" s="146"/>
      <c r="Q87" s="146"/>
      <c r="R87" s="146"/>
      <c r="S87" s="146"/>
    </row>
    <row r="88" spans="3:19">
      <c r="D88" s="571"/>
      <c r="E88" s="571"/>
      <c r="F88" s="571"/>
      <c r="G88" s="571"/>
      <c r="H88" s="571"/>
      <c r="I88" s="571"/>
      <c r="J88" s="571"/>
      <c r="K88" s="571"/>
      <c r="L88" s="571"/>
      <c r="M88" s="1149"/>
      <c r="N88" s="146"/>
      <c r="O88" s="146"/>
      <c r="P88" s="146"/>
      <c r="Q88" s="146"/>
      <c r="R88" s="146"/>
      <c r="S88" s="146"/>
    </row>
    <row r="89" spans="3:19">
      <c r="C89" s="138" t="s">
        <v>507</v>
      </c>
      <c r="F89" s="151">
        <f>Data!L168</f>
        <v>7.4063555871176217</v>
      </c>
      <c r="G89" s="151">
        <f>Data!M168</f>
        <v>6.1328173289476444</v>
      </c>
      <c r="H89" s="151">
        <f>Data!N168</f>
        <v>4.958547829451212</v>
      </c>
      <c r="I89" s="151">
        <f>Data!O168</f>
        <v>4.3853370499978848</v>
      </c>
      <c r="J89" s="151">
        <f>Data!P168</f>
        <v>5.082523801403747</v>
      </c>
      <c r="K89" s="151">
        <f>Data!Q168</f>
        <v>5.9050921372988778</v>
      </c>
      <c r="L89" s="151">
        <f>Data!R168</f>
        <v>6.3748129799812352</v>
      </c>
      <c r="M89" s="146"/>
      <c r="N89" s="146"/>
      <c r="O89" s="146"/>
      <c r="P89" s="146"/>
      <c r="Q89" s="146"/>
      <c r="R89" s="146"/>
      <c r="S89" s="146"/>
    </row>
    <row r="90" spans="3:19">
      <c r="C90" s="138" t="s">
        <v>680</v>
      </c>
      <c r="D90" s="151"/>
      <c r="E90" s="151">
        <f>Data!K348</f>
        <v>156.24915158594413</v>
      </c>
      <c r="F90" s="151">
        <f>Data!L348</f>
        <v>144.24527687541533</v>
      </c>
      <c r="G90" s="151">
        <f>Data!M348</f>
        <v>131.13026293695475</v>
      </c>
      <c r="H90" s="151">
        <f>Data!N348</f>
        <v>138.79125205067746</v>
      </c>
      <c r="I90" s="151">
        <f>Data!O348</f>
        <v>133.11711922354121</v>
      </c>
      <c r="J90" s="151">
        <f>Data!P348</f>
        <v>129.5881283439667</v>
      </c>
      <c r="K90" s="151">
        <f>Data!Q348</f>
        <v>106.0626874137061</v>
      </c>
      <c r="L90" s="151">
        <f>Data!R348</f>
        <v>110.53114067056103</v>
      </c>
      <c r="M90" s="146"/>
      <c r="N90" s="146"/>
      <c r="O90" s="146"/>
      <c r="P90" s="146"/>
      <c r="Q90" s="146"/>
      <c r="R90" s="146"/>
      <c r="S90" s="146"/>
    </row>
    <row r="91" spans="3:19">
      <c r="C91" s="138" t="s">
        <v>2114</v>
      </c>
      <c r="D91" s="150">
        <f>Data!J$66</f>
        <v>666.64128778999998</v>
      </c>
      <c r="E91" s="150">
        <f>Data!K$66</f>
        <v>510.94093144999999</v>
      </c>
      <c r="F91" s="150">
        <f>Data!L$66</f>
        <v>3057.5530965600001</v>
      </c>
      <c r="G91" s="150">
        <f>Data!M$66</f>
        <v>1576.0755837500001</v>
      </c>
      <c r="H91" s="150">
        <f>Data!N$66</f>
        <v>4314.93205674</v>
      </c>
      <c r="I91" s="150">
        <f>Data!O$66</f>
        <v>8202.9710002200009</v>
      </c>
      <c r="J91" s="150">
        <f>Data!P$66</f>
        <v>6756.2453954499997</v>
      </c>
      <c r="K91" s="150">
        <f>Data!Q$66</f>
        <v>7881.87205206</v>
      </c>
      <c r="L91" s="150">
        <f>Data!R$66</f>
        <v>7137.3195511699996</v>
      </c>
      <c r="M91" s="146"/>
      <c r="N91" s="146"/>
      <c r="O91" s="146"/>
      <c r="P91" s="146"/>
      <c r="Q91" s="146"/>
      <c r="R91" s="146"/>
      <c r="S91" s="146"/>
    </row>
    <row r="92" spans="3:19">
      <c r="C92" s="138" t="s">
        <v>512</v>
      </c>
      <c r="D92" s="150"/>
      <c r="E92" s="150"/>
      <c r="F92" s="150"/>
      <c r="G92" s="150"/>
      <c r="H92" s="150"/>
      <c r="I92" s="150"/>
      <c r="J92" s="150">
        <f>Data!P$44</f>
        <v>13000</v>
      </c>
      <c r="K92" s="150">
        <f>Data!Q$44</f>
        <v>12000</v>
      </c>
      <c r="L92" s="150">
        <f>Data!R$44</f>
        <v>12000</v>
      </c>
      <c r="M92" s="146"/>
      <c r="N92" s="146"/>
      <c r="O92" s="146"/>
      <c r="P92" s="146"/>
      <c r="Q92" s="146"/>
      <c r="R92" s="146"/>
      <c r="S92" s="146"/>
    </row>
    <row r="93" spans="3:19">
      <c r="D93" s="150"/>
      <c r="E93" s="150"/>
      <c r="F93" s="150"/>
      <c r="G93" s="150"/>
      <c r="H93" s="150"/>
      <c r="I93" s="150"/>
      <c r="J93" s="150"/>
      <c r="K93" s="150"/>
      <c r="L93" s="150"/>
      <c r="M93" s="146"/>
      <c r="N93" s="146"/>
      <c r="O93" s="146"/>
      <c r="P93" s="146"/>
      <c r="Q93" s="146"/>
      <c r="R93" s="146"/>
      <c r="S93" s="146"/>
    </row>
    <row r="94" spans="3:19">
      <c r="C94" s="138" t="s">
        <v>755</v>
      </c>
      <c r="D94" s="151"/>
      <c r="E94" s="151">
        <f>Data!K$348</f>
        <v>156.24915158594413</v>
      </c>
      <c r="F94" s="151">
        <f>Data!L$348</f>
        <v>144.24527687541533</v>
      </c>
      <c r="G94" s="151">
        <f>Data!M$348</f>
        <v>131.13026293695475</v>
      </c>
      <c r="H94" s="151">
        <f>Data!N$348</f>
        <v>138.79125205067746</v>
      </c>
      <c r="I94" s="151">
        <f>Data!O$348</f>
        <v>133.11711922354121</v>
      </c>
      <c r="J94" s="151">
        <f>Data!P$348</f>
        <v>129.5881283439667</v>
      </c>
      <c r="K94" s="151">
        <f>Data!Q$348</f>
        <v>106.0626874137061</v>
      </c>
      <c r="L94" s="151">
        <f>Data!R$348</f>
        <v>110.53114067056103</v>
      </c>
    </row>
    <row r="95" spans="3:19">
      <c r="C95" s="138" t="s">
        <v>360</v>
      </c>
      <c r="D95" s="151"/>
      <c r="E95" s="151">
        <f>Data!K$349</f>
        <v>150.00243763778229</v>
      </c>
      <c r="F95" s="151">
        <f>Data!L$349</f>
        <v>134.31373754441353</v>
      </c>
      <c r="G95" s="151">
        <f>Data!M$349</f>
        <v>119.50901266495286</v>
      </c>
      <c r="H95" s="151">
        <f>Data!N$349</f>
        <v>129.46629067439872</v>
      </c>
      <c r="I95" s="151">
        <f>Data!O$349</f>
        <v>108.45569461138584</v>
      </c>
      <c r="J95" s="151">
        <f>Data!P$349</f>
        <v>105.60164126850913</v>
      </c>
      <c r="K95" s="151">
        <f>Data!Q$349</f>
        <v>85.473546186358092</v>
      </c>
      <c r="L95" s="151">
        <f>Data!R$349</f>
        <v>90.77608335106116</v>
      </c>
    </row>
    <row r="96" spans="3:19">
      <c r="D96" s="151"/>
      <c r="E96" s="151"/>
      <c r="F96" s="151"/>
      <c r="G96" s="151"/>
      <c r="H96" s="151"/>
      <c r="I96" s="151"/>
      <c r="J96" s="151"/>
      <c r="K96" s="151"/>
      <c r="L96" s="151"/>
    </row>
    <row r="97" spans="1:25">
      <c r="C97" s="138" t="s">
        <v>759</v>
      </c>
      <c r="D97" s="151">
        <f>Data!J$350</f>
        <v>9.1304676779716605</v>
      </c>
      <c r="E97" s="151">
        <f>Data!K$350</f>
        <v>9.2797742169404973</v>
      </c>
      <c r="F97" s="151">
        <f>Data!L$350</f>
        <v>7.4063556832647235</v>
      </c>
      <c r="G97" s="151">
        <f>Data!M$350</f>
        <v>6.1328173685448073</v>
      </c>
      <c r="H97" s="151">
        <f>Data!N$350</f>
        <v>4.9585478294512129</v>
      </c>
      <c r="I97" s="151">
        <f>Data!O$350</f>
        <v>4.3853370499978839</v>
      </c>
      <c r="J97" s="151">
        <f>Data!P$350</f>
        <v>5.082523801403747</v>
      </c>
      <c r="K97" s="151">
        <f>Data!Q$350</f>
        <v>5.9050921372988778</v>
      </c>
      <c r="L97" s="151">
        <f>Data!R$350</f>
        <v>6.3748129799812343</v>
      </c>
    </row>
    <row r="98" spans="1:25">
      <c r="D98" s="151"/>
      <c r="E98" s="151"/>
      <c r="F98" s="151"/>
      <c r="G98" s="151"/>
      <c r="H98" s="151"/>
      <c r="I98" s="151"/>
      <c r="J98" s="151"/>
      <c r="K98" s="151"/>
      <c r="L98" s="151"/>
    </row>
    <row r="99" spans="1:25">
      <c r="C99" s="138" t="s">
        <v>2125</v>
      </c>
      <c r="D99" s="150">
        <f>Data!J66</f>
        <v>666.64128778999998</v>
      </c>
      <c r="E99" s="150">
        <f>Data!K66</f>
        <v>510.94093144999999</v>
      </c>
      <c r="F99" s="150">
        <f>Data!L66</f>
        <v>3057.5530965600001</v>
      </c>
      <c r="G99" s="150">
        <f>Data!M66</f>
        <v>1576.0755837500001</v>
      </c>
      <c r="H99" s="150">
        <f>Data!N66</f>
        <v>4314.93205674</v>
      </c>
      <c r="I99" s="150">
        <f>Data!O66</f>
        <v>8202.9710002200009</v>
      </c>
      <c r="J99" s="150">
        <f>Data!P66</f>
        <v>6756.2453954499997</v>
      </c>
      <c r="K99" s="150">
        <f>Data!Q66</f>
        <v>7881.87205206</v>
      </c>
      <c r="L99" s="150">
        <f>Data!R66</f>
        <v>7137.3195511699996</v>
      </c>
    </row>
    <row r="100" spans="1:25">
      <c r="C100" s="138" t="s">
        <v>512</v>
      </c>
      <c r="H100" s="150"/>
      <c r="I100" s="150"/>
      <c r="J100" s="150">
        <f>Data!P44</f>
        <v>13000</v>
      </c>
      <c r="K100" s="150">
        <f>Data!Q44</f>
        <v>12000</v>
      </c>
      <c r="L100" s="150">
        <f>Data!R44</f>
        <v>12000</v>
      </c>
    </row>
    <row r="101" spans="1:25">
      <c r="D101" s="151"/>
      <c r="E101" s="151"/>
      <c r="F101" s="151"/>
      <c r="G101" s="151"/>
      <c r="H101" s="151"/>
      <c r="I101" s="151"/>
      <c r="J101" s="151"/>
      <c r="K101" s="151"/>
      <c r="L101" s="151"/>
    </row>
    <row r="102" spans="1:25">
      <c r="C102" s="138" t="s">
        <v>756</v>
      </c>
      <c r="D102" s="150">
        <f>Data!J$306</f>
        <v>0</v>
      </c>
      <c r="E102" s="150">
        <f>Data!K$306</f>
        <v>138087.74935345</v>
      </c>
      <c r="F102" s="150">
        <f>Data!L$306</f>
        <v>138148.11877413001</v>
      </c>
      <c r="G102" s="150">
        <f>Data!M$306</f>
        <v>144624.18772923999</v>
      </c>
      <c r="H102" s="150">
        <f>Data!N$306</f>
        <v>205813.76232923</v>
      </c>
      <c r="I102" s="150">
        <f>Data!O$306</f>
        <v>138920.33412539001</v>
      </c>
      <c r="J102" s="150">
        <f>Data!P$306</f>
        <v>182857.40900121999</v>
      </c>
      <c r="K102" s="150">
        <f>Data!Q$306</f>
        <v>173437.69287873001</v>
      </c>
      <c r="L102" s="150">
        <f>Data!R$306</f>
        <v>211076.41133689001</v>
      </c>
    </row>
    <row r="103" spans="1:25">
      <c r="C103" s="138" t="s">
        <v>757</v>
      </c>
      <c r="D103" s="150">
        <f>Data!J$307</f>
        <v>0</v>
      </c>
      <c r="E103" s="150">
        <f>Data!K$307</f>
        <v>88376.639458100006</v>
      </c>
      <c r="F103" s="150">
        <f>Data!L$307</f>
        <v>95773.062221960005</v>
      </c>
      <c r="G103" s="150">
        <f>Data!M$307</f>
        <v>110290.47337362</v>
      </c>
      <c r="H103" s="150">
        <f>Data!N$307</f>
        <v>148290.15466629001</v>
      </c>
      <c r="I103" s="150">
        <f>Data!O$307</f>
        <v>104359.48053541</v>
      </c>
      <c r="J103" s="150">
        <f>Data!P$307</f>
        <v>141106.60547226999</v>
      </c>
      <c r="K103" s="150">
        <f>Data!Q$307</f>
        <v>163523.75855065999</v>
      </c>
      <c r="L103" s="150">
        <f>Data!R$307</f>
        <v>190965.55962089001</v>
      </c>
    </row>
    <row r="105" spans="1:25">
      <c r="C105" s="138" t="s">
        <v>758</v>
      </c>
      <c r="D105" s="150">
        <f>Data!J$299</f>
        <v>0</v>
      </c>
      <c r="E105" s="150">
        <f>Data!K$299</f>
        <v>3680.3640999999998</v>
      </c>
      <c r="F105" s="150">
        <f>Data!L$299</f>
        <v>7081.7323059999999</v>
      </c>
      <c r="G105" s="150">
        <f>Data!M$299</f>
        <v>10724.824556</v>
      </c>
      <c r="H105" s="150">
        <f>Data!N$299</f>
        <v>10680.77225</v>
      </c>
      <c r="I105" s="150">
        <f>Data!O$299</f>
        <v>23729.99842018</v>
      </c>
      <c r="J105" s="150">
        <f>Data!P$299</f>
        <v>32051.128446160001</v>
      </c>
      <c r="K105" s="150">
        <f>Data!Q$299</f>
        <v>39390.12605708</v>
      </c>
      <c r="L105" s="150">
        <f>Data!R$299</f>
        <v>41558.69516612</v>
      </c>
    </row>
    <row r="107" spans="1:25">
      <c r="C107" s="138" t="s">
        <v>760</v>
      </c>
      <c r="D107" s="150">
        <f>Data!J$358</f>
        <v>15344.03945561</v>
      </c>
      <c r="E107" s="150">
        <f>Data!K$358</f>
        <v>17885.138986710001</v>
      </c>
      <c r="F107" s="150">
        <f>Data!L$358</f>
        <v>14704.423780720001</v>
      </c>
      <c r="G107" s="150">
        <f>Data!M$358</f>
        <v>14405.17172072</v>
      </c>
      <c r="H107" s="150">
        <f>Data!N$358</f>
        <v>14121.77355849</v>
      </c>
      <c r="I107" s="150">
        <f>Data!O$358</f>
        <v>14394.752296160001</v>
      </c>
      <c r="J107" s="150">
        <f>Data!P$358</f>
        <v>19082.40476804</v>
      </c>
      <c r="K107" s="150">
        <f>Data!Q$358</f>
        <v>26189.871241150002</v>
      </c>
      <c r="L107" s="150">
        <f>Data!R$358</f>
        <v>30559.456836190002</v>
      </c>
    </row>
    <row r="108" spans="1:25">
      <c r="D108" s="150"/>
      <c r="E108" s="150"/>
      <c r="F108" s="150"/>
      <c r="G108" s="150"/>
      <c r="H108" s="150"/>
      <c r="I108" s="150"/>
      <c r="J108" s="150"/>
      <c r="K108" s="150"/>
      <c r="L108" s="150"/>
      <c r="M108" s="146"/>
      <c r="N108" s="146"/>
      <c r="O108" s="146"/>
      <c r="P108" s="146"/>
      <c r="Q108" s="146"/>
      <c r="R108" s="146"/>
      <c r="S108" s="146"/>
    </row>
    <row r="109" spans="1:25">
      <c r="D109" s="150"/>
      <c r="E109" s="150"/>
      <c r="F109" s="150"/>
      <c r="G109" s="150"/>
      <c r="H109" s="150"/>
      <c r="I109" s="150"/>
      <c r="J109" s="150"/>
      <c r="K109" s="150"/>
      <c r="L109" s="150"/>
      <c r="M109" s="146"/>
      <c r="N109" s="146"/>
      <c r="O109" s="146"/>
      <c r="P109" s="146"/>
      <c r="Q109" s="146"/>
      <c r="R109" s="146"/>
      <c r="S109" s="146"/>
    </row>
    <row r="110" spans="1:25">
      <c r="A110" s="147" t="s">
        <v>1417</v>
      </c>
      <c r="B110" s="147"/>
      <c r="C110" s="152"/>
      <c r="D110" s="149"/>
      <c r="E110" s="149"/>
      <c r="F110" s="149"/>
      <c r="G110" s="149"/>
      <c r="H110" s="149"/>
      <c r="I110" s="149"/>
      <c r="J110" s="149"/>
      <c r="K110" s="149"/>
      <c r="L110" s="149"/>
      <c r="M110" s="146"/>
      <c r="N110" s="146"/>
      <c r="O110" s="146"/>
      <c r="P110" s="146"/>
      <c r="Q110" s="146"/>
      <c r="R110" s="146"/>
      <c r="S110" s="146"/>
    </row>
    <row r="111" spans="1:25">
      <c r="D111" s="150"/>
      <c r="E111" s="150"/>
      <c r="F111" s="150"/>
      <c r="G111" s="150"/>
      <c r="H111" s="150"/>
      <c r="I111" s="150"/>
      <c r="J111" s="150"/>
      <c r="K111" s="150"/>
      <c r="L111" s="150"/>
      <c r="M111" s="146"/>
      <c r="N111" s="146"/>
      <c r="O111" s="146"/>
      <c r="P111" s="146"/>
      <c r="Q111" s="146"/>
      <c r="R111" s="146"/>
      <c r="S111" s="146"/>
    </row>
    <row r="112" spans="1:25">
      <c r="C112" s="138" t="s">
        <v>488</v>
      </c>
      <c r="H112" s="150">
        <f>Data!N263</f>
        <v>93</v>
      </c>
      <c r="I112" s="150">
        <f>Data!O263</f>
        <v>88</v>
      </c>
      <c r="J112" s="150">
        <f>Data!P263</f>
        <v>78</v>
      </c>
      <c r="K112" s="150">
        <f>Data!Q263</f>
        <v>78</v>
      </c>
      <c r="L112" s="150">
        <f>Data!R263</f>
        <v>79</v>
      </c>
      <c r="M112" s="146"/>
      <c r="N112" s="146"/>
      <c r="O112" s="146"/>
      <c r="P112" s="146"/>
      <c r="Q112" s="146"/>
      <c r="R112" s="146"/>
      <c r="S112" s="146"/>
      <c r="Y112" s="1221"/>
    </row>
    <row r="113" spans="3:35">
      <c r="C113" s="138" t="s">
        <v>2368</v>
      </c>
      <c r="H113" s="150"/>
      <c r="I113" s="150"/>
      <c r="J113" s="150"/>
      <c r="K113" s="150">
        <f>Data!Q264</f>
        <v>2</v>
      </c>
      <c r="L113" s="150">
        <f>Data!R264</f>
        <v>3</v>
      </c>
      <c r="M113" s="146"/>
      <c r="N113" s="146"/>
      <c r="O113" s="146"/>
      <c r="P113" s="146"/>
      <c r="Q113" s="146"/>
      <c r="R113" s="146"/>
      <c r="S113" s="146"/>
      <c r="Y113" s="1221"/>
    </row>
    <row r="114" spans="3:35">
      <c r="C114" s="138" t="s">
        <v>2369</v>
      </c>
      <c r="H114" s="150"/>
      <c r="I114" s="150"/>
      <c r="J114" s="150"/>
      <c r="K114" s="150">
        <f>Data!Q265</f>
        <v>7</v>
      </c>
      <c r="L114" s="150">
        <f>Data!R265</f>
        <v>7</v>
      </c>
      <c r="M114" s="146"/>
      <c r="N114" s="146"/>
      <c r="O114" s="146"/>
      <c r="P114" s="146"/>
      <c r="Q114" s="146"/>
      <c r="R114" s="146"/>
      <c r="S114" s="146"/>
      <c r="Y114" s="1221"/>
    </row>
    <row r="115" spans="3:35">
      <c r="D115" s="150"/>
      <c r="E115" s="150"/>
      <c r="F115" s="150"/>
      <c r="G115" s="150"/>
      <c r="H115" s="150"/>
      <c r="I115" s="150"/>
      <c r="J115" s="150"/>
      <c r="K115" s="150"/>
      <c r="L115" s="150"/>
      <c r="M115" s="146"/>
      <c r="N115" s="146"/>
      <c r="O115" s="146"/>
      <c r="P115" s="146"/>
      <c r="Q115" s="146"/>
      <c r="R115" s="146"/>
      <c r="S115" s="146"/>
    </row>
    <row r="116" spans="3:35">
      <c r="C116" s="138" t="s">
        <v>1713</v>
      </c>
      <c r="D116" s="150">
        <f>Data!J$15</f>
        <v>168053.16</v>
      </c>
      <c r="E116" s="150">
        <f>Data!K$15</f>
        <v>192732.48</v>
      </c>
      <c r="F116" s="150">
        <f>Data!L$15</f>
        <v>198537.91</v>
      </c>
      <c r="G116" s="150">
        <f>Data!M$15</f>
        <v>234886.69</v>
      </c>
      <c r="H116" s="150">
        <f>Data!N$15</f>
        <v>284796.56</v>
      </c>
      <c r="I116" s="150">
        <f>Data!O$15</f>
        <v>328247.34000000003</v>
      </c>
      <c r="J116" s="150">
        <f>Data!P$15</f>
        <v>375451.36</v>
      </c>
      <c r="K116" s="150">
        <f>Data!Q$15</f>
        <v>443513.34</v>
      </c>
      <c r="L116" s="150">
        <f>Data!R$15</f>
        <v>479378.09</v>
      </c>
      <c r="M116" s="146"/>
      <c r="N116" s="146"/>
      <c r="O116" s="146"/>
      <c r="P116" s="146"/>
      <c r="Q116" s="146"/>
      <c r="R116" s="146"/>
      <c r="S116" s="146"/>
    </row>
    <row r="117" spans="3:35">
      <c r="C117" s="138" t="s">
        <v>1714</v>
      </c>
      <c r="D117" s="150">
        <f>Data!J$17</f>
        <v>31425.47</v>
      </c>
      <c r="E117" s="150">
        <f>Data!K$17</f>
        <v>31944.52</v>
      </c>
      <c r="F117" s="150">
        <f>Data!L$17</f>
        <v>30828.35</v>
      </c>
      <c r="G117" s="150">
        <f>Data!M$17</f>
        <v>31903.42</v>
      </c>
      <c r="H117" s="150">
        <f>Data!N$17</f>
        <v>32948.589999999997</v>
      </c>
      <c r="I117" s="150">
        <f>Data!O$17</f>
        <v>40726.589999999997</v>
      </c>
      <c r="J117" s="150">
        <f>Data!P$17</f>
        <v>42417.85</v>
      </c>
      <c r="K117" s="150">
        <f>Data!Q$17</f>
        <v>43504.98</v>
      </c>
      <c r="L117" s="150">
        <f>Data!R$17</f>
        <v>46442.8</v>
      </c>
      <c r="M117" s="146"/>
      <c r="N117" s="146"/>
      <c r="O117" s="146"/>
      <c r="P117" s="146"/>
      <c r="Q117" s="146"/>
      <c r="R117" s="146"/>
      <c r="S117" s="146"/>
    </row>
    <row r="118" spans="3:35">
      <c r="D118" s="150"/>
      <c r="E118" s="150"/>
      <c r="F118" s="150"/>
      <c r="G118" s="150"/>
      <c r="H118" s="150"/>
      <c r="I118" s="150"/>
      <c r="J118" s="150"/>
      <c r="K118" s="150"/>
      <c r="L118" s="150"/>
      <c r="M118" s="146"/>
      <c r="N118" s="146"/>
      <c r="O118" s="146"/>
      <c r="P118" s="146"/>
      <c r="Q118" s="146"/>
      <c r="R118" s="146"/>
      <c r="S118" s="146"/>
    </row>
    <row r="119" spans="3:35">
      <c r="C119" s="138" t="s">
        <v>2244</v>
      </c>
      <c r="G119" s="153"/>
      <c r="H119" s="160"/>
      <c r="I119" s="160"/>
      <c r="J119" s="160">
        <f>Data!P$39</f>
        <v>100</v>
      </c>
      <c r="K119" s="160">
        <f>Data!Q$39</f>
        <v>100</v>
      </c>
      <c r="L119" s="160">
        <f>Data!R$39</f>
        <v>100</v>
      </c>
      <c r="M119" s="146"/>
      <c r="N119" s="146"/>
      <c r="O119" s="146"/>
      <c r="P119" s="146"/>
      <c r="Q119" s="146"/>
      <c r="R119" s="146"/>
      <c r="S119" s="146"/>
    </row>
    <row r="120" spans="3:35">
      <c r="G120" s="153"/>
      <c r="H120" s="160"/>
      <c r="I120" s="160"/>
      <c r="J120" s="160"/>
      <c r="K120" s="160"/>
      <c r="L120" s="160"/>
      <c r="M120" s="146"/>
      <c r="N120" s="146"/>
      <c r="O120" s="146"/>
      <c r="P120" s="146"/>
      <c r="Q120" s="146"/>
      <c r="R120" s="146"/>
      <c r="S120" s="146"/>
    </row>
    <row r="121" spans="3:35">
      <c r="C121" s="138" t="s">
        <v>493</v>
      </c>
      <c r="D121" s="151">
        <f>Data!J234</f>
        <v>46.640831437367922</v>
      </c>
      <c r="E121" s="151">
        <f>Data!K234</f>
        <v>37.478857558879263</v>
      </c>
      <c r="F121" s="151">
        <f>Data!L234</f>
        <v>43.578719954128324</v>
      </c>
      <c r="G121" s="151">
        <f>Data!M234</f>
        <v>31.500446495282887</v>
      </c>
      <c r="H121" s="151">
        <f>Data!N234</f>
        <v>35.192253220155457</v>
      </c>
      <c r="I121" s="151">
        <f>Data!O234</f>
        <v>29.87395993432067</v>
      </c>
      <c r="J121" s="151">
        <f>Data!P234</f>
        <v>20.694791488862734</v>
      </c>
      <c r="K121" s="151">
        <f>Data!Q234</f>
        <v>20.034750251986427</v>
      </c>
      <c r="L121" s="151">
        <f>Data!R234</f>
        <v>12.635464343237327</v>
      </c>
      <c r="M121" s="146"/>
      <c r="N121" s="146"/>
      <c r="O121" s="146"/>
      <c r="P121" s="146"/>
      <c r="Q121" s="146"/>
      <c r="R121" s="146"/>
      <c r="S121" s="146"/>
    </row>
    <row r="122" spans="3:35">
      <c r="C122" s="138" t="s">
        <v>247</v>
      </c>
      <c r="D122" s="151">
        <f>Data!J236</f>
        <v>35.708075269956602</v>
      </c>
      <c r="E122" s="151">
        <f>Data!K236</f>
        <v>30.797048226651857</v>
      </c>
      <c r="F122" s="151">
        <f>Data!L236</f>
        <v>22.492888096524233</v>
      </c>
      <c r="G122" s="151">
        <f>Data!M236</f>
        <v>41.40299151323196</v>
      </c>
      <c r="H122" s="151">
        <f>Data!N236</f>
        <v>39.460015444701824</v>
      </c>
      <c r="I122" s="151">
        <f>Data!O236</f>
        <v>39.14548255095319</v>
      </c>
      <c r="J122" s="151">
        <f>Data!P236</f>
        <v>53.020406569242184</v>
      </c>
      <c r="K122" s="151">
        <f>Data!Q236</f>
        <v>52.342514984533096</v>
      </c>
      <c r="L122" s="151">
        <f>Data!R236</f>
        <v>58.103007407549903</v>
      </c>
      <c r="M122" s="146"/>
      <c r="N122" s="146"/>
      <c r="O122" s="146"/>
      <c r="P122" s="146"/>
      <c r="Q122" s="146"/>
      <c r="R122" s="146"/>
      <c r="S122" s="146"/>
    </row>
    <row r="123" spans="3:35">
      <c r="F123" s="502"/>
      <c r="G123" s="151"/>
      <c r="H123" s="151"/>
      <c r="I123" s="151"/>
      <c r="J123" s="151"/>
      <c r="K123" s="151"/>
      <c r="L123" s="151"/>
      <c r="N123" s="161"/>
      <c r="O123" s="161"/>
      <c r="P123" s="161"/>
      <c r="Q123" s="161"/>
      <c r="R123" s="161"/>
      <c r="S123" s="161"/>
    </row>
    <row r="124" spans="3:35">
      <c r="C124" s="138" t="s">
        <v>513</v>
      </c>
      <c r="G124" s="150">
        <f>Data!M262</f>
        <v>2506</v>
      </c>
      <c r="H124" s="150">
        <f>Data!N262</f>
        <v>2489</v>
      </c>
      <c r="I124" s="150">
        <f>Data!O262</f>
        <v>2502</v>
      </c>
      <c r="J124" s="150">
        <f>Data!P262</f>
        <v>2580</v>
      </c>
      <c r="K124" s="150">
        <f>Data!Q262</f>
        <v>2699</v>
      </c>
      <c r="L124" s="150">
        <f>Data!R262</f>
        <v>2726</v>
      </c>
      <c r="N124" s="138" t="s">
        <v>2430</v>
      </c>
      <c r="Y124" s="1221"/>
      <c r="AD124" s="1222"/>
      <c r="AE124" s="1223"/>
      <c r="AF124" s="1222"/>
      <c r="AG124" s="1223"/>
      <c r="AH124" s="1222"/>
      <c r="AI124" s="1223"/>
    </row>
    <row r="125" spans="3:35">
      <c r="C125" s="138" t="s">
        <v>514</v>
      </c>
      <c r="G125" s="150">
        <f>Data!M263</f>
        <v>103</v>
      </c>
      <c r="H125" s="150">
        <f>Data!N263</f>
        <v>93</v>
      </c>
      <c r="I125" s="150">
        <f>Data!O263</f>
        <v>88</v>
      </c>
      <c r="J125" s="150">
        <f>Data!P263</f>
        <v>78</v>
      </c>
      <c r="K125" s="150">
        <f>Data!Q263</f>
        <v>78</v>
      </c>
      <c r="L125" s="150">
        <f>Data!R263</f>
        <v>79</v>
      </c>
      <c r="N125" s="1249">
        <f>K125/986*100</f>
        <v>7.9107505070993911</v>
      </c>
      <c r="Y125" s="1221"/>
      <c r="AD125" s="1223"/>
      <c r="AF125" s="1223"/>
      <c r="AH125" s="1223"/>
    </row>
    <row r="126" spans="3:35">
      <c r="G126" s="150"/>
      <c r="H126" s="150"/>
      <c r="I126" s="150"/>
      <c r="J126" s="150"/>
      <c r="K126" s="150"/>
      <c r="L126" s="150"/>
      <c r="Y126" s="1221"/>
      <c r="AD126" s="1222"/>
      <c r="AE126" s="1223"/>
      <c r="AF126" s="1222"/>
      <c r="AG126" s="1223"/>
      <c r="AH126" s="1222"/>
      <c r="AI126" s="1223"/>
    </row>
    <row r="127" spans="3:35">
      <c r="C127" s="138" t="s">
        <v>517</v>
      </c>
      <c r="G127" s="150"/>
      <c r="H127" s="161">
        <f t="shared" ref="H127:L128" si="4">(H124/G124-1)*100</f>
        <v>-0.67837190742218167</v>
      </c>
      <c r="I127" s="161">
        <f t="shared" si="4"/>
        <v>0.5222981116914438</v>
      </c>
      <c r="J127" s="161">
        <f t="shared" si="4"/>
        <v>3.1175059952038398</v>
      </c>
      <c r="K127" s="161">
        <f t="shared" si="4"/>
        <v>4.6124031007751976</v>
      </c>
      <c r="L127" s="161">
        <f t="shared" si="4"/>
        <v>1.000370507595405</v>
      </c>
      <c r="Y127" s="1221"/>
      <c r="AD127" s="1222"/>
      <c r="AE127" s="1223"/>
      <c r="AF127" s="1222"/>
      <c r="AG127" s="1223"/>
      <c r="AH127" s="1222"/>
      <c r="AI127" s="1223"/>
    </row>
    <row r="128" spans="3:35">
      <c r="C128" s="138" t="s">
        <v>518</v>
      </c>
      <c r="H128" s="161">
        <f t="shared" si="4"/>
        <v>-9.7087378640776656</v>
      </c>
      <c r="I128" s="161">
        <f t="shared" si="4"/>
        <v>-5.3763440860215006</v>
      </c>
      <c r="J128" s="161">
        <f t="shared" si="4"/>
        <v>-11.363636363636365</v>
      </c>
      <c r="K128" s="161">
        <f t="shared" si="4"/>
        <v>0</v>
      </c>
      <c r="L128" s="161">
        <f t="shared" si="4"/>
        <v>1.2820512820512775</v>
      </c>
      <c r="Y128" s="1221"/>
    </row>
    <row r="129" spans="2:35">
      <c r="G129" s="151"/>
      <c r="H129" s="151"/>
      <c r="I129" s="151"/>
      <c r="J129" s="151"/>
      <c r="K129" s="151"/>
      <c r="L129" s="151"/>
      <c r="Y129" s="1221"/>
    </row>
    <row r="130" spans="2:35">
      <c r="C130" s="138" t="s">
        <v>519</v>
      </c>
      <c r="D130" s="150">
        <f>Data!J192</f>
        <v>3339.9868260399999</v>
      </c>
      <c r="E130" s="150">
        <f>Data!K192</f>
        <v>2509.0295376899999</v>
      </c>
      <c r="F130" s="150">
        <f>Data!L192</f>
        <v>1832.62698546</v>
      </c>
      <c r="G130" s="150">
        <f>Data!M192</f>
        <v>2329.1059403099998</v>
      </c>
      <c r="H130" s="150">
        <f>Data!N192</f>
        <v>2982.4510705900002</v>
      </c>
      <c r="I130" s="150">
        <f>Data!O$192</f>
        <v>2516.4849723500001</v>
      </c>
      <c r="J130" s="150">
        <f>Data!P$192</f>
        <v>2597.5596065</v>
      </c>
      <c r="K130" s="150">
        <f>Data!Q$192</f>
        <v>2907.6558904399999</v>
      </c>
      <c r="L130" s="150">
        <f>Data!R$192</f>
        <v>1775.86362239</v>
      </c>
      <c r="Y130" s="1221"/>
      <c r="AD130" s="1222"/>
      <c r="AE130" s="1223"/>
      <c r="AF130" s="1222"/>
      <c r="AG130" s="1223"/>
      <c r="AH130" s="1222"/>
      <c r="AI130" s="1223"/>
    </row>
    <row r="131" spans="2:35">
      <c r="C131" s="138" t="s">
        <v>520</v>
      </c>
      <c r="D131" s="150">
        <f>Data!J193</f>
        <v>1205.38988187</v>
      </c>
      <c r="E131" s="150">
        <f>Data!K193</f>
        <v>900.5811238</v>
      </c>
      <c r="F131" s="150">
        <f>Data!L193</f>
        <v>645.21910138999999</v>
      </c>
      <c r="G131" s="150">
        <f>Data!M193</f>
        <v>830.56379491000007</v>
      </c>
      <c r="H131" s="150">
        <f>Data!N193</f>
        <v>1010.2729842700001</v>
      </c>
      <c r="I131" s="150">
        <f>Data!O$193</f>
        <v>1031.5412439900001</v>
      </c>
      <c r="J131" s="150">
        <f>Data!P$193</f>
        <v>1199.69167595</v>
      </c>
      <c r="K131" s="150">
        <f>Data!Q$193</f>
        <v>1285.02129752</v>
      </c>
      <c r="L131" s="150">
        <f>Data!R$193</f>
        <v>1018.25081441</v>
      </c>
      <c r="Y131" s="1221"/>
      <c r="AD131" s="1222"/>
      <c r="AE131" s="1223"/>
      <c r="AF131" s="1222"/>
      <c r="AG131" s="1223"/>
      <c r="AH131" s="1222"/>
      <c r="AI131" s="1223"/>
    </row>
    <row r="132" spans="2:35">
      <c r="C132" s="138" t="s">
        <v>521</v>
      </c>
      <c r="D132" s="150">
        <f>Data!J198</f>
        <v>574.75476129999993</v>
      </c>
      <c r="E132" s="150">
        <f>Data!K198</f>
        <v>507.74304059999997</v>
      </c>
      <c r="F132" s="150">
        <f>Data!L198</f>
        <v>402.63586871000001</v>
      </c>
      <c r="G132" s="150">
        <f>Data!M198</f>
        <v>697.57222471</v>
      </c>
      <c r="H132" s="150">
        <f>Data!N198</f>
        <v>867.94531057999995</v>
      </c>
      <c r="I132" s="150">
        <f>Data!O$198</f>
        <v>1406.1302848</v>
      </c>
      <c r="J132" s="150">
        <f>Data!P$198</f>
        <v>1741.6171613500001</v>
      </c>
      <c r="K132" s="150">
        <f>Data!Q$198</f>
        <v>2035.68619304</v>
      </c>
      <c r="L132" s="150">
        <f>Data!R$198</f>
        <v>2255.8437888200001</v>
      </c>
      <c r="Y132" s="1221"/>
      <c r="AD132" s="1222"/>
      <c r="AE132" s="1223"/>
      <c r="AF132" s="1222"/>
      <c r="AG132" s="1223"/>
      <c r="AH132" s="1222"/>
      <c r="AI132" s="1223"/>
    </row>
    <row r="133" spans="2:35">
      <c r="C133" s="138" t="s">
        <v>223</v>
      </c>
      <c r="D133" s="150">
        <f>Data!J360</f>
        <v>7529.0863527500005</v>
      </c>
      <c r="E133" s="150">
        <f>Data!K360</f>
        <v>6802.6105963199998</v>
      </c>
      <c r="F133" s="150">
        <f>Data!L360</f>
        <v>4074.1709232600001</v>
      </c>
      <c r="G133" s="150">
        <f>Data!M360</f>
        <v>7156.9628224399994</v>
      </c>
      <c r="H133" s="150">
        <f>Data!N360</f>
        <v>7968.6610414699999</v>
      </c>
      <c r="I133" s="150">
        <f>Data!O$360</f>
        <v>7658.8829083599994</v>
      </c>
      <c r="J133" s="150">
        <f>Data!P$360</f>
        <v>11381.578177279998</v>
      </c>
      <c r="K133" s="150">
        <f>Data!Q$360</f>
        <v>12812.620863119999</v>
      </c>
      <c r="L133" s="150">
        <f>Data!R$360</f>
        <v>12127.96953418</v>
      </c>
      <c r="N133" s="138" t="s">
        <v>1643</v>
      </c>
      <c r="Y133" s="1221"/>
      <c r="AD133" s="1222"/>
      <c r="AE133" s="1223"/>
      <c r="AF133" s="1222"/>
      <c r="AG133" s="1223"/>
      <c r="AH133" s="1222"/>
      <c r="AI133" s="1223"/>
    </row>
    <row r="134" spans="2:35">
      <c r="D134" s="150"/>
      <c r="E134" s="150"/>
      <c r="F134" s="150"/>
      <c r="G134" s="150"/>
      <c r="H134" s="150"/>
      <c r="I134" s="150"/>
      <c r="J134" s="150"/>
      <c r="K134" s="150"/>
      <c r="L134" s="150"/>
      <c r="Y134" s="1221"/>
      <c r="AD134" s="1222"/>
      <c r="AE134" s="1223"/>
      <c r="AF134" s="1222"/>
      <c r="AG134" s="1223"/>
      <c r="AH134" s="1222"/>
      <c r="AI134" s="1223"/>
    </row>
    <row r="135" spans="2:35">
      <c r="C135" s="138" t="s">
        <v>2103</v>
      </c>
      <c r="E135" s="151">
        <f>Data!K$374</f>
        <v>7.6311111797747255</v>
      </c>
      <c r="F135" s="151">
        <f>Data!L$374</f>
        <v>7.2616869635907815</v>
      </c>
      <c r="G135" s="151">
        <f>Data!M$374</f>
        <v>7.9819838678104329</v>
      </c>
      <c r="H135" s="151">
        <f>Data!N$374</f>
        <v>7.1171966443611794</v>
      </c>
      <c r="I135" s="151">
        <f>Data!O$374</f>
        <v>8.4392390931276928</v>
      </c>
      <c r="J135" s="151">
        <f>Data!P$374</f>
        <v>9.589610500876109</v>
      </c>
      <c r="K135" s="151">
        <f>Data!Q$374</f>
        <v>9.8348290721739513</v>
      </c>
      <c r="L135" s="151">
        <f>Data!R$374</f>
        <v>0</v>
      </c>
      <c r="N135" s="161">
        <f>AVERAGE(G135:K135)</f>
        <v>8.5925718356698741</v>
      </c>
      <c r="O135" s="161"/>
      <c r="P135" s="161"/>
      <c r="Q135" s="161"/>
      <c r="R135" s="508"/>
      <c r="S135" s="508"/>
    </row>
    <row r="136" spans="2:35">
      <c r="F136" s="502"/>
      <c r="G136" s="151"/>
      <c r="H136" s="151"/>
      <c r="I136" s="151"/>
      <c r="J136" s="151"/>
      <c r="K136" s="151"/>
      <c r="L136" s="151"/>
      <c r="N136" s="161"/>
      <c r="O136" s="161"/>
      <c r="P136" s="161"/>
      <c r="Q136" s="161"/>
      <c r="R136" s="161"/>
      <c r="S136" s="161"/>
    </row>
    <row r="137" spans="2:35">
      <c r="B137" s="154" t="s">
        <v>475</v>
      </c>
    </row>
    <row r="138" spans="2:35">
      <c r="C138" s="138" t="s">
        <v>50</v>
      </c>
      <c r="D138" s="156">
        <f>Data!J60</f>
        <v>29148.29246878</v>
      </c>
      <c r="E138" s="156">
        <f>Data!K60</f>
        <v>26451.918282170001</v>
      </c>
      <c r="F138" s="156">
        <f>Data!L60</f>
        <v>28803.621683000001</v>
      </c>
      <c r="G138" s="156">
        <f>Data!M60</f>
        <v>54949.72964189</v>
      </c>
      <c r="H138" s="156">
        <f>Data!N60</f>
        <v>71525.409081530001</v>
      </c>
      <c r="I138" s="156">
        <f>Data!O60</f>
        <v>79920.55563612</v>
      </c>
      <c r="J138" s="156">
        <f>Data!P60</f>
        <v>66740.875042920001</v>
      </c>
      <c r="K138" s="156">
        <f>Data!Q60</f>
        <v>86841.800944770002</v>
      </c>
      <c r="L138" s="156">
        <f>Data!R60</f>
        <v>71135.583654090005</v>
      </c>
      <c r="T138" s="1222">
        <f t="shared" ref="T138:T149" si="5">D138</f>
        <v>29148.29246878</v>
      </c>
      <c r="U138" s="1223">
        <f t="shared" ref="U138:U149" si="6">T138/T$149*100</f>
        <v>17.344685783349949</v>
      </c>
      <c r="V138" s="1222">
        <f t="shared" ref="V138:V149" si="7">E138</f>
        <v>26451.918282170001</v>
      </c>
      <c r="W138" s="1223">
        <f t="shared" ref="W138:W149" si="8">V138/V$149*100</f>
        <v>13.724681104631189</v>
      </c>
      <c r="X138" s="1222">
        <f t="shared" ref="X138:X149" si="9">F138</f>
        <v>28803.621683000001</v>
      </c>
      <c r="Y138" s="1223">
        <f t="shared" ref="Y138:Y149" si="10">X138/X$149*100</f>
        <v>14.507869710666327</v>
      </c>
      <c r="Z138" s="1222">
        <f t="shared" ref="Z138:Z149" si="11">G138</f>
        <v>54949.72964189</v>
      </c>
      <c r="AA138" s="1223">
        <f t="shared" ref="AA138:AA149" si="12">Z138/Z$149*100</f>
        <v>23.394143485568058</v>
      </c>
      <c r="AB138" s="1222">
        <f t="shared" ref="AB138:AB149" si="13">H138</f>
        <v>71525.409081530001</v>
      </c>
      <c r="AC138" s="1223">
        <f t="shared" ref="AC138:AC149" si="14">AB138/AB$149*100</f>
        <v>25.114562309251021</v>
      </c>
      <c r="AD138" s="1222">
        <f t="shared" ref="AD138:AD149" si="15">I138</f>
        <v>79920.55563612</v>
      </c>
      <c r="AE138" s="1223">
        <f t="shared" ref="AE138:AE149" si="16">AD138/AD$149*100</f>
        <v>24.347662709068587</v>
      </c>
      <c r="AF138" s="1222">
        <f t="shared" ref="AF138:AF149" si="17">J138</f>
        <v>66740.875042920001</v>
      </c>
      <c r="AG138" s="1223">
        <f t="shared" ref="AG138:AG149" si="18">AF138/AF$149*100</f>
        <v>17.776170773836675</v>
      </c>
      <c r="AH138" s="1222">
        <f t="shared" ref="AH138:AH149" si="19">K138</f>
        <v>86841.800944770002</v>
      </c>
      <c r="AI138" s="1223">
        <f t="shared" ref="AI138:AI149" si="20">AH138/AH$149*100</f>
        <v>19.580426006146265</v>
      </c>
    </row>
    <row r="139" spans="2:35">
      <c r="C139" s="138" t="s">
        <v>30</v>
      </c>
      <c r="D139" s="156">
        <f>Data!J85</f>
        <v>103098.51578546999</v>
      </c>
      <c r="E139" s="156">
        <f>Data!K85</f>
        <v>133789.94143144999</v>
      </c>
      <c r="F139" s="156">
        <f>Data!L85</f>
        <v>136967.49490324999</v>
      </c>
      <c r="G139" s="156">
        <f>Data!M85</f>
        <v>145479.28302325998</v>
      </c>
      <c r="H139" s="156">
        <f>Data!N85</f>
        <v>175630.16143712</v>
      </c>
      <c r="I139" s="156">
        <f>Data!O85</f>
        <v>207506.39159386</v>
      </c>
      <c r="J139" s="156">
        <f>Data!P85</f>
        <v>255765.67062868</v>
      </c>
      <c r="K139" s="156">
        <f>Data!Q85</f>
        <v>293398.73485904996</v>
      </c>
      <c r="L139" s="156">
        <f>Data!R85</f>
        <v>321090.19111911999</v>
      </c>
      <c r="T139" s="1222">
        <f t="shared" si="5"/>
        <v>103098.51578546999</v>
      </c>
      <c r="U139" s="1223">
        <f t="shared" si="6"/>
        <v>61.348751833200168</v>
      </c>
      <c r="V139" s="1222">
        <f t="shared" si="7"/>
        <v>133789.94143144999</v>
      </c>
      <c r="W139" s="1223">
        <f t="shared" si="8"/>
        <v>69.417433607892548</v>
      </c>
      <c r="X139" s="1222">
        <f t="shared" si="9"/>
        <v>136967.49490324999</v>
      </c>
      <c r="Y139" s="1223">
        <f t="shared" si="10"/>
        <v>68.988080475501533</v>
      </c>
      <c r="Z139" s="1222">
        <f t="shared" si="11"/>
        <v>145479.28302325998</v>
      </c>
      <c r="AA139" s="1223">
        <f t="shared" si="12"/>
        <v>61.935941148456763</v>
      </c>
      <c r="AB139" s="1222">
        <f t="shared" si="13"/>
        <v>175630.16143712</v>
      </c>
      <c r="AC139" s="1223">
        <f t="shared" si="14"/>
        <v>61.668639011466851</v>
      </c>
      <c r="AD139" s="1222">
        <f t="shared" si="15"/>
        <v>207506.39159386</v>
      </c>
      <c r="AE139" s="1223">
        <f t="shared" si="16"/>
        <v>63.216472812156333</v>
      </c>
      <c r="AF139" s="1222">
        <f t="shared" si="17"/>
        <v>255765.67062868</v>
      </c>
      <c r="AG139" s="1223">
        <f t="shared" si="18"/>
        <v>68.12218503662821</v>
      </c>
      <c r="AH139" s="1222">
        <f t="shared" si="19"/>
        <v>293398.73485904996</v>
      </c>
      <c r="AI139" s="1223">
        <f t="shared" si="20"/>
        <v>66.153305847010259</v>
      </c>
    </row>
    <row r="140" spans="2:35">
      <c r="C140" s="138" t="s">
        <v>1718</v>
      </c>
      <c r="D140" s="156">
        <f>Data!J86</f>
        <v>56600.1472545</v>
      </c>
      <c r="E140" s="156">
        <f>Data!K86</f>
        <v>75263.785046339995</v>
      </c>
      <c r="F140" s="156">
        <f>Data!L86</f>
        <v>75900.998141299991</v>
      </c>
      <c r="G140" s="156">
        <f>Data!M86</f>
        <v>74648.21986107</v>
      </c>
      <c r="H140" s="156">
        <f>Data!N86</f>
        <v>96644.599331699996</v>
      </c>
      <c r="I140" s="156">
        <f>Data!O86</f>
        <v>117758.73625013999</v>
      </c>
      <c r="J140" s="156">
        <f>Data!P86</f>
        <v>121089.75469137001</v>
      </c>
      <c r="K140" s="156">
        <f>Data!Q86</f>
        <v>114103.81581357999</v>
      </c>
      <c r="L140" s="156">
        <f>Data!R86</f>
        <v>114095.14203344</v>
      </c>
      <c r="T140" s="1222">
        <f t="shared" si="5"/>
        <v>56600.1472545</v>
      </c>
      <c r="U140" s="1223">
        <f t="shared" si="6"/>
        <v>33.679906652237911</v>
      </c>
      <c r="V140" s="1222">
        <f t="shared" si="7"/>
        <v>75263.785046339995</v>
      </c>
      <c r="W140" s="1223">
        <f t="shared" si="8"/>
        <v>39.050908802512211</v>
      </c>
      <c r="X140" s="1222">
        <f t="shared" si="9"/>
        <v>75900.998141299991</v>
      </c>
      <c r="Y140" s="1223">
        <f t="shared" si="10"/>
        <v>38.229976912709446</v>
      </c>
      <c r="Z140" s="1222">
        <f t="shared" si="11"/>
        <v>74648.21986107</v>
      </c>
      <c r="AA140" s="1223">
        <f t="shared" si="12"/>
        <v>31.780523357494676</v>
      </c>
      <c r="AB140" s="1222">
        <f t="shared" si="13"/>
        <v>96644.599331699996</v>
      </c>
      <c r="AC140" s="1223">
        <f t="shared" si="14"/>
        <v>33.934609293906874</v>
      </c>
      <c r="AD140" s="1222">
        <f t="shared" si="15"/>
        <v>117758.73625013999</v>
      </c>
      <c r="AE140" s="1223">
        <f t="shared" si="16"/>
        <v>35.87500072345307</v>
      </c>
      <c r="AF140" s="1222">
        <f t="shared" si="17"/>
        <v>121089.75469137001</v>
      </c>
      <c r="AG140" s="1223">
        <f t="shared" si="18"/>
        <v>32.251782089634531</v>
      </c>
      <c r="AH140" s="1222">
        <f t="shared" si="19"/>
        <v>114103.81581357999</v>
      </c>
      <c r="AI140" s="1223">
        <f t="shared" si="20"/>
        <v>25.727256899907697</v>
      </c>
    </row>
    <row r="141" spans="2:35">
      <c r="C141" s="138" t="s">
        <v>1719</v>
      </c>
      <c r="D141" s="158">
        <f>Data!J88+Data!J90</f>
        <v>29804.796910270001</v>
      </c>
      <c r="E141" s="158">
        <f>Data!K88+Data!K90</f>
        <v>37328.544591199992</v>
      </c>
      <c r="F141" s="158">
        <f>Data!L88+Data!L90</f>
        <v>40136.677162280001</v>
      </c>
      <c r="G141" s="158">
        <f>Data!M88+Data!M90</f>
        <v>48925.08609004</v>
      </c>
      <c r="H141" s="158">
        <f>Data!N88+Data!N90</f>
        <v>55527.94003433999</v>
      </c>
      <c r="I141" s="158">
        <f>Data!O88+Data!O90</f>
        <v>57155.060110600003</v>
      </c>
      <c r="J141" s="158">
        <f>Data!P88+Data!P90</f>
        <v>80745.269678360011</v>
      </c>
      <c r="K141" s="158">
        <f>Data!Q88+Data!Q90</f>
        <v>116221.92770861</v>
      </c>
      <c r="L141" s="158">
        <f>Data!R88+Data!R90</f>
        <v>119361.92769683001</v>
      </c>
      <c r="T141" s="1222">
        <f t="shared" si="5"/>
        <v>29804.796910270001</v>
      </c>
      <c r="U141" s="1223">
        <f t="shared" si="6"/>
        <v>17.735338623999667</v>
      </c>
      <c r="V141" s="1222">
        <f t="shared" si="7"/>
        <v>37328.544591199992</v>
      </c>
      <c r="W141" s="1223">
        <f t="shared" si="8"/>
        <v>19.368061142074442</v>
      </c>
      <c r="X141" s="1222">
        <f t="shared" si="9"/>
        <v>40136.677162280001</v>
      </c>
      <c r="Y141" s="1223">
        <f t="shared" si="10"/>
        <v>20.216127308501246</v>
      </c>
      <c r="Z141" s="1222">
        <f t="shared" si="11"/>
        <v>48925.08609004</v>
      </c>
      <c r="AA141" s="1223">
        <f t="shared" si="12"/>
        <v>20.82922866942787</v>
      </c>
      <c r="AB141" s="1222">
        <f t="shared" si="13"/>
        <v>55527.94003433999</v>
      </c>
      <c r="AC141" s="1223">
        <f t="shared" si="14"/>
        <v>19.497405576627497</v>
      </c>
      <c r="AD141" s="1222">
        <f t="shared" si="15"/>
        <v>57155.060110600003</v>
      </c>
      <c r="AE141" s="1223">
        <f t="shared" si="16"/>
        <v>17.41219282840547</v>
      </c>
      <c r="AF141" s="1222">
        <f t="shared" si="17"/>
        <v>80745.269678360011</v>
      </c>
      <c r="AG141" s="1223">
        <f t="shared" si="18"/>
        <v>21.506186457084635</v>
      </c>
      <c r="AH141" s="1222">
        <f t="shared" si="19"/>
        <v>116221.92770861</v>
      </c>
      <c r="AI141" s="1223">
        <f t="shared" si="20"/>
        <v>26.204832592513959</v>
      </c>
    </row>
    <row r="142" spans="2:35">
      <c r="C142" s="138" t="s">
        <v>1720</v>
      </c>
      <c r="D142" s="156">
        <f>Data!J115</f>
        <v>1099.7406575499999</v>
      </c>
      <c r="E142" s="156">
        <f>Data!K115</f>
        <v>4254.2978276599997</v>
      </c>
      <c r="F142" s="156">
        <f>Data!L115</f>
        <v>4577.35865233</v>
      </c>
      <c r="G142" s="156">
        <f>Data!M115</f>
        <v>5935.2910772300002</v>
      </c>
      <c r="H142" s="156">
        <f>Data!N115</f>
        <v>6906.80568881</v>
      </c>
      <c r="I142" s="156">
        <f>Data!O115</f>
        <v>7611.50325342</v>
      </c>
      <c r="J142" s="156">
        <f>Data!P115</f>
        <v>8117.4936839600005</v>
      </c>
      <c r="K142" s="156">
        <f>Data!Q115</f>
        <v>18164.449087659999</v>
      </c>
      <c r="L142" s="156">
        <f>Data!R115</f>
        <v>33719.470408540001</v>
      </c>
      <c r="T142" s="1222">
        <f t="shared" si="5"/>
        <v>1099.7406575499999</v>
      </c>
      <c r="U142" s="1223">
        <f t="shared" si="6"/>
        <v>0.65440046509790539</v>
      </c>
      <c r="V142" s="1222">
        <f t="shared" si="7"/>
        <v>4254.2978276599997</v>
      </c>
      <c r="W142" s="1223">
        <f t="shared" si="8"/>
        <v>2.2073590423918676</v>
      </c>
      <c r="X142" s="1222">
        <f t="shared" si="9"/>
        <v>4577.35865233</v>
      </c>
      <c r="Y142" s="1223">
        <f t="shared" si="10"/>
        <v>2.3055337859193212</v>
      </c>
      <c r="Z142" s="1222">
        <f t="shared" si="11"/>
        <v>5935.2910772300002</v>
      </c>
      <c r="AA142" s="1223">
        <f t="shared" si="12"/>
        <v>2.5268741446814995</v>
      </c>
      <c r="AB142" s="1222">
        <f t="shared" si="13"/>
        <v>6906.80568881</v>
      </c>
      <c r="AC142" s="1223">
        <f t="shared" si="14"/>
        <v>2.4251717544430109</v>
      </c>
      <c r="AD142" s="1222">
        <f t="shared" si="15"/>
        <v>7611.50325342</v>
      </c>
      <c r="AE142" s="1223">
        <f t="shared" si="16"/>
        <v>2.3188316503581983</v>
      </c>
      <c r="AF142" s="1222">
        <f t="shared" si="17"/>
        <v>8117.4936839600005</v>
      </c>
      <c r="AG142" s="1223">
        <f t="shared" si="18"/>
        <v>2.1620626623312598</v>
      </c>
      <c r="AH142" s="1222">
        <f t="shared" si="19"/>
        <v>18164.449087659999</v>
      </c>
      <c r="AI142" s="1223">
        <f t="shared" si="20"/>
        <v>4.0955812458281073</v>
      </c>
    </row>
    <row r="143" spans="2:35">
      <c r="C143" s="138" t="s">
        <v>1716</v>
      </c>
      <c r="D143" s="156">
        <f>Data!J116</f>
        <v>7566.4815759700004</v>
      </c>
      <c r="E143" s="156">
        <f>Data!K116</f>
        <v>4368.2206216900004</v>
      </c>
      <c r="F143" s="156">
        <f>Data!L116</f>
        <v>4169.8944731399997</v>
      </c>
      <c r="G143" s="156">
        <f>Data!M116</f>
        <v>6236.6198522799996</v>
      </c>
      <c r="H143" s="156">
        <f>Data!N116</f>
        <v>5751.1227711700003</v>
      </c>
      <c r="I143" s="156">
        <f>Data!O116</f>
        <v>7390.6547304699998</v>
      </c>
      <c r="J143" s="156">
        <f>Data!P116</f>
        <v>2786.0789467300001</v>
      </c>
      <c r="K143" s="156">
        <f>Data!Q116</f>
        <v>2783.9375767199999</v>
      </c>
      <c r="L143" s="156">
        <f>Data!R116</f>
        <v>2055.5485344600002</v>
      </c>
      <c r="T143" s="1222">
        <f t="shared" si="5"/>
        <v>7566.4815759700004</v>
      </c>
      <c r="U143" s="1223">
        <f t="shared" si="6"/>
        <v>4.5024333950701285</v>
      </c>
      <c r="V143" s="1222">
        <f t="shared" si="7"/>
        <v>4368.2206216900004</v>
      </c>
      <c r="W143" s="1223">
        <f t="shared" si="8"/>
        <v>2.2664683289824081</v>
      </c>
      <c r="X143" s="1222">
        <f t="shared" si="9"/>
        <v>4169.8944731399997</v>
      </c>
      <c r="Y143" s="1223">
        <f t="shared" si="10"/>
        <v>2.1003013575632345</v>
      </c>
      <c r="Z143" s="1222">
        <f t="shared" si="11"/>
        <v>6236.6198522799996</v>
      </c>
      <c r="AA143" s="1223">
        <f t="shared" si="12"/>
        <v>2.6551610106186199</v>
      </c>
      <c r="AB143" s="1222">
        <f t="shared" si="13"/>
        <v>5751.1227711700003</v>
      </c>
      <c r="AC143" s="1223">
        <f t="shared" si="14"/>
        <v>2.0193793092474506</v>
      </c>
      <c r="AD143" s="1222">
        <f t="shared" si="15"/>
        <v>7390.6547304699998</v>
      </c>
      <c r="AE143" s="1223">
        <f t="shared" si="16"/>
        <v>2.2515505196930805</v>
      </c>
      <c r="AF143" s="1222">
        <f t="shared" si="17"/>
        <v>2786.0789467300001</v>
      </c>
      <c r="AG143" s="1223">
        <f t="shared" si="18"/>
        <v>0.74206121982389683</v>
      </c>
      <c r="AH143" s="1222">
        <f t="shared" si="19"/>
        <v>2783.9375767199999</v>
      </c>
      <c r="AI143" s="1223">
        <f t="shared" si="20"/>
        <v>0.62770098194260182</v>
      </c>
    </row>
    <row r="144" spans="2:35">
      <c r="C144" s="138" t="s">
        <v>31</v>
      </c>
      <c r="D144" s="156">
        <f>Data!J117</f>
        <v>2157.72835622</v>
      </c>
      <c r="E144" s="156">
        <f>Data!K117</f>
        <v>2207.6724451999999</v>
      </c>
      <c r="F144" s="156">
        <f>Data!L117</f>
        <v>2942.3866242099998</v>
      </c>
      <c r="G144" s="156">
        <f>Data!M117</f>
        <v>3744.6156286099999</v>
      </c>
      <c r="H144" s="156">
        <f>Data!N117</f>
        <v>2774.1192185899999</v>
      </c>
      <c r="I144" s="156">
        <f>Data!O117</f>
        <v>3106.6062681799999</v>
      </c>
      <c r="J144" s="156">
        <f>Data!P117</f>
        <v>2470.30883356</v>
      </c>
      <c r="K144" s="156">
        <f>Data!Q117</f>
        <v>4048.4596534799998</v>
      </c>
      <c r="L144" s="156">
        <f>Data!R117</f>
        <v>7820.4435572000002</v>
      </c>
      <c r="T144" s="1222">
        <f t="shared" si="5"/>
        <v>2157.72835622</v>
      </c>
      <c r="U144" s="1223">
        <f t="shared" si="6"/>
        <v>1.2839558401077933</v>
      </c>
      <c r="V144" s="1222">
        <f t="shared" si="7"/>
        <v>2207.6724451999999</v>
      </c>
      <c r="W144" s="1223">
        <f t="shared" si="8"/>
        <v>1.1454594699196132</v>
      </c>
      <c r="X144" s="1222">
        <f t="shared" si="9"/>
        <v>2942.3866242099998</v>
      </c>
      <c r="Y144" s="1223">
        <f t="shared" si="10"/>
        <v>1.4820275815398751</v>
      </c>
      <c r="Z144" s="1222">
        <f t="shared" si="11"/>
        <v>3744.6156286099999</v>
      </c>
      <c r="AA144" s="1223">
        <f t="shared" si="12"/>
        <v>1.5942221351207704</v>
      </c>
      <c r="AB144" s="1222">
        <f t="shared" si="13"/>
        <v>2774.1192185899999</v>
      </c>
      <c r="AC144" s="1223">
        <f t="shared" si="14"/>
        <v>0.97407048576476296</v>
      </c>
      <c r="AD144" s="1222">
        <f t="shared" si="15"/>
        <v>3106.6062681799999</v>
      </c>
      <c r="AE144" s="1223">
        <f t="shared" si="16"/>
        <v>0.94642236888228193</v>
      </c>
      <c r="AF144" s="1222">
        <f t="shared" si="17"/>
        <v>2470.30883356</v>
      </c>
      <c r="AG144" s="1223">
        <f t="shared" si="18"/>
        <v>0.65795708643676487</v>
      </c>
      <c r="AH144" s="1222">
        <f t="shared" si="19"/>
        <v>4048.4596534799998</v>
      </c>
      <c r="AI144" s="1223">
        <f t="shared" si="20"/>
        <v>0.91281576178099399</v>
      </c>
    </row>
    <row r="145" spans="3:35">
      <c r="C145" s="138" t="s">
        <v>32</v>
      </c>
      <c r="D145" s="156">
        <f>Data!J118</f>
        <v>11362.955513860001</v>
      </c>
      <c r="E145" s="156">
        <f>Data!K118</f>
        <v>14697.519643600001</v>
      </c>
      <c r="F145" s="156">
        <f>Data!L118</f>
        <v>14787.290585070001</v>
      </c>
      <c r="G145" s="156">
        <f>Data!M118</f>
        <v>13957.09317111</v>
      </c>
      <c r="H145" s="156">
        <f>Data!N118</f>
        <v>17554.358424450002</v>
      </c>
      <c r="I145" s="156">
        <f>Data!O118</f>
        <v>19972.17555177</v>
      </c>
      <c r="J145" s="156">
        <f>Data!P118</f>
        <v>33520.247614970001</v>
      </c>
      <c r="K145" s="156">
        <f>Data!Q118</f>
        <v>39926.181118230001</v>
      </c>
      <c r="L145" s="156">
        <f>Data!R118</f>
        <v>45222.263071120004</v>
      </c>
      <c r="T145" s="1222">
        <f t="shared" si="5"/>
        <v>11362.955513860001</v>
      </c>
      <c r="U145" s="1223">
        <f t="shared" si="6"/>
        <v>6.7615244758910062</v>
      </c>
      <c r="V145" s="1222">
        <f t="shared" si="7"/>
        <v>14697.519643600001</v>
      </c>
      <c r="W145" s="1223">
        <f t="shared" si="8"/>
        <v>7.6258654660003184</v>
      </c>
      <c r="X145" s="1222">
        <f t="shared" si="9"/>
        <v>14787.290585070001</v>
      </c>
      <c r="Y145" s="1223">
        <f t="shared" si="10"/>
        <v>7.4480941161845626</v>
      </c>
      <c r="Z145" s="1222">
        <f t="shared" si="11"/>
        <v>13957.09317111</v>
      </c>
      <c r="AA145" s="1223">
        <f t="shared" si="12"/>
        <v>5.9420536263653752</v>
      </c>
      <c r="AB145" s="1222">
        <f t="shared" si="13"/>
        <v>17554.358424450002</v>
      </c>
      <c r="AC145" s="1223">
        <f t="shared" si="14"/>
        <v>6.163823934893383</v>
      </c>
      <c r="AD145" s="1222">
        <f t="shared" si="15"/>
        <v>19972.17555177</v>
      </c>
      <c r="AE145" s="1223">
        <f t="shared" si="16"/>
        <v>6.0844896538861146</v>
      </c>
      <c r="AF145" s="1222">
        <f t="shared" si="17"/>
        <v>33520.247614970001</v>
      </c>
      <c r="AG145" s="1223">
        <f t="shared" si="18"/>
        <v>8.9279867188107591</v>
      </c>
      <c r="AH145" s="1222">
        <f t="shared" si="19"/>
        <v>39926.181118230001</v>
      </c>
      <c r="AI145" s="1223">
        <f t="shared" si="20"/>
        <v>9.0022503746863887</v>
      </c>
    </row>
    <row r="146" spans="3:35">
      <c r="C146" s="138" t="s">
        <v>33</v>
      </c>
      <c r="D146" s="156">
        <f>Data!J133</f>
        <v>3003.4794992900001</v>
      </c>
      <c r="E146" s="156">
        <f>Data!K133</f>
        <v>2860.4905751900001</v>
      </c>
      <c r="F146" s="156">
        <f>Data!L133</f>
        <v>2741.3500789</v>
      </c>
      <c r="G146" s="156">
        <f>Data!M133</f>
        <v>2646.9825513300002</v>
      </c>
      <c r="H146" s="156">
        <f>Data!N133</f>
        <v>2588.5248929099998</v>
      </c>
      <c r="I146" s="156">
        <f>Data!O133</f>
        <v>2497.3745008199999</v>
      </c>
      <c r="J146" s="156">
        <f>Data!P133</f>
        <v>2481.7738018099999</v>
      </c>
      <c r="K146" s="156">
        <f>Data!Q133</f>
        <v>2531.9634832299998</v>
      </c>
      <c r="L146" s="156">
        <f>Data!R133</f>
        <v>2857.66894189</v>
      </c>
      <c r="T146" s="1222">
        <f t="shared" si="5"/>
        <v>3003.4794992900001</v>
      </c>
      <c r="U146" s="1223">
        <f t="shared" si="6"/>
        <v>1.7872198938485091</v>
      </c>
      <c r="V146" s="1222">
        <f t="shared" si="7"/>
        <v>2860.4905751900001</v>
      </c>
      <c r="W146" s="1223">
        <f t="shared" si="8"/>
        <v>1.4841767061464373</v>
      </c>
      <c r="X146" s="1222">
        <f t="shared" si="9"/>
        <v>2741.3500789</v>
      </c>
      <c r="Y146" s="1223">
        <f t="shared" si="10"/>
        <v>1.3807690648665589</v>
      </c>
      <c r="Z146" s="1222">
        <f t="shared" si="11"/>
        <v>2646.9825513300002</v>
      </c>
      <c r="AA146" s="1223">
        <f t="shared" si="12"/>
        <v>1.1269189132170434</v>
      </c>
      <c r="AB146" s="1222">
        <f t="shared" si="13"/>
        <v>2588.5248929099998</v>
      </c>
      <c r="AC146" s="1223">
        <f t="shared" si="14"/>
        <v>0.90890315129736121</v>
      </c>
      <c r="AD146" s="1222">
        <f t="shared" si="15"/>
        <v>2497.3745008199999</v>
      </c>
      <c r="AE146" s="1223">
        <f t="shared" si="16"/>
        <v>0.76082093674425144</v>
      </c>
      <c r="AF146" s="1222">
        <f t="shared" si="17"/>
        <v>2481.7738018099999</v>
      </c>
      <c r="AG146" s="1223">
        <f t="shared" si="18"/>
        <v>0.66101073584423142</v>
      </c>
      <c r="AH146" s="1222">
        <f t="shared" si="19"/>
        <v>2531.9634832299998</v>
      </c>
      <c r="AI146" s="1223">
        <f t="shared" si="20"/>
        <v>0.57088778784285577</v>
      </c>
    </row>
    <row r="147" spans="3:35">
      <c r="C147" s="138" t="s">
        <v>1715</v>
      </c>
      <c r="D147" s="156">
        <f>Data!J137</f>
        <v>6917.5304551099998</v>
      </c>
      <c r="E147" s="156">
        <f>Data!K137</f>
        <v>3902.7989357000001</v>
      </c>
      <c r="F147" s="156">
        <f>Data!L137</f>
        <v>3884.9163222799998</v>
      </c>
      <c r="G147" s="156">
        <f>Data!M137</f>
        <v>3497.4721485099999</v>
      </c>
      <c r="H147" s="156">
        <f>Data!N137</f>
        <v>5230.6577524100003</v>
      </c>
      <c r="I147" s="156">
        <f>Data!O137</f>
        <v>4199.17191697</v>
      </c>
      <c r="J147" s="156">
        <f>Data!P137</f>
        <v>8283.4503800000002</v>
      </c>
      <c r="K147" s="156">
        <f>Data!Q137</f>
        <v>10542.654085460001</v>
      </c>
      <c r="L147" s="156">
        <f>Data!R137</f>
        <v>25493.90175791</v>
      </c>
      <c r="T147" s="1222">
        <f t="shared" si="5"/>
        <v>6917.5304551099998</v>
      </c>
      <c r="U147" s="1223">
        <f t="shared" si="6"/>
        <v>4.1162751563971316</v>
      </c>
      <c r="V147" s="1222">
        <f t="shared" si="7"/>
        <v>3902.7989357000001</v>
      </c>
      <c r="W147" s="1223">
        <f t="shared" si="8"/>
        <v>2.0249824695731782</v>
      </c>
      <c r="X147" s="1222">
        <f t="shared" si="9"/>
        <v>3884.9163222799998</v>
      </c>
      <c r="Y147" s="1223">
        <f t="shared" si="10"/>
        <v>1.9567629536581574</v>
      </c>
      <c r="Z147" s="1222">
        <f t="shared" si="11"/>
        <v>3497.4721485099999</v>
      </c>
      <c r="AA147" s="1223">
        <f t="shared" si="12"/>
        <v>1.489003964391602</v>
      </c>
      <c r="AB147" s="1222">
        <f t="shared" si="13"/>
        <v>5230.6577524100003</v>
      </c>
      <c r="AC147" s="1223">
        <f t="shared" si="14"/>
        <v>1.8366295520453082</v>
      </c>
      <c r="AD147" s="1222">
        <f t="shared" si="15"/>
        <v>4199.17191697</v>
      </c>
      <c r="AE147" s="1223">
        <f t="shared" si="16"/>
        <v>1.2792706541891363</v>
      </c>
      <c r="AF147" s="1222">
        <f t="shared" si="17"/>
        <v>8283.4503800000002</v>
      </c>
      <c r="AG147" s="1223">
        <f t="shared" si="18"/>
        <v>2.2062645785927955</v>
      </c>
      <c r="AH147" s="1222">
        <f t="shared" si="19"/>
        <v>10542.654085460001</v>
      </c>
      <c r="AI147" s="1223">
        <f t="shared" si="20"/>
        <v>2.3770771216505646</v>
      </c>
    </row>
    <row r="148" spans="3:35">
      <c r="C148" s="138" t="s">
        <v>531</v>
      </c>
      <c r="D148" s="158">
        <f t="shared" ref="D148:I148" si="21">D149-D138-D139-D143-D144-D145-D146-D147</f>
        <v>4798.1758713199924</v>
      </c>
      <c r="E148" s="158">
        <f t="shared" si="21"/>
        <v>4453.9181897600283</v>
      </c>
      <c r="F148" s="158">
        <f t="shared" si="21"/>
        <v>4240.9579075100019</v>
      </c>
      <c r="G148" s="158">
        <f t="shared" si="21"/>
        <v>4374.8954995799995</v>
      </c>
      <c r="H148" s="158">
        <f t="shared" si="21"/>
        <v>3742.2046926500198</v>
      </c>
      <c r="I148" s="158">
        <f t="shared" si="21"/>
        <v>3654.4116148400162</v>
      </c>
      <c r="J148" s="158">
        <f>J149-J138-J139-J143-J144-J145-J146-J147</f>
        <v>3402.9554074200223</v>
      </c>
      <c r="K148" s="158">
        <f>K149-K138-K139-K143-K144-K145-K146-K147</f>
        <v>3439.6061273300747</v>
      </c>
      <c r="L148" s="158">
        <f>L149-L138-L139-L143-L144-L145-L146-L147</f>
        <v>3702.4914299000193</v>
      </c>
      <c r="T148" s="1222">
        <f t="shared" si="5"/>
        <v>4798.1758713199924</v>
      </c>
      <c r="U148" s="1223">
        <f t="shared" si="6"/>
        <v>2.8551536221353113</v>
      </c>
      <c r="V148" s="1222">
        <f t="shared" si="7"/>
        <v>4453.9181897600283</v>
      </c>
      <c r="W148" s="1223">
        <f t="shared" si="8"/>
        <v>2.3109328468543069</v>
      </c>
      <c r="X148" s="1222">
        <f t="shared" si="9"/>
        <v>4240.9579075100019</v>
      </c>
      <c r="Y148" s="1223">
        <f t="shared" si="10"/>
        <v>2.1360947400197525</v>
      </c>
      <c r="Z148" s="1222">
        <f t="shared" si="11"/>
        <v>4374.8954995799995</v>
      </c>
      <c r="AA148" s="1223">
        <f t="shared" si="12"/>
        <v>1.8625557162617594</v>
      </c>
      <c r="AB148" s="1222">
        <f t="shared" si="13"/>
        <v>3742.2046926500198</v>
      </c>
      <c r="AC148" s="1223">
        <f t="shared" si="14"/>
        <v>1.3139922460338633</v>
      </c>
      <c r="AD148" s="1222">
        <f t="shared" si="15"/>
        <v>3654.4116148400162</v>
      </c>
      <c r="AE148" s="1223">
        <f t="shared" si="16"/>
        <v>1.113310345380214</v>
      </c>
      <c r="AF148" s="1222">
        <f t="shared" si="17"/>
        <v>3402.9554074200223</v>
      </c>
      <c r="AG148" s="1223">
        <f t="shared" si="18"/>
        <v>0.9063638500266612</v>
      </c>
      <c r="AH148" s="1222">
        <f t="shared" si="19"/>
        <v>3439.6061273300747</v>
      </c>
      <c r="AI148" s="1223">
        <f t="shared" si="20"/>
        <v>0.77553611894007923</v>
      </c>
    </row>
    <row r="149" spans="3:35">
      <c r="C149" s="138" t="s">
        <v>78</v>
      </c>
      <c r="D149" s="156">
        <f>Data!J136</f>
        <v>168053.15952602</v>
      </c>
      <c r="E149" s="156">
        <f>Data!K136</f>
        <v>192732.48012476001</v>
      </c>
      <c r="F149" s="156">
        <f>Data!L136</f>
        <v>198537.91257736</v>
      </c>
      <c r="G149" s="156">
        <f>Data!M136</f>
        <v>234886.69151656999</v>
      </c>
      <c r="H149" s="156">
        <f>Data!N136</f>
        <v>284796.55827083002</v>
      </c>
      <c r="I149" s="156">
        <f>Data!O136</f>
        <v>328247.34181303001</v>
      </c>
      <c r="J149" s="156">
        <f>Data!P136</f>
        <v>375451.36065609002</v>
      </c>
      <c r="K149" s="156">
        <f>Data!Q136</f>
        <v>443513.33784827002</v>
      </c>
      <c r="L149" s="156">
        <f>Data!R136</f>
        <v>479378.09206569003</v>
      </c>
      <c r="T149" s="1222">
        <f t="shared" si="5"/>
        <v>168053.15952602</v>
      </c>
      <c r="U149" s="1223">
        <f t="shared" si="6"/>
        <v>100</v>
      </c>
      <c r="V149" s="1222">
        <f t="shared" si="7"/>
        <v>192732.48012476001</v>
      </c>
      <c r="W149" s="1223">
        <f t="shared" si="8"/>
        <v>100</v>
      </c>
      <c r="X149" s="1222">
        <f t="shared" si="9"/>
        <v>198537.91257736</v>
      </c>
      <c r="Y149" s="1223">
        <f t="shared" si="10"/>
        <v>100</v>
      </c>
      <c r="Z149" s="1222">
        <f t="shared" si="11"/>
        <v>234886.69151656999</v>
      </c>
      <c r="AA149" s="1223">
        <f t="shared" si="12"/>
        <v>100</v>
      </c>
      <c r="AB149" s="1222">
        <f t="shared" si="13"/>
        <v>284796.55827083002</v>
      </c>
      <c r="AC149" s="1223">
        <f t="shared" si="14"/>
        <v>100</v>
      </c>
      <c r="AD149" s="1222">
        <f t="shared" si="15"/>
        <v>328247.34181303001</v>
      </c>
      <c r="AE149" s="1223">
        <f t="shared" si="16"/>
        <v>100</v>
      </c>
      <c r="AF149" s="1222">
        <f t="shared" si="17"/>
        <v>375451.36065609002</v>
      </c>
      <c r="AG149" s="1223">
        <f t="shared" si="18"/>
        <v>100</v>
      </c>
      <c r="AH149" s="1222">
        <f t="shared" si="19"/>
        <v>443513.33784827002</v>
      </c>
      <c r="AI149" s="1223">
        <f t="shared" si="20"/>
        <v>100</v>
      </c>
    </row>
    <row r="150" spans="3:35">
      <c r="D150" s="157"/>
      <c r="E150" s="157"/>
      <c r="F150" s="155"/>
      <c r="G150" s="155"/>
      <c r="H150" s="155"/>
      <c r="I150" s="155"/>
      <c r="J150" s="155"/>
      <c r="K150" s="155"/>
      <c r="L150" s="155"/>
    </row>
    <row r="151" spans="3:35">
      <c r="C151" s="138" t="s">
        <v>1721</v>
      </c>
      <c r="F151" s="502"/>
      <c r="G151" s="151"/>
      <c r="H151" s="151"/>
      <c r="I151" s="151"/>
      <c r="J151" s="151"/>
      <c r="K151" s="151"/>
      <c r="L151" s="151"/>
      <c r="N151" s="161"/>
      <c r="O151" s="161"/>
      <c r="P151" s="161"/>
      <c r="Q151" s="161"/>
      <c r="R151" s="161"/>
      <c r="S151" s="161"/>
      <c r="U151" s="1223">
        <f>U138+U140</f>
        <v>51.024592435587863</v>
      </c>
      <c r="W151" s="1223">
        <f>W138+W140</f>
        <v>52.775589907143399</v>
      </c>
      <c r="Y151" s="1223">
        <f>Y138+Y140</f>
        <v>52.737846623375773</v>
      </c>
      <c r="AA151" s="1223">
        <f>AA138+AA140</f>
        <v>55.174666843062738</v>
      </c>
      <c r="AC151" s="1223">
        <f>AC138+AC140</f>
        <v>59.049171603157895</v>
      </c>
      <c r="AE151" s="1223">
        <f>AE138+AE140</f>
        <v>60.222663432521657</v>
      </c>
      <c r="AG151" s="1223">
        <f>AG138+AG140</f>
        <v>50.027952863471207</v>
      </c>
      <c r="AI151" s="1223">
        <f>AI138+AI140</f>
        <v>45.307682906053962</v>
      </c>
    </row>
    <row r="152" spans="3:35">
      <c r="D152" s="157"/>
      <c r="E152" s="157"/>
      <c r="F152" s="155"/>
      <c r="G152" s="155"/>
      <c r="H152" s="155"/>
      <c r="I152" s="155"/>
      <c r="J152" s="155"/>
      <c r="K152" s="155"/>
      <c r="L152" s="155"/>
    </row>
    <row r="153" spans="3:35">
      <c r="C153" s="138" t="s">
        <v>730</v>
      </c>
      <c r="D153" s="157"/>
      <c r="E153" s="157"/>
      <c r="F153" s="155"/>
      <c r="G153" s="155"/>
      <c r="H153" s="386"/>
      <c r="I153" s="386"/>
      <c r="J153" s="386"/>
      <c r="K153" s="1305">
        <f>Data!Q283</f>
        <v>72.307892736280408</v>
      </c>
      <c r="L153" s="1305">
        <f>Data!R283</f>
        <v>0</v>
      </c>
    </row>
    <row r="154" spans="3:35">
      <c r="C154" s="138" t="s">
        <v>2372</v>
      </c>
      <c r="D154" s="157"/>
      <c r="E154" s="157"/>
      <c r="F154" s="155"/>
      <c r="G154" s="155"/>
      <c r="H154" s="386"/>
      <c r="I154" s="386"/>
      <c r="J154" s="386"/>
      <c r="K154" s="1305">
        <f>Data!Q284</f>
        <v>90.861398039240385</v>
      </c>
      <c r="L154" s="1305">
        <f>Data!R284</f>
        <v>0</v>
      </c>
    </row>
    <row r="155" spans="3:35">
      <c r="D155" s="157"/>
      <c r="E155" s="157"/>
      <c r="F155" s="155"/>
      <c r="G155" s="155"/>
      <c r="H155" s="386"/>
      <c r="I155" s="386"/>
      <c r="J155" s="386"/>
      <c r="K155" s="1305"/>
      <c r="L155" s="1305"/>
    </row>
    <row r="156" spans="3:35">
      <c r="C156" s="138" t="s">
        <v>727</v>
      </c>
      <c r="D156" s="156">
        <f>Data!J$87</f>
        <v>10233.605089890001</v>
      </c>
      <c r="E156" s="156">
        <f>Data!K$87</f>
        <v>12802.45203412</v>
      </c>
      <c r="F156" s="156">
        <f>Data!L$87</f>
        <v>11322.814006269999</v>
      </c>
      <c r="G156" s="156">
        <f>Data!M$87</f>
        <v>8292.78932317</v>
      </c>
      <c r="H156" s="156">
        <f>Data!N$87</f>
        <v>8231.5084349600002</v>
      </c>
      <c r="I156" s="156">
        <f>Data!O$87</f>
        <v>15484.251934370001</v>
      </c>
      <c r="J156" s="156">
        <f>Data!P$87</f>
        <v>27143.255864540002</v>
      </c>
      <c r="K156" s="156">
        <f>Data!Q$87</f>
        <v>26464.605493169998</v>
      </c>
      <c r="L156" s="156">
        <f>Data!R$87</f>
        <v>26691.39464395</v>
      </c>
      <c r="T156" s="1222">
        <f t="shared" ref="T156:T163" si="22">D156</f>
        <v>10233.605089890001</v>
      </c>
      <c r="U156" s="1223">
        <f t="shared" ref="U156:U163" si="23">T156/T$163*100</f>
        <v>9.9260450181303739</v>
      </c>
      <c r="V156" s="1222">
        <f t="shared" ref="V156:V163" si="24">E156</f>
        <v>12802.45203412</v>
      </c>
      <c r="W156" s="1223">
        <f t="shared" ref="W156:W163" si="25">V156/V$163*100</f>
        <v>9.569069167041679</v>
      </c>
      <c r="X156" s="1222">
        <f t="shared" ref="X156:X163" si="26">F156</f>
        <v>11322.814006269999</v>
      </c>
      <c r="Y156" s="1223">
        <f t="shared" ref="Y156:Y163" si="27">X156/X$163*100</f>
        <v>8.2667891489642251</v>
      </c>
      <c r="Z156" s="1222">
        <f t="shared" ref="Z156:Z163" si="28">G156</f>
        <v>8292.78932317</v>
      </c>
      <c r="AA156" s="1223">
        <f t="shared" ref="AA156:AA163" si="29">Z156/Z$163*100</f>
        <v>5.7003232012382856</v>
      </c>
      <c r="AB156" s="1222">
        <f t="shared" ref="AB156:AB163" si="30">H156</f>
        <v>8231.5084349600002</v>
      </c>
      <c r="AC156" s="1223">
        <f t="shared" ref="AC156:AC163" si="31">AB156/AB$163*100</f>
        <v>4.6868421503484674</v>
      </c>
      <c r="AD156" s="1222">
        <f t="shared" ref="AD156:AD163" si="32">I156</f>
        <v>15484.251934370001</v>
      </c>
      <c r="AE156" s="1223">
        <f t="shared" ref="AE156:AE163" si="33">AD156/AD$163*100</f>
        <v>7.4620602360415056</v>
      </c>
      <c r="AF156" s="1222">
        <f t="shared" ref="AF156:AF163" si="34">J156</f>
        <v>27143.255864540002</v>
      </c>
      <c r="AG156" s="1223">
        <f t="shared" ref="AG156:AG163" si="35">AF156/AF$163*100</f>
        <v>10.612548508883554</v>
      </c>
      <c r="AH156" s="1222">
        <f t="shared" ref="AH156:AH163" si="36">K156</f>
        <v>26464.605493169998</v>
      </c>
      <c r="AI156" s="1223">
        <f t="shared" ref="AI156:AI163" si="37">AH156/AH$163*100</f>
        <v>9.0200135000185693</v>
      </c>
    </row>
    <row r="157" spans="3:35">
      <c r="C157" s="138" t="s">
        <v>728</v>
      </c>
      <c r="D157" s="156">
        <f>Data!J$86</f>
        <v>56600.1472545</v>
      </c>
      <c r="E157" s="156">
        <f>Data!K$86</f>
        <v>75263.785046339995</v>
      </c>
      <c r="F157" s="156">
        <f>Data!L$86</f>
        <v>75900.998141299991</v>
      </c>
      <c r="G157" s="156">
        <f>Data!M$86</f>
        <v>74648.21986107</v>
      </c>
      <c r="H157" s="156">
        <f>Data!N$86</f>
        <v>96644.599331699996</v>
      </c>
      <c r="I157" s="156">
        <f>Data!O$86</f>
        <v>117758.73625013999</v>
      </c>
      <c r="J157" s="156">
        <f>Data!P$86</f>
        <v>121089.75469137001</v>
      </c>
      <c r="K157" s="156">
        <f>Data!Q$86</f>
        <v>114103.81581357999</v>
      </c>
      <c r="L157" s="156">
        <f>Data!R$86</f>
        <v>114095.14203344</v>
      </c>
      <c r="T157" s="1222">
        <f t="shared" si="22"/>
        <v>56600.1472545</v>
      </c>
      <c r="U157" s="1223">
        <f t="shared" si="23"/>
        <v>54.899090276212149</v>
      </c>
      <c r="V157" s="1222">
        <f t="shared" si="24"/>
        <v>75263.785046339995</v>
      </c>
      <c r="W157" s="1223">
        <f t="shared" si="25"/>
        <v>56.255189471701009</v>
      </c>
      <c r="X157" s="1222">
        <f t="shared" si="26"/>
        <v>75900.998141299991</v>
      </c>
      <c r="Y157" s="1223">
        <f t="shared" si="27"/>
        <v>55.415336459876364</v>
      </c>
      <c r="Z157" s="1222">
        <f t="shared" si="28"/>
        <v>74648.21986107</v>
      </c>
      <c r="AA157" s="1223">
        <f t="shared" si="29"/>
        <v>51.311924495211358</v>
      </c>
      <c r="AB157" s="1222">
        <f t="shared" si="30"/>
        <v>96644.599331699996</v>
      </c>
      <c r="AC157" s="1223">
        <f t="shared" si="31"/>
        <v>55.027336159627218</v>
      </c>
      <c r="AD157" s="1222">
        <f t="shared" si="32"/>
        <v>117758.73625013999</v>
      </c>
      <c r="AE157" s="1223">
        <f t="shared" si="33"/>
        <v>56.749450147358452</v>
      </c>
      <c r="AF157" s="1222">
        <f t="shared" si="34"/>
        <v>121089.75469137001</v>
      </c>
      <c r="AG157" s="1223">
        <f t="shared" si="35"/>
        <v>47.344021734319391</v>
      </c>
      <c r="AH157" s="1222">
        <f t="shared" si="36"/>
        <v>114103.81581357999</v>
      </c>
      <c r="AI157" s="1223">
        <f t="shared" si="37"/>
        <v>38.890357134087836</v>
      </c>
    </row>
    <row r="158" spans="3:35">
      <c r="C158" s="138" t="s">
        <v>6</v>
      </c>
      <c r="D158" s="156">
        <f>Data!J$88</f>
        <v>26941.546541</v>
      </c>
      <c r="E158" s="156">
        <f>Data!K$88</f>
        <v>35239.599492739995</v>
      </c>
      <c r="F158" s="156">
        <f>Data!L$88</f>
        <v>38356.321998489999</v>
      </c>
      <c r="G158" s="156">
        <f>Data!M$88</f>
        <v>42828.928302230001</v>
      </c>
      <c r="H158" s="156">
        <f>Data!N$88</f>
        <v>52007.043772139994</v>
      </c>
      <c r="I158" s="156">
        <f>Data!O$88</f>
        <v>52619.848694090004</v>
      </c>
      <c r="J158" s="156">
        <f>Data!P$88</f>
        <v>73064.226804440012</v>
      </c>
      <c r="K158" s="156">
        <f>Data!Q$88</f>
        <v>94518.738588210006</v>
      </c>
      <c r="L158" s="156">
        <f>Data!R$88</f>
        <v>97510.310558690006</v>
      </c>
      <c r="T158" s="1222">
        <f t="shared" si="22"/>
        <v>26941.546541</v>
      </c>
      <c r="U158" s="1223">
        <f t="shared" si="23"/>
        <v>26.131847132562658</v>
      </c>
      <c r="V158" s="1222">
        <f t="shared" si="24"/>
        <v>35239.599492739995</v>
      </c>
      <c r="W158" s="1223">
        <f t="shared" si="25"/>
        <v>26.339498407506014</v>
      </c>
      <c r="X158" s="1222">
        <f t="shared" si="26"/>
        <v>38356.321998489999</v>
      </c>
      <c r="Y158" s="1223">
        <f t="shared" si="27"/>
        <v>28.003959644281899</v>
      </c>
      <c r="Z158" s="1222">
        <f t="shared" si="28"/>
        <v>42828.928302230001</v>
      </c>
      <c r="AA158" s="1223">
        <f t="shared" si="29"/>
        <v>29.439881344055213</v>
      </c>
      <c r="AB158" s="1222">
        <f t="shared" si="30"/>
        <v>52007.043772139994</v>
      </c>
      <c r="AC158" s="1223">
        <f t="shared" si="31"/>
        <v>29.611681357338966</v>
      </c>
      <c r="AD158" s="1222">
        <f t="shared" si="32"/>
        <v>52619.848694090004</v>
      </c>
      <c r="AE158" s="1223">
        <f t="shared" si="33"/>
        <v>25.358182121483626</v>
      </c>
      <c r="AF158" s="1222">
        <f t="shared" si="34"/>
        <v>73064.226804440012</v>
      </c>
      <c r="AG158" s="1223">
        <f t="shared" si="35"/>
        <v>28.566862247324227</v>
      </c>
      <c r="AH158" s="1222">
        <f t="shared" si="36"/>
        <v>94518.738588210006</v>
      </c>
      <c r="AI158" s="1223">
        <f t="shared" si="37"/>
        <v>32.215114572193784</v>
      </c>
    </row>
    <row r="159" spans="3:35">
      <c r="C159" s="138" t="s">
        <v>115</v>
      </c>
      <c r="D159" s="156">
        <f>Data!J$90</f>
        <v>2863.2503692700002</v>
      </c>
      <c r="E159" s="156">
        <f>Data!K$90</f>
        <v>2088.9450984599998</v>
      </c>
      <c r="F159" s="156">
        <f>Data!L$90</f>
        <v>1780.35516379</v>
      </c>
      <c r="G159" s="156">
        <f>Data!M$90</f>
        <v>6096.1577878099997</v>
      </c>
      <c r="H159" s="156">
        <f>Data!N$90</f>
        <v>3520.8962621999999</v>
      </c>
      <c r="I159" s="156">
        <f>Data!O$90</f>
        <v>4535.2114165100002</v>
      </c>
      <c r="J159" s="156">
        <f>Data!P$90</f>
        <v>7681.0428739199997</v>
      </c>
      <c r="K159" s="156">
        <f>Data!Q$90</f>
        <v>21703.189120399999</v>
      </c>
      <c r="L159" s="156">
        <f>Data!R$90</f>
        <v>21851.617138140002</v>
      </c>
      <c r="T159" s="1222">
        <f t="shared" si="22"/>
        <v>2863.2503692700002</v>
      </c>
      <c r="U159" s="1223">
        <f t="shared" si="23"/>
        <v>2.7771984372965406</v>
      </c>
      <c r="V159" s="1222">
        <f t="shared" si="24"/>
        <v>2088.9450984599998</v>
      </c>
      <c r="W159" s="1223">
        <f t="shared" si="25"/>
        <v>1.5613618453748359</v>
      </c>
      <c r="X159" s="1222">
        <f t="shared" si="26"/>
        <v>1780.35516379</v>
      </c>
      <c r="Y159" s="1223">
        <f t="shared" si="27"/>
        <v>1.2998377206559799</v>
      </c>
      <c r="Z159" s="1222">
        <f t="shared" si="28"/>
        <v>6096.1577878099997</v>
      </c>
      <c r="AA159" s="1223">
        <f t="shared" si="29"/>
        <v>4.1903958152139875</v>
      </c>
      <c r="AB159" s="1222">
        <f t="shared" si="30"/>
        <v>3520.8962621999999</v>
      </c>
      <c r="AC159" s="1223">
        <f t="shared" si="31"/>
        <v>2.0047218731621843</v>
      </c>
      <c r="AD159" s="1222">
        <f t="shared" si="32"/>
        <v>4535.2114165100002</v>
      </c>
      <c r="AE159" s="1223">
        <f t="shared" si="33"/>
        <v>2.1855767341309185</v>
      </c>
      <c r="AF159" s="1222">
        <f t="shared" si="34"/>
        <v>7681.0428739199997</v>
      </c>
      <c r="AG159" s="1223">
        <f t="shared" si="35"/>
        <v>3.0031563090698437</v>
      </c>
      <c r="AH159" s="1222">
        <f t="shared" si="36"/>
        <v>21703.189120399999</v>
      </c>
      <c r="AI159" s="1223">
        <f t="shared" si="37"/>
        <v>7.3971652027832722</v>
      </c>
    </row>
    <row r="160" spans="3:35">
      <c r="C160" s="138" t="s">
        <v>7</v>
      </c>
      <c r="D160" s="156">
        <f>Data!J$89</f>
        <v>1831.39021054</v>
      </c>
      <c r="E160" s="156">
        <f>Data!K$89</f>
        <v>2325.8243542200003</v>
      </c>
      <c r="F160" s="156">
        <f>Data!L$89</f>
        <v>3046.6593204300002</v>
      </c>
      <c r="G160" s="156">
        <f>Data!M$89</f>
        <v>4599.2447164599998</v>
      </c>
      <c r="H160" s="156">
        <f>Data!N$89</f>
        <v>4528.0506034700002</v>
      </c>
      <c r="I160" s="156">
        <f>Data!O$89</f>
        <v>4624.4748117700001</v>
      </c>
      <c r="J160" s="156">
        <f>Data!P$89</f>
        <v>6660.6259803200001</v>
      </c>
      <c r="K160" s="156">
        <f>Data!Q$89</f>
        <v>4128.8031887400002</v>
      </c>
      <c r="L160" s="156">
        <f>Data!R$89</f>
        <v>5349.5934354999999</v>
      </c>
      <c r="T160" s="1222">
        <f t="shared" si="22"/>
        <v>1831.39021054</v>
      </c>
      <c r="U160" s="1223">
        <f t="shared" si="23"/>
        <v>1.77634973363807</v>
      </c>
      <c r="V160" s="1222">
        <f t="shared" si="24"/>
        <v>2325.8243542200003</v>
      </c>
      <c r="W160" s="1223">
        <f t="shared" si="25"/>
        <v>1.7384149580569805</v>
      </c>
      <c r="X160" s="1222">
        <f t="shared" si="26"/>
        <v>3046.6593204300002</v>
      </c>
      <c r="Y160" s="1223">
        <f t="shared" si="27"/>
        <v>2.2243666810012663</v>
      </c>
      <c r="Z160" s="1222">
        <f t="shared" si="28"/>
        <v>4599.2447164599998</v>
      </c>
      <c r="AA160" s="1223">
        <f t="shared" si="29"/>
        <v>3.1614430734612906</v>
      </c>
      <c r="AB160" s="1222">
        <f t="shared" si="30"/>
        <v>4528.0506034700002</v>
      </c>
      <c r="AC160" s="1223">
        <f t="shared" si="31"/>
        <v>2.5781736840748484</v>
      </c>
      <c r="AD160" s="1222">
        <f t="shared" si="32"/>
        <v>4624.4748117700001</v>
      </c>
      <c r="AE160" s="1223">
        <f t="shared" si="33"/>
        <v>2.22859391281846</v>
      </c>
      <c r="AF160" s="1222">
        <f t="shared" si="34"/>
        <v>6660.6259803200001</v>
      </c>
      <c r="AG160" s="1223">
        <f t="shared" si="35"/>
        <v>2.604190767255032</v>
      </c>
      <c r="AH160" s="1222">
        <f t="shared" si="36"/>
        <v>4128.8031887400002</v>
      </c>
      <c r="AI160" s="1223">
        <f t="shared" si="37"/>
        <v>1.4072327853504534</v>
      </c>
    </row>
    <row r="161" spans="3:35">
      <c r="C161" s="138" t="s">
        <v>35</v>
      </c>
      <c r="D161" s="156">
        <f>Data!J$115</f>
        <v>1099.7406575499999</v>
      </c>
      <c r="E161" s="156">
        <f>Data!K$115</f>
        <v>4254.2978276599997</v>
      </c>
      <c r="F161" s="156">
        <f>Data!L$115</f>
        <v>4577.35865233</v>
      </c>
      <c r="G161" s="156">
        <f>Data!M$115</f>
        <v>5935.2910772300002</v>
      </c>
      <c r="H161" s="156">
        <f>Data!N$115</f>
        <v>6906.80568881</v>
      </c>
      <c r="I161" s="156">
        <f>Data!O$115</f>
        <v>7611.50325342</v>
      </c>
      <c r="J161" s="156">
        <f>Data!P$115</f>
        <v>8117.4936839600005</v>
      </c>
      <c r="K161" s="156">
        <f>Data!Q$115</f>
        <v>18164.449087659999</v>
      </c>
      <c r="L161" s="156">
        <f>Data!R$115</f>
        <v>33719.470408540001</v>
      </c>
      <c r="T161" s="1222">
        <f t="shared" si="22"/>
        <v>1099.7406575499999</v>
      </c>
      <c r="U161" s="1223">
        <f t="shared" si="23"/>
        <v>1.0666891265809957</v>
      </c>
      <c r="V161" s="1222">
        <f t="shared" si="24"/>
        <v>4254.2978276599997</v>
      </c>
      <c r="W161" s="1223">
        <f t="shared" si="25"/>
        <v>3.1798338366414312</v>
      </c>
      <c r="X161" s="1222">
        <f t="shared" si="26"/>
        <v>4577.35865233</v>
      </c>
      <c r="Y161" s="1223">
        <f t="shared" si="27"/>
        <v>3.3419306205193564</v>
      </c>
      <c r="Z161" s="1222">
        <f t="shared" si="28"/>
        <v>5935.2910772300002</v>
      </c>
      <c r="AA161" s="1223">
        <f t="shared" si="29"/>
        <v>4.0798187576172174</v>
      </c>
      <c r="AB161" s="1222">
        <f t="shared" si="30"/>
        <v>6906.80568881</v>
      </c>
      <c r="AC161" s="1223">
        <f t="shared" si="31"/>
        <v>3.9325851734656689</v>
      </c>
      <c r="AD161" s="1222">
        <f t="shared" si="32"/>
        <v>7611.50325342</v>
      </c>
      <c r="AE161" s="1223">
        <f t="shared" si="33"/>
        <v>3.6680813515940005</v>
      </c>
      <c r="AF161" s="1222">
        <f t="shared" si="34"/>
        <v>8117.4936839600005</v>
      </c>
      <c r="AG161" s="1223">
        <f t="shared" si="35"/>
        <v>3.1738011063044338</v>
      </c>
      <c r="AH161" s="1222">
        <f t="shared" si="36"/>
        <v>18164.449087659999</v>
      </c>
      <c r="AI161" s="1223">
        <f t="shared" si="37"/>
        <v>6.1910454714081435</v>
      </c>
    </row>
    <row r="162" spans="3:35">
      <c r="C162" s="138" t="s">
        <v>36</v>
      </c>
      <c r="D162" s="158">
        <f t="shared" ref="D162:G162" si="38">D163-D156-D157-D158-D159-D160-D161</f>
        <v>3528.8356627199946</v>
      </c>
      <c r="E162" s="158">
        <f t="shared" si="38"/>
        <v>1815.0375779100004</v>
      </c>
      <c r="F162" s="158">
        <f t="shared" si="38"/>
        <v>1982.9876206399986</v>
      </c>
      <c r="G162" s="158">
        <f t="shared" si="38"/>
        <v>3078.6519552899808</v>
      </c>
      <c r="H162" s="158">
        <f>H163-H156-H157-H158-H159-H160-H161</f>
        <v>3791.2573438399995</v>
      </c>
      <c r="I162" s="158">
        <f>I163-I156-I157-I158-I159-I160-I161</f>
        <v>4872.3652335600054</v>
      </c>
      <c r="J162" s="158">
        <f>J163-J156-J157-J158-J159-J160-J161</f>
        <v>12009.270730129985</v>
      </c>
      <c r="K162" s="158">
        <f>K163-K156-K157-K158-K159-K160-K161</f>
        <v>14315.133567289977</v>
      </c>
      <c r="L162" s="158">
        <f>L163-L156-L157-L158-L159-L160-L161</f>
        <v>21872.662900859992</v>
      </c>
      <c r="T162" s="1222">
        <f t="shared" si="22"/>
        <v>3528.8356627199946</v>
      </c>
      <c r="U162" s="1223">
        <f t="shared" si="23"/>
        <v>3.4227802755792194</v>
      </c>
      <c r="V162" s="1222">
        <f t="shared" si="24"/>
        <v>1815.0375779100004</v>
      </c>
      <c r="W162" s="1223">
        <f t="shared" si="25"/>
        <v>1.3566323136780594</v>
      </c>
      <c r="X162" s="1222">
        <f t="shared" si="26"/>
        <v>1982.9876206399986</v>
      </c>
      <c r="Y162" s="1223">
        <f t="shared" si="27"/>
        <v>1.447779724700905</v>
      </c>
      <c r="Z162" s="1222">
        <f t="shared" si="28"/>
        <v>3078.6519552899808</v>
      </c>
      <c r="AA162" s="1223">
        <f t="shared" si="29"/>
        <v>2.1162133132026435</v>
      </c>
      <c r="AB162" s="1222">
        <f t="shared" si="30"/>
        <v>3791.2573438399995</v>
      </c>
      <c r="AC162" s="1223">
        <f t="shared" si="31"/>
        <v>2.1586596019826385</v>
      </c>
      <c r="AD162" s="1222">
        <f t="shared" si="32"/>
        <v>4872.3652335600054</v>
      </c>
      <c r="AE162" s="1223">
        <f t="shared" si="33"/>
        <v>2.3480554965730396</v>
      </c>
      <c r="AF162" s="1222">
        <f t="shared" si="34"/>
        <v>12009.270730129985</v>
      </c>
      <c r="AG162" s="1223">
        <f t="shared" si="35"/>
        <v>4.6954193268435214</v>
      </c>
      <c r="AH162" s="1222">
        <f t="shared" si="36"/>
        <v>14315.133567289977</v>
      </c>
      <c r="AI162" s="1223">
        <f t="shared" si="37"/>
        <v>4.8790713341579437</v>
      </c>
    </row>
    <row r="163" spans="3:35">
      <c r="C163" s="138" t="s">
        <v>729</v>
      </c>
      <c r="D163" s="156">
        <f>Data!J$85</f>
        <v>103098.51578546999</v>
      </c>
      <c r="E163" s="156">
        <f>Data!K$85</f>
        <v>133789.94143144999</v>
      </c>
      <c r="F163" s="156">
        <f>Data!L$85</f>
        <v>136967.49490324999</v>
      </c>
      <c r="G163" s="156">
        <f>Data!M$85</f>
        <v>145479.28302325998</v>
      </c>
      <c r="H163" s="156">
        <f>Data!N$85</f>
        <v>175630.16143712</v>
      </c>
      <c r="I163" s="156">
        <f>Data!O$85</f>
        <v>207506.39159386</v>
      </c>
      <c r="J163" s="156">
        <f>Data!P$85</f>
        <v>255765.67062868</v>
      </c>
      <c r="K163" s="156">
        <f>Data!Q$85</f>
        <v>293398.73485904996</v>
      </c>
      <c r="L163" s="156">
        <f>Data!R$85</f>
        <v>321090.19111911999</v>
      </c>
      <c r="T163" s="1222">
        <f t="shared" si="22"/>
        <v>103098.51578546999</v>
      </c>
      <c r="U163" s="1223">
        <f t="shared" si="23"/>
        <v>100</v>
      </c>
      <c r="V163" s="1222">
        <f t="shared" si="24"/>
        <v>133789.94143144999</v>
      </c>
      <c r="W163" s="1223">
        <f t="shared" si="25"/>
        <v>100</v>
      </c>
      <c r="X163" s="1222">
        <f t="shared" si="26"/>
        <v>136967.49490324999</v>
      </c>
      <c r="Y163" s="1223">
        <f t="shared" si="27"/>
        <v>100</v>
      </c>
      <c r="Z163" s="1222">
        <f t="shared" si="28"/>
        <v>145479.28302325998</v>
      </c>
      <c r="AA163" s="1223">
        <f t="shared" si="29"/>
        <v>100</v>
      </c>
      <c r="AB163" s="1222">
        <f t="shared" si="30"/>
        <v>175630.16143712</v>
      </c>
      <c r="AC163" s="1223">
        <f t="shared" si="31"/>
        <v>100</v>
      </c>
      <c r="AD163" s="1222">
        <f t="shared" si="32"/>
        <v>207506.39159386</v>
      </c>
      <c r="AE163" s="1223">
        <f t="shared" si="33"/>
        <v>100</v>
      </c>
      <c r="AF163" s="1222">
        <f t="shared" si="34"/>
        <v>255765.67062868</v>
      </c>
      <c r="AG163" s="1223">
        <f t="shared" si="35"/>
        <v>100</v>
      </c>
      <c r="AH163" s="1222">
        <f t="shared" si="36"/>
        <v>293398.73485904996</v>
      </c>
      <c r="AI163" s="1223">
        <f t="shared" si="37"/>
        <v>100</v>
      </c>
    </row>
    <row r="164" spans="3:35">
      <c r="D164" s="157"/>
      <c r="E164" s="157"/>
      <c r="F164" s="155"/>
      <c r="G164" s="155"/>
      <c r="H164" s="155"/>
      <c r="I164" s="155"/>
      <c r="J164" s="155"/>
      <c r="K164" s="155"/>
      <c r="L164" s="155"/>
    </row>
    <row r="165" spans="3:35">
      <c r="C165" s="138" t="s">
        <v>2132</v>
      </c>
      <c r="D165" s="157"/>
      <c r="E165" s="156">
        <f>Data!K$120</f>
        <v>11451.263589439999</v>
      </c>
      <c r="F165" s="156">
        <f>Data!L$120</f>
        <v>11138.05259431</v>
      </c>
      <c r="G165" s="156">
        <f>Data!M$120</f>
        <v>11678.840748029999</v>
      </c>
      <c r="H165" s="156">
        <f>Data!N$120</f>
        <v>14954.27698343</v>
      </c>
      <c r="I165" s="156">
        <f>Data!O$120</f>
        <v>16848.82255855</v>
      </c>
      <c r="J165" s="156">
        <f>Data!P$120</f>
        <v>23498.01027613</v>
      </c>
      <c r="K165" s="156">
        <f>Data!Q$120</f>
        <v>22740.419572819999</v>
      </c>
      <c r="L165" s="156">
        <f>Data!R$120</f>
        <v>26181.920072389999</v>
      </c>
      <c r="P165" s="1249"/>
    </row>
    <row r="166" spans="3:35">
      <c r="C166" s="138" t="s">
        <v>2373</v>
      </c>
      <c r="D166" s="157"/>
      <c r="E166" s="386">
        <f t="shared" ref="E166:K166" si="39">E165/E145*100</f>
        <v>77.912898687136121</v>
      </c>
      <c r="F166" s="386">
        <f t="shared" si="39"/>
        <v>75.321794281607907</v>
      </c>
      <c r="G166" s="386">
        <f t="shared" si="39"/>
        <v>83.676741316051462</v>
      </c>
      <c r="H166" s="386">
        <f t="shared" si="39"/>
        <v>85.188399495144367</v>
      </c>
      <c r="I166" s="386">
        <f t="shared" si="39"/>
        <v>84.361478372128573</v>
      </c>
      <c r="J166" s="386">
        <f t="shared" si="39"/>
        <v>70.10094479623082</v>
      </c>
      <c r="K166" s="386">
        <f t="shared" si="39"/>
        <v>56.956159932954101</v>
      </c>
      <c r="L166" s="386">
        <f t="shared" ref="L166" si="40">L165/L145*100</f>
        <v>57.896085455109358</v>
      </c>
      <c r="P166" s="1249"/>
    </row>
    <row r="167" spans="3:35">
      <c r="C167" s="138" t="s">
        <v>2375</v>
      </c>
      <c r="D167" s="157"/>
      <c r="E167" s="156">
        <f>Data!K$73</f>
        <v>0</v>
      </c>
      <c r="F167" s="156">
        <f>Data!L$73</f>
        <v>894.58333332999996</v>
      </c>
      <c r="G167" s="156">
        <f>Data!M$73</f>
        <v>2077.9268023099999</v>
      </c>
      <c r="H167" s="156">
        <f>Data!N$73</f>
        <v>2574.23691822</v>
      </c>
      <c r="I167" s="156">
        <f>Data!O$73</f>
        <v>2694.8872352100002</v>
      </c>
      <c r="J167" s="156">
        <f>Data!P$73</f>
        <v>7458.2436587000002</v>
      </c>
      <c r="K167" s="156">
        <f>Data!Q$73</f>
        <v>12483.53078592</v>
      </c>
      <c r="L167" s="156">
        <f>Data!R$73</f>
        <v>17377.754000500001</v>
      </c>
      <c r="P167" s="1249"/>
    </row>
    <row r="168" spans="3:35">
      <c r="C168" s="138" t="s">
        <v>2133</v>
      </c>
      <c r="D168" s="157"/>
      <c r="E168" s="156">
        <f>Data!K$79</f>
        <v>50</v>
      </c>
      <c r="F168" s="156">
        <f>Data!L$79</f>
        <v>205</v>
      </c>
      <c r="G168" s="156">
        <f>Data!M$79</f>
        <v>145</v>
      </c>
      <c r="H168" s="156">
        <f>Data!N$79</f>
        <v>0</v>
      </c>
      <c r="I168" s="156">
        <f>Data!O$79</f>
        <v>0</v>
      </c>
      <c r="J168" s="156">
        <f>Data!P$79</f>
        <v>2010</v>
      </c>
      <c r="K168" s="156">
        <f>Data!Q$79</f>
        <v>4816.6000000000004</v>
      </c>
      <c r="L168" s="156">
        <f>Data!R$79</f>
        <v>1823.6</v>
      </c>
    </row>
    <row r="169" spans="3:35">
      <c r="C169" s="138" t="s">
        <v>2376</v>
      </c>
      <c r="D169" s="157"/>
      <c r="E169" s="156"/>
      <c r="F169" s="158">
        <f t="shared" ref="F169:J169" si="41">F165+F167+F168</f>
        <v>12237.63592764</v>
      </c>
      <c r="G169" s="158">
        <f t="shared" si="41"/>
        <v>13901.767550339999</v>
      </c>
      <c r="H169" s="158">
        <f t="shared" si="41"/>
        <v>17528.51390165</v>
      </c>
      <c r="I169" s="158">
        <f t="shared" si="41"/>
        <v>19543.709793760001</v>
      </c>
      <c r="J169" s="158">
        <f t="shared" si="41"/>
        <v>32966.253934830005</v>
      </c>
      <c r="K169" s="158">
        <f>K165+K167+K168</f>
        <v>40040.550358739994</v>
      </c>
      <c r="L169" s="158">
        <f>L165+L167+L168</f>
        <v>45383.274072890003</v>
      </c>
    </row>
    <row r="170" spans="3:35">
      <c r="C170" s="138" t="s">
        <v>491</v>
      </c>
      <c r="G170" s="150">
        <f>Data!M140</f>
        <v>0</v>
      </c>
      <c r="H170" s="150">
        <f>Data!N$140</f>
        <v>0</v>
      </c>
      <c r="I170" s="150">
        <f>Data!O$140</f>
        <v>20208.7142102</v>
      </c>
      <c r="J170" s="150">
        <f>Data!P$140</f>
        <v>33760.360445960003</v>
      </c>
      <c r="K170" s="150">
        <f>Data!Q$140</f>
        <v>40244.814162070004</v>
      </c>
      <c r="L170" s="150">
        <f>Data!R$140</f>
        <v>45588.975681160002</v>
      </c>
      <c r="M170" s="146"/>
      <c r="N170" s="146"/>
      <c r="O170" s="146"/>
      <c r="P170" s="146"/>
      <c r="Q170" s="146"/>
      <c r="R170" s="146"/>
      <c r="S170" s="146"/>
    </row>
    <row r="171" spans="3:35">
      <c r="D171" s="157"/>
      <c r="E171" s="157"/>
      <c r="F171" s="155"/>
      <c r="G171" s="155"/>
      <c r="H171" s="155"/>
      <c r="I171" s="155"/>
      <c r="J171" s="155"/>
      <c r="K171" s="155"/>
      <c r="L171" s="155"/>
    </row>
    <row r="172" spans="3:35">
      <c r="C172" s="138" t="s">
        <v>532</v>
      </c>
      <c r="D172" s="150">
        <f>Data!J$192</f>
        <v>3339.9868260399999</v>
      </c>
      <c r="E172" s="150">
        <f>Data!K$192</f>
        <v>2509.0295376899999</v>
      </c>
      <c r="F172" s="150">
        <f>Data!L$192</f>
        <v>1832.62698546</v>
      </c>
      <c r="G172" s="150">
        <f>Data!M$192</f>
        <v>2329.1059403099998</v>
      </c>
      <c r="H172" s="150">
        <f>Data!N$192</f>
        <v>2982.4510705900002</v>
      </c>
      <c r="I172" s="150">
        <f>Data!O$192</f>
        <v>2516.4849723500001</v>
      </c>
      <c r="J172" s="150">
        <f>Data!P$192</f>
        <v>2597.5596065</v>
      </c>
      <c r="K172" s="150">
        <f>Data!Q$192</f>
        <v>2907.6558904399999</v>
      </c>
      <c r="L172" s="150">
        <f>Data!R$192</f>
        <v>1775.86362239</v>
      </c>
      <c r="N172" s="150">
        <f>Data!W$192</f>
        <v>547.80711431999998</v>
      </c>
      <c r="O172" s="1223">
        <f t="shared" ref="O172:O180" si="42">N172/N$185*100</f>
        <v>42.163205162018301</v>
      </c>
      <c r="T172" s="1222">
        <f t="shared" ref="T172:T185" si="43">D172</f>
        <v>3339.9868260399999</v>
      </c>
      <c r="U172" s="1223">
        <f t="shared" ref="U172:U179" si="44">T172/T$185*100</f>
        <v>63.645674768581863</v>
      </c>
      <c r="V172" s="1222">
        <f t="shared" ref="V172:V185" si="45">E172</f>
        <v>2509.0295376899999</v>
      </c>
      <c r="W172" s="1223">
        <f>V172/V$185*100</f>
        <v>61.030665385204905</v>
      </c>
      <c r="X172" s="1222">
        <f t="shared" ref="X172:X185" si="46">F172</f>
        <v>1832.62698546</v>
      </c>
      <c r="Y172" s="1223">
        <f>X172/X$185*100</f>
        <v>59.552033253141509</v>
      </c>
      <c r="Z172" s="1222">
        <f t="shared" ref="Z172:Z185" si="47">G172</f>
        <v>2329.1059403099998</v>
      </c>
      <c r="AA172" s="1223">
        <f>Z172/Z$185*100</f>
        <v>54.957094438133517</v>
      </c>
      <c r="AB172" s="1222">
        <f t="shared" ref="AB172:AB185" si="48">H172</f>
        <v>2982.4510705900002</v>
      </c>
      <c r="AC172" s="1223">
        <f>AB172/AB$185*100</f>
        <v>56.015727070812751</v>
      </c>
      <c r="AD172" s="1222">
        <f t="shared" ref="AD172:AD185" si="49">I172</f>
        <v>2516.4849723500001</v>
      </c>
      <c r="AE172" s="1223">
        <f t="shared" ref="AE172:AE179" si="50">AD172/AD$185*100</f>
        <v>45.674074367090007</v>
      </c>
      <c r="AF172" s="1222">
        <f t="shared" ref="AF172:AF185" si="51">J172</f>
        <v>2597.5596065</v>
      </c>
      <c r="AG172" s="1223">
        <f t="shared" ref="AG172:AG179" si="52">AF172/AF$185*100</f>
        <v>41.20360888241413</v>
      </c>
      <c r="AH172" s="1222">
        <f t="shared" ref="AH172:AH185" si="53">K172</f>
        <v>2907.6558904399999</v>
      </c>
      <c r="AI172" s="1223">
        <f t="shared" ref="AI172:AI180" si="54">AH172/AH$185*100</f>
        <v>41.53744529217898</v>
      </c>
    </row>
    <row r="173" spans="3:35">
      <c r="C173" s="138" t="s">
        <v>1725</v>
      </c>
      <c r="D173" s="158">
        <f>D172</f>
        <v>3339.9868260399999</v>
      </c>
      <c r="E173" s="158">
        <f t="shared" ref="E173:J173" si="55">E172</f>
        <v>2509.0295376899999</v>
      </c>
      <c r="F173" s="158">
        <f t="shared" si="55"/>
        <v>1832.62698546</v>
      </c>
      <c r="G173" s="158">
        <f t="shared" si="55"/>
        <v>2329.1059403099998</v>
      </c>
      <c r="H173" s="158">
        <f t="shared" si="55"/>
        <v>2982.4510705900002</v>
      </c>
      <c r="I173" s="158">
        <f t="shared" si="55"/>
        <v>2516.4849723500001</v>
      </c>
      <c r="J173" s="158">
        <f t="shared" si="55"/>
        <v>2597.5596065</v>
      </c>
      <c r="K173" s="158">
        <f t="shared" ref="K173:N173" si="56">K172</f>
        <v>2907.6558904399999</v>
      </c>
      <c r="L173" s="158">
        <f t="shared" ref="L173" si="57">L172</f>
        <v>1775.86362239</v>
      </c>
      <c r="N173" s="158">
        <f t="shared" si="56"/>
        <v>547.80711431999998</v>
      </c>
      <c r="O173" s="1223">
        <f t="shared" si="42"/>
        <v>42.163205162018301</v>
      </c>
      <c r="T173" s="1222">
        <f t="shared" si="43"/>
        <v>3339.9868260399999</v>
      </c>
      <c r="U173" s="1223">
        <f t="shared" si="44"/>
        <v>63.645674768581863</v>
      </c>
      <c r="V173" s="1222">
        <f t="shared" si="45"/>
        <v>2509.0295376899999</v>
      </c>
      <c r="W173" s="1223">
        <f>V173/V$185*100</f>
        <v>61.030665385204905</v>
      </c>
      <c r="X173" s="1222">
        <f t="shared" si="46"/>
        <v>1832.62698546</v>
      </c>
      <c r="Y173" s="1223">
        <f>X173/X$185*100</f>
        <v>59.552033253141509</v>
      </c>
      <c r="Z173" s="1222">
        <f t="shared" si="47"/>
        <v>2329.1059403099998</v>
      </c>
      <c r="AA173" s="1223">
        <f>Z173/Z$185*100</f>
        <v>54.957094438133517</v>
      </c>
      <c r="AB173" s="1222">
        <f t="shared" si="48"/>
        <v>2982.4510705900002</v>
      </c>
      <c r="AC173" s="1223">
        <f>AB173/AB$185*100</f>
        <v>56.015727070812751</v>
      </c>
      <c r="AD173" s="1222">
        <f t="shared" si="49"/>
        <v>2516.4849723500001</v>
      </c>
      <c r="AE173" s="1223">
        <f t="shared" si="50"/>
        <v>45.674074367090007</v>
      </c>
      <c r="AF173" s="1222">
        <f t="shared" si="51"/>
        <v>2597.5596065</v>
      </c>
      <c r="AG173" s="1223">
        <f t="shared" si="52"/>
        <v>41.20360888241413</v>
      </c>
      <c r="AH173" s="1222">
        <f t="shared" si="53"/>
        <v>2907.6558904399999</v>
      </c>
      <c r="AI173" s="1223">
        <f t="shared" si="54"/>
        <v>41.53744529217898</v>
      </c>
    </row>
    <row r="174" spans="3:35">
      <c r="C174" s="138" t="s">
        <v>533</v>
      </c>
      <c r="D174" s="150">
        <f>Data!J$193</f>
        <v>1205.38988187</v>
      </c>
      <c r="E174" s="150">
        <f>Data!K$193</f>
        <v>900.5811238</v>
      </c>
      <c r="F174" s="150">
        <f>Data!L$193</f>
        <v>645.21910138999999</v>
      </c>
      <c r="G174" s="150">
        <f>Data!M$193</f>
        <v>830.56379491000007</v>
      </c>
      <c r="H174" s="150">
        <f>Data!N$193</f>
        <v>1010.2729842700001</v>
      </c>
      <c r="I174" s="150">
        <f>Data!O$193</f>
        <v>1031.5412439900001</v>
      </c>
      <c r="J174" s="150">
        <f>Data!P$193</f>
        <v>1199.69167595</v>
      </c>
      <c r="K174" s="150">
        <f>Data!Q$193</f>
        <v>1285.02129752</v>
      </c>
      <c r="L174" s="150">
        <f>Data!R$193</f>
        <v>1018.25081441</v>
      </c>
      <c r="N174" s="150">
        <f>Data!W$193</f>
        <v>278.58889819000001</v>
      </c>
      <c r="O174" s="1223">
        <f t="shared" si="42"/>
        <v>21.442220378657019</v>
      </c>
      <c r="T174" s="1222">
        <f t="shared" si="43"/>
        <v>1205.38988187</v>
      </c>
      <c r="U174" s="1223">
        <f t="shared" si="44"/>
        <v>22.969507482098837</v>
      </c>
      <c r="V174" s="1222">
        <f t="shared" si="45"/>
        <v>900.5811238</v>
      </c>
      <c r="W174" s="1223">
        <f t="shared" ref="W174" si="58">V174/V$185*100</f>
        <v>21.906105286218633</v>
      </c>
      <c r="X174" s="1222">
        <f t="shared" si="46"/>
        <v>645.21910138999999</v>
      </c>
      <c r="Y174" s="1223">
        <f t="shared" ref="Y174" si="59">X174/X$185*100</f>
        <v>20.966683174696726</v>
      </c>
      <c r="Z174" s="1222">
        <f t="shared" si="47"/>
        <v>830.56379491000007</v>
      </c>
      <c r="AA174" s="1223">
        <f t="shared" ref="AA174" si="60">Z174/Z$185*100</f>
        <v>19.597808808854829</v>
      </c>
      <c r="AB174" s="1222">
        <f t="shared" si="48"/>
        <v>1010.2729842700001</v>
      </c>
      <c r="AC174" s="1223">
        <f t="shared" ref="AC174" si="61">AB174/AB$185*100</f>
        <v>18.974720595395631</v>
      </c>
      <c r="AD174" s="1222">
        <f t="shared" si="49"/>
        <v>1031.5412439900001</v>
      </c>
      <c r="AE174" s="1223">
        <f t="shared" si="50"/>
        <v>18.722421158240461</v>
      </c>
      <c r="AF174" s="1222">
        <f t="shared" si="51"/>
        <v>1199.69167595</v>
      </c>
      <c r="AG174" s="1223">
        <f t="shared" si="52"/>
        <v>19.03002590263436</v>
      </c>
      <c r="AH174" s="1222">
        <f t="shared" si="53"/>
        <v>1285.02129752</v>
      </c>
      <c r="AI174" s="1223">
        <f t="shared" si="54"/>
        <v>18.357227903245686</v>
      </c>
    </row>
    <row r="175" spans="3:35">
      <c r="C175" s="138" t="s">
        <v>1726</v>
      </c>
      <c r="D175" s="150">
        <f>Data!J$194</f>
        <v>725.79384205999997</v>
      </c>
      <c r="E175" s="150">
        <f>Data!K$194</f>
        <v>594.90750427</v>
      </c>
      <c r="F175" s="150">
        <f>Data!L$194</f>
        <v>421.38133706999997</v>
      </c>
      <c r="G175" s="150">
        <f>Data!M$194</f>
        <v>551.00014265000004</v>
      </c>
      <c r="H175" s="150">
        <f>Data!N$194</f>
        <v>569.02689653000004</v>
      </c>
      <c r="I175" s="150">
        <f>Data!O$194</f>
        <v>575.38758811000002</v>
      </c>
      <c r="J175" s="150">
        <f>Data!P$194</f>
        <v>703.48390236</v>
      </c>
      <c r="K175" s="150">
        <f>Data!Q$194</f>
        <v>787.29660693999995</v>
      </c>
      <c r="L175" s="150">
        <f>Data!R$194</f>
        <v>676.90312467000001</v>
      </c>
      <c r="N175" s="150">
        <f>Data!W$194</f>
        <v>167.23151367</v>
      </c>
      <c r="O175" s="1223">
        <f t="shared" si="42"/>
        <v>12.871349122903588</v>
      </c>
      <c r="T175" s="1222">
        <f t="shared" si="43"/>
        <v>725.79384205999997</v>
      </c>
      <c r="U175" s="1223">
        <f t="shared" si="44"/>
        <v>13.830485336242765</v>
      </c>
      <c r="V175" s="1222">
        <f t="shared" si="45"/>
        <v>594.90750427</v>
      </c>
      <c r="W175" s="1223">
        <f>V175/V$185*100</f>
        <v>14.470774569548201</v>
      </c>
      <c r="X175" s="1222">
        <f t="shared" si="46"/>
        <v>421.38133706999997</v>
      </c>
      <c r="Y175" s="1223">
        <f>X175/X$185*100</f>
        <v>13.692974946097447</v>
      </c>
      <c r="Z175" s="1222">
        <f t="shared" si="47"/>
        <v>551.00014265000004</v>
      </c>
      <c r="AA175" s="1223">
        <f>Z175/Z$185*100</f>
        <v>13.001283604562314</v>
      </c>
      <c r="AB175" s="1222">
        <f t="shared" si="48"/>
        <v>569.02689653000004</v>
      </c>
      <c r="AC175" s="1223">
        <f>AB175/AB$185*100</f>
        <v>10.687335543000394</v>
      </c>
      <c r="AD175" s="1222">
        <f t="shared" si="49"/>
        <v>575.38758811000002</v>
      </c>
      <c r="AE175" s="1223">
        <f t="shared" si="50"/>
        <v>10.443255484532079</v>
      </c>
      <c r="AF175" s="1222">
        <f t="shared" si="51"/>
        <v>703.48390236</v>
      </c>
      <c r="AG175" s="1223">
        <f t="shared" si="52"/>
        <v>11.158964550951046</v>
      </c>
      <c r="AH175" s="1222">
        <f t="shared" si="53"/>
        <v>787.29660693999995</v>
      </c>
      <c r="AI175" s="1223">
        <f t="shared" si="54"/>
        <v>11.24696008458543</v>
      </c>
    </row>
    <row r="176" spans="3:35">
      <c r="C176" s="138" t="s">
        <v>1727</v>
      </c>
      <c r="D176" s="150">
        <f>Data!J$197</f>
        <v>0</v>
      </c>
      <c r="E176" s="150">
        <f>Data!K$197</f>
        <v>0</v>
      </c>
      <c r="F176" s="150">
        <f>Data!L$197</f>
        <v>0</v>
      </c>
      <c r="G176" s="150">
        <f>Data!M$197</f>
        <v>0</v>
      </c>
      <c r="H176" s="150">
        <f>Data!N$197</f>
        <v>0</v>
      </c>
      <c r="I176" s="150">
        <f>Data!O$197</f>
        <v>0</v>
      </c>
      <c r="J176" s="150">
        <f>Data!P$197</f>
        <v>0</v>
      </c>
      <c r="K176" s="150">
        <f>Data!Q$197</f>
        <v>0</v>
      </c>
      <c r="L176" s="150">
        <f>Data!R$197</f>
        <v>0</v>
      </c>
      <c r="N176" s="150">
        <f>Data!W$197</f>
        <v>0</v>
      </c>
      <c r="O176" s="1223">
        <f t="shared" si="42"/>
        <v>0</v>
      </c>
      <c r="T176" s="1222">
        <f t="shared" si="43"/>
        <v>0</v>
      </c>
      <c r="U176" s="1223">
        <f t="shared" si="44"/>
        <v>0</v>
      </c>
      <c r="V176" s="1222">
        <f t="shared" si="45"/>
        <v>0</v>
      </c>
      <c r="W176" s="1223">
        <f>V176/V$185*100</f>
        <v>0</v>
      </c>
      <c r="X176" s="1222">
        <f t="shared" si="46"/>
        <v>0</v>
      </c>
      <c r="Y176" s="1223">
        <f>X176/X$185*100</f>
        <v>0</v>
      </c>
      <c r="Z176" s="1222">
        <f t="shared" si="47"/>
        <v>0</v>
      </c>
      <c r="AA176" s="1223">
        <f>Z176/Z$185*100</f>
        <v>0</v>
      </c>
      <c r="AB176" s="1222">
        <f t="shared" si="48"/>
        <v>0</v>
      </c>
      <c r="AC176" s="1223">
        <f>AB176/AB$185*100</f>
        <v>0</v>
      </c>
      <c r="AD176" s="1222">
        <f t="shared" si="49"/>
        <v>0</v>
      </c>
      <c r="AE176" s="1223">
        <f t="shared" si="50"/>
        <v>0</v>
      </c>
      <c r="AF176" s="1222">
        <f t="shared" si="51"/>
        <v>0</v>
      </c>
      <c r="AG176" s="1223">
        <f t="shared" si="52"/>
        <v>0</v>
      </c>
      <c r="AH176" s="1222">
        <f t="shared" si="53"/>
        <v>0</v>
      </c>
      <c r="AI176" s="1223">
        <f t="shared" si="54"/>
        <v>0</v>
      </c>
    </row>
    <row r="177" spans="3:35">
      <c r="C177" s="138" t="s">
        <v>1728</v>
      </c>
      <c r="D177" s="150">
        <f>Data!J$195</f>
        <v>417.99478378999999</v>
      </c>
      <c r="E177" s="150">
        <f>Data!K$195</f>
        <v>208.02581835000001</v>
      </c>
      <c r="F177" s="150">
        <f>Data!L$195</f>
        <v>134.57141271</v>
      </c>
      <c r="G177" s="150">
        <f>Data!M$195</f>
        <v>144.43673131</v>
      </c>
      <c r="H177" s="150">
        <f>Data!N$195</f>
        <v>273.83685405</v>
      </c>
      <c r="I177" s="150">
        <f>Data!O$195</f>
        <v>278.86770338000002</v>
      </c>
      <c r="J177" s="150">
        <f>Data!P$195</f>
        <v>255.77056458000001</v>
      </c>
      <c r="K177" s="150">
        <f>Data!Q$195</f>
        <v>232.90559802000001</v>
      </c>
      <c r="L177" s="150">
        <f>Data!R$195</f>
        <v>116.0226016</v>
      </c>
      <c r="N177" s="150">
        <f>Data!W$195</f>
        <v>61.117607810000003</v>
      </c>
      <c r="O177" s="1223">
        <f t="shared" si="42"/>
        <v>4.7040539813061004</v>
      </c>
      <c r="T177" s="1222">
        <f t="shared" si="43"/>
        <v>417.99478378999999</v>
      </c>
      <c r="U177" s="1223">
        <f t="shared" si="44"/>
        <v>7.9651691607430992</v>
      </c>
      <c r="V177" s="1222">
        <f t="shared" si="45"/>
        <v>208.02581835000001</v>
      </c>
      <c r="W177" s="1223">
        <f>V177/V$185*100</f>
        <v>5.0601054792248936</v>
      </c>
      <c r="X177" s="1222">
        <f t="shared" si="46"/>
        <v>134.57141271</v>
      </c>
      <c r="Y177" s="1223">
        <f>X177/X$185*100</f>
        <v>4.3729582223829313</v>
      </c>
      <c r="Z177" s="1222">
        <f t="shared" si="47"/>
        <v>144.43673131</v>
      </c>
      <c r="AA177" s="1223">
        <f>Z177/Z$185*100</f>
        <v>3.4080987668094114</v>
      </c>
      <c r="AB177" s="1222">
        <f t="shared" si="48"/>
        <v>273.83685405</v>
      </c>
      <c r="AC177" s="1223">
        <f>AB177/AB$185*100</f>
        <v>5.1431423736183302</v>
      </c>
      <c r="AD177" s="1222">
        <f t="shared" si="49"/>
        <v>278.86770338000002</v>
      </c>
      <c r="AE177" s="1223">
        <f t="shared" si="50"/>
        <v>5.0614346450332057</v>
      </c>
      <c r="AF177" s="1222">
        <f t="shared" si="51"/>
        <v>255.77056458000001</v>
      </c>
      <c r="AG177" s="1223">
        <f t="shared" si="52"/>
        <v>4.0571428198287105</v>
      </c>
      <c r="AH177" s="1222">
        <f t="shared" si="53"/>
        <v>232.90559802000001</v>
      </c>
      <c r="AI177" s="1223">
        <f t="shared" si="54"/>
        <v>3.3271830988686975</v>
      </c>
    </row>
    <row r="178" spans="3:35">
      <c r="C178" s="138" t="s">
        <v>1729</v>
      </c>
      <c r="D178" s="150">
        <f>Data!J$196</f>
        <v>61.601256020000001</v>
      </c>
      <c r="E178" s="150">
        <f>Data!K$196</f>
        <v>97.647801180000002</v>
      </c>
      <c r="F178" s="150">
        <f>Data!L$196</f>
        <v>89.266351610000001</v>
      </c>
      <c r="G178" s="150">
        <f>Data!M$196</f>
        <v>135.12692095</v>
      </c>
      <c r="H178" s="150">
        <f>Data!N$196</f>
        <v>167.40923369000001</v>
      </c>
      <c r="I178" s="150">
        <f>Data!O$196</f>
        <v>177.28595250000001</v>
      </c>
      <c r="J178" s="150">
        <f>Data!P$196</f>
        <v>240.43720901</v>
      </c>
      <c r="K178" s="150">
        <f>Data!Q$196</f>
        <v>264.81909256</v>
      </c>
      <c r="L178" s="150">
        <f>Data!R$196</f>
        <v>225.32508813999999</v>
      </c>
      <c r="N178" s="150">
        <f>Data!W$196</f>
        <v>50.239776710000001</v>
      </c>
      <c r="O178" s="1223">
        <f t="shared" si="42"/>
        <v>3.866817274447329</v>
      </c>
      <c r="T178" s="1222">
        <f t="shared" si="43"/>
        <v>61.601256020000001</v>
      </c>
      <c r="U178" s="1223">
        <f t="shared" si="44"/>
        <v>1.1738529851129753</v>
      </c>
      <c r="V178" s="1222">
        <f t="shared" si="45"/>
        <v>97.647801180000002</v>
      </c>
      <c r="W178" s="1223">
        <f>V178/V$185*100</f>
        <v>2.3752252374455374</v>
      </c>
      <c r="X178" s="1222">
        <f t="shared" si="46"/>
        <v>89.266351610000001</v>
      </c>
      <c r="Y178" s="1223">
        <f>X178/X$185*100</f>
        <v>2.9007500062163483</v>
      </c>
      <c r="Z178" s="1222">
        <f t="shared" si="47"/>
        <v>135.12692095</v>
      </c>
      <c r="AA178" s="1223">
        <f>Z178/Z$185*100</f>
        <v>3.1884264374831059</v>
      </c>
      <c r="AB178" s="1222">
        <f t="shared" si="48"/>
        <v>167.40923369000001</v>
      </c>
      <c r="AC178" s="1223">
        <f>AB178/AB$185*100</f>
        <v>3.1442426787769056</v>
      </c>
      <c r="AD178" s="1222">
        <f t="shared" si="49"/>
        <v>177.28595250000001</v>
      </c>
      <c r="AE178" s="1223">
        <f t="shared" si="50"/>
        <v>3.2177310286751757</v>
      </c>
      <c r="AF178" s="1222">
        <f t="shared" si="51"/>
        <v>240.43720901</v>
      </c>
      <c r="AG178" s="1223">
        <f t="shared" si="52"/>
        <v>3.8139185318546023</v>
      </c>
      <c r="AH178" s="1222">
        <f t="shared" si="53"/>
        <v>264.81909256</v>
      </c>
      <c r="AI178" s="1223">
        <f t="shared" si="54"/>
        <v>3.7830847197915589</v>
      </c>
    </row>
    <row r="179" spans="3:35">
      <c r="C179" s="138" t="s">
        <v>534</v>
      </c>
      <c r="D179" s="150">
        <f>Data!J$198</f>
        <v>574.75476129999993</v>
      </c>
      <c r="E179" s="150">
        <f>Data!K$198</f>
        <v>507.74304059999997</v>
      </c>
      <c r="F179" s="150">
        <f>Data!L$198</f>
        <v>402.63586871000001</v>
      </c>
      <c r="G179" s="150">
        <f>Data!M$198</f>
        <v>697.57222471</v>
      </c>
      <c r="H179" s="150">
        <f>Data!N$198</f>
        <v>867.94531057999995</v>
      </c>
      <c r="I179" s="150">
        <f>Data!O$198</f>
        <v>1406.1302848</v>
      </c>
      <c r="J179" s="150">
        <f>Data!P$198</f>
        <v>1741.6171613500001</v>
      </c>
      <c r="K179" s="150">
        <f>Data!Q$198</f>
        <v>2035.68619304</v>
      </c>
      <c r="L179" s="150">
        <f>Data!R$198</f>
        <v>2255.8437888200001</v>
      </c>
      <c r="N179" s="150">
        <f>Data!W$198</f>
        <v>315.06983308000002</v>
      </c>
      <c r="O179" s="1223">
        <f t="shared" si="42"/>
        <v>24.250057484202156</v>
      </c>
      <c r="T179" s="1222">
        <f t="shared" si="43"/>
        <v>574.75476129999993</v>
      </c>
      <c r="U179" s="1223">
        <f t="shared" si="44"/>
        <v>10.952334998508046</v>
      </c>
      <c r="V179" s="1222">
        <f t="shared" si="45"/>
        <v>507.74304059999997</v>
      </c>
      <c r="W179" s="1223">
        <f t="shared" ref="W179" si="62">V179/V$185*100</f>
        <v>12.350550341091195</v>
      </c>
      <c r="X179" s="1222">
        <f t="shared" si="46"/>
        <v>402.63586871000001</v>
      </c>
      <c r="Y179" s="1223">
        <f t="shared" ref="Y179" si="63">X179/X$185*100</f>
        <v>13.083832570710991</v>
      </c>
      <c r="Z179" s="1222">
        <f t="shared" si="47"/>
        <v>697.57222471</v>
      </c>
      <c r="AA179" s="1223">
        <f t="shared" ref="AA179" si="64">Z179/Z$185*100</f>
        <v>16.459767659045959</v>
      </c>
      <c r="AB179" s="1222">
        <f t="shared" si="48"/>
        <v>867.94531057999995</v>
      </c>
      <c r="AC179" s="1223">
        <f t="shared" ref="AC179" si="65">AB179/AB$185*100</f>
        <v>16.301554150969913</v>
      </c>
      <c r="AD179" s="1222">
        <f t="shared" si="49"/>
        <v>1406.1302848</v>
      </c>
      <c r="AE179" s="1223">
        <f t="shared" si="50"/>
        <v>25.521193213324793</v>
      </c>
      <c r="AF179" s="1222">
        <f t="shared" si="51"/>
        <v>1741.6171613500001</v>
      </c>
      <c r="AG179" s="1223">
        <f t="shared" si="52"/>
        <v>27.626281283245596</v>
      </c>
      <c r="AH179" s="1222">
        <f t="shared" si="53"/>
        <v>2035.68619304</v>
      </c>
      <c r="AI179" s="1223">
        <f t="shared" si="54"/>
        <v>29.080884073475254</v>
      </c>
    </row>
    <row r="180" spans="3:35">
      <c r="C180" s="138" t="s">
        <v>2134</v>
      </c>
      <c r="D180" s="150">
        <f>Data!J$203</f>
        <v>0</v>
      </c>
      <c r="E180" s="150">
        <f>Data!K$203</f>
        <v>0</v>
      </c>
      <c r="F180" s="150">
        <f>Data!L$203</f>
        <v>13.9807541</v>
      </c>
      <c r="G180" s="150">
        <f>Data!M$203</f>
        <v>38.496044130000001</v>
      </c>
      <c r="H180" s="150">
        <f>Data!N$203</f>
        <v>110.01698277</v>
      </c>
      <c r="I180" s="150">
        <f>Data!O$203</f>
        <v>230.45468890999999</v>
      </c>
      <c r="J180" s="150">
        <f>Data!P$203</f>
        <v>325.30119058000002</v>
      </c>
      <c r="K180" s="150">
        <f>Data!Q$203</f>
        <v>675.42978068000002</v>
      </c>
      <c r="L180" s="150">
        <f>Data!R$203</f>
        <v>608.80554815000005</v>
      </c>
      <c r="N180" s="150">
        <f>Data!W$203</f>
        <v>64.597515060000006</v>
      </c>
      <c r="O180" s="1223">
        <f t="shared" si="42"/>
        <v>4.9718928601579666</v>
      </c>
      <c r="T180" s="1222"/>
      <c r="U180" s="1223"/>
      <c r="V180" s="1222"/>
      <c r="W180" s="1223"/>
      <c r="X180" s="1222"/>
      <c r="Y180" s="1223"/>
      <c r="Z180" s="1222"/>
      <c r="AA180" s="1223"/>
      <c r="AB180" s="1222"/>
      <c r="AC180" s="1223"/>
      <c r="AD180" s="1222"/>
      <c r="AE180" s="1223"/>
      <c r="AF180" s="1222">
        <f t="shared" ref="AF180" si="66">J180</f>
        <v>325.30119058000002</v>
      </c>
      <c r="AG180" s="1223">
        <f t="shared" ref="AG180" si="67">AF180/AF$185*100</f>
        <v>5.1600675465161769</v>
      </c>
      <c r="AH180" s="1222">
        <f t="shared" si="53"/>
        <v>675.42978068000002</v>
      </c>
      <c r="AI180" s="1223">
        <f t="shared" si="54"/>
        <v>9.6488816492856877</v>
      </c>
    </row>
    <row r="181" spans="3:35">
      <c r="C181" s="138" t="s">
        <v>2073</v>
      </c>
      <c r="D181" s="150">
        <f>Data!J$199</f>
        <v>446.79151804999998</v>
      </c>
      <c r="E181" s="150">
        <f>Data!K$199</f>
        <v>363.40026553000001</v>
      </c>
      <c r="F181" s="150">
        <f>Data!L$199</f>
        <v>226.80860419999999</v>
      </c>
      <c r="G181" s="150">
        <f>Data!M$199</f>
        <v>404.31269811999999</v>
      </c>
      <c r="H181" s="150">
        <f>Data!N$199</f>
        <v>581.01968615999999</v>
      </c>
      <c r="I181" s="150">
        <f>Data!O$199</f>
        <v>822.36884109000005</v>
      </c>
      <c r="J181" s="150">
        <f>Data!P$199</f>
        <v>988.78581586999996</v>
      </c>
      <c r="K181" s="150">
        <f>Data!Q$199</f>
        <v>764.35634115000005</v>
      </c>
      <c r="L181" s="150">
        <f>Data!R$199</f>
        <v>601.23376131999999</v>
      </c>
      <c r="N181" s="150">
        <f>Data!W$199</f>
        <v>196.40194091000001</v>
      </c>
      <c r="O181" s="1223">
        <f>N181/N$185*100</f>
        <v>15.116516584648881</v>
      </c>
      <c r="T181" s="1222">
        <f t="shared" si="43"/>
        <v>446.79151804999998</v>
      </c>
      <c r="U181" s="1223">
        <f>T181/T$185*100</f>
        <v>8.5139101224798406</v>
      </c>
      <c r="V181" s="1222">
        <f t="shared" si="45"/>
        <v>363.40026553000001</v>
      </c>
      <c r="W181" s="1223">
        <f t="shared" ref="W181:W183" si="68">V181/V$185*100</f>
        <v>8.8394973727074113</v>
      </c>
      <c r="X181" s="1222">
        <f t="shared" si="46"/>
        <v>226.80860419999999</v>
      </c>
      <c r="Y181" s="1223">
        <f t="shared" ref="Y181:Y183" si="69">X181/X$185*100</f>
        <v>7.3702469987511936</v>
      </c>
      <c r="Z181" s="1222">
        <f t="shared" si="47"/>
        <v>404.31269811999999</v>
      </c>
      <c r="AA181" s="1223">
        <f t="shared" ref="AA181:AA183" si="70">Z181/Z$185*100</f>
        <v>9.5400774814734213</v>
      </c>
      <c r="AB181" s="1222">
        <f t="shared" si="48"/>
        <v>581.01968615999999</v>
      </c>
      <c r="AC181" s="1223">
        <f t="shared" ref="AC181:AC183" si="71">AB181/AB$185*100</f>
        <v>10.912581427955971</v>
      </c>
      <c r="AD181" s="1222">
        <f t="shared" si="49"/>
        <v>822.36884109000005</v>
      </c>
      <c r="AE181" s="1223">
        <f>AD181/AD$185*100</f>
        <v>14.92595267518975</v>
      </c>
      <c r="AF181" s="1222">
        <f t="shared" si="51"/>
        <v>988.78581586999996</v>
      </c>
      <c r="AG181" s="1223">
        <f>AF181/AF$185*100</f>
        <v>15.684546342511901</v>
      </c>
      <c r="AH181" s="1222">
        <f t="shared" si="53"/>
        <v>764.35634115000005</v>
      </c>
      <c r="AI181" s="1223">
        <f>AH181/AH$185*100</f>
        <v>10.919245915115408</v>
      </c>
    </row>
    <row r="182" spans="3:35">
      <c r="C182" s="138" t="s">
        <v>2074</v>
      </c>
      <c r="D182" s="150">
        <f>Data!J$200</f>
        <v>127.96324325</v>
      </c>
      <c r="E182" s="150">
        <f>Data!K$200</f>
        <v>144.34277506999999</v>
      </c>
      <c r="F182" s="150">
        <f>Data!L$200</f>
        <v>161.84651041000001</v>
      </c>
      <c r="G182" s="150">
        <f>Data!M$200</f>
        <v>254.76348246000001</v>
      </c>
      <c r="H182" s="150">
        <f>Data!N$200</f>
        <v>176.90864164999999</v>
      </c>
      <c r="I182" s="150">
        <f>Data!O$200</f>
        <v>353.30675480000002</v>
      </c>
      <c r="J182" s="150">
        <f>Data!P$200</f>
        <v>427.53015490000001</v>
      </c>
      <c r="K182" s="150">
        <f>Data!Q$200</f>
        <v>595.90007120999996</v>
      </c>
      <c r="L182" s="150">
        <f>Data!R$200</f>
        <v>1045.8044793500001</v>
      </c>
      <c r="N182" s="150">
        <f>Data!W$200</f>
        <v>54.070377110000003</v>
      </c>
      <c r="O182" s="1223">
        <f>N182/N$185*100</f>
        <v>4.1616480393953061</v>
      </c>
      <c r="T182" s="1222">
        <f t="shared" si="43"/>
        <v>127.96324325</v>
      </c>
      <c r="U182" s="1223">
        <f>T182/T$185*100</f>
        <v>2.4384248760282059</v>
      </c>
      <c r="V182" s="1222">
        <f t="shared" si="45"/>
        <v>144.34277506999999</v>
      </c>
      <c r="W182" s="1223">
        <f t="shared" si="68"/>
        <v>3.5110529683837837</v>
      </c>
      <c r="X182" s="1222">
        <f t="shared" si="46"/>
        <v>161.84651041000001</v>
      </c>
      <c r="Y182" s="1223">
        <f t="shared" si="69"/>
        <v>5.2592747167378242</v>
      </c>
      <c r="Z182" s="1222">
        <f t="shared" si="47"/>
        <v>254.76348246000001</v>
      </c>
      <c r="AA182" s="1223">
        <f t="shared" si="70"/>
        <v>6.0113456080398278</v>
      </c>
      <c r="AB182" s="1222">
        <f t="shared" si="48"/>
        <v>176.90864164999999</v>
      </c>
      <c r="AC182" s="1223">
        <f t="shared" si="71"/>
        <v>3.3226584284496736</v>
      </c>
      <c r="AD182" s="1222">
        <f t="shared" si="49"/>
        <v>353.30675480000002</v>
      </c>
      <c r="AE182" s="1223">
        <f>AD182/AD$185*100</f>
        <v>6.4124996455119136</v>
      </c>
      <c r="AF182" s="1222">
        <f t="shared" si="51"/>
        <v>427.53015490000001</v>
      </c>
      <c r="AG182" s="1223">
        <f>AF182/AF$185*100</f>
        <v>6.7816673942175152</v>
      </c>
      <c r="AH182" s="1222">
        <f t="shared" si="53"/>
        <v>595.90007120999996</v>
      </c>
      <c r="AI182" s="1223">
        <f>AH182/AH$185*100</f>
        <v>8.5127565090741619</v>
      </c>
    </row>
    <row r="183" spans="3:35">
      <c r="C183" s="138" t="s">
        <v>2075</v>
      </c>
      <c r="D183" s="150">
        <f>Data!J$201</f>
        <v>5.31</v>
      </c>
      <c r="E183" s="150">
        <f>Data!K$201</f>
        <v>0.9</v>
      </c>
      <c r="F183" s="150">
        <f>Data!L$201</f>
        <v>0.18</v>
      </c>
      <c r="G183" s="150">
        <f>Data!M$201</f>
        <v>0.12</v>
      </c>
      <c r="H183" s="150">
        <f>Data!N$201</f>
        <v>0</v>
      </c>
      <c r="I183" s="150">
        <f>Data!O$201</f>
        <v>0</v>
      </c>
      <c r="J183" s="150">
        <f>Data!P$201</f>
        <v>0</v>
      </c>
      <c r="K183" s="150">
        <f>Data!Q$201</f>
        <v>0</v>
      </c>
      <c r="L183" s="150">
        <f>Data!R$201</f>
        <v>0</v>
      </c>
      <c r="N183" s="150">
        <f>Data!W$201</f>
        <v>0</v>
      </c>
      <c r="O183" s="1223">
        <f>N183/N$185*100</f>
        <v>0</v>
      </c>
      <c r="T183" s="1222">
        <f t="shared" si="43"/>
        <v>5.31</v>
      </c>
      <c r="U183" s="1223">
        <f>T183/T$185*100</f>
        <v>0.10118558863355295</v>
      </c>
      <c r="V183" s="1222">
        <f t="shared" si="45"/>
        <v>0.9</v>
      </c>
      <c r="W183" s="1223">
        <f t="shared" si="68"/>
        <v>2.1891969792135198E-2</v>
      </c>
      <c r="X183" s="1222">
        <f t="shared" si="46"/>
        <v>0.18</v>
      </c>
      <c r="Y183" s="1223">
        <f t="shared" si="69"/>
        <v>5.8491804773216569E-3</v>
      </c>
      <c r="Z183" s="1222">
        <f t="shared" si="47"/>
        <v>0.12</v>
      </c>
      <c r="AA183" s="1223">
        <f t="shared" si="70"/>
        <v>2.8314947888107909E-3</v>
      </c>
      <c r="AB183" s="1222">
        <f t="shared" si="48"/>
        <v>0</v>
      </c>
      <c r="AC183" s="1223">
        <f t="shared" si="71"/>
        <v>0</v>
      </c>
      <c r="AD183" s="1222">
        <f t="shared" si="49"/>
        <v>0</v>
      </c>
      <c r="AE183" s="1223">
        <f>AD183/AD$185*100</f>
        <v>0</v>
      </c>
      <c r="AF183" s="1222">
        <f t="shared" si="51"/>
        <v>0</v>
      </c>
      <c r="AG183" s="1223">
        <f>AF183/AF$185*100</f>
        <v>0</v>
      </c>
      <c r="AH183" s="1222">
        <f t="shared" si="53"/>
        <v>0</v>
      </c>
      <c r="AI183" s="1223">
        <f>AH183/AH$185*100</f>
        <v>0</v>
      </c>
    </row>
    <row r="184" spans="3:35">
      <c r="C184" s="138" t="s">
        <v>1724</v>
      </c>
      <c r="D184" s="162">
        <f t="shared" ref="D184:G184" si="72">D185-D172-D174-D179</f>
        <v>127.65141342000038</v>
      </c>
      <c r="E184" s="162">
        <f t="shared" si="72"/>
        <v>193.74278007000021</v>
      </c>
      <c r="F184" s="162">
        <f t="shared" si="72"/>
        <v>196.87222589999982</v>
      </c>
      <c r="G184" s="162">
        <f t="shared" si="72"/>
        <v>380.80221638999978</v>
      </c>
      <c r="H184" s="162">
        <f>H185-H172-H174-H179</f>
        <v>463.64083555000013</v>
      </c>
      <c r="I184" s="162">
        <f>I185-I172-I174-I179</f>
        <v>555.5007983699993</v>
      </c>
      <c r="J184" s="162">
        <f>J185-J172-J174-J179-J180</f>
        <v>440.03448014999992</v>
      </c>
      <c r="K184" s="162">
        <f>K185-K172-K174-K179-K180</f>
        <v>96.290425519999644</v>
      </c>
      <c r="L184" s="162">
        <f>L185-L172-L174-L179-L180</f>
        <v>25.125315569999657</v>
      </c>
      <c r="N184" s="162">
        <f>N185-N172-N174-N179-N180</f>
        <v>93.190603119999906</v>
      </c>
      <c r="O184" s="1223">
        <f>N184/N$185*100</f>
        <v>7.1726241149645587</v>
      </c>
      <c r="T184" s="1222">
        <f t="shared" si="43"/>
        <v>127.65141342000038</v>
      </c>
      <c r="U184" s="1223">
        <f>T184/T$185*100</f>
        <v>2.4324827508112543</v>
      </c>
      <c r="V184" s="1222">
        <f t="shared" si="45"/>
        <v>193.74278007000021</v>
      </c>
      <c r="W184" s="1223">
        <f t="shared" ref="W184" si="73">V184/V$185*100</f>
        <v>4.7126789874852646</v>
      </c>
      <c r="X184" s="1222">
        <f t="shared" si="46"/>
        <v>196.87222589999982</v>
      </c>
      <c r="Y184" s="1223">
        <f t="shared" ref="Y184" si="74">X184/X$185*100</f>
        <v>6.3974510014507668</v>
      </c>
      <c r="Z184" s="1222">
        <f t="shared" si="47"/>
        <v>380.80221638999978</v>
      </c>
      <c r="AA184" s="1223">
        <f t="shared" ref="AA184" si="75">Z184/Z$185*100</f>
        <v>8.9853290939656958</v>
      </c>
      <c r="AB184" s="1222">
        <f t="shared" si="48"/>
        <v>463.64083555000013</v>
      </c>
      <c r="AC184" s="1223">
        <f t="shared" ref="AC184" si="76">AB184/AB$185*100</f>
        <v>8.7079981828217097</v>
      </c>
      <c r="AD184" s="1222">
        <f t="shared" si="49"/>
        <v>555.5007983699993</v>
      </c>
      <c r="AE184" s="1223">
        <f>AD184/AD$185*100</f>
        <v>10.082311261344742</v>
      </c>
      <c r="AF184" s="1222">
        <f t="shared" si="51"/>
        <v>440.03448014999992</v>
      </c>
      <c r="AG184" s="1223">
        <f>AF184/AF$185*100</f>
        <v>6.9800163851897423</v>
      </c>
      <c r="AH184" s="1222">
        <f t="shared" si="53"/>
        <v>96.290425519999644</v>
      </c>
      <c r="AI184" s="1223">
        <f>AH184/AH$185*100</f>
        <v>1.3755610818143866</v>
      </c>
    </row>
    <row r="185" spans="3:35">
      <c r="C185" s="138" t="s">
        <v>536</v>
      </c>
      <c r="D185" s="150">
        <f>Data!J$204</f>
        <v>5247.7828826300001</v>
      </c>
      <c r="E185" s="150">
        <f>Data!K$204</f>
        <v>4111.0964821600001</v>
      </c>
      <c r="F185" s="150">
        <f>Data!L$204</f>
        <v>3077.3541814599998</v>
      </c>
      <c r="G185" s="150">
        <f>Data!M$204</f>
        <v>4238.0441763199997</v>
      </c>
      <c r="H185" s="150">
        <f>Data!N$204</f>
        <v>5324.3102009900003</v>
      </c>
      <c r="I185" s="150">
        <f>Data!O$204</f>
        <v>5509.6572995099996</v>
      </c>
      <c r="J185" s="150">
        <f>Data!P$204</f>
        <v>6304.20411453</v>
      </c>
      <c r="K185" s="150">
        <f>Data!Q$204</f>
        <v>7000.0835871999998</v>
      </c>
      <c r="L185" s="150">
        <f>Data!R$204</f>
        <v>5683.8890893400003</v>
      </c>
      <c r="N185" s="150">
        <f>Data!W$204</f>
        <v>1299.2539637699999</v>
      </c>
      <c r="O185" s="1223">
        <f>N185/N$185*100</f>
        <v>100</v>
      </c>
      <c r="T185" s="1222">
        <f t="shared" si="43"/>
        <v>5247.7828826300001</v>
      </c>
      <c r="U185" s="1223">
        <f>T185/T$185*100</f>
        <v>100</v>
      </c>
      <c r="V185" s="1222">
        <f t="shared" si="45"/>
        <v>4111.0964821600001</v>
      </c>
      <c r="W185" s="1223">
        <f t="shared" ref="W185" si="77">V185/V$185*100</f>
        <v>100</v>
      </c>
      <c r="X185" s="1222">
        <f t="shared" si="46"/>
        <v>3077.3541814599998</v>
      </c>
      <c r="Y185" s="1223">
        <f t="shared" ref="Y185" si="78">X185/X$185*100</f>
        <v>100</v>
      </c>
      <c r="Z185" s="1222">
        <f t="shared" si="47"/>
        <v>4238.0441763199997</v>
      </c>
      <c r="AA185" s="1223">
        <f t="shared" ref="AA185" si="79">Z185/Z$185*100</f>
        <v>100</v>
      </c>
      <c r="AB185" s="1222">
        <f t="shared" si="48"/>
        <v>5324.3102009900003</v>
      </c>
      <c r="AC185" s="1223">
        <f t="shared" ref="AC185" si="80">AB185/AB$185*100</f>
        <v>100</v>
      </c>
      <c r="AD185" s="1222">
        <f t="shared" si="49"/>
        <v>5509.6572995099996</v>
      </c>
      <c r="AE185" s="1223">
        <f>AD185/AD$185*100</f>
        <v>100</v>
      </c>
      <c r="AF185" s="1222">
        <f t="shared" si="51"/>
        <v>6304.20411453</v>
      </c>
      <c r="AG185" s="1223">
        <f>AF185/AF$185*100</f>
        <v>100</v>
      </c>
      <c r="AH185" s="1222">
        <f t="shared" si="53"/>
        <v>7000.0835871999998</v>
      </c>
      <c r="AI185" s="1223">
        <f>AH185/AH$185*100</f>
        <v>100</v>
      </c>
    </row>
    <row r="186" spans="3:35">
      <c r="C186" s="138" t="s">
        <v>537</v>
      </c>
      <c r="D186" s="161">
        <f t="shared" ref="D186:G186" si="81">(1-D172/D185)*100</f>
        <v>36.354325231418137</v>
      </c>
      <c r="E186" s="161">
        <f t="shared" si="81"/>
        <v>38.969334614795095</v>
      </c>
      <c r="F186" s="161">
        <f t="shared" si="81"/>
        <v>40.447966746858491</v>
      </c>
      <c r="G186" s="161">
        <f t="shared" si="81"/>
        <v>45.042905561866483</v>
      </c>
      <c r="H186" s="161">
        <f>(1-H172/H185)*100</f>
        <v>43.984272929187249</v>
      </c>
      <c r="I186" s="161">
        <f>(1-I172/I185)*100</f>
        <v>54.325925632909986</v>
      </c>
      <c r="J186" s="161">
        <f>(1-J172/J185)*100</f>
        <v>58.796391117585877</v>
      </c>
      <c r="K186" s="161">
        <f>(1-K172/K185)*100</f>
        <v>58.462554707821027</v>
      </c>
      <c r="L186" s="161">
        <f>(1-L172/L185)*100</f>
        <v>68.756187981912063</v>
      </c>
      <c r="N186" s="161">
        <f>(1-N172/N185)*100</f>
        <v>57.836794837981699</v>
      </c>
    </row>
    <row r="187" spans="3:35">
      <c r="D187" s="157"/>
      <c r="E187" s="157"/>
      <c r="F187" s="155"/>
      <c r="G187" s="155"/>
      <c r="H187" s="155"/>
      <c r="I187" s="155"/>
      <c r="J187" s="155"/>
      <c r="K187" s="155"/>
      <c r="L187" s="155"/>
    </row>
    <row r="188" spans="3:35">
      <c r="C188" s="138" t="s">
        <v>538</v>
      </c>
      <c r="D188" s="157"/>
      <c r="E188" s="157"/>
      <c r="F188" s="155"/>
      <c r="G188" s="155"/>
      <c r="H188" s="155"/>
      <c r="I188" s="155"/>
      <c r="J188" s="155"/>
      <c r="K188" s="155"/>
      <c r="L188" s="155"/>
    </row>
    <row r="189" spans="3:35">
      <c r="C189" s="138" t="s">
        <v>539</v>
      </c>
      <c r="D189" s="150">
        <f>Data!J$211</f>
        <v>3511.6284745600001</v>
      </c>
      <c r="E189" s="150">
        <f>Data!K$211</f>
        <v>2549.5407356800001</v>
      </c>
      <c r="F189" s="150">
        <f>Data!L$211</f>
        <v>1775.4715371</v>
      </c>
      <c r="G189" s="150">
        <f>Data!M$211</f>
        <v>2254.4752445700001</v>
      </c>
      <c r="H189" s="150">
        <f>Data!N$211</f>
        <v>2804.3513719699999</v>
      </c>
      <c r="I189" s="150">
        <f>Data!O$211</f>
        <v>2288.01161146</v>
      </c>
      <c r="J189" s="150">
        <f>Data!P$211</f>
        <v>2355.3938719299999</v>
      </c>
      <c r="K189" s="150">
        <f>Data!Q$211</f>
        <v>2566.9765906600001</v>
      </c>
      <c r="L189" s="150">
        <f>Data!R$211</f>
        <v>1532.4252660499999</v>
      </c>
      <c r="N189" s="150">
        <f>Data!W$211</f>
        <v>498.56805364000002</v>
      </c>
      <c r="O189" s="1223">
        <f t="shared" ref="O189:O195" si="82">N189/N$195*100</f>
        <v>16.637254520909934</v>
      </c>
      <c r="T189" s="1222">
        <f t="shared" ref="T189:T195" si="83">D189</f>
        <v>3511.6284745600001</v>
      </c>
      <c r="U189" s="1223">
        <f t="shared" ref="U189:U195" si="84">T189/T$195*100</f>
        <v>46.640831437367922</v>
      </c>
      <c r="V189" s="1222">
        <f t="shared" ref="V189:V195" si="85">E189</f>
        <v>2549.5407356800001</v>
      </c>
      <c r="W189" s="1223">
        <f>V189/V$195*100</f>
        <v>37.478857558879263</v>
      </c>
      <c r="X189" s="1222">
        <f t="shared" ref="X189:X195" si="86">F189</f>
        <v>1775.4715371</v>
      </c>
      <c r="Y189" s="1223">
        <f>X189/X$195*100</f>
        <v>43.578719954128324</v>
      </c>
      <c r="Z189" s="1222">
        <f t="shared" ref="Z189:Z195" si="87">G189</f>
        <v>2254.4752445700001</v>
      </c>
      <c r="AA189" s="1223">
        <f>Z189/Z$195*100</f>
        <v>31.500446495282887</v>
      </c>
      <c r="AB189" s="1222">
        <f t="shared" ref="AB189:AB195" si="88">H189</f>
        <v>2804.3513719699999</v>
      </c>
      <c r="AC189" s="1223">
        <f>AB189/AB$195*100</f>
        <v>35.192253220155457</v>
      </c>
      <c r="AD189" s="1222">
        <f t="shared" ref="AD189:AD195" si="89">I189</f>
        <v>2288.01161146</v>
      </c>
      <c r="AE189" s="1223">
        <f>AD189/AD$195*100</f>
        <v>29.87395993432067</v>
      </c>
      <c r="AF189" s="1222">
        <f t="shared" ref="AF189:AF195" si="90">J189</f>
        <v>2355.3938719299999</v>
      </c>
      <c r="AG189" s="1223">
        <f>AF189/AF$195*100</f>
        <v>20.694791488862734</v>
      </c>
      <c r="AH189" s="1222">
        <f t="shared" ref="AH189:AH195" si="91">K189</f>
        <v>2566.9765906600001</v>
      </c>
      <c r="AI189" s="1223">
        <f>AH189/AH$195*100</f>
        <v>20.034750251986427</v>
      </c>
    </row>
    <row r="190" spans="3:35">
      <c r="C190" s="138" t="s">
        <v>540</v>
      </c>
      <c r="D190" s="150">
        <f>Data!J$215</f>
        <v>1205.38988187</v>
      </c>
      <c r="E190" s="150">
        <f>Data!K$215</f>
        <v>900.5811238</v>
      </c>
      <c r="F190" s="150">
        <f>Data!L$215</f>
        <v>645.21910138999999</v>
      </c>
      <c r="G190" s="150">
        <f>Data!M$215</f>
        <v>830.56379490999996</v>
      </c>
      <c r="H190" s="150">
        <f>Data!N$215</f>
        <v>1010.2729842700001</v>
      </c>
      <c r="I190" s="150">
        <f>Data!O$215</f>
        <v>1031.5412439900001</v>
      </c>
      <c r="J190" s="150">
        <f>Data!P$215</f>
        <v>1199.69167595</v>
      </c>
      <c r="K190" s="150">
        <f>Data!Q$215</f>
        <v>1285.02129752</v>
      </c>
      <c r="L190" s="150">
        <f>Data!R$215</f>
        <v>1018.25081441</v>
      </c>
      <c r="N190" s="150">
        <f>Data!W$215</f>
        <v>278.58889819000001</v>
      </c>
      <c r="O190" s="1223">
        <f t="shared" si="82"/>
        <v>9.2965330851977264</v>
      </c>
      <c r="T190" s="1222">
        <f t="shared" si="83"/>
        <v>1205.38988187</v>
      </c>
      <c r="U190" s="1223">
        <f t="shared" si="84"/>
        <v>16.009776291511535</v>
      </c>
      <c r="V190" s="1222">
        <f t="shared" si="85"/>
        <v>900.5811238</v>
      </c>
      <c r="W190" s="1223">
        <f t="shared" ref="W190" si="92">V190/V$195*100</f>
        <v>13.238757548273986</v>
      </c>
      <c r="X190" s="1222">
        <f t="shared" si="86"/>
        <v>645.21910138999999</v>
      </c>
      <c r="Y190" s="1223">
        <f t="shared" ref="Y190" si="93">X190/X$195*100</f>
        <v>15.836819650995881</v>
      </c>
      <c r="Z190" s="1222">
        <f t="shared" si="87"/>
        <v>830.56379490999996</v>
      </c>
      <c r="AA190" s="1223">
        <f t="shared" ref="AA190" si="94">Z190/Z$195*100</f>
        <v>11.604975679150426</v>
      </c>
      <c r="AB190" s="1222">
        <f t="shared" si="88"/>
        <v>1010.2729842700001</v>
      </c>
      <c r="AC190" s="1223">
        <f t="shared" ref="AC190" si="95">AB190/AB$195*100</f>
        <v>12.678077019619749</v>
      </c>
      <c r="AD190" s="1222">
        <f t="shared" si="89"/>
        <v>1031.5412439900001</v>
      </c>
      <c r="AE190" s="1223">
        <f t="shared" ref="AE190:AE195" si="96">AD190/AD$195*100</f>
        <v>13.468560054156573</v>
      </c>
      <c r="AF190" s="1222">
        <f t="shared" si="90"/>
        <v>1199.69167595</v>
      </c>
      <c r="AG190" s="1223">
        <f t="shared" ref="AG190:AG195" si="97">AF190/AF$195*100</f>
        <v>10.54064434003392</v>
      </c>
      <c r="AH190" s="1222">
        <f t="shared" si="91"/>
        <v>1285.02129752</v>
      </c>
      <c r="AI190" s="1223">
        <f t="shared" ref="AI190:AI195" si="98">AH190/AH$195*100</f>
        <v>10.029339908268264</v>
      </c>
    </row>
    <row r="191" spans="3:35">
      <c r="C191" s="138" t="s">
        <v>541</v>
      </c>
      <c r="D191" s="150">
        <f>Data!J$216</f>
        <v>580.06476129999999</v>
      </c>
      <c r="E191" s="150">
        <f>Data!K$216</f>
        <v>508.64304060000001</v>
      </c>
      <c r="F191" s="150">
        <f>Data!L$216</f>
        <v>402.81586871000002</v>
      </c>
      <c r="G191" s="150">
        <f>Data!M$216</f>
        <v>697.69222471</v>
      </c>
      <c r="H191" s="150">
        <f>Data!N$216</f>
        <v>867.94531057999995</v>
      </c>
      <c r="I191" s="150">
        <f>Data!O$216</f>
        <v>1406.1302848</v>
      </c>
      <c r="J191" s="150">
        <f>Data!P$216</f>
        <v>1741.6171613500001</v>
      </c>
      <c r="K191" s="150">
        <f>Data!Q$216</f>
        <v>2035.68619304</v>
      </c>
      <c r="L191" s="150">
        <f>Data!R$216</f>
        <v>2255.8437888200001</v>
      </c>
      <c r="N191" s="150">
        <f>Data!W$216</f>
        <v>315.06983308000002</v>
      </c>
      <c r="O191" s="1223">
        <f t="shared" si="82"/>
        <v>10.513904704767896</v>
      </c>
      <c r="T191" s="1222">
        <f t="shared" si="83"/>
        <v>580.06476129999999</v>
      </c>
      <c r="U191" s="1223">
        <f t="shared" si="84"/>
        <v>7.7043180822083581</v>
      </c>
      <c r="V191" s="1222">
        <f t="shared" si="85"/>
        <v>508.64304060000001</v>
      </c>
      <c r="W191" s="1223">
        <f t="shared" ref="W191" si="99">V191/V$195*100</f>
        <v>7.4771741436318582</v>
      </c>
      <c r="X191" s="1222">
        <f t="shared" si="86"/>
        <v>402.81586871000002</v>
      </c>
      <c r="Y191" s="1223">
        <f t="shared" ref="Y191" si="100">X191/X$195*100</f>
        <v>9.8870635596132939</v>
      </c>
      <c r="Z191" s="1222">
        <f t="shared" si="87"/>
        <v>697.69222471</v>
      </c>
      <c r="AA191" s="1223">
        <f t="shared" ref="AA191" si="101">Z191/Z$195*100</f>
        <v>9.7484399740410836</v>
      </c>
      <c r="AB191" s="1222">
        <f t="shared" si="88"/>
        <v>867.94531057999995</v>
      </c>
      <c r="AC191" s="1223">
        <f t="shared" ref="AC191" si="102">AB191/AB$195*100</f>
        <v>10.89198431283617</v>
      </c>
      <c r="AD191" s="1222">
        <f t="shared" si="89"/>
        <v>1406.1302848</v>
      </c>
      <c r="AE191" s="1223">
        <f t="shared" si="96"/>
        <v>18.35946967233496</v>
      </c>
      <c r="AF191" s="1222">
        <f t="shared" si="90"/>
        <v>1741.6171613500001</v>
      </c>
      <c r="AG191" s="1223">
        <f t="shared" si="97"/>
        <v>15.302070892300602</v>
      </c>
      <c r="AH191" s="1222">
        <f t="shared" si="91"/>
        <v>2035.68619304</v>
      </c>
      <c r="AI191" s="1223">
        <f t="shared" si="98"/>
        <v>15.888132606027103</v>
      </c>
    </row>
    <row r="192" spans="3:35">
      <c r="C192" s="138" t="s">
        <v>545</v>
      </c>
      <c r="D192" s="150">
        <f>Data!J$217</f>
        <v>247.12555689999999</v>
      </c>
      <c r="E192" s="150">
        <f>Data!K$217</f>
        <v>-338.46550351000002</v>
      </c>
      <c r="F192" s="150">
        <f>Data!L$217</f>
        <v>-1219.66343338</v>
      </c>
      <c r="G192" s="150">
        <f>Data!M$217</f>
        <v>-418.70206307000001</v>
      </c>
      <c r="H192" s="150">
        <f>Data!N$217</f>
        <v>-1080.59307812</v>
      </c>
      <c r="I192" s="150">
        <f>Data!O$217</f>
        <v>-841.57422439000004</v>
      </c>
      <c r="J192" s="150">
        <f>Data!P$217</f>
        <v>814.88747707000005</v>
      </c>
      <c r="K192" s="150">
        <f>Data!Q$217</f>
        <v>-217.79837427000001</v>
      </c>
      <c r="L192" s="150">
        <f>Data!R$217</f>
        <v>1138.5713694599999</v>
      </c>
      <c r="N192" s="150">
        <f>Data!W$217</f>
        <v>283.84200728000002</v>
      </c>
      <c r="O192" s="1223">
        <f t="shared" si="82"/>
        <v>9.4718297419296533</v>
      </c>
      <c r="T192" s="1222">
        <f t="shared" si="83"/>
        <v>247.12555689999999</v>
      </c>
      <c r="U192" s="1223">
        <f t="shared" si="84"/>
        <v>3.282278158620632</v>
      </c>
      <c r="V192" s="1222">
        <f t="shared" si="85"/>
        <v>-338.46550351000002</v>
      </c>
      <c r="W192" s="1223">
        <f t="shared" ref="W192" si="103">V192/V$195*100</f>
        <v>-4.9755237157496461</v>
      </c>
      <c r="X192" s="1222">
        <f t="shared" si="86"/>
        <v>-1219.66343338</v>
      </c>
      <c r="Y192" s="1223">
        <f t="shared" ref="Y192" si="104">X192/X$195*100</f>
        <v>-29.936481712555906</v>
      </c>
      <c r="Z192" s="1222">
        <f t="shared" si="87"/>
        <v>-418.70206307000001</v>
      </c>
      <c r="AA192" s="1223">
        <f t="shared" ref="AA192" si="105">Z192/Z$195*100</f>
        <v>-5.8502757867792479</v>
      </c>
      <c r="AB192" s="1222">
        <f t="shared" si="88"/>
        <v>-1080.59307812</v>
      </c>
      <c r="AC192" s="1223">
        <f t="shared" ref="AC192" si="106">AB192/AB$195*100</f>
        <v>-13.560535107422012</v>
      </c>
      <c r="AD192" s="1222">
        <f t="shared" si="89"/>
        <v>-841.57422439000004</v>
      </c>
      <c r="AE192" s="1223">
        <f t="shared" si="96"/>
        <v>-10.988211132871422</v>
      </c>
      <c r="AF192" s="1222">
        <f t="shared" si="90"/>
        <v>814.88747707000005</v>
      </c>
      <c r="AG192" s="1223">
        <f t="shared" si="97"/>
        <v>7.1597054852787032</v>
      </c>
      <c r="AH192" s="1222">
        <f t="shared" si="91"/>
        <v>-217.79837427000001</v>
      </c>
      <c r="AI192" s="1223">
        <f t="shared" si="98"/>
        <v>-1.6998737151187655</v>
      </c>
    </row>
    <row r="193" spans="3:35">
      <c r="C193" s="138" t="s">
        <v>542</v>
      </c>
      <c r="D193" s="150">
        <f>Data!J$212</f>
        <v>2210.67814813</v>
      </c>
      <c r="E193" s="150">
        <f>Data!K$212</f>
        <v>3376.7798659700002</v>
      </c>
      <c r="F193" s="150">
        <f>Data!L$212</f>
        <v>2535.3586793600002</v>
      </c>
      <c r="G193" s="150">
        <f>Data!M$212</f>
        <v>3781.7952330200001</v>
      </c>
      <c r="H193" s="150">
        <f>Data!N$212</f>
        <v>4383.1420143100004</v>
      </c>
      <c r="I193" s="150">
        <f>Data!O$212</f>
        <v>4134.2741015299998</v>
      </c>
      <c r="J193" s="150">
        <f>Data!P$212</f>
        <v>5048.5961801900003</v>
      </c>
      <c r="K193" s="150">
        <f>Data!Q$212</f>
        <v>6994.99408141</v>
      </c>
      <c r="L193" s="150">
        <f>Data!R$212</f>
        <v>5934.1679940499998</v>
      </c>
      <c r="N193" s="150">
        <f>Data!W$212</f>
        <v>1582.18621166</v>
      </c>
      <c r="O193" s="1223">
        <f t="shared" si="82"/>
        <v>52.797676286473141</v>
      </c>
      <c r="T193" s="1222">
        <f t="shared" si="83"/>
        <v>2210.67814813</v>
      </c>
      <c r="U193" s="1223">
        <f t="shared" si="84"/>
        <v>29.361838137539088</v>
      </c>
      <c r="V193" s="1222">
        <f t="shared" si="85"/>
        <v>3376.7798659700002</v>
      </c>
      <c r="W193" s="1223">
        <f t="shared" ref="W193" si="107">V193/V$195*100</f>
        <v>49.639470290960539</v>
      </c>
      <c r="X193" s="1222">
        <f t="shared" si="86"/>
        <v>2535.3586793600002</v>
      </c>
      <c r="Y193" s="1223">
        <f t="shared" ref="Y193" si="108">X193/X$195*100</f>
        <v>62.230051883324045</v>
      </c>
      <c r="Z193" s="1222">
        <f t="shared" si="87"/>
        <v>3781.7952330200001</v>
      </c>
      <c r="AA193" s="1223">
        <f t="shared" ref="AA193" si="109">Z193/Z$195*100</f>
        <v>52.840783539667527</v>
      </c>
      <c r="AB193" s="1222">
        <f t="shared" si="88"/>
        <v>4383.1420143100004</v>
      </c>
      <c r="AC193" s="1223">
        <f t="shared" ref="AC193" si="110">AB193/AB$195*100</f>
        <v>55.0047491228392</v>
      </c>
      <c r="AD193" s="1222">
        <f t="shared" si="89"/>
        <v>4134.2741015299998</v>
      </c>
      <c r="AE193" s="1223">
        <f t="shared" si="96"/>
        <v>53.98011891547867</v>
      </c>
      <c r="AF193" s="1222">
        <f t="shared" si="90"/>
        <v>5048.5961801900003</v>
      </c>
      <c r="AG193" s="1223">
        <f t="shared" si="97"/>
        <v>44.357611058438714</v>
      </c>
      <c r="AH193" s="1222">
        <f t="shared" si="91"/>
        <v>6994.99408141</v>
      </c>
      <c r="AI193" s="1223">
        <f t="shared" si="98"/>
        <v>54.594560754891873</v>
      </c>
    </row>
    <row r="194" spans="3:35">
      <c r="C194" s="138" t="s">
        <v>535</v>
      </c>
      <c r="D194" s="150">
        <f>Data!J$221</f>
        <v>-225.80047001</v>
      </c>
      <c r="E194" s="150">
        <f>Data!K$221</f>
        <v>-194.46866621999999</v>
      </c>
      <c r="F194" s="150">
        <f>Data!L$221</f>
        <v>-65.030829920000002</v>
      </c>
      <c r="G194" s="150">
        <f>Data!M$221</f>
        <v>11.138388300000001</v>
      </c>
      <c r="H194" s="150">
        <f>Data!N$221</f>
        <v>-16.45756154</v>
      </c>
      <c r="I194" s="150">
        <f>Data!O$221</f>
        <v>-359.50010902999998</v>
      </c>
      <c r="J194" s="150">
        <f>Data!P$221</f>
        <v>221.39181078999999</v>
      </c>
      <c r="K194" s="150">
        <f>Data!Q$221</f>
        <v>147.74107476</v>
      </c>
      <c r="L194" s="150">
        <f>Data!R$221</f>
        <v>248.71030139000001</v>
      </c>
      <c r="N194" s="150">
        <f>Data!W$221</f>
        <v>38.441674759999998</v>
      </c>
      <c r="O194" s="1223">
        <f t="shared" si="82"/>
        <v>1.2828016607216632</v>
      </c>
      <c r="T194" s="1222">
        <f t="shared" si="83"/>
        <v>-225.80047001</v>
      </c>
      <c r="U194" s="1223">
        <f t="shared" si="84"/>
        <v>-2.9990421072475328</v>
      </c>
      <c r="V194" s="1222">
        <f t="shared" si="85"/>
        <v>-194.46866621999999</v>
      </c>
      <c r="W194" s="1223">
        <f t="shared" ref="W194" si="111">V194/V$195*100</f>
        <v>-2.8587358259960003</v>
      </c>
      <c r="X194" s="1222">
        <f t="shared" si="86"/>
        <v>-65.030829920000002</v>
      </c>
      <c r="Y194" s="1223">
        <f t="shared" ref="Y194" si="112">X194/X$195*100</f>
        <v>-1.5961733355056382</v>
      </c>
      <c r="Z194" s="1222">
        <f t="shared" si="87"/>
        <v>11.138388300000001</v>
      </c>
      <c r="AA194" s="1223">
        <f t="shared" ref="AA194" si="113">Z194/Z$195*100</f>
        <v>0.1556300986373243</v>
      </c>
      <c r="AB194" s="1222">
        <f t="shared" si="88"/>
        <v>-16.45756154</v>
      </c>
      <c r="AC194" s="1223">
        <f t="shared" ref="AC194" si="114">AB194/AB$195*100</f>
        <v>-0.20652856802858849</v>
      </c>
      <c r="AD194" s="1222">
        <f t="shared" si="89"/>
        <v>-359.50010902999998</v>
      </c>
      <c r="AE194" s="1223">
        <f t="shared" si="96"/>
        <v>-4.6938974434194591</v>
      </c>
      <c r="AF194" s="1222">
        <f t="shared" si="90"/>
        <v>221.39181078999999</v>
      </c>
      <c r="AG194" s="1223">
        <f t="shared" si="97"/>
        <v>1.9451767350853342</v>
      </c>
      <c r="AH194" s="1222">
        <f t="shared" si="91"/>
        <v>147.74107476</v>
      </c>
      <c r="AI194" s="1223">
        <f t="shared" si="98"/>
        <v>1.1530901939450939</v>
      </c>
    </row>
    <row r="195" spans="3:35">
      <c r="C195" s="138" t="s">
        <v>544</v>
      </c>
      <c r="D195" s="150">
        <f>Data!J$222</f>
        <v>7529.0863527499996</v>
      </c>
      <c r="E195" s="150">
        <f>Data!K$222</f>
        <v>6802.6105963199998</v>
      </c>
      <c r="F195" s="150">
        <f>Data!L$222</f>
        <v>4074.1709232600001</v>
      </c>
      <c r="G195" s="150">
        <f>Data!M$222</f>
        <v>7156.9628224400003</v>
      </c>
      <c r="H195" s="150">
        <f>Data!N$222</f>
        <v>7968.6610414700017</v>
      </c>
      <c r="I195" s="150">
        <f>Data!O$222</f>
        <v>7658.8829083600003</v>
      </c>
      <c r="J195" s="150">
        <f>Data!P$222</f>
        <v>11381.57817728</v>
      </c>
      <c r="K195" s="150">
        <f>Data!Q$222</f>
        <v>12812.620863120001</v>
      </c>
      <c r="L195" s="150">
        <f>Data!R$222</f>
        <v>12127.96953418</v>
      </c>
      <c r="N195" s="150">
        <f>Data!W$222</f>
        <v>2996.6966786099997</v>
      </c>
      <c r="O195" s="1223">
        <f t="shared" si="82"/>
        <v>100</v>
      </c>
      <c r="T195" s="1222">
        <f t="shared" si="83"/>
        <v>7529.0863527499996</v>
      </c>
      <c r="U195" s="1223">
        <f t="shared" si="84"/>
        <v>100</v>
      </c>
      <c r="V195" s="1222">
        <f t="shared" si="85"/>
        <v>6802.6105963199998</v>
      </c>
      <c r="W195" s="1223">
        <f t="shared" ref="W195" si="115">V195/V$195*100</f>
        <v>100</v>
      </c>
      <c r="X195" s="1222">
        <f t="shared" si="86"/>
        <v>4074.1709232600001</v>
      </c>
      <c r="Y195" s="1223">
        <f t="shared" ref="Y195" si="116">X195/X$195*100</f>
        <v>100</v>
      </c>
      <c r="Z195" s="1222">
        <f t="shared" si="87"/>
        <v>7156.9628224400003</v>
      </c>
      <c r="AA195" s="1223">
        <f t="shared" ref="AA195" si="117">Z195/Z$195*100</f>
        <v>100</v>
      </c>
      <c r="AB195" s="1222">
        <f t="shared" si="88"/>
        <v>7968.6610414700017</v>
      </c>
      <c r="AC195" s="1223">
        <f t="shared" ref="AC195" si="118">AB195/AB$195*100</f>
        <v>100</v>
      </c>
      <c r="AD195" s="1222">
        <f t="shared" si="89"/>
        <v>7658.8829083600003</v>
      </c>
      <c r="AE195" s="1223">
        <f t="shared" si="96"/>
        <v>100</v>
      </c>
      <c r="AF195" s="1222">
        <f t="shared" si="90"/>
        <v>11381.57817728</v>
      </c>
      <c r="AG195" s="1223">
        <f t="shared" si="97"/>
        <v>100</v>
      </c>
      <c r="AH195" s="1222">
        <f t="shared" si="91"/>
        <v>12812.620863120001</v>
      </c>
      <c r="AI195" s="1223">
        <f t="shared" si="98"/>
        <v>100</v>
      </c>
    </row>
    <row r="196" spans="3:35"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</row>
    <row r="197" spans="3:35">
      <c r="C197" s="138" t="s">
        <v>1403</v>
      </c>
      <c r="D197" s="150"/>
      <c r="E197" s="150"/>
      <c r="F197" s="150"/>
      <c r="G197" s="150"/>
      <c r="H197" s="150">
        <f>Data!N$333</f>
        <v>71502</v>
      </c>
      <c r="I197" s="150">
        <f>Data!O$333</f>
        <v>86157</v>
      </c>
      <c r="J197" s="150">
        <f>Data!P$333</f>
        <v>87750</v>
      </c>
      <c r="K197" s="150">
        <f>Data!Q$333</f>
        <v>116964</v>
      </c>
      <c r="L197" s="150">
        <f>Data!R$333</f>
        <v>114719</v>
      </c>
      <c r="M197" s="146"/>
      <c r="N197" s="146"/>
      <c r="O197" s="146"/>
      <c r="P197" s="146"/>
      <c r="Q197" s="146"/>
      <c r="R197" s="146"/>
      <c r="S197" s="146"/>
    </row>
    <row r="198" spans="3:35">
      <c r="C198" s="138" t="s">
        <v>1405</v>
      </c>
      <c r="D198" s="150"/>
      <c r="E198" s="150"/>
      <c r="F198" s="150"/>
      <c r="G198" s="150"/>
      <c r="H198" s="150">
        <f>Data!N$334</f>
        <v>54040</v>
      </c>
      <c r="I198" s="150">
        <f>Data!O$334</f>
        <v>65403</v>
      </c>
      <c r="J198" s="150">
        <f>Data!P$334</f>
        <v>56948</v>
      </c>
      <c r="K198" s="150">
        <f>Data!Q$334</f>
        <v>65339</v>
      </c>
      <c r="L198" s="150">
        <f>Data!R$334</f>
        <v>66300</v>
      </c>
      <c r="M198" s="146"/>
      <c r="N198" s="146"/>
      <c r="O198" s="146"/>
      <c r="P198" s="146"/>
      <c r="Q198" s="146"/>
      <c r="R198" s="146"/>
      <c r="S198" s="146"/>
    </row>
    <row r="199" spans="3:35">
      <c r="C199" s="138" t="s">
        <v>1404</v>
      </c>
      <c r="D199" s="150"/>
      <c r="E199" s="150"/>
      <c r="F199" s="150"/>
      <c r="G199" s="150"/>
      <c r="H199" s="150"/>
      <c r="I199" s="151">
        <f>Data!O$335</f>
        <v>75.911417528465478</v>
      </c>
      <c r="J199" s="151">
        <f>Data!P$335</f>
        <v>64.898005698005704</v>
      </c>
      <c r="K199" s="151">
        <f>Data!Q$335</f>
        <v>55.862487603023148</v>
      </c>
      <c r="L199" s="151">
        <f>Data!R$335</f>
        <v>57.793390807102575</v>
      </c>
      <c r="M199" s="146"/>
      <c r="N199" s="146"/>
      <c r="O199" s="146"/>
      <c r="P199" s="146"/>
      <c r="Q199" s="146"/>
      <c r="R199" s="146"/>
      <c r="S199" s="146"/>
    </row>
    <row r="200" spans="3:35">
      <c r="C200" s="138" t="s">
        <v>1406</v>
      </c>
      <c r="D200" s="150"/>
      <c r="E200" s="150"/>
      <c r="F200" s="150"/>
      <c r="G200" s="150"/>
      <c r="H200" s="150"/>
      <c r="I200" s="151">
        <f>Data!O$336</f>
        <v>160.59041525450573</v>
      </c>
      <c r="J200" s="151">
        <f>Data!P$336</f>
        <v>134.25480075015591</v>
      </c>
      <c r="K200" s="151">
        <f>Data!Q$336</f>
        <v>150.18740383284853</v>
      </c>
      <c r="L200" s="151">
        <f>Data!R$336</f>
        <v>142.75625069978554</v>
      </c>
      <c r="M200" s="146"/>
      <c r="N200" s="146"/>
      <c r="O200" s="146"/>
      <c r="P200" s="146"/>
      <c r="Q200" s="146"/>
      <c r="R200" s="146"/>
      <c r="S200" s="146"/>
    </row>
    <row r="201" spans="3:35">
      <c r="C201" s="138" t="s">
        <v>1415</v>
      </c>
      <c r="D201" s="150"/>
      <c r="E201" s="150"/>
      <c r="F201" s="150"/>
      <c r="G201" s="150"/>
      <c r="H201" s="150"/>
      <c r="I201" s="151">
        <f>Data!O$325</f>
        <v>62.833766493831497</v>
      </c>
      <c r="J201" s="151">
        <f>Data!P$325</f>
        <v>65.570139103126266</v>
      </c>
      <c r="K201" s="151">
        <f>Data!Q$325</f>
        <v>59.338646771038043</v>
      </c>
      <c r="L201" s="151">
        <f>Data!R$325</f>
        <v>68.847845659542415</v>
      </c>
      <c r="M201" s="146"/>
      <c r="N201" s="146"/>
      <c r="O201" s="146"/>
      <c r="P201" s="146"/>
      <c r="Q201" s="146"/>
      <c r="R201" s="146"/>
      <c r="S201" s="146"/>
    </row>
    <row r="202" spans="3:35">
      <c r="D202" s="150"/>
      <c r="E202" s="150"/>
      <c r="F202" s="150"/>
      <c r="G202" s="150"/>
      <c r="H202" s="150"/>
      <c r="I202" s="151"/>
      <c r="J202" s="151"/>
      <c r="K202" s="151"/>
      <c r="L202" s="151"/>
      <c r="M202" s="146"/>
      <c r="N202" s="146"/>
      <c r="O202" s="146"/>
      <c r="P202" s="146"/>
      <c r="Q202" s="146"/>
      <c r="R202" s="146"/>
      <c r="S202" s="146"/>
    </row>
    <row r="203" spans="3:35">
      <c r="C203" s="138" t="s">
        <v>539</v>
      </c>
      <c r="D203" s="150">
        <f>Data!J$211</f>
        <v>3511.6284745600001</v>
      </c>
      <c r="E203" s="150">
        <f>Data!K$211</f>
        <v>2549.5407356800001</v>
      </c>
      <c r="F203" s="150">
        <f>Data!L$211</f>
        <v>1775.4715371</v>
      </c>
      <c r="G203" s="150">
        <f>Data!M$211</f>
        <v>2254.4752445700001</v>
      </c>
      <c r="H203" s="150">
        <f>Data!N$211</f>
        <v>2804.3513719699999</v>
      </c>
      <c r="I203" s="150">
        <f>Data!O$211</f>
        <v>2288.01161146</v>
      </c>
      <c r="J203" s="150">
        <f>Data!P$211</f>
        <v>2355.3938719299999</v>
      </c>
      <c r="K203" s="150">
        <f>Data!Q$211</f>
        <v>2566.9765906600001</v>
      </c>
      <c r="L203" s="150">
        <f>Data!R$211</f>
        <v>1532.4252660499999</v>
      </c>
      <c r="N203" s="150">
        <f>Data!W$211</f>
        <v>498.56805364000002</v>
      </c>
    </row>
    <row r="204" spans="3:35">
      <c r="C204" s="138" t="s">
        <v>540</v>
      </c>
      <c r="D204" s="150">
        <f>Data!J$215</f>
        <v>1205.38988187</v>
      </c>
      <c r="E204" s="150">
        <f>Data!K$215</f>
        <v>900.5811238</v>
      </c>
      <c r="F204" s="150">
        <f>Data!L$215</f>
        <v>645.21910138999999</v>
      </c>
      <c r="G204" s="150">
        <f>Data!M$215</f>
        <v>830.56379490999996</v>
      </c>
      <c r="H204" s="150">
        <f>Data!N$215</f>
        <v>1010.2729842700001</v>
      </c>
      <c r="I204" s="150">
        <f>Data!O$215</f>
        <v>1031.5412439900001</v>
      </c>
      <c r="J204" s="150">
        <f>Data!P$215</f>
        <v>1199.69167595</v>
      </c>
      <c r="K204" s="150">
        <f>Data!Q$215</f>
        <v>1285.02129752</v>
      </c>
      <c r="L204" s="150">
        <f>Data!R$215</f>
        <v>1018.25081441</v>
      </c>
      <c r="N204" s="150">
        <f>Data!W$215</f>
        <v>278.58889819000001</v>
      </c>
    </row>
    <row r="205" spans="3:35">
      <c r="C205" s="138" t="s">
        <v>541</v>
      </c>
      <c r="D205" s="150">
        <f>Data!J$216</f>
        <v>580.06476129999999</v>
      </c>
      <c r="E205" s="150">
        <f>Data!K$216</f>
        <v>508.64304060000001</v>
      </c>
      <c r="F205" s="150">
        <f>Data!L$216</f>
        <v>402.81586871000002</v>
      </c>
      <c r="G205" s="150">
        <f>Data!M$216</f>
        <v>697.69222471</v>
      </c>
      <c r="H205" s="150">
        <f>Data!N$216</f>
        <v>867.94531057999995</v>
      </c>
      <c r="I205" s="150">
        <f>Data!O$216</f>
        <v>1406.1302848</v>
      </c>
      <c r="J205" s="150">
        <f>Data!P$216</f>
        <v>1741.6171613500001</v>
      </c>
      <c r="K205" s="150">
        <f>Data!Q$216</f>
        <v>2035.68619304</v>
      </c>
      <c r="L205" s="150">
        <f>Data!R$216</f>
        <v>2255.8437888200001</v>
      </c>
      <c r="N205" s="150">
        <f>Data!W$216</f>
        <v>315.06983308000002</v>
      </c>
    </row>
    <row r="206" spans="3:35">
      <c r="C206" s="138" t="s">
        <v>545</v>
      </c>
      <c r="D206" s="150">
        <f>Data!J$217</f>
        <v>247.12555689999999</v>
      </c>
      <c r="E206" s="150">
        <f>Data!K$217</f>
        <v>-338.46550351000002</v>
      </c>
      <c r="F206" s="150">
        <f>Data!L$217</f>
        <v>-1219.66343338</v>
      </c>
      <c r="G206" s="150">
        <f>Data!M$217</f>
        <v>-418.70206307000001</v>
      </c>
      <c r="H206" s="150">
        <f>Data!N$217</f>
        <v>-1080.59307812</v>
      </c>
      <c r="I206" s="150">
        <f>Data!O$217</f>
        <v>-841.57422439000004</v>
      </c>
      <c r="J206" s="150">
        <f>Data!P$217</f>
        <v>814.88747707000005</v>
      </c>
      <c r="K206" s="150">
        <f>Data!Q$217</f>
        <v>-217.79837427000001</v>
      </c>
      <c r="L206" s="150">
        <f>Data!R$217</f>
        <v>1138.5713694599999</v>
      </c>
      <c r="N206" s="150">
        <f>Data!W$217</f>
        <v>283.84200728000002</v>
      </c>
    </row>
    <row r="207" spans="3:35">
      <c r="C207" s="138" t="s">
        <v>542</v>
      </c>
      <c r="D207" s="150">
        <f>Data!J$212</f>
        <v>2210.67814813</v>
      </c>
      <c r="E207" s="150">
        <f>Data!K$212</f>
        <v>3376.7798659700002</v>
      </c>
      <c r="F207" s="150">
        <f>Data!L$212</f>
        <v>2535.3586793600002</v>
      </c>
      <c r="G207" s="150">
        <f>Data!M$212</f>
        <v>3781.7952330200001</v>
      </c>
      <c r="H207" s="150">
        <f>Data!N$212</f>
        <v>4383.1420143100004</v>
      </c>
      <c r="I207" s="150">
        <f>Data!O$212</f>
        <v>4134.2741015299998</v>
      </c>
      <c r="J207" s="150">
        <f>Data!P$212</f>
        <v>5048.5961801900003</v>
      </c>
      <c r="K207" s="150">
        <f>Data!Q$212</f>
        <v>6994.99408141</v>
      </c>
      <c r="L207" s="150">
        <f>Data!R$212</f>
        <v>5934.1679940499998</v>
      </c>
      <c r="N207" s="150">
        <f>Data!W$212</f>
        <v>1582.18621166</v>
      </c>
    </row>
    <row r="208" spans="3:35">
      <c r="C208" s="138" t="s">
        <v>535</v>
      </c>
      <c r="D208" s="150">
        <f>Data!J$221</f>
        <v>-225.80047001</v>
      </c>
      <c r="E208" s="150">
        <f>Data!K$221</f>
        <v>-194.46866621999999</v>
      </c>
      <c r="F208" s="150">
        <f>Data!L$221</f>
        <v>-65.030829920000002</v>
      </c>
      <c r="G208" s="150">
        <f>Data!M$221</f>
        <v>11.138388300000001</v>
      </c>
      <c r="H208" s="150">
        <f>Data!N$221</f>
        <v>-16.45756154</v>
      </c>
      <c r="I208" s="150">
        <f>Data!O$221</f>
        <v>-359.50010902999998</v>
      </c>
      <c r="J208" s="150">
        <f>Data!P$221</f>
        <v>221.39181078999999</v>
      </c>
      <c r="K208" s="150">
        <f>Data!Q$221</f>
        <v>147.74107476</v>
      </c>
      <c r="L208" s="150">
        <f>Data!R$221</f>
        <v>248.71030139000001</v>
      </c>
      <c r="N208" s="150">
        <f>Data!W$221</f>
        <v>38.441674759999998</v>
      </c>
    </row>
    <row r="209" spans="1:19">
      <c r="C209" s="138" t="s">
        <v>544</v>
      </c>
      <c r="D209" s="150">
        <f>Data!J$222</f>
        <v>7529.0863527499996</v>
      </c>
      <c r="E209" s="150">
        <f>Data!K$222</f>
        <v>6802.6105963199998</v>
      </c>
      <c r="F209" s="150">
        <f>Data!L$222</f>
        <v>4074.1709232600001</v>
      </c>
      <c r="G209" s="150">
        <f>Data!M$222</f>
        <v>7156.9628224400003</v>
      </c>
      <c r="H209" s="150">
        <f>Data!N$222</f>
        <v>7968.6610414700017</v>
      </c>
      <c r="I209" s="150">
        <f>Data!O$222</f>
        <v>7658.8829083600003</v>
      </c>
      <c r="J209" s="150">
        <f>Data!P$222</f>
        <v>11381.57817728</v>
      </c>
      <c r="K209" s="150">
        <f>Data!Q$222</f>
        <v>12812.620863120001</v>
      </c>
      <c r="L209" s="150">
        <f>Data!R$222</f>
        <v>12127.96953418</v>
      </c>
      <c r="M209" s="146"/>
      <c r="N209" s="150">
        <f>Data!W$222</f>
        <v>2996.6966786099997</v>
      </c>
      <c r="O209" s="146"/>
      <c r="P209" s="146"/>
      <c r="Q209" s="146"/>
      <c r="R209" s="146"/>
      <c r="S209" s="146"/>
    </row>
    <row r="210" spans="1:19">
      <c r="C210" s="138" t="s">
        <v>2077</v>
      </c>
      <c r="D210" s="150">
        <f>Data!J$224</f>
        <v>4871.71925904</v>
      </c>
      <c r="E210" s="150">
        <f>Data!K$224</f>
        <v>4636.0851017900004</v>
      </c>
      <c r="F210" s="150">
        <f>Data!L$224</f>
        <v>2995.7843909100002</v>
      </c>
      <c r="G210" s="150">
        <f>Data!M$224</f>
        <v>4233.35168187</v>
      </c>
      <c r="H210" s="150">
        <f>Data!N$224</f>
        <v>4805.9484021899998</v>
      </c>
      <c r="I210" s="150">
        <f>Data!O$224</f>
        <v>4654.7521734499996</v>
      </c>
      <c r="J210" s="150">
        <f>Data!P$224</f>
        <v>5324.6601187799997</v>
      </c>
      <c r="K210" s="150">
        <f>Data!Q$224</f>
        <v>5971.4718922100001</v>
      </c>
      <c r="L210" s="150">
        <f>Data!R$224</f>
        <v>4967.3284612699999</v>
      </c>
      <c r="M210" s="146"/>
      <c r="N210" s="150">
        <f>Data!W$224</f>
        <v>1243.0055883299999</v>
      </c>
      <c r="O210" s="146"/>
      <c r="P210" s="146"/>
      <c r="Q210" s="146"/>
      <c r="R210" s="146"/>
      <c r="S210" s="146"/>
    </row>
    <row r="211" spans="1:19">
      <c r="C211" s="138" t="s">
        <v>547</v>
      </c>
      <c r="D211" s="150">
        <f>Data!J$233</f>
        <v>2688.4918219800002</v>
      </c>
      <c r="E211" s="150">
        <f>Data!K$233</f>
        <v>2095.00326602</v>
      </c>
      <c r="F211" s="150">
        <f>Data!L$233</f>
        <v>916.39870662999999</v>
      </c>
      <c r="G211" s="150">
        <f>Data!M$233</f>
        <v>2963.1967099799999</v>
      </c>
      <c r="H211" s="150">
        <f>Data!N$233</f>
        <v>3144.4348777</v>
      </c>
      <c r="I211" s="150">
        <f>Data!O$233</f>
        <v>2998.1066724900002</v>
      </c>
      <c r="J211" s="150">
        <f>Data!P$233</f>
        <v>6034.5590235899999</v>
      </c>
      <c r="K211" s="150">
        <f>Data!Q$233</f>
        <v>6706.4479951900003</v>
      </c>
      <c r="L211" s="150">
        <f>Data!R$233</f>
        <v>7046.7150368299999</v>
      </c>
      <c r="M211" s="146"/>
      <c r="N211" s="150">
        <f>Data!W$233</f>
        <v>1753.21786675</v>
      </c>
      <c r="O211" s="146"/>
      <c r="P211" s="146"/>
      <c r="Q211" s="146"/>
      <c r="R211" s="146"/>
      <c r="S211" s="146"/>
    </row>
    <row r="212" spans="1:19">
      <c r="C212" s="138" t="s">
        <v>548</v>
      </c>
      <c r="D212" s="150">
        <f>Data!J$21</f>
        <v>2146.1999999999998</v>
      </c>
      <c r="E212" s="150">
        <f>Data!K$21</f>
        <v>1590.22</v>
      </c>
      <c r="F212" s="150">
        <f>Data!L$21</f>
        <v>755.38</v>
      </c>
      <c r="G212" s="150">
        <f>Data!M$21</f>
        <v>2200.9299999999998</v>
      </c>
      <c r="H212" s="150">
        <f>Data!N$21</f>
        <v>2560.61</v>
      </c>
      <c r="I212" s="150">
        <f>Data!O$21</f>
        <v>2437.17</v>
      </c>
      <c r="J212" s="150">
        <f>Data!P$21</f>
        <v>4722.8</v>
      </c>
      <c r="K212" s="150">
        <f>Data!Q$21</f>
        <v>5035.1000000000004</v>
      </c>
      <c r="L212" s="150">
        <f>Data!R$21</f>
        <v>5251.57</v>
      </c>
      <c r="M212" s="146"/>
      <c r="N212" s="150">
        <f>Data!W$21</f>
        <v>1432.29</v>
      </c>
      <c r="O212" s="146"/>
      <c r="P212" s="146"/>
      <c r="Q212" s="146"/>
      <c r="R212" s="146"/>
      <c r="S212" s="146"/>
    </row>
    <row r="213" spans="1:19">
      <c r="C213" s="138" t="s">
        <v>2078</v>
      </c>
      <c r="D213" s="151">
        <f>Data!J$355</f>
        <v>154.5468027283996</v>
      </c>
      <c r="E213" s="151">
        <f>Data!K$355</f>
        <v>146.73178871745688</v>
      </c>
      <c r="F213" s="151">
        <f>Data!L$355</f>
        <v>135.99680055821472</v>
      </c>
      <c r="G213" s="151">
        <f>Data!M$355</f>
        <v>169.06138115316119</v>
      </c>
      <c r="H213" s="151">
        <f>Data!N$355</f>
        <v>165.80829369368178</v>
      </c>
      <c r="I213" s="151">
        <f>Data!O$355</f>
        <v>164.53900493446477</v>
      </c>
      <c r="J213" s="151">
        <f>Data!P$355</f>
        <v>213.75220057966396</v>
      </c>
      <c r="K213" s="151">
        <f>Data!Q$355</f>
        <v>214.56386456134084</v>
      </c>
      <c r="L213" s="151">
        <f>Data!R$355</f>
        <v>244.15477310874735</v>
      </c>
      <c r="M213" s="146"/>
      <c r="N213" s="151">
        <f>Data!W$355</f>
        <v>241.08473097342346</v>
      </c>
      <c r="O213" s="146"/>
      <c r="P213" s="146"/>
      <c r="Q213" s="146"/>
      <c r="R213" s="146"/>
      <c r="S213" s="146"/>
    </row>
    <row r="214" spans="1:19">
      <c r="C214" s="138" t="s">
        <v>549</v>
      </c>
      <c r="D214" s="151">
        <f>Data!J$352</f>
        <v>0</v>
      </c>
      <c r="E214" s="151">
        <f>Data!K$352</f>
        <v>0.88153176026586999</v>
      </c>
      <c r="F214" s="151">
        <f>Data!L$352</f>
        <v>0.51482215476503446</v>
      </c>
      <c r="G214" s="151">
        <f>Data!M$352</f>
        <v>1.0155999355878853</v>
      </c>
      <c r="H214" s="151">
        <f>Data!N$352</f>
        <v>0.98545027227548088</v>
      </c>
      <c r="I214" s="151">
        <f>Data!O$352</f>
        <v>0.79510455928738966</v>
      </c>
      <c r="J214" s="151">
        <f>Data!P$352</f>
        <v>1.3422790132847369</v>
      </c>
      <c r="K214" s="151">
        <f>Data!Q$352</f>
        <v>1.2296256503352065</v>
      </c>
      <c r="L214" s="151">
        <f>Data!R$352</f>
        <v>1.5174251502121172</v>
      </c>
      <c r="M214" s="146"/>
      <c r="N214" s="151">
        <f>Data!W$352</f>
        <v>1.6850458642597499</v>
      </c>
      <c r="O214" s="146"/>
      <c r="P214" s="146"/>
      <c r="Q214" s="146"/>
      <c r="R214" s="146"/>
      <c r="S214" s="146"/>
    </row>
    <row r="215" spans="1:19">
      <c r="D215" s="151"/>
      <c r="E215" s="151"/>
      <c r="F215" s="151"/>
      <c r="G215" s="151"/>
      <c r="H215" s="151"/>
      <c r="I215" s="151"/>
      <c r="J215" s="151"/>
      <c r="K215" s="151"/>
      <c r="L215" s="151"/>
      <c r="M215" s="146"/>
      <c r="N215" s="151"/>
      <c r="O215" s="146"/>
      <c r="P215" s="146"/>
      <c r="Q215" s="146"/>
      <c r="R215" s="146"/>
      <c r="S215" s="146"/>
    </row>
    <row r="216" spans="1:19">
      <c r="C216" s="138" t="s">
        <v>2377</v>
      </c>
      <c r="D216" s="151"/>
      <c r="E216" s="151"/>
      <c r="F216" s="151"/>
      <c r="G216" s="151"/>
      <c r="H216" s="151"/>
      <c r="I216" s="150">
        <f>Data!O53</f>
        <v>340.24</v>
      </c>
      <c r="J216" s="150">
        <f>Data!P53</f>
        <v>358.36</v>
      </c>
      <c r="K216" s="150">
        <f>Data!Q53</f>
        <v>337.6</v>
      </c>
      <c r="L216" s="150">
        <f>Data!R53</f>
        <v>403.2</v>
      </c>
      <c r="M216" s="146"/>
      <c r="N216" s="146"/>
      <c r="O216" s="146"/>
      <c r="P216" s="146"/>
      <c r="Q216" s="146"/>
      <c r="R216" s="146"/>
      <c r="S216" s="146"/>
    </row>
    <row r="217" spans="1:19">
      <c r="D217" s="151"/>
      <c r="E217" s="151"/>
      <c r="F217" s="151"/>
      <c r="G217" s="151"/>
      <c r="H217" s="151"/>
      <c r="I217" s="151"/>
      <c r="J217" s="151"/>
      <c r="K217" s="151"/>
      <c r="L217" s="151"/>
      <c r="M217" s="146"/>
      <c r="N217" s="146"/>
      <c r="O217" s="146"/>
      <c r="P217" s="146"/>
      <c r="Q217" s="146"/>
      <c r="R217" s="146"/>
      <c r="S217" s="146"/>
    </row>
    <row r="218" spans="1:19">
      <c r="C218" s="138" t="s">
        <v>546</v>
      </c>
      <c r="D218" s="150">
        <f>Data!J$232</f>
        <v>31.124728269999999</v>
      </c>
      <c r="E218" s="150">
        <f>Data!K$232</f>
        <v>-71.522228510000005</v>
      </c>
      <c r="F218" s="150">
        <f>Data!L$232</f>
        <v>-161.98782571999999</v>
      </c>
      <c r="G218" s="150">
        <f>Data!M$232</f>
        <v>39.585569409999998</v>
      </c>
      <c r="H218" s="150">
        <f>Data!N$232</f>
        <v>-18.27776158</v>
      </c>
      <c r="I218" s="150">
        <f>Data!O$232</f>
        <v>-6.0240624199999999</v>
      </c>
      <c r="J218" s="150">
        <f>Data!P$232</f>
        <v>-22.359034909999998</v>
      </c>
      <c r="K218" s="150">
        <f>Data!Q$232</f>
        <v>-134.70097572</v>
      </c>
      <c r="L218" s="150">
        <f>Data!R$232</f>
        <v>-113.92603608</v>
      </c>
      <c r="M218" s="146"/>
      <c r="N218" s="146"/>
      <c r="O218" s="146"/>
      <c r="P218" s="146"/>
      <c r="Q218" s="146"/>
      <c r="R218" s="146"/>
      <c r="S218" s="146"/>
    </row>
    <row r="219" spans="1:19"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</row>
    <row r="220" spans="1:19"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</row>
    <row r="221" spans="1:19">
      <c r="A221" s="147" t="s">
        <v>476</v>
      </c>
      <c r="B221" s="147"/>
      <c r="C221" s="152"/>
      <c r="D221" s="149"/>
      <c r="E221" s="149"/>
      <c r="F221" s="149"/>
      <c r="G221" s="149"/>
      <c r="H221" s="149"/>
      <c r="I221" s="149"/>
      <c r="J221" s="149"/>
      <c r="K221" s="149"/>
      <c r="L221" s="149"/>
      <c r="M221" s="146"/>
      <c r="N221" s="146"/>
      <c r="O221" s="146"/>
      <c r="P221" s="146"/>
      <c r="Q221" s="146"/>
      <c r="R221" s="146"/>
      <c r="S221" s="146"/>
    </row>
    <row r="222" spans="1:19">
      <c r="M222" s="146"/>
      <c r="N222" s="146"/>
      <c r="O222" s="146"/>
      <c r="P222" s="146"/>
      <c r="Q222" s="146"/>
      <c r="R222" s="146"/>
      <c r="S222" s="146"/>
    </row>
    <row r="223" spans="1:19">
      <c r="C223" s="138" t="s">
        <v>2379</v>
      </c>
      <c r="D223" s="150">
        <f>Data!J$293</f>
        <v>0</v>
      </c>
      <c r="E223" s="150">
        <f>Data!K$293</f>
        <v>435.66449644999994</v>
      </c>
      <c r="F223" s="150">
        <f>Data!L$293</f>
        <v>854.46845082999994</v>
      </c>
      <c r="G223" s="150">
        <f>Data!M$293</f>
        <v>654.35612863000006</v>
      </c>
      <c r="H223" s="150">
        <f>Data!N$293</f>
        <v>673.5864646</v>
      </c>
      <c r="I223" s="150">
        <f>Data!O$293</f>
        <v>422.07300823000003</v>
      </c>
      <c r="J223" s="150">
        <f>Data!P$293</f>
        <v>371.11319686000002</v>
      </c>
      <c r="K223" s="150">
        <f>Data!Q$293</f>
        <v>467.06464231999996</v>
      </c>
      <c r="L223" s="150">
        <f>Data!R$293</f>
        <v>531.27608916999998</v>
      </c>
      <c r="M223" s="146"/>
      <c r="N223" s="146"/>
      <c r="O223" s="146"/>
      <c r="P223" s="146"/>
      <c r="Q223" s="146"/>
      <c r="R223" s="146"/>
      <c r="S223" s="146"/>
    </row>
    <row r="224" spans="1:19">
      <c r="C224" s="138" t="s">
        <v>2380</v>
      </c>
      <c r="D224" s="150"/>
      <c r="E224" s="164">
        <f t="shared" ref="E224:L224" si="119">E223/E11</f>
        <v>1.363816067513301E-2</v>
      </c>
      <c r="F224" s="164">
        <f t="shared" si="119"/>
        <v>2.7716969958820371E-2</v>
      </c>
      <c r="G224" s="164">
        <f t="shared" si="119"/>
        <v>2.0510532370197305E-2</v>
      </c>
      <c r="H224" s="164">
        <f t="shared" si="119"/>
        <v>2.044355963639112E-2</v>
      </c>
      <c r="I224" s="164">
        <f t="shared" si="119"/>
        <v>1.0363573484301045E-2</v>
      </c>
      <c r="J224" s="164">
        <f t="shared" si="119"/>
        <v>8.7489864964867391E-3</v>
      </c>
      <c r="K224" s="164">
        <f t="shared" si="119"/>
        <v>1.0735889140047873E-2</v>
      </c>
      <c r="L224" s="164">
        <f t="shared" si="119"/>
        <v>1.1439363887836219E-2</v>
      </c>
      <c r="M224" s="146"/>
      <c r="N224" s="146"/>
      <c r="O224" s="146"/>
      <c r="P224" s="146"/>
      <c r="Q224" s="146"/>
      <c r="R224" s="146"/>
      <c r="S224" s="146"/>
    </row>
    <row r="225" spans="1:19">
      <c r="M225" s="146"/>
      <c r="N225" s="146"/>
      <c r="O225" s="146"/>
      <c r="P225" s="146"/>
      <c r="Q225" s="146"/>
      <c r="R225" s="146"/>
      <c r="S225" s="146"/>
    </row>
    <row r="226" spans="1:19">
      <c r="C226" s="138" t="s">
        <v>731</v>
      </c>
      <c r="D226" s="151">
        <f>Data!J$340</f>
        <v>0</v>
      </c>
      <c r="E226" s="151">
        <f>Data!K$340</f>
        <v>93.415683321088608</v>
      </c>
      <c r="F226" s="151">
        <f>Data!L$340</f>
        <v>99.002154922568522</v>
      </c>
      <c r="G226" s="151">
        <f>Data!M$340</f>
        <v>94.998867682366182</v>
      </c>
      <c r="H226" s="151">
        <f>Data!N$340</f>
        <v>101.48056699372781</v>
      </c>
      <c r="I226" s="151">
        <f>Data!O$340</f>
        <v>123.80934901171914</v>
      </c>
      <c r="J226" s="151">
        <f>Data!P$340</f>
        <v>289.0339069506432</v>
      </c>
      <c r="K226" s="151">
        <f>Data!Q$340</f>
        <v>280.74806847648432</v>
      </c>
      <c r="L226" s="151">
        <f>Data!R$340</f>
        <v>285.66494501399814</v>
      </c>
    </row>
    <row r="227" spans="1:19">
      <c r="C227" s="138" t="s">
        <v>732</v>
      </c>
      <c r="D227" s="150">
        <f>Data!J$359</f>
        <v>0</v>
      </c>
      <c r="E227" s="150">
        <f>Data!K$359</f>
        <v>346.63593629000002</v>
      </c>
      <c r="F227" s="150">
        <f>Data!L$359</f>
        <v>761.45773430999998</v>
      </c>
      <c r="G227" s="150">
        <f>Data!M$359</f>
        <v>579.24571487999992</v>
      </c>
      <c r="H227" s="150">
        <f>Data!N$359</f>
        <v>655.60711631000004</v>
      </c>
      <c r="I227" s="150">
        <f>Data!O$359</f>
        <v>462.67292951000002</v>
      </c>
      <c r="J227" s="150">
        <f>Data!P$359</f>
        <v>1072.6429687699999</v>
      </c>
      <c r="K227" s="150">
        <f>Data!Q$359</f>
        <v>1311.27496185</v>
      </c>
      <c r="L227" s="150">
        <f>Data!R$359</f>
        <v>1517.6695480000001</v>
      </c>
    </row>
    <row r="228" spans="1:19">
      <c r="C228" s="138" t="s">
        <v>225</v>
      </c>
      <c r="D228" s="150">
        <f>Data!J$292</f>
        <v>0</v>
      </c>
      <c r="E228" s="150">
        <f>Data!K$292</f>
        <v>371.06824460999997</v>
      </c>
      <c r="F228" s="150">
        <f>Data!L$292</f>
        <v>769.13248494999993</v>
      </c>
      <c r="G228" s="150">
        <f>Data!M$292</f>
        <v>609.73959902000001</v>
      </c>
      <c r="H228" s="150">
        <f>Data!N$292</f>
        <v>646.04203123000002</v>
      </c>
      <c r="I228" s="150">
        <f>Data!O$292</f>
        <v>373.69789374000004</v>
      </c>
      <c r="J228" s="150">
        <f>Data!P$292</f>
        <v>371.11319571000001</v>
      </c>
      <c r="K228" s="150">
        <f>Data!Q$292</f>
        <v>467.06464231999996</v>
      </c>
      <c r="L228" s="150">
        <f>Data!R$292</f>
        <v>531.27608916999998</v>
      </c>
    </row>
    <row r="229" spans="1:19">
      <c r="C229" s="138" t="s">
        <v>248</v>
      </c>
      <c r="D229" s="151">
        <f>Data!J$343</f>
        <v>0</v>
      </c>
      <c r="E229" s="151">
        <f>Data!K$343</f>
        <v>0.27869744219040077</v>
      </c>
      <c r="F229" s="151">
        <f>Data!L$343</f>
        <v>0.30170513997667059</v>
      </c>
      <c r="G229" s="151">
        <f>Data!M$343</f>
        <v>0.23543060195427082</v>
      </c>
      <c r="H229" s="151">
        <f>Data!N$343</f>
        <v>5.4567883754653032E-2</v>
      </c>
      <c r="I229" s="151">
        <f>Data!O$343</f>
        <v>0</v>
      </c>
      <c r="J229" s="151">
        <f>Data!P$343</f>
        <v>0</v>
      </c>
      <c r="K229" s="151">
        <f>Data!Q$343</f>
        <v>0</v>
      </c>
      <c r="L229" s="151">
        <f>Data!R$343</f>
        <v>0</v>
      </c>
    </row>
    <row r="230" spans="1:19">
      <c r="C230" s="138" t="s">
        <v>733</v>
      </c>
      <c r="D230" s="150">
        <f>Data!J$345</f>
        <v>0</v>
      </c>
      <c r="E230" s="150">
        <f>Data!K$345</f>
        <v>89.028560160001007</v>
      </c>
      <c r="F230" s="150">
        <f>Data!L$345</f>
        <v>93.010716519997914</v>
      </c>
      <c r="G230" s="150">
        <f>Data!M$345</f>
        <v>75.110413749999225</v>
      </c>
      <c r="H230" s="150">
        <f>Data!N$345</f>
        <v>17.979348289997233</v>
      </c>
      <c r="I230" s="150">
        <f>Data!O$345</f>
        <v>0</v>
      </c>
      <c r="J230" s="150">
        <f>Data!P$345</f>
        <v>0</v>
      </c>
      <c r="K230" s="150">
        <f>Data!Q$345</f>
        <v>0</v>
      </c>
      <c r="L230" s="150">
        <f>Data!R$345</f>
        <v>0</v>
      </c>
    </row>
    <row r="231" spans="1:19">
      <c r="C231" s="138" t="s">
        <v>39</v>
      </c>
      <c r="D231" s="150">
        <f>Data!J$17</f>
        <v>31425.47</v>
      </c>
      <c r="E231" s="150">
        <f>Data!K$17</f>
        <v>31944.52</v>
      </c>
      <c r="F231" s="150">
        <f>Data!L$17</f>
        <v>30828.35</v>
      </c>
      <c r="G231" s="150">
        <f>Data!M$17</f>
        <v>31903.42</v>
      </c>
      <c r="H231" s="150">
        <f>Data!N$17</f>
        <v>32948.589999999997</v>
      </c>
      <c r="I231" s="150">
        <f>Data!O$17</f>
        <v>40726.589999999997</v>
      </c>
      <c r="J231" s="150">
        <f>Data!P$17</f>
        <v>42417.85</v>
      </c>
      <c r="K231" s="150">
        <f>Data!Q$17</f>
        <v>43504.98</v>
      </c>
      <c r="L231" s="150">
        <f>Data!R$17</f>
        <v>46442.8</v>
      </c>
    </row>
    <row r="232" spans="1:19">
      <c r="M232" s="146"/>
      <c r="N232" s="146"/>
      <c r="O232" s="146"/>
      <c r="P232" s="146"/>
      <c r="Q232" s="146"/>
      <c r="R232" s="146"/>
      <c r="S232" s="146"/>
    </row>
    <row r="233" spans="1:19">
      <c r="C233" s="138" t="s">
        <v>735</v>
      </c>
      <c r="H233" s="150">
        <f>Data!N$301</f>
        <v>5910.35</v>
      </c>
      <c r="I233" s="150">
        <f>Data!O$301</f>
        <v>12579.99842018</v>
      </c>
      <c r="J233" s="150">
        <f>Data!P$301</f>
        <v>12339.76683868</v>
      </c>
      <c r="K233" s="150">
        <f>Data!Q$301</f>
        <v>11442.425442670001</v>
      </c>
      <c r="L233" s="150">
        <f>Data!R$301</f>
        <v>6759.7199731800001</v>
      </c>
    </row>
    <row r="234" spans="1:19">
      <c r="C234" s="138" t="s">
        <v>736</v>
      </c>
      <c r="H234" s="150">
        <f>Data!N$303</f>
        <v>0</v>
      </c>
      <c r="I234" s="150">
        <f>Data!O$303</f>
        <v>0</v>
      </c>
      <c r="J234" s="150">
        <f>Data!P$303</f>
        <v>954.16793029999997</v>
      </c>
      <c r="K234" s="150">
        <f>Data!Q$303</f>
        <v>2322.4186039699998</v>
      </c>
      <c r="L234" s="150">
        <f>Data!R$303</f>
        <v>2035.0310034500001</v>
      </c>
    </row>
    <row r="235" spans="1:19">
      <c r="C235" s="138" t="s">
        <v>737</v>
      </c>
      <c r="H235" s="150">
        <f>Data!N$304</f>
        <v>4495</v>
      </c>
      <c r="I235" s="150">
        <f>Data!O$304</f>
        <v>11150</v>
      </c>
      <c r="J235" s="150">
        <f>Data!P$304</f>
        <v>18757.193677179999</v>
      </c>
      <c r="K235" s="150">
        <f>Data!Q$304</f>
        <v>25625.282010440002</v>
      </c>
      <c r="L235" s="150">
        <f>Data!R$304</f>
        <v>32763.944189490001</v>
      </c>
    </row>
    <row r="236" spans="1:19">
      <c r="H236" s="150"/>
      <c r="I236" s="150"/>
      <c r="J236" s="150"/>
      <c r="K236" s="150"/>
      <c r="L236" s="150"/>
    </row>
    <row r="237" spans="1:19">
      <c r="C237" s="138" t="s">
        <v>2079</v>
      </c>
      <c r="H237" s="150">
        <f>Data!N$299</f>
        <v>10680.77225</v>
      </c>
      <c r="I237" s="150">
        <f>Data!O$299</f>
        <v>23729.99842018</v>
      </c>
      <c r="J237" s="150">
        <f>Data!P$299</f>
        <v>32051.128446160001</v>
      </c>
      <c r="K237" s="150">
        <f>Data!Q$299</f>
        <v>39390.12605708</v>
      </c>
      <c r="L237" s="150">
        <f>Data!R$299</f>
        <v>41558.69516612</v>
      </c>
    </row>
    <row r="238" spans="1:19">
      <c r="C238" s="138" t="s">
        <v>1276</v>
      </c>
      <c r="H238" s="164">
        <f>H237/H231</f>
        <v>0.32416477457760717</v>
      </c>
      <c r="I238" s="164">
        <f>I237/I231</f>
        <v>0.58266597866848169</v>
      </c>
      <c r="J238" s="164">
        <f>J237/J231</f>
        <v>0.75560473824486629</v>
      </c>
      <c r="K238" s="164">
        <f>K237/K231</f>
        <v>0.90541648466635305</v>
      </c>
      <c r="L238" s="164">
        <f>L237/L231</f>
        <v>0.89483612456871675</v>
      </c>
    </row>
    <row r="239" spans="1:19">
      <c r="M239" s="146"/>
      <c r="N239" s="146"/>
      <c r="O239" s="146"/>
      <c r="P239" s="146"/>
      <c r="Q239" s="146"/>
      <c r="R239" s="146"/>
      <c r="S239" s="146"/>
    </row>
    <row r="240" spans="1:19">
      <c r="A240" s="138" t="s">
        <v>742</v>
      </c>
    </row>
    <row r="241" spans="3:35">
      <c r="C241" s="138" t="s">
        <v>40</v>
      </c>
      <c r="D241" s="150">
        <f>Data!J$179</f>
        <v>1755.6980000000001</v>
      </c>
      <c r="E241" s="150">
        <f>Data!K$179</f>
        <v>1755.6980000000001</v>
      </c>
      <c r="F241" s="150">
        <f>Data!L$179</f>
        <v>1755.6980000000001</v>
      </c>
      <c r="G241" s="150">
        <f>Data!M$179</f>
        <v>1755.6980000000001</v>
      </c>
      <c r="H241" s="150">
        <f>Data!N$179</f>
        <v>1755.6980000000001</v>
      </c>
      <c r="I241" s="150">
        <f>Data!O$179</f>
        <v>1757.39</v>
      </c>
      <c r="J241" s="150">
        <f>Data!P$179</f>
        <v>1757.39</v>
      </c>
      <c r="K241" s="150">
        <f>Data!Q$179</f>
        <v>1757.39</v>
      </c>
      <c r="L241" s="150">
        <f>Data!R$179</f>
        <v>1757.39</v>
      </c>
      <c r="T241" s="1222">
        <f>D241</f>
        <v>1755.6980000000001</v>
      </c>
      <c r="U241" s="1223">
        <f>T241/T$246*100</f>
        <v>5.5868631399944055</v>
      </c>
      <c r="V241" s="1222">
        <f>E241</f>
        <v>1755.6980000000001</v>
      </c>
      <c r="W241" s="1223">
        <f>V241/V$246*100</f>
        <v>5.4960850875204885</v>
      </c>
      <c r="X241" s="1222">
        <f>F241</f>
        <v>1755.6980000000001</v>
      </c>
      <c r="Y241" s="1223">
        <f>X241/X$246*100</f>
        <v>5.6950761231139531</v>
      </c>
      <c r="Z241" s="1222">
        <f>G241</f>
        <v>1755.6980000000001</v>
      </c>
      <c r="AA241" s="1223">
        <f>Z241/Z$246*100</f>
        <v>5.503165491348577</v>
      </c>
      <c r="AB241" s="1222">
        <f>H241</f>
        <v>1755.6980000000001</v>
      </c>
      <c r="AC241" s="1223">
        <f>AB241/AB$246*100</f>
        <v>5.3285982799263953</v>
      </c>
      <c r="AD241" s="1222">
        <f>I241</f>
        <v>1757.39</v>
      </c>
      <c r="AE241" s="1223">
        <f>AD241/AD$246*100</f>
        <v>4.3150924248752478</v>
      </c>
      <c r="AF241" s="1222">
        <f>J241</f>
        <v>1757.39</v>
      </c>
      <c r="AG241" s="1223">
        <f>AF241/AF$246*100</f>
        <v>4.143043553598309</v>
      </c>
      <c r="AH241" s="1222">
        <f t="shared" ref="AH241:AH246" si="120">K241</f>
        <v>1757.39</v>
      </c>
      <c r="AI241" s="1223">
        <f>AH241/AH$246*100</f>
        <v>4.0395145567243107</v>
      </c>
    </row>
    <row r="242" spans="3:35">
      <c r="C242" s="138" t="s">
        <v>41</v>
      </c>
      <c r="D242" s="150">
        <f>Data!J$180</f>
        <v>13608.648307969999</v>
      </c>
      <c r="E242" s="150">
        <f>Data!K$180</f>
        <v>13608.648307969999</v>
      </c>
      <c r="F242" s="150">
        <f>Data!L$180</f>
        <v>13608.648307969999</v>
      </c>
      <c r="G242" s="150">
        <f>Data!M$180</f>
        <v>13608.648307969999</v>
      </c>
      <c r="H242" s="150">
        <f>Data!N$180</f>
        <v>13608.648307969999</v>
      </c>
      <c r="I242" s="150">
        <f>Data!O$180</f>
        <v>30526.938716370001</v>
      </c>
      <c r="J242" s="150">
        <f>Data!P$180</f>
        <v>30526.938716370001</v>
      </c>
      <c r="K242" s="150">
        <f>Data!Q$180</f>
        <v>30526.938716370001</v>
      </c>
      <c r="L242" s="150">
        <f>Data!R$180</f>
        <v>30526.938716370001</v>
      </c>
      <c r="T242" s="1222">
        <f t="shared" ref="T242:T246" si="121">D242</f>
        <v>13608.648307969999</v>
      </c>
      <c r="U242" s="1223">
        <f t="shared" ref="U242:U246" si="122">T242/T$246*100</f>
        <v>43.304517984838412</v>
      </c>
      <c r="V242" s="1222">
        <f t="shared" ref="V242:V246" si="123">E242</f>
        <v>13608.648307969999</v>
      </c>
      <c r="W242" s="1223">
        <f t="shared" ref="W242:W246" si="124">V242/V$246*100</f>
        <v>42.600885247203585</v>
      </c>
      <c r="X242" s="1222">
        <f t="shared" ref="X242:X246" si="125">F242</f>
        <v>13608.648307969999</v>
      </c>
      <c r="Y242" s="1223">
        <f t="shared" ref="Y242:Y246" si="126">X242/X$246*100</f>
        <v>44.143291184802301</v>
      </c>
      <c r="Z242" s="1222">
        <f t="shared" ref="Z242:Z246" si="127">G242</f>
        <v>13608.648307969999</v>
      </c>
      <c r="AA242" s="1223">
        <f t="shared" ref="AA242:AA246" si="128">Z242/Z$246*100</f>
        <v>42.655766397364296</v>
      </c>
      <c r="AB242" s="1222">
        <f t="shared" ref="AB242:AB246" si="129">H242</f>
        <v>13608.648307969999</v>
      </c>
      <c r="AC242" s="1223">
        <f t="shared" ref="AC242:AC246" si="130">AB242/AB$246*100</f>
        <v>41.302672763751048</v>
      </c>
      <c r="AD242" s="1222">
        <f t="shared" ref="AD242:AD246" si="131">I242</f>
        <v>30526.938716370001</v>
      </c>
      <c r="AE242" s="1223">
        <f t="shared" ref="AE242:AE246" si="132">AD242/AD$246*100</f>
        <v>74.955793540215382</v>
      </c>
      <c r="AF242" s="1222">
        <f t="shared" ref="AF242:AF246" si="133">J242</f>
        <v>30526.938716370001</v>
      </c>
      <c r="AG242" s="1223">
        <f t="shared" ref="AG242:AG246" si="134">AF242/AF$246*100</f>
        <v>71.96719946053372</v>
      </c>
      <c r="AH242" s="1222">
        <f t="shared" si="120"/>
        <v>30526.938716370001</v>
      </c>
      <c r="AI242" s="1223">
        <f t="shared" ref="AI242:AI246" si="135">AH242/AH$246*100</f>
        <v>70.168837490259733</v>
      </c>
    </row>
    <row r="243" spans="3:35">
      <c r="C243" s="138" t="s">
        <v>2080</v>
      </c>
      <c r="D243" s="150">
        <f>Data!J$181</f>
        <v>0</v>
      </c>
      <c r="E243" s="150">
        <f>Data!K$181</f>
        <v>0</v>
      </c>
      <c r="F243" s="150">
        <f>Data!L$181</f>
        <v>0</v>
      </c>
      <c r="G243" s="150">
        <f>Data!M$181</f>
        <v>0</v>
      </c>
      <c r="H243" s="150">
        <f>Data!N$181</f>
        <v>0</v>
      </c>
      <c r="I243" s="150">
        <f>Data!O$181</f>
        <v>0</v>
      </c>
      <c r="J243" s="150">
        <f>Data!P$181</f>
        <v>0</v>
      </c>
      <c r="K243" s="150">
        <f>Data!Q$181</f>
        <v>0</v>
      </c>
      <c r="L243" s="150">
        <f>Data!R$181</f>
        <v>0</v>
      </c>
      <c r="T243" s="1222">
        <f t="shared" si="121"/>
        <v>0</v>
      </c>
      <c r="U243" s="1223">
        <f t="shared" si="122"/>
        <v>0</v>
      </c>
      <c r="V243" s="1222">
        <f t="shared" si="123"/>
        <v>0</v>
      </c>
      <c r="W243" s="1223">
        <f t="shared" si="124"/>
        <v>0</v>
      </c>
      <c r="X243" s="1222">
        <f t="shared" si="125"/>
        <v>0</v>
      </c>
      <c r="Y243" s="1223">
        <f t="shared" si="126"/>
        <v>0</v>
      </c>
      <c r="Z243" s="1222">
        <f t="shared" si="127"/>
        <v>0</v>
      </c>
      <c r="AA243" s="1223">
        <f t="shared" si="128"/>
        <v>0</v>
      </c>
      <c r="AB243" s="1222">
        <f t="shared" si="129"/>
        <v>0</v>
      </c>
      <c r="AC243" s="1223">
        <f t="shared" si="130"/>
        <v>0</v>
      </c>
      <c r="AD243" s="1222">
        <f t="shared" si="131"/>
        <v>0</v>
      </c>
      <c r="AE243" s="1223">
        <f t="shared" si="132"/>
        <v>0</v>
      </c>
      <c r="AF243" s="1222">
        <f t="shared" si="133"/>
        <v>0</v>
      </c>
      <c r="AG243" s="1223">
        <f t="shared" si="134"/>
        <v>0</v>
      </c>
      <c r="AH243" s="1222">
        <f t="shared" si="120"/>
        <v>0</v>
      </c>
      <c r="AI243" s="1223">
        <f t="shared" si="135"/>
        <v>0</v>
      </c>
    </row>
    <row r="244" spans="3:35">
      <c r="C244" s="138" t="s">
        <v>743</v>
      </c>
      <c r="D244" s="150">
        <f>Data!J$183</f>
        <v>1879.17469656</v>
      </c>
      <c r="E244" s="150">
        <f>Data!K$183</f>
        <v>1808.75489655</v>
      </c>
      <c r="F244" s="150">
        <f>Data!L$183</f>
        <v>1700.28374592</v>
      </c>
      <c r="G244" s="150">
        <f>Data!M$183</f>
        <v>1174.86792122</v>
      </c>
      <c r="H244" s="150">
        <f>Data!N$183</f>
        <v>1260.6308193699999</v>
      </c>
      <c r="I244" s="150">
        <f>Data!O$183</f>
        <v>1304.1971007</v>
      </c>
      <c r="J244" s="150">
        <f>Data!P$183</f>
        <v>1974.7742655699999</v>
      </c>
      <c r="K244" s="150">
        <f>Data!Q$183</f>
        <v>1717.77829486</v>
      </c>
      <c r="L244" s="150">
        <f>Data!R$183</f>
        <v>1207.10472916</v>
      </c>
      <c r="T244" s="1222">
        <f t="shared" si="121"/>
        <v>1879.17469656</v>
      </c>
      <c r="U244" s="1223">
        <f t="shared" si="122"/>
        <v>5.9797823121181644</v>
      </c>
      <c r="V244" s="1222">
        <f t="shared" si="123"/>
        <v>1808.75489655</v>
      </c>
      <c r="W244" s="1223">
        <f t="shared" si="124"/>
        <v>5.6621758490971219</v>
      </c>
      <c r="X244" s="1222">
        <f t="shared" si="125"/>
        <v>1700.28374592</v>
      </c>
      <c r="Y244" s="1223">
        <f t="shared" si="126"/>
        <v>5.5153251663485072</v>
      </c>
      <c r="Z244" s="1222">
        <f t="shared" si="127"/>
        <v>1174.86792122</v>
      </c>
      <c r="AA244" s="1223">
        <f t="shared" si="128"/>
        <v>3.6825767307078676</v>
      </c>
      <c r="AB244" s="1222">
        <f t="shared" si="129"/>
        <v>1260.6308193699999</v>
      </c>
      <c r="AC244" s="1223">
        <f t="shared" si="130"/>
        <v>3.8260539202739787</v>
      </c>
      <c r="AD244" s="1222">
        <f t="shared" si="131"/>
        <v>1304.1971007</v>
      </c>
      <c r="AE244" s="1223">
        <f t="shared" si="132"/>
        <v>3.2023233487016718</v>
      </c>
      <c r="AF244" s="1222">
        <f t="shared" si="133"/>
        <v>1974.7742655699999</v>
      </c>
      <c r="AG244" s="1223">
        <f t="shared" si="134"/>
        <v>4.6555265426465509</v>
      </c>
      <c r="AH244" s="1222">
        <f t="shared" si="120"/>
        <v>1717.77829486</v>
      </c>
      <c r="AI244" s="1223">
        <f t="shared" si="135"/>
        <v>3.9484635893637918</v>
      </c>
    </row>
    <row r="245" spans="3:35">
      <c r="C245" s="138" t="s">
        <v>42</v>
      </c>
      <c r="D245" s="150">
        <f>Data!J$182</f>
        <v>14181.947962239999</v>
      </c>
      <c r="E245" s="150">
        <f>Data!K$182</f>
        <v>14771.42323205</v>
      </c>
      <c r="F245" s="150">
        <f>Data!L$182</f>
        <v>13763.724601010001</v>
      </c>
      <c r="G245" s="150">
        <f>Data!M$182</f>
        <v>15364.203727280001</v>
      </c>
      <c r="H245" s="150">
        <f>Data!N$182</f>
        <v>16323.616787929999</v>
      </c>
      <c r="I245" s="150">
        <f>Data!O$182</f>
        <v>7138.0690257099996</v>
      </c>
      <c r="J245" s="150">
        <f>Data!P$182</f>
        <v>8158.7508386099998</v>
      </c>
      <c r="K245" s="150">
        <f>Data!Q$182</f>
        <v>9502.8758399599992</v>
      </c>
      <c r="L245" s="150">
        <f>Data!R$182</f>
        <v>12951.362266820001</v>
      </c>
      <c r="T245" s="1222">
        <f t="shared" si="121"/>
        <v>14181.947962239999</v>
      </c>
      <c r="U245" s="1223">
        <f t="shared" si="122"/>
        <v>45.128833275174564</v>
      </c>
      <c r="V245" s="1222">
        <f t="shared" si="123"/>
        <v>14771.42323205</v>
      </c>
      <c r="W245" s="1223">
        <f t="shared" si="124"/>
        <v>46.240867704538992</v>
      </c>
      <c r="X245" s="1222">
        <f t="shared" si="125"/>
        <v>13763.724601010001</v>
      </c>
      <c r="Y245" s="1223">
        <f t="shared" si="126"/>
        <v>44.646322625148613</v>
      </c>
      <c r="Z245" s="1222">
        <f t="shared" si="127"/>
        <v>15364.203727280001</v>
      </c>
      <c r="AA245" s="1223">
        <f t="shared" si="128"/>
        <v>48.158484975215828</v>
      </c>
      <c r="AB245" s="1222">
        <f t="shared" si="129"/>
        <v>16323.616787929999</v>
      </c>
      <c r="AC245" s="1223">
        <f t="shared" si="130"/>
        <v>49.542686919015352</v>
      </c>
      <c r="AD245" s="1222">
        <f t="shared" si="131"/>
        <v>7138.0690257099996</v>
      </c>
      <c r="AE245" s="1223">
        <f t="shared" si="132"/>
        <v>17.526802577161508</v>
      </c>
      <c r="AF245" s="1222">
        <f t="shared" si="133"/>
        <v>8158.7508386099998</v>
      </c>
      <c r="AG245" s="1223">
        <f t="shared" si="134"/>
        <v>19.234239450160722</v>
      </c>
      <c r="AH245" s="1222">
        <f t="shared" si="120"/>
        <v>9502.8758399599992</v>
      </c>
      <c r="AI245" s="1223">
        <f t="shared" si="135"/>
        <v>21.843190917361639</v>
      </c>
    </row>
    <row r="246" spans="3:35">
      <c r="C246" s="138" t="s">
        <v>744</v>
      </c>
      <c r="D246" s="150">
        <f>Data!J$17</f>
        <v>31425.47</v>
      </c>
      <c r="E246" s="150">
        <f>Data!K$17</f>
        <v>31944.52</v>
      </c>
      <c r="F246" s="150">
        <f>Data!L$17</f>
        <v>30828.35</v>
      </c>
      <c r="G246" s="150">
        <f>Data!M$17</f>
        <v>31903.42</v>
      </c>
      <c r="H246" s="150">
        <f>Data!N$17</f>
        <v>32948.589999999997</v>
      </c>
      <c r="I246" s="150">
        <f>Data!O$17</f>
        <v>40726.589999999997</v>
      </c>
      <c r="J246" s="150">
        <f>Data!P$17</f>
        <v>42417.85</v>
      </c>
      <c r="K246" s="150">
        <f>Data!Q$17</f>
        <v>43504.98</v>
      </c>
      <c r="L246" s="150">
        <f>Data!R$17</f>
        <v>46442.8</v>
      </c>
      <c r="T246" s="1222">
        <f t="shared" si="121"/>
        <v>31425.47</v>
      </c>
      <c r="U246" s="1223">
        <f t="shared" si="122"/>
        <v>100</v>
      </c>
      <c r="V246" s="1222">
        <f t="shared" si="123"/>
        <v>31944.52</v>
      </c>
      <c r="W246" s="1223">
        <f t="shared" si="124"/>
        <v>100</v>
      </c>
      <c r="X246" s="1222">
        <f t="shared" si="125"/>
        <v>30828.35</v>
      </c>
      <c r="Y246" s="1223">
        <f t="shared" si="126"/>
        <v>100</v>
      </c>
      <c r="Z246" s="1222">
        <f t="shared" si="127"/>
        <v>31903.42</v>
      </c>
      <c r="AA246" s="1223">
        <f t="shared" si="128"/>
        <v>100</v>
      </c>
      <c r="AB246" s="1222">
        <f t="shared" si="129"/>
        <v>32948.589999999997</v>
      </c>
      <c r="AC246" s="1223">
        <f t="shared" si="130"/>
        <v>100</v>
      </c>
      <c r="AD246" s="1222">
        <f t="shared" si="131"/>
        <v>40726.589999999997</v>
      </c>
      <c r="AE246" s="1223">
        <f t="shared" si="132"/>
        <v>100</v>
      </c>
      <c r="AF246" s="1222">
        <f t="shared" si="133"/>
        <v>42417.85</v>
      </c>
      <c r="AG246" s="1223">
        <f t="shared" si="134"/>
        <v>100</v>
      </c>
      <c r="AH246" s="1222">
        <f t="shared" si="120"/>
        <v>43504.98</v>
      </c>
      <c r="AI246" s="1223">
        <f t="shared" si="135"/>
        <v>100</v>
      </c>
    </row>
    <row r="247" spans="3:35">
      <c r="C247" s="138" t="s">
        <v>1278</v>
      </c>
      <c r="D247" s="150">
        <f>Data!J$21</f>
        <v>2146.1999999999998</v>
      </c>
      <c r="E247" s="150">
        <f>Data!K$21</f>
        <v>1590.22</v>
      </c>
      <c r="F247" s="150">
        <f>Data!L$21</f>
        <v>755.38</v>
      </c>
      <c r="G247" s="150">
        <f>Data!M$21</f>
        <v>2200.9299999999998</v>
      </c>
      <c r="H247" s="150">
        <f>Data!N$21</f>
        <v>2560.61</v>
      </c>
      <c r="I247" s="150">
        <f>Data!O$21</f>
        <v>2437.17</v>
      </c>
      <c r="J247" s="150">
        <f>Data!P$21</f>
        <v>4722.8</v>
      </c>
      <c r="K247" s="150">
        <f>Data!Q$21</f>
        <v>5035.1000000000004</v>
      </c>
      <c r="L247" s="150">
        <f>Data!R$21</f>
        <v>5251.57</v>
      </c>
    </row>
    <row r="248" spans="3:35">
      <c r="C248" s="138" t="s">
        <v>2081</v>
      </c>
      <c r="D248" s="150">
        <f>Data!K$34</f>
        <v>1000.75</v>
      </c>
      <c r="E248" s="150">
        <f>Data!L$34</f>
        <v>1801.35</v>
      </c>
      <c r="F248" s="150">
        <f>Data!M$34</f>
        <v>600.45000000000005</v>
      </c>
      <c r="G248" s="150">
        <f>Data!N$34</f>
        <v>1601.2</v>
      </c>
      <c r="H248" s="150">
        <f>Data!O$34</f>
        <v>2001.5</v>
      </c>
      <c r="I248" s="150">
        <f>Data!P$34</f>
        <v>10823</v>
      </c>
      <c r="J248" s="150">
        <f>Data!Q$34</f>
        <v>3902.46</v>
      </c>
      <c r="K248" s="1216">
        <f>Data!AJ34</f>
        <v>1803.08</v>
      </c>
      <c r="L248" s="1216" t="str">
        <f>Data!AK34</f>
        <v>2018년은 2,302 였다가 12말 결산에 3902억원으로 확인됨</v>
      </c>
      <c r="N248" s="138" t="s">
        <v>2083</v>
      </c>
    </row>
    <row r="249" spans="3:35">
      <c r="D249" s="150"/>
      <c r="E249" s="150"/>
      <c r="F249" s="150"/>
      <c r="G249" s="150"/>
      <c r="H249" s="150"/>
      <c r="I249" s="150"/>
      <c r="J249" s="150"/>
      <c r="K249" s="150"/>
      <c r="L249" s="150"/>
    </row>
    <row r="250" spans="3:35">
      <c r="C250" s="138" t="s">
        <v>1277</v>
      </c>
      <c r="D250" s="150" t="str">
        <f>Data!J$35</f>
        <v>n.a.</v>
      </c>
      <c r="E250" s="150">
        <f>Data!K$35</f>
        <v>0</v>
      </c>
      <c r="F250" s="150">
        <f>Data!L$35</f>
        <v>0</v>
      </c>
      <c r="G250" s="150">
        <f>Data!M$35</f>
        <v>0</v>
      </c>
      <c r="H250" s="150">
        <f>Data!N$35</f>
        <v>0</v>
      </c>
      <c r="I250" s="150">
        <f>Data!O$35</f>
        <v>16919.98</v>
      </c>
      <c r="J250" s="150">
        <f>Data!P$35</f>
        <v>0</v>
      </c>
      <c r="K250" s="150">
        <f>Data!Q$35</f>
        <v>0</v>
      </c>
      <c r="L250" s="150">
        <f>Data!R$35</f>
        <v>0</v>
      </c>
    </row>
    <row r="251" spans="3:35">
      <c r="M251" s="146"/>
      <c r="N251" s="146"/>
      <c r="O251" s="146"/>
      <c r="P251" s="146"/>
      <c r="Q251" s="146"/>
      <c r="R251" s="146"/>
      <c r="S251" s="146"/>
    </row>
    <row r="252" spans="3:35">
      <c r="C252" s="138" t="s">
        <v>746</v>
      </c>
      <c r="D252" s="151">
        <f>Data!J$346</f>
        <v>0</v>
      </c>
      <c r="E252" s="151">
        <f>Data!K$346</f>
        <v>451.24210285597206</v>
      </c>
      <c r="F252" s="151">
        <f>Data!L$346</f>
        <v>425.46744879097724</v>
      </c>
      <c r="G252" s="151">
        <f>Data!M$346</f>
        <v>400.41462917963975</v>
      </c>
      <c r="H252" s="509">
        <f>Data!N$346</f>
        <v>320.12974268874166</v>
      </c>
      <c r="I252" s="509">
        <f>Data!O$346</f>
        <v>334.0312568368596</v>
      </c>
      <c r="J252" s="509">
        <f>Data!P$346</f>
        <v>244.12590158507808</v>
      </c>
      <c r="K252" s="509">
        <f>Data!Q$346</f>
        <v>164.72644343497888</v>
      </c>
      <c r="L252" s="509">
        <f>Data!R$346</f>
        <v>120.26549717834413</v>
      </c>
    </row>
    <row r="253" spans="3:35">
      <c r="C253" s="138" t="s">
        <v>494</v>
      </c>
      <c r="D253" s="150">
        <f>Data!J271</f>
        <v>0</v>
      </c>
      <c r="E253" s="150">
        <f>Data!K271</f>
        <v>22794.47025857</v>
      </c>
      <c r="F253" s="150">
        <f>Data!L271</f>
        <v>20855.915167409999</v>
      </c>
      <c r="G253" s="150">
        <f>Data!M271</f>
        <v>22354.537245849999</v>
      </c>
      <c r="H253" s="150">
        <f>Data!N271</f>
        <v>23319.710716400001</v>
      </c>
      <c r="I253" s="150">
        <f>Data!O271</f>
        <v>28375.460349509998</v>
      </c>
      <c r="J253" s="150">
        <f>Data!P271</f>
        <v>32236.587257679999</v>
      </c>
      <c r="K253" s="150">
        <f>Data!Q271</f>
        <v>29935.513599779999</v>
      </c>
      <c r="L253" s="150">
        <f>Data!R271</f>
        <v>31058.90318103</v>
      </c>
    </row>
    <row r="254" spans="3:35">
      <c r="C254" s="138" t="s">
        <v>495</v>
      </c>
      <c r="D254" s="150">
        <f>Data!J272</f>
        <v>0</v>
      </c>
      <c r="E254" s="150">
        <f>Data!K272</f>
        <v>5051.4945556499997</v>
      </c>
      <c r="F254" s="150">
        <f>Data!L272</f>
        <v>4901.8826767299997</v>
      </c>
      <c r="G254" s="150">
        <f>Data!M272</f>
        <v>5582.8472829900002</v>
      </c>
      <c r="H254" s="150">
        <f>Data!N272</f>
        <v>7284.4561459799997</v>
      </c>
      <c r="I254" s="150">
        <f>Data!O272</f>
        <v>8494.8518345899993</v>
      </c>
      <c r="J254" s="150">
        <f>Data!P272</f>
        <v>13204.90249022</v>
      </c>
      <c r="K254" s="150">
        <f>Data!Q272</f>
        <v>18172.86464489</v>
      </c>
      <c r="L254" s="150">
        <f>Data!R272</f>
        <v>25825.281489479999</v>
      </c>
    </row>
    <row r="255" spans="3:35">
      <c r="C255" s="138" t="s">
        <v>44</v>
      </c>
      <c r="D255" s="162">
        <f>D253-D254</f>
        <v>0</v>
      </c>
      <c r="E255" s="162">
        <f>E253-E254</f>
        <v>17742.975702920001</v>
      </c>
      <c r="F255" s="162">
        <f>F253-F254</f>
        <v>15954.03249068</v>
      </c>
      <c r="G255" s="162">
        <f>G253-G254</f>
        <v>16771.68996286</v>
      </c>
      <c r="H255" s="162">
        <f>H253-H254</f>
        <v>16035.254570420002</v>
      </c>
      <c r="I255" s="571">
        <f>Data!O$273</f>
        <v>19880.608514920001</v>
      </c>
      <c r="J255" s="571">
        <f>Data!P$273</f>
        <v>19031.684767459999</v>
      </c>
      <c r="K255" s="571">
        <f>Data!Q$273</f>
        <v>11762.648954890001</v>
      </c>
      <c r="L255" s="571">
        <f>Data!R$273</f>
        <v>5233.6216915499999</v>
      </c>
    </row>
    <row r="256" spans="3:35" s="1147" customFormat="1">
      <c r="C256" s="1147" t="s">
        <v>1280</v>
      </c>
      <c r="D256" s="1217"/>
      <c r="E256" s="1217"/>
      <c r="F256" s="1217"/>
      <c r="G256" s="1217"/>
      <c r="H256" s="571">
        <f>Data!N$274</f>
        <v>2688</v>
      </c>
      <c r="I256" s="571">
        <f>Data!O$274</f>
        <v>1344</v>
      </c>
      <c r="J256" s="571">
        <f>Data!P$274</f>
        <v>1343.9999999999998</v>
      </c>
      <c r="K256" s="571">
        <f>Data!Q$274</f>
        <v>1344</v>
      </c>
      <c r="L256" s="571">
        <f>Data!R$274</f>
        <v>1342.25</v>
      </c>
      <c r="T256" s="1224"/>
      <c r="U256" s="1224"/>
      <c r="V256" s="1224"/>
      <c r="W256" s="1224"/>
      <c r="X256" s="1224"/>
      <c r="Y256" s="1224"/>
      <c r="Z256" s="1224"/>
      <c r="AA256" s="1224"/>
      <c r="AB256" s="1224"/>
      <c r="AC256" s="1224"/>
      <c r="AD256" s="1224"/>
      <c r="AE256" s="1224"/>
      <c r="AF256" s="1224"/>
      <c r="AG256" s="1224"/>
      <c r="AH256" s="1224"/>
      <c r="AI256" s="1224"/>
    </row>
    <row r="257" spans="3:35" s="1147" customFormat="1">
      <c r="C257" s="1147" t="s">
        <v>1279</v>
      </c>
      <c r="D257" s="571"/>
      <c r="E257" s="571"/>
      <c r="F257" s="571"/>
      <c r="G257" s="571"/>
      <c r="H257" s="1148">
        <f>Data!N$347</f>
        <v>596.54964919754457</v>
      </c>
      <c r="I257" s="1148">
        <f>Data!O$347</f>
        <v>1479.2119430744049</v>
      </c>
      <c r="J257" s="1148">
        <f>Data!P$347</f>
        <v>1416.0479737693454</v>
      </c>
      <c r="K257" s="1148">
        <f>Data!Q$347</f>
        <v>875.1970948578869</v>
      </c>
      <c r="L257" s="1148">
        <f>Data!R$347</f>
        <v>389.91407647979139</v>
      </c>
      <c r="T257" s="1224"/>
      <c r="U257" s="1224"/>
      <c r="V257" s="1224"/>
      <c r="W257" s="1224"/>
      <c r="X257" s="1224"/>
      <c r="Y257" s="1224"/>
      <c r="Z257" s="1224"/>
      <c r="AA257" s="1224"/>
      <c r="AB257" s="1224"/>
      <c r="AC257" s="1224"/>
      <c r="AD257" s="1224"/>
      <c r="AE257" s="1224"/>
      <c r="AF257" s="1224"/>
      <c r="AG257" s="1224"/>
      <c r="AH257" s="1224"/>
      <c r="AI257" s="1224"/>
    </row>
    <row r="258" spans="3:35" s="1147" customFormat="1">
      <c r="C258" s="1147" t="s">
        <v>1300</v>
      </c>
      <c r="I258" s="1148">
        <f>Data!O$281</f>
        <v>1602.6</v>
      </c>
      <c r="J258" s="1148">
        <f>Data!P$281</f>
        <v>1469.9</v>
      </c>
      <c r="K258" s="1148">
        <f>Data!Q$281</f>
        <v>1016.9</v>
      </c>
      <c r="L258" s="1148">
        <f>Data!R$281</f>
        <v>882.8</v>
      </c>
      <c r="T258" s="1224"/>
      <c r="U258" s="1224"/>
      <c r="V258" s="1224"/>
      <c r="W258" s="1224"/>
      <c r="X258" s="1224"/>
      <c r="Y258" s="1224"/>
      <c r="Z258" s="1224"/>
      <c r="AA258" s="1224"/>
      <c r="AB258" s="1224"/>
      <c r="AC258" s="1224"/>
      <c r="AD258" s="1224"/>
      <c r="AE258" s="1224"/>
      <c r="AF258" s="1224"/>
      <c r="AG258" s="1224"/>
      <c r="AH258" s="1224"/>
      <c r="AI258" s="1224"/>
    </row>
    <row r="259" spans="3:35" s="1147" customFormat="1">
      <c r="D259" s="571"/>
      <c r="E259" s="571"/>
      <c r="F259" s="571"/>
      <c r="G259" s="571"/>
      <c r="H259" s="1148"/>
      <c r="I259" s="1148"/>
      <c r="J259" s="1148"/>
      <c r="K259" s="1148"/>
      <c r="L259" s="1148"/>
      <c r="T259" s="1224"/>
      <c r="U259" s="1224"/>
      <c r="V259" s="1224"/>
      <c r="W259" s="1224"/>
      <c r="X259" s="1224"/>
      <c r="Y259" s="1224"/>
      <c r="Z259" s="1224"/>
      <c r="AA259" s="1224"/>
      <c r="AB259" s="1224"/>
      <c r="AC259" s="1224"/>
      <c r="AD259" s="1224"/>
      <c r="AE259" s="1224"/>
      <c r="AF259" s="1224"/>
      <c r="AG259" s="1224"/>
      <c r="AH259" s="1224"/>
      <c r="AI259" s="1224"/>
    </row>
    <row r="260" spans="3:35">
      <c r="C260" s="138" t="s">
        <v>1281</v>
      </c>
      <c r="D260" s="151">
        <f>Data!J$368</f>
        <v>534.76737181655517</v>
      </c>
      <c r="E260" s="151">
        <f>Data!K$368</f>
        <v>603.33503211192408</v>
      </c>
      <c r="F260" s="151">
        <f>Data!L$368</f>
        <v>644.01082120840078</v>
      </c>
      <c r="G260" s="151">
        <f>Data!M$368</f>
        <v>736.24297959278351</v>
      </c>
      <c r="H260" s="151">
        <f>Data!N$368</f>
        <v>864.3664517080399</v>
      </c>
      <c r="I260" s="151">
        <f>Data!O$368</f>
        <v>805.97796626977618</v>
      </c>
      <c r="J260" s="151">
        <f>Data!P$368</f>
        <v>885.1258624755618</v>
      </c>
      <c r="K260" s="151">
        <f>Data!Q$368</f>
        <v>1019.4541816782124</v>
      </c>
      <c r="L260" s="151">
        <f>Data!R$368</f>
        <v>1032.1903331962974</v>
      </c>
    </row>
    <row r="262" spans="3:35">
      <c r="C262" s="138" t="s">
        <v>37</v>
      </c>
      <c r="D262" s="150">
        <f>Data!J146</f>
        <v>15344.03945561</v>
      </c>
      <c r="E262" s="150">
        <f>Data!K146</f>
        <v>17885.138986710001</v>
      </c>
      <c r="F262" s="150">
        <f>Data!L146</f>
        <v>14704.423780720001</v>
      </c>
      <c r="G262" s="150">
        <f>Data!M146</f>
        <v>14405.17172072</v>
      </c>
      <c r="H262" s="150">
        <f>Data!N146</f>
        <v>14121.77355849</v>
      </c>
      <c r="I262" s="150">
        <f>Data!O146</f>
        <v>14394.752296160001</v>
      </c>
      <c r="J262" s="150">
        <f>Data!P146</f>
        <v>19082.40476804</v>
      </c>
      <c r="K262" s="150">
        <f>Data!Q146</f>
        <v>26189.871241150002</v>
      </c>
      <c r="L262" s="150">
        <f>Data!R146</f>
        <v>30559.456836190002</v>
      </c>
      <c r="T262" s="1222">
        <f>D262</f>
        <v>15344.03945561</v>
      </c>
      <c r="U262" s="1223">
        <f t="shared" ref="U262:U267" si="136">T262/T$276*100</f>
        <v>9.1304677037233866</v>
      </c>
      <c r="V262" s="1222">
        <f>E262</f>
        <v>17885.138986710001</v>
      </c>
      <c r="W262" s="1223">
        <f t="shared" ref="W262:W267" si="137">V262/V$276*100</f>
        <v>9.2797742109334944</v>
      </c>
      <c r="X262" s="1222">
        <f>F262</f>
        <v>14704.423780720001</v>
      </c>
      <c r="Y262" s="1223">
        <f t="shared" ref="Y262:Y267" si="138">X262/X$276*100</f>
        <v>7.4063555871176217</v>
      </c>
      <c r="Z262" s="1222">
        <f>G262</f>
        <v>14405.17172072</v>
      </c>
      <c r="AA262" s="1223">
        <f t="shared" ref="AA262:AA267" si="139">Z262/Z$276*100</f>
        <v>6.1328173289476444</v>
      </c>
      <c r="AB262" s="1222">
        <f>H262</f>
        <v>14121.77355849</v>
      </c>
      <c r="AC262" s="1223">
        <f t="shared" ref="AC262:AC267" si="140">AB262/AB$276*100</f>
        <v>4.958547829451212</v>
      </c>
      <c r="AD262" s="1222">
        <f>I262</f>
        <v>14394.752296160001</v>
      </c>
      <c r="AE262" s="1223">
        <f t="shared" ref="AE262:AE267" si="141">AD262/AD$276*100</f>
        <v>4.3853370499978848</v>
      </c>
      <c r="AF262" s="1222">
        <f>J262</f>
        <v>19082.40476804</v>
      </c>
      <c r="AG262" s="1223">
        <f t="shared" ref="AG262:AG267" si="142">AF262/AF$276*100</f>
        <v>5.082523801403747</v>
      </c>
      <c r="AH262" s="1222">
        <f t="shared" ref="AH262:AH276" si="143">K262</f>
        <v>26189.871241150002</v>
      </c>
      <c r="AI262" s="1223">
        <f t="shared" ref="AI262:AI276" si="144">AH262/AH$276*100</f>
        <v>5.9050921372988778</v>
      </c>
    </row>
    <row r="263" spans="3:35">
      <c r="C263" s="138" t="s">
        <v>751</v>
      </c>
      <c r="D263" s="150">
        <f>Data!J148</f>
        <v>5159</v>
      </c>
      <c r="E263" s="150">
        <f>Data!K148</f>
        <v>9030</v>
      </c>
      <c r="F263" s="150">
        <f>Data!L148</f>
        <v>7760</v>
      </c>
      <c r="G263" s="150">
        <f>Data!M148</f>
        <v>4000</v>
      </c>
      <c r="H263" s="150">
        <f>Data!N148</f>
        <v>2387</v>
      </c>
      <c r="I263" s="150">
        <f>Data!O148</f>
        <v>400</v>
      </c>
      <c r="J263" s="150">
        <f>Data!P148</f>
        <v>2028</v>
      </c>
      <c r="K263" s="150">
        <f>Data!Q148</f>
        <v>6300</v>
      </c>
      <c r="L263" s="150">
        <f>Data!R148</f>
        <v>5400</v>
      </c>
      <c r="T263" s="1222">
        <f t="shared" ref="T263:T276" si="145">D263</f>
        <v>5159</v>
      </c>
      <c r="U263" s="1223">
        <f t="shared" si="136"/>
        <v>3.0698619499630539</v>
      </c>
      <c r="V263" s="1222">
        <f t="shared" ref="V263:V276" si="146">E263</f>
        <v>9030</v>
      </c>
      <c r="W263" s="1223">
        <f t="shared" si="137"/>
        <v>4.685250765285998</v>
      </c>
      <c r="X263" s="1222">
        <f t="shared" ref="X263:X276" si="147">F263</f>
        <v>7760</v>
      </c>
      <c r="Y263" s="1223">
        <f t="shared" si="138"/>
        <v>3.9085733798960574</v>
      </c>
      <c r="Z263" s="1222">
        <f t="shared" ref="Z263:Z276" si="148">G263</f>
        <v>4000</v>
      </c>
      <c r="AA263" s="1223">
        <f t="shared" si="139"/>
        <v>1.7029487597503248</v>
      </c>
      <c r="AB263" s="1222">
        <f t="shared" ref="AB263:AB276" si="149">H263</f>
        <v>2387</v>
      </c>
      <c r="AC263" s="1223">
        <f t="shared" si="140"/>
        <v>0.83814215118781699</v>
      </c>
      <c r="AD263" s="1222">
        <f t="shared" ref="AD263:AD276" si="150">I263</f>
        <v>400</v>
      </c>
      <c r="AE263" s="1223">
        <f t="shared" si="141"/>
        <v>0.12185932650380468</v>
      </c>
      <c r="AF263" s="1222">
        <f t="shared" ref="AF263:AF276" si="151">J263</f>
        <v>2028</v>
      </c>
      <c r="AG263" s="1223">
        <f t="shared" si="142"/>
        <v>0.54014986027913992</v>
      </c>
      <c r="AH263" s="1222">
        <f t="shared" si="143"/>
        <v>6300</v>
      </c>
      <c r="AI263" s="1223">
        <f t="shared" si="144"/>
        <v>1.4204758825438724</v>
      </c>
    </row>
    <row r="264" spans="3:35">
      <c r="C264" s="138" t="s">
        <v>2098</v>
      </c>
      <c r="D264" s="162">
        <f>D278+D280</f>
        <v>9559.2494556099991</v>
      </c>
      <c r="E264" s="162">
        <f t="shared" ref="E264:J264" si="152">E278+E280</f>
        <v>6155.1389867099997</v>
      </c>
      <c r="F264" s="162">
        <f t="shared" si="152"/>
        <v>4244.4237807199997</v>
      </c>
      <c r="G264" s="162">
        <f t="shared" si="152"/>
        <v>7705.1717207199999</v>
      </c>
      <c r="H264" s="162">
        <f t="shared" si="152"/>
        <v>5934.7735584900001</v>
      </c>
      <c r="I264" s="162">
        <f t="shared" si="152"/>
        <v>6194.7522961599998</v>
      </c>
      <c r="J264" s="162">
        <f t="shared" si="152"/>
        <v>10054.40476804</v>
      </c>
      <c r="K264" s="162">
        <f t="shared" ref="K264:L264" si="153">K278+K280</f>
        <v>11900</v>
      </c>
      <c r="L264" s="162">
        <f t="shared" si="153"/>
        <v>13180</v>
      </c>
      <c r="T264" s="1222">
        <f t="shared" si="145"/>
        <v>9559.2494556099991</v>
      </c>
      <c r="U264" s="1223">
        <f t="shared" si="136"/>
        <v>5.6882295355654531</v>
      </c>
      <c r="V264" s="1222">
        <f t="shared" si="146"/>
        <v>6155.1389867099997</v>
      </c>
      <c r="W264" s="1223">
        <f t="shared" si="137"/>
        <v>3.1936179012098234</v>
      </c>
      <c r="X264" s="1222">
        <f t="shared" si="147"/>
        <v>4244.4237807199997</v>
      </c>
      <c r="Y264" s="1223">
        <f t="shared" si="138"/>
        <v>2.1378404384432956</v>
      </c>
      <c r="Z264" s="1222">
        <f t="shared" si="148"/>
        <v>7705.1717207199999</v>
      </c>
      <c r="AA264" s="1223">
        <f t="shared" si="139"/>
        <v>3.2803781563658498</v>
      </c>
      <c r="AB264" s="1222">
        <f t="shared" si="149"/>
        <v>5934.7735584900001</v>
      </c>
      <c r="AC264" s="1223">
        <f t="shared" si="140"/>
        <v>2.0838642132909024</v>
      </c>
      <c r="AD264" s="1222">
        <f t="shared" si="150"/>
        <v>6194.7522961599998</v>
      </c>
      <c r="AE264" s="1223">
        <f t="shared" si="141"/>
        <v>1.887220856669888</v>
      </c>
      <c r="AF264" s="1222">
        <f t="shared" si="151"/>
        <v>10054.40476804</v>
      </c>
      <c r="AG264" s="1223">
        <f t="shared" si="142"/>
        <v>2.677951346472744</v>
      </c>
      <c r="AH264" s="1222">
        <f t="shared" si="143"/>
        <v>11900</v>
      </c>
      <c r="AI264" s="1223">
        <f t="shared" si="144"/>
        <v>2.6831211114717588</v>
      </c>
    </row>
    <row r="265" spans="3:35">
      <c r="C265" s="138" t="s">
        <v>2088</v>
      </c>
      <c r="D265" s="162">
        <f t="shared" ref="D265:K265" si="154">D281+D282</f>
        <v>625.79</v>
      </c>
      <c r="E265" s="162">
        <f t="shared" si="154"/>
        <v>2700</v>
      </c>
      <c r="F265" s="162">
        <f t="shared" si="154"/>
        <v>2700</v>
      </c>
      <c r="G265" s="162">
        <f t="shared" si="154"/>
        <v>2700</v>
      </c>
      <c r="H265" s="162">
        <f t="shared" si="154"/>
        <v>5800</v>
      </c>
      <c r="I265" s="162">
        <f t="shared" si="154"/>
        <v>7800</v>
      </c>
      <c r="J265" s="162">
        <f t="shared" si="154"/>
        <v>7000</v>
      </c>
      <c r="K265" s="162">
        <f t="shared" si="154"/>
        <v>7989.8712411500001</v>
      </c>
      <c r="L265" s="162">
        <f t="shared" ref="L265" si="155">L281+L282</f>
        <v>11979.45683619</v>
      </c>
      <c r="T265" s="1222">
        <f t="shared" si="145"/>
        <v>625.79</v>
      </c>
      <c r="U265" s="1223">
        <f t="shared" si="136"/>
        <v>0.37237621819487876</v>
      </c>
      <c r="V265" s="1222">
        <f t="shared" si="146"/>
        <v>2700</v>
      </c>
      <c r="W265" s="1223">
        <f t="shared" si="137"/>
        <v>1.4009055444376737</v>
      </c>
      <c r="X265" s="1222">
        <f t="shared" si="147"/>
        <v>2700</v>
      </c>
      <c r="Y265" s="1223">
        <f t="shared" si="138"/>
        <v>1.3599417687782676</v>
      </c>
      <c r="Z265" s="1222">
        <f t="shared" si="148"/>
        <v>2700</v>
      </c>
      <c r="AA265" s="1223">
        <f t="shared" si="139"/>
        <v>1.1494904128314691</v>
      </c>
      <c r="AB265" s="1222">
        <f t="shared" si="149"/>
        <v>5800</v>
      </c>
      <c r="AC265" s="1223">
        <f t="shared" si="140"/>
        <v>2.0365414649724922</v>
      </c>
      <c r="AD265" s="1222">
        <f t="shared" si="150"/>
        <v>7800</v>
      </c>
      <c r="AE265" s="1223">
        <f t="shared" si="141"/>
        <v>2.3762568668241912</v>
      </c>
      <c r="AF265" s="1222">
        <f t="shared" si="151"/>
        <v>7000</v>
      </c>
      <c r="AG265" s="1223">
        <f t="shared" si="142"/>
        <v>1.8644225946518638</v>
      </c>
      <c r="AH265" s="1222">
        <f t="shared" si="143"/>
        <v>7989.8712411500001</v>
      </c>
      <c r="AI265" s="1223">
        <f t="shared" si="144"/>
        <v>1.8014951432832462</v>
      </c>
    </row>
    <row r="266" spans="3:35">
      <c r="C266" s="138" t="s">
        <v>38</v>
      </c>
      <c r="D266" s="150">
        <f>Data!J142</f>
        <v>103024.46918413999</v>
      </c>
      <c r="E266" s="150">
        <f>Data!K142</f>
        <v>121441.57188047998</v>
      </c>
      <c r="F266" s="150">
        <f>Data!L142</f>
        <v>139432.38650522</v>
      </c>
      <c r="G266" s="150">
        <f>Data!M142</f>
        <v>162729.95110902999</v>
      </c>
      <c r="H266" s="150">
        <f>Data!N142</f>
        <v>204770.71165647003</v>
      </c>
      <c r="I266" s="150">
        <f>Data!O142</f>
        <v>236981.69017647998</v>
      </c>
      <c r="J266" s="150">
        <f>Data!P142</f>
        <v>261635.20874783001</v>
      </c>
      <c r="K266" s="150">
        <f>Data!Q142</f>
        <v>307902.52161469997</v>
      </c>
      <c r="L266" s="150">
        <f>Data!R142</f>
        <v>325648.19596422999</v>
      </c>
      <c r="T266" s="1222">
        <f t="shared" si="145"/>
        <v>103024.46918413999</v>
      </c>
      <c r="U266" s="1223">
        <f t="shared" si="136"/>
        <v>61.304690417432163</v>
      </c>
      <c r="V266" s="1222">
        <f t="shared" si="146"/>
        <v>121441.57188047998</v>
      </c>
      <c r="W266" s="1223">
        <f t="shared" si="137"/>
        <v>63.010433841700255</v>
      </c>
      <c r="X266" s="1222">
        <f t="shared" si="147"/>
        <v>139432.38650522</v>
      </c>
      <c r="Y266" s="1223">
        <f t="shared" si="138"/>
        <v>70.229602344031079</v>
      </c>
      <c r="Z266" s="1222">
        <f t="shared" si="148"/>
        <v>162729.95110902999</v>
      </c>
      <c r="AA266" s="1223">
        <f t="shared" si="139"/>
        <v>69.280192103838402</v>
      </c>
      <c r="AB266" s="1222">
        <f t="shared" si="149"/>
        <v>204770.71165647003</v>
      </c>
      <c r="AC266" s="1223">
        <f t="shared" si="140"/>
        <v>71.900697431090904</v>
      </c>
      <c r="AD266" s="1222">
        <f t="shared" si="150"/>
        <v>236981.69017647998</v>
      </c>
      <c r="AE266" s="1223">
        <f t="shared" si="141"/>
        <v>72.196072896597897</v>
      </c>
      <c r="AF266" s="1222">
        <f t="shared" si="151"/>
        <v>261635.20874783001</v>
      </c>
      <c r="AG266" s="1223">
        <f t="shared" si="142"/>
        <v>69.68551353513017</v>
      </c>
      <c r="AH266" s="1222">
        <f t="shared" si="143"/>
        <v>307902.52161469997</v>
      </c>
      <c r="AI266" s="1223">
        <f t="shared" si="144"/>
        <v>69.423508909226143</v>
      </c>
    </row>
    <row r="267" spans="3:35">
      <c r="C267" s="138" t="s">
        <v>752</v>
      </c>
      <c r="D267" s="150">
        <f>Data!J143</f>
        <v>14207.8961284</v>
      </c>
      <c r="E267" s="150">
        <f>Data!K143</f>
        <v>12949.57943165</v>
      </c>
      <c r="F267" s="150">
        <f>Data!L143</f>
        <v>14640.90978652</v>
      </c>
      <c r="G267" s="150">
        <f>Data!M143</f>
        <v>22277.056166419999</v>
      </c>
      <c r="H267" s="150">
        <f>Data!N143</f>
        <v>34794.073786790002</v>
      </c>
      <c r="I267" s="150">
        <f>Data!O143</f>
        <v>36609.749452199998</v>
      </c>
      <c r="J267" s="150">
        <f>Data!P143</f>
        <v>33424.893275609997</v>
      </c>
      <c r="K267" s="150">
        <f>Data!Q143</f>
        <v>38973.322408139997</v>
      </c>
      <c r="L267" s="150">
        <f>Data!R143</f>
        <v>38029.024807310001</v>
      </c>
      <c r="T267" s="1222">
        <f t="shared" si="145"/>
        <v>14207.8961284</v>
      </c>
      <c r="U267" s="1223">
        <f t="shared" si="136"/>
        <v>8.4544058371007065</v>
      </c>
      <c r="V267" s="1222">
        <f t="shared" si="146"/>
        <v>12949.57943165</v>
      </c>
      <c r="W267" s="1223">
        <f t="shared" si="137"/>
        <v>6.718939860716497</v>
      </c>
      <c r="X267" s="1222">
        <f t="shared" si="147"/>
        <v>14640.90978652</v>
      </c>
      <c r="Y267" s="1223">
        <f t="shared" si="138"/>
        <v>7.3743647228159475</v>
      </c>
      <c r="Z267" s="1222">
        <f t="shared" si="148"/>
        <v>22277.056166419999</v>
      </c>
      <c r="AA267" s="1223">
        <f t="shared" si="139"/>
        <v>9.4841712923733148</v>
      </c>
      <c r="AB267" s="1222">
        <f t="shared" si="149"/>
        <v>34794.073786790002</v>
      </c>
      <c r="AC267" s="1223">
        <f t="shared" si="140"/>
        <v>12.217167931398327</v>
      </c>
      <c r="AD267" s="1222">
        <f t="shared" si="150"/>
        <v>36609.749452199998</v>
      </c>
      <c r="AE267" s="1223">
        <f t="shared" si="141"/>
        <v>11.153098529295312</v>
      </c>
      <c r="AF267" s="1222">
        <f t="shared" si="151"/>
        <v>33424.893275609997</v>
      </c>
      <c r="AG267" s="1223">
        <f t="shared" si="142"/>
        <v>8.9025894638392025</v>
      </c>
      <c r="AH267" s="1222">
        <f t="shared" si="143"/>
        <v>38973.322408139997</v>
      </c>
      <c r="AI267" s="1223">
        <f t="shared" si="144"/>
        <v>8.7874070703761173</v>
      </c>
    </row>
    <row r="268" spans="3:35">
      <c r="C268" s="1147" t="s">
        <v>2091</v>
      </c>
      <c r="D268" s="571">
        <f>Data!J158</f>
        <v>0</v>
      </c>
      <c r="E268" s="571">
        <f>Data!K158</f>
        <v>0</v>
      </c>
      <c r="F268" s="571">
        <f>Data!L158</f>
        <v>0</v>
      </c>
      <c r="G268" s="571">
        <f>Data!M158</f>
        <v>0</v>
      </c>
      <c r="H268" s="571">
        <f>Data!N158</f>
        <v>0</v>
      </c>
      <c r="I268" s="571">
        <f>Data!O158</f>
        <v>0</v>
      </c>
      <c r="J268" s="571">
        <f>Data!P158</f>
        <v>8526.9401237900001</v>
      </c>
      <c r="K268" s="571">
        <f>Data!Q158</f>
        <v>42354.62068159</v>
      </c>
      <c r="L268" s="571">
        <f>Data!R158</f>
        <v>62341.372895250002</v>
      </c>
      <c r="M268" s="1147"/>
      <c r="N268" s="1147"/>
      <c r="T268" s="1222"/>
      <c r="U268" s="1223"/>
      <c r="V268" s="1222"/>
      <c r="W268" s="1223"/>
      <c r="X268" s="1222"/>
      <c r="Y268" s="1223"/>
      <c r="Z268" s="1222"/>
      <c r="AA268" s="1223"/>
      <c r="AB268" s="1222"/>
      <c r="AC268" s="1223"/>
      <c r="AD268" s="1222"/>
      <c r="AE268" s="1223"/>
      <c r="AF268" s="1222">
        <f t="shared" ref="AF268" si="156">J268</f>
        <v>8526.9401237900001</v>
      </c>
      <c r="AG268" s="1223">
        <f t="shared" ref="AG268" si="157">AF268/AF$276*100</f>
        <v>2.2711171185768051</v>
      </c>
      <c r="AH268" s="1222">
        <f t="shared" si="143"/>
        <v>42354.62068159</v>
      </c>
      <c r="AI268" s="1223">
        <f t="shared" si="144"/>
        <v>9.5497963797607159</v>
      </c>
    </row>
    <row r="269" spans="3:35">
      <c r="C269" s="138" t="s">
        <v>753</v>
      </c>
      <c r="D269" s="150">
        <f>Data!J150</f>
        <v>56459.878963869996</v>
      </c>
      <c r="E269" s="150">
        <f>Data!K150</f>
        <v>68723.380438509994</v>
      </c>
      <c r="F269" s="150">
        <f>Data!L150</f>
        <v>77534.115325229999</v>
      </c>
      <c r="G269" s="150">
        <f>Data!M150</f>
        <v>83128.050130660005</v>
      </c>
      <c r="H269" s="150">
        <f>Data!N150</f>
        <v>102435.54906067</v>
      </c>
      <c r="I269" s="150">
        <f>Data!O150</f>
        <v>116124.37310368</v>
      </c>
      <c r="J269" s="150">
        <f>Data!P150</f>
        <v>129935.32550214999</v>
      </c>
      <c r="K269" s="150">
        <f>Data!Q150</f>
        <v>103006.16178676</v>
      </c>
      <c r="L269" s="150">
        <f>Data!R150</f>
        <v>95941.336174149998</v>
      </c>
      <c r="T269" s="1222">
        <f t="shared" si="145"/>
        <v>56459.878963869996</v>
      </c>
      <c r="U269" s="1223">
        <f t="shared" ref="U269:U276" si="158">T269/T$276*100</f>
        <v>33.596440033088577</v>
      </c>
      <c r="V269" s="1222">
        <f t="shared" si="146"/>
        <v>68723.380438509994</v>
      </c>
      <c r="W269" s="1223">
        <f t="shared" ref="W269:W276" si="159">V269/V$276*100</f>
        <v>35.657394329188229</v>
      </c>
      <c r="X269" s="1222">
        <f t="shared" si="147"/>
        <v>77534.115325229999</v>
      </c>
      <c r="Y269" s="1223">
        <f t="shared" ref="Y269:Y276" si="160">X269/X$276*100</f>
        <v>39.052548865204244</v>
      </c>
      <c r="Z269" s="1222">
        <f t="shared" si="148"/>
        <v>83128.050130660005</v>
      </c>
      <c r="AA269" s="1223">
        <f t="shared" ref="AA269:AA276" si="161">Z269/Z$276*100</f>
        <v>35.390702467617565</v>
      </c>
      <c r="AB269" s="1222">
        <f t="shared" si="149"/>
        <v>102435.54906067</v>
      </c>
      <c r="AC269" s="1223">
        <f t="shared" ref="AC269:AC276" si="162">AB269/AB$276*100</f>
        <v>35.967972956772151</v>
      </c>
      <c r="AD269" s="1222">
        <f t="shared" si="150"/>
        <v>116124.37310368</v>
      </c>
      <c r="AE269" s="1223">
        <f t="shared" ref="AE269:AE276" si="163">AD269/AD$276*100</f>
        <v>35.377094742727444</v>
      </c>
      <c r="AF269" s="1222">
        <f t="shared" si="151"/>
        <v>129935.32550214999</v>
      </c>
      <c r="AG269" s="1223">
        <f t="shared" ref="AG269:AG276" si="164">AF269/AF$276*100</f>
        <v>34.607765244236141</v>
      </c>
      <c r="AH269" s="1222">
        <f t="shared" si="143"/>
        <v>103006.16178676</v>
      </c>
      <c r="AI269" s="1223">
        <f t="shared" si="144"/>
        <v>23.225042630397589</v>
      </c>
    </row>
    <row r="270" spans="3:35">
      <c r="C270" s="138" t="s">
        <v>56</v>
      </c>
      <c r="D270" s="150">
        <f>Data!J$152</f>
        <v>32356.694091869998</v>
      </c>
      <c r="E270" s="150">
        <f>Data!K$152</f>
        <v>39768.612010320001</v>
      </c>
      <c r="F270" s="150">
        <f>Data!L$152</f>
        <v>47257.361393469997</v>
      </c>
      <c r="G270" s="150">
        <f>Data!M$152</f>
        <v>57324.844811950003</v>
      </c>
      <c r="H270" s="150">
        <f>Data!N$152</f>
        <v>67541.088809010005</v>
      </c>
      <c r="I270" s="150">
        <f>Data!O$152</f>
        <v>84247.567620600006</v>
      </c>
      <c r="J270" s="150">
        <f>Data!P$152</f>
        <v>89748.049846280002</v>
      </c>
      <c r="K270" s="150">
        <f>Data!Q$152</f>
        <v>123568.41673821</v>
      </c>
      <c r="L270" s="150">
        <f>Data!R$152</f>
        <v>129336.46208752001</v>
      </c>
      <c r="T270" s="1222">
        <f t="shared" si="145"/>
        <v>32356.694091869998</v>
      </c>
      <c r="U270" s="1223">
        <f t="shared" si="158"/>
        <v>19.253844547242888</v>
      </c>
      <c r="V270" s="1222">
        <f t="shared" si="146"/>
        <v>39768.612010320001</v>
      </c>
      <c r="W270" s="1223">
        <f t="shared" si="159"/>
        <v>20.634099651795538</v>
      </c>
      <c r="X270" s="1222">
        <f t="shared" si="147"/>
        <v>47257.361393469997</v>
      </c>
      <c r="Y270" s="1223">
        <f t="shared" si="160"/>
        <v>23.802688756010891</v>
      </c>
      <c r="Z270" s="1222">
        <f t="shared" si="148"/>
        <v>57324.844811950003</v>
      </c>
      <c r="AA270" s="1223">
        <f t="shared" si="161"/>
        <v>24.405318343847522</v>
      </c>
      <c r="AB270" s="1222">
        <f t="shared" si="149"/>
        <v>67541.088809010005</v>
      </c>
      <c r="AC270" s="1223">
        <f t="shared" si="162"/>
        <v>23.715556542920417</v>
      </c>
      <c r="AD270" s="1222">
        <f t="shared" si="150"/>
        <v>84247.567620600006</v>
      </c>
      <c r="AE270" s="1223">
        <f t="shared" si="163"/>
        <v>25.665879624575151</v>
      </c>
      <c r="AF270" s="1222">
        <f t="shared" si="151"/>
        <v>89748.049846280002</v>
      </c>
      <c r="AG270" s="1223">
        <f t="shared" si="164"/>
        <v>23.904041708478022</v>
      </c>
      <c r="AH270" s="1222">
        <f t="shared" si="143"/>
        <v>123568.41673821</v>
      </c>
      <c r="AI270" s="1223">
        <f t="shared" si="144"/>
        <v>27.861262828691725</v>
      </c>
    </row>
    <row r="271" spans="3:35">
      <c r="C271" s="138" t="s">
        <v>9</v>
      </c>
      <c r="D271" s="150">
        <f>Data!J151</f>
        <v>9110.6917324999995</v>
      </c>
      <c r="E271" s="150">
        <f>Data!K151</f>
        <v>12845.971677420001</v>
      </c>
      <c r="F271" s="150">
        <f>Data!L151</f>
        <v>4409.7952273999999</v>
      </c>
      <c r="G271" s="150">
        <f>Data!M151</f>
        <v>15451.80700424</v>
      </c>
      <c r="H271" s="150">
        <f>Data!N151</f>
        <v>17308.524039290001</v>
      </c>
      <c r="I271" s="150">
        <f>Data!O151</f>
        <v>19699.945620819999</v>
      </c>
      <c r="J271" s="150">
        <f>Data!P151</f>
        <v>30911.1443808</v>
      </c>
      <c r="K271" s="150">
        <f>Data!Q151</f>
        <v>28677.68763031</v>
      </c>
      <c r="L271" s="150">
        <f>Data!R151</f>
        <v>29502.834403569999</v>
      </c>
      <c r="T271" s="1222">
        <f t="shared" si="145"/>
        <v>9110.6917324999995</v>
      </c>
      <c r="U271" s="1223">
        <f t="shared" si="158"/>
        <v>5.4213153493787019</v>
      </c>
      <c r="V271" s="1222">
        <f t="shared" si="146"/>
        <v>12845.971677420001</v>
      </c>
      <c r="W271" s="1223">
        <f t="shared" si="159"/>
        <v>6.6651825728100009</v>
      </c>
      <c r="X271" s="1222">
        <f t="shared" si="147"/>
        <v>4409.7952273999999</v>
      </c>
      <c r="Y271" s="1223">
        <f t="shared" si="160"/>
        <v>2.2211350820371552</v>
      </c>
      <c r="Z271" s="1222">
        <f t="shared" si="148"/>
        <v>15451.80700424</v>
      </c>
      <c r="AA271" s="1223">
        <f t="shared" si="161"/>
        <v>6.5784088934429716</v>
      </c>
      <c r="AB271" s="1222">
        <f t="shared" si="149"/>
        <v>17308.524039290001</v>
      </c>
      <c r="AC271" s="1223">
        <f t="shared" si="162"/>
        <v>6.077504638532286</v>
      </c>
      <c r="AD271" s="1222">
        <f t="shared" si="150"/>
        <v>19699.945620819999</v>
      </c>
      <c r="AE271" s="1223">
        <f t="shared" si="163"/>
        <v>6.001555263786754</v>
      </c>
      <c r="AF271" s="1222">
        <f t="shared" si="151"/>
        <v>30911.1443808</v>
      </c>
      <c r="AG271" s="1223">
        <f t="shared" si="164"/>
        <v>8.2330622871585017</v>
      </c>
      <c r="AH271" s="1222">
        <f t="shared" si="143"/>
        <v>28677.68763031</v>
      </c>
      <c r="AI271" s="1223">
        <f t="shared" si="144"/>
        <v>6.4660259755527125</v>
      </c>
    </row>
    <row r="272" spans="3:35">
      <c r="C272" s="138" t="s">
        <v>10</v>
      </c>
      <c r="D272" s="150">
        <f>Data!J161</f>
        <v>2970.10367726</v>
      </c>
      <c r="E272" s="150">
        <f>Data!K161</f>
        <v>1920.49910009</v>
      </c>
      <c r="F272" s="150">
        <f>Data!L161</f>
        <v>3605.5844805400002</v>
      </c>
      <c r="G272" s="150">
        <f>Data!M161</f>
        <v>4993.5799707100005</v>
      </c>
      <c r="H272" s="150">
        <f>Data!N161</f>
        <v>9072.2901196500006</v>
      </c>
      <c r="I272" s="150">
        <f>Data!O161</f>
        <v>7481.4707727100003</v>
      </c>
      <c r="J272" s="150">
        <f>Data!P161</f>
        <v>4534.4872354899999</v>
      </c>
      <c r="K272" s="150">
        <f>Data!Q161</f>
        <v>11949.816464240001</v>
      </c>
      <c r="L272" s="150">
        <f>Data!R161</f>
        <v>10452.32793621</v>
      </c>
      <c r="T272" s="1222">
        <f t="shared" si="145"/>
        <v>2970.10367726</v>
      </c>
      <c r="U272" s="1223">
        <f t="shared" si="158"/>
        <v>1.7673596174192323</v>
      </c>
      <c r="V272" s="1222">
        <f t="shared" si="146"/>
        <v>1920.49910009</v>
      </c>
      <c r="W272" s="1223">
        <f t="shared" si="159"/>
        <v>0.99645845829764568</v>
      </c>
      <c r="X272" s="1222">
        <f t="shared" si="147"/>
        <v>3605.5844805400002</v>
      </c>
      <c r="Y272" s="1223">
        <f t="shared" si="160"/>
        <v>1.8160684947944588</v>
      </c>
      <c r="Z272" s="1222">
        <f t="shared" si="148"/>
        <v>4993.5799707100005</v>
      </c>
      <c r="AA272" s="1223">
        <f t="shared" si="161"/>
        <v>2.1259527044586646</v>
      </c>
      <c r="AB272" s="1222">
        <f t="shared" si="149"/>
        <v>9072.2901196500006</v>
      </c>
      <c r="AC272" s="1223">
        <f t="shared" si="162"/>
        <v>3.1855336225737032</v>
      </c>
      <c r="AD272" s="1222">
        <f t="shared" si="150"/>
        <v>7481.4707727100003</v>
      </c>
      <c r="AE272" s="1223">
        <f t="shared" si="163"/>
        <v>2.2792174740508497</v>
      </c>
      <c r="AF272" s="1222">
        <f t="shared" si="151"/>
        <v>4534.4872354899999</v>
      </c>
      <c r="AG272" s="1223">
        <f t="shared" si="164"/>
        <v>1.2077429224297174</v>
      </c>
      <c r="AH272" s="1222">
        <f t="shared" si="143"/>
        <v>11949.816464240001</v>
      </c>
      <c r="AI272" s="1223">
        <f t="shared" si="144"/>
        <v>2.6943533473458117</v>
      </c>
    </row>
    <row r="273" spans="3:35">
      <c r="C273" s="138" t="s">
        <v>2085</v>
      </c>
      <c r="D273" s="150">
        <f>Data!J165</f>
        <v>4418.4738575000001</v>
      </c>
      <c r="E273" s="150">
        <f>Data!K165</f>
        <v>4984.5610799799997</v>
      </c>
      <c r="F273" s="150">
        <f>Data!L165</f>
        <v>3942.3760514599999</v>
      </c>
      <c r="G273" s="150">
        <f>Data!M165</f>
        <v>3326.74167334</v>
      </c>
      <c r="H273" s="150">
        <f>Data!N165</f>
        <v>4169.9856696899997</v>
      </c>
      <c r="I273" s="150">
        <f>Data!O165</f>
        <v>3620.2492568500002</v>
      </c>
      <c r="J273" s="150">
        <f>Data!P165</f>
        <v>7953.3823565299999</v>
      </c>
      <c r="K273" s="150">
        <f>Data!Q165</f>
        <v>8650.3691173099996</v>
      </c>
      <c r="L273" s="150">
        <f>Data!R165</f>
        <v>14465.918811760001</v>
      </c>
      <c r="T273" s="1222">
        <f t="shared" si="145"/>
        <v>4418.4738575000001</v>
      </c>
      <c r="U273" s="1223">
        <f t="shared" si="158"/>
        <v>2.6292120124143685</v>
      </c>
      <c r="V273" s="1222">
        <f t="shared" si="146"/>
        <v>4984.5610799799997</v>
      </c>
      <c r="W273" s="1223">
        <f t="shared" si="159"/>
        <v>2.5862589827897109</v>
      </c>
      <c r="X273" s="1222">
        <f t="shared" si="147"/>
        <v>3942.3760514599999</v>
      </c>
      <c r="Y273" s="1223">
        <f t="shared" si="160"/>
        <v>1.9857043928191092</v>
      </c>
      <c r="Z273" s="1222">
        <f t="shared" si="148"/>
        <v>3326.74167334</v>
      </c>
      <c r="AA273" s="1223">
        <f t="shared" si="161"/>
        <v>1.4163176516560183</v>
      </c>
      <c r="AB273" s="1222">
        <f t="shared" si="149"/>
        <v>4169.9856696899997</v>
      </c>
      <c r="AC273" s="1223">
        <f t="shared" si="162"/>
        <v>1.4641980559766847</v>
      </c>
      <c r="AD273" s="1222">
        <f t="shared" si="150"/>
        <v>3620.2492568500002</v>
      </c>
      <c r="AE273" s="1223">
        <f t="shared" si="163"/>
        <v>1.1029028405391013</v>
      </c>
      <c r="AF273" s="1222">
        <f t="shared" si="151"/>
        <v>7953.3823565299999</v>
      </c>
      <c r="AG273" s="1223">
        <f t="shared" si="164"/>
        <v>2.118352252774288</v>
      </c>
      <c r="AH273" s="1222">
        <f t="shared" si="143"/>
        <v>8650.3691173099996</v>
      </c>
      <c r="AI273" s="1223">
        <f t="shared" si="144"/>
        <v>1.950419159720822</v>
      </c>
    </row>
    <row r="274" spans="3:35">
      <c r="C274" s="138" t="s">
        <v>57</v>
      </c>
      <c r="D274" s="150">
        <f>Data!J162</f>
        <v>1759.9126522400002</v>
      </c>
      <c r="E274" s="150">
        <f>Data!K162</f>
        <v>1710.21296351</v>
      </c>
      <c r="F274" s="150">
        <f>Data!L162</f>
        <v>1614.99187712</v>
      </c>
      <c r="G274" s="150">
        <f>Data!M162</f>
        <v>2076.0220820600002</v>
      </c>
      <c r="H274" s="150">
        <f>Data!N162</f>
        <v>2404.6793119700005</v>
      </c>
      <c r="I274" s="150">
        <f>Data!O162</f>
        <v>5342.6388472300005</v>
      </c>
      <c r="J274" s="150">
        <f>Data!P162</f>
        <v>8916.8793468500007</v>
      </c>
      <c r="K274" s="150">
        <f>Data!Q162</f>
        <v>16638.088929370002</v>
      </c>
      <c r="L274" s="150">
        <f>Data!R162</f>
        <v>22306.562401380004</v>
      </c>
      <c r="T274" s="1222">
        <f t="shared" si="145"/>
        <v>1759.9126522400002</v>
      </c>
      <c r="U274" s="1223">
        <f t="shared" si="158"/>
        <v>1.0472356825683538</v>
      </c>
      <c r="V274" s="1222">
        <f t="shared" si="146"/>
        <v>1710.21296351</v>
      </c>
      <c r="W274" s="1223">
        <f t="shared" si="159"/>
        <v>0.88735067509271981</v>
      </c>
      <c r="X274" s="1222">
        <f t="shared" si="147"/>
        <v>1614.99187712</v>
      </c>
      <c r="Y274" s="1223">
        <f t="shared" si="160"/>
        <v>0.81344255923448427</v>
      </c>
      <c r="Z274" s="1222">
        <f t="shared" si="148"/>
        <v>2076.0220820600002</v>
      </c>
      <c r="AA274" s="1223">
        <f t="shared" si="161"/>
        <v>0.88383980746459123</v>
      </c>
      <c r="AB274" s="1222">
        <f t="shared" si="149"/>
        <v>2404.6793119700005</v>
      </c>
      <c r="AC274" s="1223">
        <f t="shared" si="162"/>
        <v>0.8443498497911085</v>
      </c>
      <c r="AD274" s="1222">
        <f t="shared" si="150"/>
        <v>5342.6388472300005</v>
      </c>
      <c r="AE274" s="1223">
        <f t="shared" si="163"/>
        <v>1.6276259291912782</v>
      </c>
      <c r="AF274" s="1222">
        <f t="shared" si="151"/>
        <v>8916.8793468500007</v>
      </c>
      <c r="AG274" s="1223">
        <f t="shared" si="164"/>
        <v>2.374975904007385</v>
      </c>
      <c r="AH274" s="1222">
        <f t="shared" si="143"/>
        <v>16638.088929370002</v>
      </c>
      <c r="AI274" s="1223">
        <f t="shared" si="144"/>
        <v>3.7514292152048072</v>
      </c>
    </row>
    <row r="275" spans="3:35">
      <c r="C275" s="138" t="s">
        <v>39</v>
      </c>
      <c r="D275" s="150">
        <f>Data!J17</f>
        <v>31425.47</v>
      </c>
      <c r="E275" s="150">
        <f>Data!K17</f>
        <v>31944.52</v>
      </c>
      <c r="F275" s="150">
        <f>Data!L17</f>
        <v>30828.35</v>
      </c>
      <c r="G275" s="150">
        <f>Data!M17</f>
        <v>31903.42</v>
      </c>
      <c r="H275" s="150">
        <f>Data!N17</f>
        <v>32948.589999999997</v>
      </c>
      <c r="I275" s="150">
        <f>Data!O17</f>
        <v>40726.589999999997</v>
      </c>
      <c r="J275" s="150">
        <f>Data!P17</f>
        <v>42417.85</v>
      </c>
      <c r="K275" s="150">
        <f>Data!Q17</f>
        <v>43504.98</v>
      </c>
      <c r="L275" s="150">
        <f>Data!R17</f>
        <v>46442.8</v>
      </c>
      <c r="T275" s="1222">
        <f t="shared" si="145"/>
        <v>31425.47</v>
      </c>
      <c r="U275" s="1223">
        <f t="shared" si="158"/>
        <v>18.699719831887084</v>
      </c>
      <c r="V275" s="1222">
        <f t="shared" si="146"/>
        <v>31944.52</v>
      </c>
      <c r="W275" s="1223">
        <f t="shared" si="159"/>
        <v>16.574538956444503</v>
      </c>
      <c r="X275" s="1222">
        <f t="shared" si="147"/>
        <v>30828.35</v>
      </c>
      <c r="Y275" s="1223">
        <f t="shared" si="160"/>
        <v>15.527689195376112</v>
      </c>
      <c r="Z275" s="1222">
        <f t="shared" si="148"/>
        <v>31903.42</v>
      </c>
      <c r="AA275" s="1223">
        <f t="shared" si="161"/>
        <v>13.582472380198427</v>
      </c>
      <c r="AB275" s="1222">
        <f t="shared" si="149"/>
        <v>32948.589999999997</v>
      </c>
      <c r="AC275" s="1223">
        <f t="shared" si="162"/>
        <v>11.569167197823793</v>
      </c>
      <c r="AD275" s="1222">
        <f t="shared" si="150"/>
        <v>40726.589999999997</v>
      </c>
      <c r="AE275" s="1223">
        <f t="shared" si="163"/>
        <v>12.407287070491467</v>
      </c>
      <c r="AF275" s="1222">
        <f t="shared" si="151"/>
        <v>42417.85</v>
      </c>
      <c r="AG275" s="1223">
        <f t="shared" si="164"/>
        <v>11.29782827950765</v>
      </c>
      <c r="AH275" s="1222">
        <f t="shared" si="143"/>
        <v>43504.98</v>
      </c>
      <c r="AI275" s="1223">
        <f t="shared" si="144"/>
        <v>9.8091706127862732</v>
      </c>
    </row>
    <row r="276" spans="3:35">
      <c r="C276" s="138" t="s">
        <v>754</v>
      </c>
      <c r="D276" s="150">
        <f>Data!J167</f>
        <v>168053.15952602003</v>
      </c>
      <c r="E276" s="150">
        <f>Data!K167</f>
        <v>192732.48012475998</v>
      </c>
      <c r="F276" s="150">
        <f>Data!L167</f>
        <v>198537.91257736</v>
      </c>
      <c r="G276" s="150">
        <f>Data!M167</f>
        <v>234886.69151656999</v>
      </c>
      <c r="H276" s="150">
        <f>Data!N167</f>
        <v>284796.55827083008</v>
      </c>
      <c r="I276" s="150">
        <f>Data!O167</f>
        <v>328247.34181302995</v>
      </c>
      <c r="J276" s="150">
        <f>Data!P167</f>
        <v>375451.36065609002</v>
      </c>
      <c r="K276" s="150">
        <f>Data!Q167</f>
        <v>443513.33784827002</v>
      </c>
      <c r="L276" s="150">
        <f>Data!R167</f>
        <v>479378.09206568997</v>
      </c>
      <c r="T276" s="1222">
        <f t="shared" si="145"/>
        <v>168053.15952602003</v>
      </c>
      <c r="U276" s="1223">
        <f t="shared" si="158"/>
        <v>100</v>
      </c>
      <c r="V276" s="1222">
        <f t="shared" si="146"/>
        <v>192732.48012475998</v>
      </c>
      <c r="W276" s="1223">
        <f t="shared" si="159"/>
        <v>100</v>
      </c>
      <c r="X276" s="1222">
        <f t="shared" si="147"/>
        <v>198537.91257736</v>
      </c>
      <c r="Y276" s="1223">
        <f t="shared" si="160"/>
        <v>100</v>
      </c>
      <c r="Z276" s="1222">
        <f t="shared" si="148"/>
        <v>234886.69151656999</v>
      </c>
      <c r="AA276" s="1223">
        <f t="shared" si="161"/>
        <v>100</v>
      </c>
      <c r="AB276" s="1222">
        <f t="shared" si="149"/>
        <v>284796.55827083008</v>
      </c>
      <c r="AC276" s="1223">
        <f t="shared" si="162"/>
        <v>100</v>
      </c>
      <c r="AD276" s="1222">
        <f t="shared" si="150"/>
        <v>328247.34181302995</v>
      </c>
      <c r="AE276" s="1223">
        <f t="shared" si="163"/>
        <v>100</v>
      </c>
      <c r="AF276" s="1222">
        <f t="shared" si="151"/>
        <v>375451.36065609002</v>
      </c>
      <c r="AG276" s="1223">
        <f t="shared" si="164"/>
        <v>100</v>
      </c>
      <c r="AH276" s="1222">
        <f t="shared" si="143"/>
        <v>443513.33784827002</v>
      </c>
      <c r="AI276" s="1223">
        <f t="shared" si="144"/>
        <v>100</v>
      </c>
    </row>
    <row r="278" spans="3:35">
      <c r="C278" s="138" t="s">
        <v>2092</v>
      </c>
      <c r="D278" s="150">
        <f>Data!J149</f>
        <v>9559.2494556099991</v>
      </c>
      <c r="E278" s="150">
        <f>Data!K149</f>
        <v>6155.1389867099997</v>
      </c>
      <c r="F278" s="150">
        <f>Data!L149</f>
        <v>4244.4237807199997</v>
      </c>
      <c r="G278" s="150">
        <f>Data!M149</f>
        <v>7705.1717207199999</v>
      </c>
      <c r="H278" s="150">
        <f>Data!N149</f>
        <v>5934.7735584900001</v>
      </c>
      <c r="I278" s="150">
        <f>Data!O149</f>
        <v>6194.7522961599998</v>
      </c>
      <c r="J278" s="150">
        <f>Data!P149</f>
        <v>2704.4047680399999</v>
      </c>
      <c r="K278" s="150">
        <f>Data!Q149</f>
        <v>3700</v>
      </c>
      <c r="L278" s="150">
        <f>Data!R149</f>
        <v>3800</v>
      </c>
    </row>
    <row r="279" spans="3:35">
      <c r="C279" s="138" t="s">
        <v>2381</v>
      </c>
      <c r="D279" s="150">
        <f>Data!J$160</f>
        <v>5359.24945561</v>
      </c>
      <c r="E279" s="150">
        <f>Data!K$160</f>
        <v>4855.1389867099997</v>
      </c>
      <c r="F279" s="150">
        <f>Data!L$160</f>
        <v>4244.4237807199997</v>
      </c>
      <c r="G279" s="150">
        <f>Data!M$160</f>
        <v>6705.1717207199999</v>
      </c>
      <c r="H279" s="150">
        <f>Data!N$160</f>
        <v>5934.7735584900001</v>
      </c>
      <c r="I279" s="150">
        <f>Data!O$160</f>
        <v>6194.7522961599998</v>
      </c>
      <c r="J279" s="150">
        <f>Data!P$160</f>
        <v>2014.4047680399999</v>
      </c>
      <c r="K279" s="150">
        <f>Data!Q$160</f>
        <v>1700</v>
      </c>
      <c r="L279" s="150">
        <f>Data!R$160</f>
        <v>3000</v>
      </c>
    </row>
    <row r="280" spans="3:35">
      <c r="C280" s="138" t="s">
        <v>2093</v>
      </c>
      <c r="D280" s="150">
        <f>Data!J153</f>
        <v>0</v>
      </c>
      <c r="E280" s="150">
        <f>Data!K153</f>
        <v>0</v>
      </c>
      <c r="F280" s="150">
        <f>Data!L153</f>
        <v>0</v>
      </c>
      <c r="G280" s="150">
        <f>Data!M153</f>
        <v>0</v>
      </c>
      <c r="H280" s="150">
        <f>Data!N153</f>
        <v>0</v>
      </c>
      <c r="I280" s="150">
        <f>Data!O153</f>
        <v>0</v>
      </c>
      <c r="J280" s="150">
        <f>Data!P153</f>
        <v>7350</v>
      </c>
      <c r="K280" s="150">
        <f>Data!Q153</f>
        <v>8200</v>
      </c>
      <c r="L280" s="150">
        <f>Data!R153</f>
        <v>9380</v>
      </c>
    </row>
    <row r="281" spans="3:35">
      <c r="C281" s="138" t="s">
        <v>2089</v>
      </c>
      <c r="D281" s="150">
        <f>Data!J154</f>
        <v>625.79</v>
      </c>
      <c r="E281" s="150">
        <f>Data!K154</f>
        <v>2700</v>
      </c>
      <c r="F281" s="150">
        <f>Data!L154</f>
        <v>2700</v>
      </c>
      <c r="G281" s="150">
        <f>Data!M154</f>
        <v>2700</v>
      </c>
      <c r="H281" s="150">
        <f>Data!N154</f>
        <v>5800</v>
      </c>
      <c r="I281" s="150">
        <f>Data!O154</f>
        <v>7800</v>
      </c>
      <c r="J281" s="150">
        <f>Data!P154</f>
        <v>7000</v>
      </c>
      <c r="K281" s="150">
        <f>Data!Q154</f>
        <v>7989.8712411500001</v>
      </c>
      <c r="L281" s="150">
        <f>Data!R154</f>
        <v>11979.45683619</v>
      </c>
    </row>
    <row r="282" spans="3:35">
      <c r="C282" s="138" t="s">
        <v>2090</v>
      </c>
      <c r="D282" s="150">
        <f>Data!J155</f>
        <v>0</v>
      </c>
      <c r="E282" s="150">
        <f>Data!K155</f>
        <v>0</v>
      </c>
      <c r="F282" s="150">
        <f>Data!L155</f>
        <v>0</v>
      </c>
      <c r="G282" s="150">
        <f>Data!M155</f>
        <v>0</v>
      </c>
      <c r="H282" s="150">
        <f>Data!N155</f>
        <v>0</v>
      </c>
      <c r="I282" s="150">
        <f>Data!O155</f>
        <v>0</v>
      </c>
      <c r="J282" s="150">
        <f>Data!P155</f>
        <v>0</v>
      </c>
      <c r="K282" s="150">
        <f>Data!Q155</f>
        <v>0</v>
      </c>
      <c r="L282" s="150">
        <f>Data!R155</f>
        <v>0</v>
      </c>
    </row>
    <row r="283" spans="3:35">
      <c r="D283" s="150"/>
      <c r="E283" s="150"/>
      <c r="F283" s="150"/>
      <c r="G283" s="150"/>
      <c r="H283" s="150"/>
      <c r="I283" s="150"/>
      <c r="J283" s="150"/>
      <c r="K283" s="150"/>
      <c r="L283" s="150"/>
    </row>
    <row r="284" spans="3:35">
      <c r="C284" s="138" t="s">
        <v>755</v>
      </c>
      <c r="D284" s="151" t="e">
        <f>Data!J$348</f>
        <v>#DIV/0!</v>
      </c>
      <c r="E284" s="151">
        <f>Data!K$348</f>
        <v>156.24915158594413</v>
      </c>
      <c r="F284" s="151">
        <f>Data!L$348</f>
        <v>144.24527687541533</v>
      </c>
      <c r="G284" s="151">
        <f>Data!M$348</f>
        <v>131.13026293695475</v>
      </c>
      <c r="H284" s="151">
        <f>Data!N$348</f>
        <v>138.79125205067746</v>
      </c>
      <c r="I284" s="151">
        <f>Data!O$348</f>
        <v>133.11711922354121</v>
      </c>
      <c r="J284" s="151">
        <f>Data!P$348</f>
        <v>129.5881283439667</v>
      </c>
      <c r="K284" s="151">
        <f>Data!Q$348</f>
        <v>106.0626874137061</v>
      </c>
      <c r="L284" s="151">
        <f>Data!R$348</f>
        <v>110.53114067056103</v>
      </c>
    </row>
    <row r="285" spans="3:35">
      <c r="C285" s="138" t="s">
        <v>756</v>
      </c>
      <c r="D285" s="150">
        <f>Data!J$306</f>
        <v>0</v>
      </c>
      <c r="E285" s="150">
        <f>Data!K$306</f>
        <v>138087.74935345</v>
      </c>
      <c r="F285" s="150">
        <f>Data!L$306</f>
        <v>138148.11877413001</v>
      </c>
      <c r="G285" s="150">
        <f>Data!M$306</f>
        <v>144624.18772923999</v>
      </c>
      <c r="H285" s="150">
        <f>Data!N$306</f>
        <v>205813.76232923</v>
      </c>
      <c r="I285" s="150">
        <f>Data!O$306</f>
        <v>138920.33412539001</v>
      </c>
      <c r="J285" s="150">
        <f>Data!P$306</f>
        <v>182857.40900121999</v>
      </c>
      <c r="K285" s="150">
        <f>Data!Q$306</f>
        <v>173437.69287873001</v>
      </c>
      <c r="L285" s="150">
        <f>Data!R$306</f>
        <v>211076.41133689001</v>
      </c>
    </row>
    <row r="286" spans="3:35">
      <c r="C286" s="138" t="s">
        <v>757</v>
      </c>
      <c r="D286" s="150">
        <f>Data!J$307</f>
        <v>0</v>
      </c>
      <c r="E286" s="150">
        <f>Data!K$307</f>
        <v>88376.639458100006</v>
      </c>
      <c r="F286" s="150">
        <f>Data!L$307</f>
        <v>95773.062221960005</v>
      </c>
      <c r="G286" s="150">
        <f>Data!M$307</f>
        <v>110290.47337362</v>
      </c>
      <c r="H286" s="150">
        <f>Data!N$307</f>
        <v>148290.15466629001</v>
      </c>
      <c r="I286" s="150">
        <f>Data!O$307</f>
        <v>104359.48053541</v>
      </c>
      <c r="J286" s="150">
        <f>Data!P$307</f>
        <v>141106.60547226999</v>
      </c>
      <c r="K286" s="150">
        <f>Data!Q$307</f>
        <v>163523.75855065999</v>
      </c>
      <c r="L286" s="150">
        <f>Data!R$307</f>
        <v>190965.55962089001</v>
      </c>
    </row>
    <row r="287" spans="3:35">
      <c r="C287" s="138" t="s">
        <v>360</v>
      </c>
      <c r="D287" s="151" t="e">
        <f>Data!J$349</f>
        <v>#DIV/0!</v>
      </c>
      <c r="E287" s="151">
        <f>Data!K$349</f>
        <v>150.00243763778229</v>
      </c>
      <c r="F287" s="151">
        <f>Data!L$349</f>
        <v>134.31373754441353</v>
      </c>
      <c r="G287" s="151">
        <f>Data!M$349</f>
        <v>119.50901266495286</v>
      </c>
      <c r="H287" s="151">
        <f>Data!N$349</f>
        <v>129.46629067439872</v>
      </c>
      <c r="I287" s="151">
        <f>Data!O$349</f>
        <v>108.45569461138584</v>
      </c>
      <c r="J287" s="151">
        <f>Data!P$349</f>
        <v>105.60164126850913</v>
      </c>
      <c r="K287" s="151">
        <f>Data!Q$349</f>
        <v>85.473546186358092</v>
      </c>
      <c r="L287" s="151">
        <f>Data!R$349</f>
        <v>90.77608335106116</v>
      </c>
    </row>
    <row r="288" spans="3:35">
      <c r="C288" s="138" t="s">
        <v>758</v>
      </c>
      <c r="D288" s="150">
        <f>Data!J$299</f>
        <v>0</v>
      </c>
      <c r="E288" s="150">
        <f>Data!K$299</f>
        <v>3680.3640999999998</v>
      </c>
      <c r="F288" s="150">
        <f>Data!L$299</f>
        <v>7081.7323059999999</v>
      </c>
      <c r="G288" s="150">
        <f>Data!M$299</f>
        <v>10724.824556</v>
      </c>
      <c r="H288" s="150">
        <f>Data!N$299</f>
        <v>10680.77225</v>
      </c>
      <c r="I288" s="150">
        <f>Data!O$299</f>
        <v>23729.99842018</v>
      </c>
      <c r="J288" s="150">
        <f>Data!P$299</f>
        <v>32051.128446160001</v>
      </c>
      <c r="K288" s="150">
        <f>Data!Q$299</f>
        <v>39390.12605708</v>
      </c>
      <c r="L288" s="150">
        <f>Data!R$299</f>
        <v>41558.69516612</v>
      </c>
    </row>
    <row r="289" spans="3:35">
      <c r="C289" s="138" t="s">
        <v>759</v>
      </c>
      <c r="D289" s="151">
        <f>Data!J$350</f>
        <v>9.1304676779716605</v>
      </c>
      <c r="E289" s="151">
        <f>Data!K$350</f>
        <v>9.2797742169404973</v>
      </c>
      <c r="F289" s="151">
        <f>Data!L$350</f>
        <v>7.4063556832647235</v>
      </c>
      <c r="G289" s="151">
        <f>Data!M$350</f>
        <v>6.1328173685448073</v>
      </c>
      <c r="H289" s="151">
        <f>Data!N$350</f>
        <v>4.9585478294512129</v>
      </c>
      <c r="I289" s="151">
        <f>Data!O$350</f>
        <v>4.3853370499978839</v>
      </c>
      <c r="J289" s="151">
        <f>Data!P$350</f>
        <v>5.082523801403747</v>
      </c>
      <c r="K289" s="151">
        <f>Data!Q$350</f>
        <v>5.9050921372988778</v>
      </c>
      <c r="L289" s="151">
        <f>Data!R$350</f>
        <v>6.3748129799812343</v>
      </c>
    </row>
    <row r="290" spans="3:35">
      <c r="C290" s="138" t="s">
        <v>760</v>
      </c>
      <c r="D290" s="150">
        <f>Data!J$358</f>
        <v>15344.03945561</v>
      </c>
      <c r="E290" s="150">
        <f>Data!K$358</f>
        <v>17885.138986710001</v>
      </c>
      <c r="F290" s="150">
        <f>Data!L$358</f>
        <v>14704.423780720001</v>
      </c>
      <c r="G290" s="150">
        <f>Data!M$358</f>
        <v>14405.17172072</v>
      </c>
      <c r="H290" s="150">
        <f>Data!N$358</f>
        <v>14121.77355849</v>
      </c>
      <c r="I290" s="150">
        <f>Data!O$358</f>
        <v>14394.752296160001</v>
      </c>
      <c r="J290" s="150">
        <f>Data!P$358</f>
        <v>19082.40476804</v>
      </c>
      <c r="K290" s="150">
        <f>Data!Q$358</f>
        <v>26189.871241150002</v>
      </c>
      <c r="L290" s="150">
        <f>Data!R$358</f>
        <v>30559.456836190002</v>
      </c>
    </row>
    <row r="291" spans="3:35">
      <c r="C291" s="138" t="s">
        <v>751</v>
      </c>
      <c r="D291" s="150">
        <f>Data!J148</f>
        <v>5159</v>
      </c>
      <c r="E291" s="150">
        <f>Data!K148</f>
        <v>9030</v>
      </c>
      <c r="F291" s="150">
        <f>Data!L148</f>
        <v>7760</v>
      </c>
      <c r="G291" s="150">
        <f>Data!M148</f>
        <v>4000</v>
      </c>
      <c r="H291" s="150">
        <f>Data!N148</f>
        <v>2387</v>
      </c>
      <c r="I291" s="150">
        <f>Data!O148</f>
        <v>400</v>
      </c>
      <c r="J291" s="150">
        <f>Data!P148</f>
        <v>2028</v>
      </c>
      <c r="K291" s="150">
        <f>Data!Q148</f>
        <v>6300</v>
      </c>
      <c r="L291" s="150">
        <f>Data!R148</f>
        <v>5400</v>
      </c>
      <c r="T291" s="138"/>
      <c r="U291" s="138"/>
      <c r="V291" s="138"/>
      <c r="W291" s="138"/>
      <c r="X291" s="138"/>
      <c r="Y291" s="138"/>
      <c r="Z291" s="138"/>
      <c r="AA291" s="138"/>
      <c r="AB291" s="138"/>
      <c r="AC291" s="138"/>
      <c r="AD291" s="138"/>
      <c r="AE291" s="138"/>
      <c r="AF291" s="138"/>
      <c r="AG291" s="138"/>
      <c r="AH291" s="138"/>
      <c r="AI291" s="138"/>
    </row>
    <row r="292" spans="3:35">
      <c r="C292" s="138" t="s">
        <v>2098</v>
      </c>
      <c r="D292" s="162">
        <f t="shared" ref="D292:I292" si="165">D278+D280</f>
        <v>9559.2494556099991</v>
      </c>
      <c r="E292" s="162">
        <f t="shared" si="165"/>
        <v>6155.1389867099997</v>
      </c>
      <c r="F292" s="162">
        <f t="shared" si="165"/>
        <v>4244.4237807199997</v>
      </c>
      <c r="G292" s="162">
        <f t="shared" si="165"/>
        <v>7705.1717207199999</v>
      </c>
      <c r="H292" s="162">
        <f t="shared" si="165"/>
        <v>5934.7735584900001</v>
      </c>
      <c r="I292" s="162">
        <f t="shared" si="165"/>
        <v>6194.7522961599998</v>
      </c>
      <c r="J292" s="162">
        <f>J278+J280</f>
        <v>10054.40476804</v>
      </c>
      <c r="K292" s="162">
        <f>K278+K280</f>
        <v>11900</v>
      </c>
      <c r="L292" s="162">
        <f>L278+L280</f>
        <v>13180</v>
      </c>
      <c r="T292" s="138"/>
      <c r="U292" s="138"/>
      <c r="V292" s="138"/>
      <c r="W292" s="138"/>
      <c r="X292" s="138"/>
      <c r="Y292" s="138"/>
      <c r="Z292" s="138"/>
      <c r="AA292" s="138"/>
      <c r="AB292" s="138"/>
      <c r="AC292" s="138"/>
      <c r="AD292" s="138"/>
      <c r="AE292" s="138"/>
      <c r="AF292" s="138"/>
      <c r="AG292" s="138"/>
      <c r="AH292" s="138"/>
      <c r="AI292" s="138"/>
    </row>
    <row r="293" spans="3:35">
      <c r="C293" s="138" t="s">
        <v>2088</v>
      </c>
      <c r="D293" s="162">
        <f t="shared" ref="D293:K293" si="166">D281+D282</f>
        <v>625.79</v>
      </c>
      <c r="E293" s="162">
        <f t="shared" si="166"/>
        <v>2700</v>
      </c>
      <c r="F293" s="162">
        <f t="shared" si="166"/>
        <v>2700</v>
      </c>
      <c r="G293" s="162">
        <f t="shared" si="166"/>
        <v>2700</v>
      </c>
      <c r="H293" s="162">
        <f t="shared" si="166"/>
        <v>5800</v>
      </c>
      <c r="I293" s="162">
        <f t="shared" si="166"/>
        <v>7800</v>
      </c>
      <c r="J293" s="162">
        <f t="shared" si="166"/>
        <v>7000</v>
      </c>
      <c r="K293" s="162">
        <f t="shared" si="166"/>
        <v>7989.8712411500001</v>
      </c>
      <c r="L293" s="162">
        <f t="shared" ref="L293" si="167">L281+L282</f>
        <v>11979.45683619</v>
      </c>
      <c r="T293" s="138"/>
      <c r="U293" s="138"/>
      <c r="V293" s="138"/>
      <c r="W293" s="138"/>
      <c r="X293" s="138"/>
      <c r="Y293" s="138"/>
      <c r="Z293" s="138"/>
      <c r="AA293" s="138"/>
      <c r="AB293" s="138"/>
      <c r="AC293" s="138"/>
      <c r="AD293" s="138"/>
      <c r="AE293" s="138"/>
      <c r="AF293" s="138"/>
      <c r="AG293" s="138"/>
      <c r="AH293" s="138"/>
      <c r="AI293" s="138"/>
    </row>
    <row r="294" spans="3:35">
      <c r="C294" s="138" t="s">
        <v>761</v>
      </c>
      <c r="D294" s="150">
        <f>Data!J$15</f>
        <v>168053.16</v>
      </c>
      <c r="E294" s="150">
        <f>Data!K$15</f>
        <v>192732.48</v>
      </c>
      <c r="F294" s="150">
        <f>Data!L$15</f>
        <v>198537.91</v>
      </c>
      <c r="G294" s="150">
        <f>Data!M$15</f>
        <v>234886.69</v>
      </c>
      <c r="H294" s="150">
        <f>Data!N$15</f>
        <v>284796.56</v>
      </c>
      <c r="I294" s="150">
        <f>Data!O$15</f>
        <v>328247.34000000003</v>
      </c>
      <c r="J294" s="150">
        <f>Data!P$15</f>
        <v>375451.36</v>
      </c>
      <c r="K294" s="150">
        <f>Data!Q$15</f>
        <v>443513.34</v>
      </c>
      <c r="L294" s="150">
        <f>Data!R$15</f>
        <v>479378.09</v>
      </c>
      <c r="T294" s="138"/>
      <c r="U294" s="138"/>
      <c r="V294" s="138"/>
      <c r="W294" s="138"/>
      <c r="X294" s="138"/>
      <c r="Y294" s="138"/>
      <c r="Z294" s="138"/>
      <c r="AA294" s="138"/>
      <c r="AB294" s="138"/>
      <c r="AC294" s="138"/>
      <c r="AD294" s="138"/>
      <c r="AE294" s="138"/>
      <c r="AF294" s="138"/>
      <c r="AG294" s="138"/>
      <c r="AH294" s="138"/>
      <c r="AI294" s="138"/>
    </row>
    <row r="295" spans="3:35">
      <c r="C295" s="138" t="s">
        <v>2102</v>
      </c>
      <c r="D295" s="150">
        <f>Data!J$174</f>
        <v>25376.894565090013</v>
      </c>
      <c r="E295" s="150">
        <f>Data!K$174</f>
        <v>26332.031025450007</v>
      </c>
      <c r="F295" s="150">
        <f>Data!L$174</f>
        <v>25452.911310630006</v>
      </c>
      <c r="G295" s="150">
        <f>Data!M$174</f>
        <v>26850.037184999994</v>
      </c>
      <c r="H295" s="150">
        <f>Data!N$174</f>
        <v>28895.187318729993</v>
      </c>
      <c r="I295" s="150">
        <f>Data!O$174</f>
        <v>39790.803961780039</v>
      </c>
      <c r="J295" s="150">
        <f>Data!P$174</f>
        <v>45322.058444759983</v>
      </c>
      <c r="K295" s="150">
        <f>Data!Q$174</f>
        <v>53936.615996590001</v>
      </c>
      <c r="L295" s="150">
        <f>Data!R$174</f>
        <v>61907.60098718002</v>
      </c>
    </row>
    <row r="296" spans="3:35">
      <c r="C296" s="138" t="s">
        <v>2100</v>
      </c>
      <c r="D296" s="150">
        <f>Data!J$175</f>
        <v>160244.67247210001</v>
      </c>
      <c r="E296" s="150">
        <f>Data!K$175</f>
        <v>185409.77375013</v>
      </c>
      <c r="F296" s="150">
        <f>Data!L$175</f>
        <v>191547.47735597001</v>
      </c>
      <c r="G296" s="150">
        <f>Data!M$175</f>
        <v>227757.28866304</v>
      </c>
      <c r="H296" s="150">
        <f>Data!N$175</f>
        <v>278338.47236232</v>
      </c>
      <c r="I296" s="150">
        <f>Data!O$175</f>
        <v>321968.91208480002</v>
      </c>
      <c r="J296" s="150">
        <f>Data!P$175</f>
        <v>369438.68593345</v>
      </c>
      <c r="K296" s="150">
        <f>Data!Q$175</f>
        <v>437306.88206430001</v>
      </c>
      <c r="L296" s="150">
        <f>Data!R$175</f>
        <v>472536.33493914001</v>
      </c>
    </row>
    <row r="297" spans="3:35">
      <c r="C297" s="138" t="s">
        <v>2101</v>
      </c>
      <c r="D297" s="150">
        <f>Data!J$176</f>
        <v>134867.77790700999</v>
      </c>
      <c r="E297" s="150">
        <f>Data!K$176</f>
        <v>159077.74272467999</v>
      </c>
      <c r="F297" s="150">
        <f>Data!L$176</f>
        <v>166094.56604534001</v>
      </c>
      <c r="G297" s="150">
        <f>Data!M$176</f>
        <v>200907.25147804001</v>
      </c>
      <c r="H297" s="150">
        <f>Data!N$176</f>
        <v>249443.28504359</v>
      </c>
      <c r="I297" s="150">
        <f>Data!O$176</f>
        <v>282178.10812301998</v>
      </c>
      <c r="J297" s="150">
        <f>Data!P$176</f>
        <v>324116.62748869002</v>
      </c>
      <c r="K297" s="150">
        <f>Data!Q$176</f>
        <v>383370.26606771001</v>
      </c>
      <c r="L297" s="150">
        <f>Data!R$176</f>
        <v>410628.73395195999</v>
      </c>
    </row>
    <row r="298" spans="3:35">
      <c r="D298" s="150"/>
      <c r="E298" s="150"/>
      <c r="F298" s="150"/>
      <c r="G298" s="150"/>
      <c r="H298" s="150"/>
      <c r="I298" s="150"/>
      <c r="J298" s="150"/>
      <c r="K298" s="150"/>
      <c r="L298" s="150"/>
    </row>
    <row r="299" spans="3:35">
      <c r="C299" s="138" t="s">
        <v>2114</v>
      </c>
      <c r="D299" s="150">
        <f>Data!J$66</f>
        <v>666.64128778999998</v>
      </c>
      <c r="E299" s="150">
        <f>Data!K$66</f>
        <v>510.94093144999999</v>
      </c>
      <c r="F299" s="150">
        <f>Data!L$66</f>
        <v>3057.5530965600001</v>
      </c>
      <c r="G299" s="150">
        <f>Data!M$66</f>
        <v>1576.0755837500001</v>
      </c>
      <c r="H299" s="150">
        <f>Data!N$66</f>
        <v>4314.93205674</v>
      </c>
      <c r="I299" s="150">
        <f>Data!O$66</f>
        <v>8202.9710002200009</v>
      </c>
      <c r="J299" s="150">
        <f>Data!P$66</f>
        <v>6756.2453954499997</v>
      </c>
      <c r="K299" s="150">
        <f>Data!Q$66</f>
        <v>7881.87205206</v>
      </c>
      <c r="L299" s="150">
        <f>Data!R$66</f>
        <v>7137.3195511699996</v>
      </c>
    </row>
    <row r="300" spans="3:35">
      <c r="C300" s="138" t="s">
        <v>512</v>
      </c>
      <c r="D300" s="150"/>
      <c r="E300" s="150"/>
      <c r="F300" s="150"/>
      <c r="G300" s="150"/>
      <c r="H300" s="150"/>
      <c r="I300" s="150"/>
      <c r="J300" s="150">
        <f>Data!P$44</f>
        <v>13000</v>
      </c>
      <c r="K300" s="150">
        <f>Data!Q$44</f>
        <v>12000</v>
      </c>
      <c r="L300" s="150">
        <f>Data!R$44</f>
        <v>12000</v>
      </c>
    </row>
    <row r="301" spans="3:35">
      <c r="D301" s="150"/>
      <c r="E301" s="150"/>
      <c r="F301" s="150"/>
      <c r="G301" s="150"/>
      <c r="H301" s="150"/>
      <c r="I301" s="150"/>
      <c r="J301" s="150"/>
      <c r="K301" s="150"/>
      <c r="L301" s="150"/>
    </row>
    <row r="302" spans="3:35">
      <c r="C302" s="138" t="s">
        <v>2103</v>
      </c>
      <c r="E302" s="151">
        <f>Data!K$374</f>
        <v>7.6311111797747255</v>
      </c>
      <c r="F302" s="151">
        <f>Data!L$374</f>
        <v>7.2616869635907815</v>
      </c>
      <c r="G302" s="151">
        <f>Data!M$374</f>
        <v>7.9819838678104329</v>
      </c>
      <c r="H302" s="151">
        <f>Data!N$374</f>
        <v>7.1171966443611794</v>
      </c>
      <c r="I302" s="151">
        <f>Data!O$374</f>
        <v>8.4392390931276928</v>
      </c>
      <c r="J302" s="151">
        <f>Data!P$374</f>
        <v>9.589610500876109</v>
      </c>
      <c r="K302" s="151">
        <f>Data!Q$374</f>
        <v>9.8348290721739513</v>
      </c>
      <c r="L302" s="151">
        <f>Data!R$374</f>
        <v>0</v>
      </c>
      <c r="N302" s="161">
        <f>AVERAGE(H302:J302)</f>
        <v>8.3820154127883271</v>
      </c>
      <c r="O302" s="161"/>
      <c r="P302" s="161"/>
      <c r="Q302" s="161"/>
      <c r="R302" s="161"/>
      <c r="S302" s="161"/>
    </row>
    <row r="303" spans="3:35">
      <c r="C303" s="138" t="s">
        <v>69</v>
      </c>
      <c r="D303" s="150">
        <f>Data!J$21</f>
        <v>2146.1999999999998</v>
      </c>
      <c r="E303" s="150">
        <f>Data!K$21</f>
        <v>1590.22</v>
      </c>
      <c r="F303" s="150">
        <f>Data!L$21</f>
        <v>755.38</v>
      </c>
      <c r="G303" s="150">
        <f>Data!M$21</f>
        <v>2200.9299999999998</v>
      </c>
      <c r="H303" s="150">
        <f>Data!N$21</f>
        <v>2560.61</v>
      </c>
      <c r="I303" s="150">
        <f>Data!O$21</f>
        <v>2437.17</v>
      </c>
      <c r="J303" s="150">
        <f>Data!P$21</f>
        <v>4722.8</v>
      </c>
      <c r="K303" s="150">
        <f>Data!Q$21</f>
        <v>5035.1000000000004</v>
      </c>
      <c r="L303" s="150">
        <f>Data!R$21</f>
        <v>5251.57</v>
      </c>
    </row>
    <row r="304" spans="3:35">
      <c r="C304" s="138" t="s">
        <v>2104</v>
      </c>
      <c r="D304" s="160">
        <f>Data!J352</f>
        <v>0</v>
      </c>
      <c r="E304" s="160">
        <f>Data!K352</f>
        <v>0.88153176026586999</v>
      </c>
      <c r="F304" s="160">
        <f>Data!L352</f>
        <v>0.51482215476503446</v>
      </c>
      <c r="G304" s="160">
        <f>Data!M352</f>
        <v>1.0155999355878853</v>
      </c>
      <c r="H304" s="160">
        <f>Data!N352</f>
        <v>0.98545027227548088</v>
      </c>
      <c r="I304" s="160">
        <f>Data!O352</f>
        <v>0.79510455928738966</v>
      </c>
      <c r="J304" s="160">
        <f>Data!P352</f>
        <v>1.3422790132847369</v>
      </c>
      <c r="K304" s="160">
        <f>Data!Q352</f>
        <v>1.2296256503352065</v>
      </c>
      <c r="L304" s="160">
        <f>Data!R352</f>
        <v>1.5174251502121172</v>
      </c>
      <c r="M304" s="146"/>
      <c r="N304" s="146"/>
      <c r="O304" s="146"/>
      <c r="P304" s="146"/>
      <c r="Q304" s="146"/>
      <c r="R304" s="146"/>
      <c r="S304" s="146"/>
    </row>
    <row r="305" spans="1:35">
      <c r="C305" s="138" t="s">
        <v>2079</v>
      </c>
      <c r="H305" s="150">
        <f>Data!N$299</f>
        <v>10680.77225</v>
      </c>
      <c r="I305" s="150">
        <f>Data!O$299</f>
        <v>23729.99842018</v>
      </c>
      <c r="J305" s="150">
        <f>Data!P$299</f>
        <v>32051.128446160001</v>
      </c>
      <c r="K305" s="150">
        <f>Data!Q$299</f>
        <v>39390.12605708</v>
      </c>
      <c r="L305" s="150">
        <f>Data!R$299</f>
        <v>41558.69516612</v>
      </c>
      <c r="M305" s="1149"/>
      <c r="N305" s="146"/>
      <c r="O305" s="146"/>
      <c r="P305" s="146"/>
      <c r="Q305" s="146"/>
      <c r="R305" s="146"/>
      <c r="S305" s="146"/>
    </row>
    <row r="306" spans="1:35">
      <c r="C306" s="138" t="s">
        <v>1318</v>
      </c>
      <c r="D306" s="160">
        <f>Data!J451</f>
        <v>0</v>
      </c>
      <c r="E306" s="160">
        <f>Data!K$300</f>
        <v>11.521110941275211</v>
      </c>
      <c r="F306" s="160">
        <f>Data!L$300</f>
        <v>22.971489673304369</v>
      </c>
      <c r="G306" s="160">
        <f>Data!M$300</f>
        <v>33.616537797402394</v>
      </c>
      <c r="H306" s="160">
        <f>Data!N$300</f>
        <v>32.416473605721926</v>
      </c>
      <c r="I306" s="160">
        <f>Data!O$300</f>
        <v>58.266590938394756</v>
      </c>
      <c r="J306" s="160">
        <f>Data!P$300</f>
        <v>75.560467018801219</v>
      </c>
      <c r="K306" s="160">
        <f>Data!Q$300</f>
        <v>90.541642532799102</v>
      </c>
      <c r="L306" s="160">
        <f>Data!R$300</f>
        <v>89.483620718097228</v>
      </c>
      <c r="M306" s="146"/>
      <c r="N306" s="146"/>
      <c r="O306" s="146"/>
      <c r="P306" s="146"/>
      <c r="Q306" s="146"/>
      <c r="R306" s="146"/>
      <c r="S306" s="146"/>
    </row>
    <row r="308" spans="1:35" s="118" customFormat="1">
      <c r="A308" s="117" t="s">
        <v>467</v>
      </c>
      <c r="B308" s="117"/>
      <c r="C308" s="117"/>
      <c r="D308" s="117"/>
      <c r="E308" s="117"/>
      <c r="F308" s="117"/>
      <c r="T308" s="1225"/>
      <c r="U308" s="1225"/>
      <c r="V308" s="1225"/>
      <c r="W308" s="1225"/>
      <c r="X308" s="1225"/>
      <c r="Y308" s="1225"/>
      <c r="Z308" s="1225"/>
      <c r="AA308" s="1225"/>
      <c r="AB308" s="1225"/>
      <c r="AC308" s="1225"/>
      <c r="AD308" s="1225"/>
      <c r="AE308" s="1225"/>
      <c r="AF308" s="1225"/>
      <c r="AG308" s="1225"/>
      <c r="AH308" s="1225"/>
      <c r="AI308" s="1225"/>
    </row>
  </sheetData>
  <mergeCells count="8">
    <mergeCell ref="AH1:AI1"/>
    <mergeCell ref="AF1:AG1"/>
    <mergeCell ref="AD1:AE1"/>
    <mergeCell ref="AB1:AC1"/>
    <mergeCell ref="T1:U1"/>
    <mergeCell ref="V1:W1"/>
    <mergeCell ref="X1:Y1"/>
    <mergeCell ref="Z1:AA1"/>
  </mergeCells>
  <phoneticPr fontId="73" type="noConversion"/>
  <pageMargins left="0.7" right="0.7" top="0.75" bottom="0.75" header="0.3" footer="0.3"/>
  <pageSetup paperSize="9" scale="2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B050"/>
  </sheetPr>
  <dimension ref="A2:Z172"/>
  <sheetViews>
    <sheetView topLeftCell="A67" zoomScaleNormal="100" zoomScaleSheetLayoutView="85" workbookViewId="0">
      <selection activeCell="I105" sqref="I105"/>
    </sheetView>
  </sheetViews>
  <sheetFormatPr baseColWidth="10" defaultColWidth="9.1640625" defaultRowHeight="13" outlineLevelCol="1"/>
  <cols>
    <col min="1" max="1" width="4.5" style="724" customWidth="1"/>
    <col min="2" max="2" width="34.83203125" style="724" customWidth="1"/>
    <col min="3" max="3" width="12.1640625" style="724" hidden="1" customWidth="1" outlineLevel="1"/>
    <col min="4" max="4" width="12.33203125" style="724" customWidth="1" collapsed="1"/>
    <col min="5" max="5" width="12.83203125" style="724" customWidth="1"/>
    <col min="6" max="6" width="12.5" style="724" customWidth="1"/>
    <col min="7" max="9" width="12" style="724" customWidth="1"/>
    <col min="10" max="12" width="12.1640625" style="724" customWidth="1"/>
    <col min="13" max="13" width="13.1640625" style="724" customWidth="1"/>
    <col min="14" max="14" width="12.5" style="724" customWidth="1"/>
    <col min="15" max="15" width="13.83203125" style="724" customWidth="1"/>
    <col min="16" max="16" width="17.5" style="724" customWidth="1"/>
    <col min="17" max="17" width="17.83203125" style="724" customWidth="1"/>
    <col min="18" max="18" width="22.33203125" style="724" customWidth="1"/>
    <col min="19" max="19" width="9.1640625" style="724"/>
    <col min="20" max="22" width="12" style="724" customWidth="1"/>
    <col min="23" max="23" width="13.5" style="724" bestFit="1" customWidth="1"/>
    <col min="24" max="24" width="12.33203125" style="724" customWidth="1"/>
    <col min="25" max="16384" width="9.1640625" style="724"/>
  </cols>
  <sheetData>
    <row r="2" spans="1:26" ht="16">
      <c r="A2" s="723" t="s">
        <v>2146</v>
      </c>
    </row>
    <row r="4" spans="1:26" s="725" customFormat="1" ht="15">
      <c r="B4" s="726" t="s">
        <v>1530</v>
      </c>
      <c r="C4" s="947" t="s">
        <v>1680</v>
      </c>
      <c r="D4" s="947" t="s">
        <v>1681</v>
      </c>
      <c r="E4" s="947" t="s">
        <v>1682</v>
      </c>
      <c r="F4" s="947" t="s">
        <v>1683</v>
      </c>
      <c r="G4" s="947" t="s">
        <v>1684</v>
      </c>
      <c r="H4" s="947" t="s">
        <v>1685</v>
      </c>
      <c r="I4" s="947" t="s">
        <v>2403</v>
      </c>
      <c r="J4" s="947" t="s">
        <v>2405</v>
      </c>
      <c r="K4" s="947" t="s">
        <v>2406</v>
      </c>
      <c r="L4" s="947" t="s">
        <v>2407</v>
      </c>
      <c r="O4" s="1649"/>
      <c r="P4" s="1649"/>
      <c r="Q4" s="1649"/>
      <c r="R4" s="1649"/>
      <c r="S4" s="1649"/>
      <c r="T4" s="1649"/>
      <c r="U4" s="1649"/>
      <c r="V4" s="1649"/>
      <c r="W4" s="1649"/>
      <c r="X4" s="1649"/>
      <c r="Y4" s="1649"/>
    </row>
    <row r="5" spans="1:26" ht="14" thickBot="1">
      <c r="C5" s="728" t="s">
        <v>1531</v>
      </c>
      <c r="D5" s="729" t="s">
        <v>1532</v>
      </c>
      <c r="E5" s="727"/>
      <c r="F5" s="727"/>
      <c r="G5" s="727"/>
      <c r="H5" s="727"/>
      <c r="I5" s="727"/>
      <c r="L5" s="730"/>
      <c r="M5" s="730" t="s">
        <v>1533</v>
      </c>
      <c r="O5" s="1648"/>
      <c r="P5" s="1648"/>
      <c r="Q5" s="1648"/>
      <c r="R5" s="1648"/>
      <c r="S5" s="1648"/>
      <c r="T5" s="1648"/>
      <c r="U5" s="1648"/>
      <c r="V5" s="1648"/>
      <c r="W5" s="1648"/>
      <c r="X5" s="1648"/>
      <c r="Y5" s="1648"/>
    </row>
    <row r="6" spans="1:26" ht="29" thickBot="1">
      <c r="B6" s="731" t="s">
        <v>1534</v>
      </c>
      <c r="C6" s="733" t="s">
        <v>691</v>
      </c>
      <c r="D6" s="733" t="s">
        <v>692</v>
      </c>
      <c r="E6" s="733" t="s">
        <v>1535</v>
      </c>
      <c r="F6" s="733" t="s">
        <v>1536</v>
      </c>
      <c r="G6" s="733" t="s">
        <v>1537</v>
      </c>
      <c r="H6" s="733" t="s">
        <v>1538</v>
      </c>
      <c r="I6" s="733" t="s">
        <v>2404</v>
      </c>
      <c r="J6" s="734" t="str">
        <f>J$26</f>
        <v>2019(E)</v>
      </c>
      <c r="K6" s="735" t="str">
        <f>K$26</f>
        <v>2020(E)</v>
      </c>
      <c r="L6" s="736" t="str">
        <f>L$26</f>
        <v>2021(E)</v>
      </c>
      <c r="M6" s="737" t="s">
        <v>1539</v>
      </c>
      <c r="N6" s="738" t="s">
        <v>1540</v>
      </c>
      <c r="O6" s="1648"/>
      <c r="P6" s="1648" t="s">
        <v>2694</v>
      </c>
      <c r="Q6" s="1648" t="s">
        <v>2695</v>
      </c>
      <c r="R6" s="1650" t="s">
        <v>819</v>
      </c>
      <c r="S6" s="1648"/>
      <c r="T6" s="1648"/>
      <c r="U6" s="1648"/>
      <c r="V6" s="1648"/>
      <c r="W6" s="1648"/>
      <c r="X6" s="1648"/>
      <c r="Y6" s="1648"/>
      <c r="Z6" s="1648"/>
    </row>
    <row r="7" spans="1:26" ht="13.5" customHeight="1" thickBot="1">
      <c r="B7" s="740" t="s">
        <v>1543</v>
      </c>
      <c r="C7" s="741"/>
      <c r="D7" s="741"/>
      <c r="E7" s="741"/>
      <c r="F7" s="741"/>
      <c r="G7" s="741"/>
      <c r="H7" s="741"/>
      <c r="I7" s="741"/>
      <c r="J7" s="742"/>
      <c r="K7" s="743"/>
      <c r="L7" s="744"/>
      <c r="M7" s="745"/>
      <c r="N7" s="746"/>
      <c r="O7" s="1648"/>
      <c r="P7" s="1648"/>
      <c r="Q7" s="1648"/>
      <c r="R7" s="1650"/>
      <c r="S7" s="1648"/>
      <c r="T7" s="1702" t="s">
        <v>2647</v>
      </c>
      <c r="U7" s="1703"/>
      <c r="V7" s="1703"/>
      <c r="W7" s="1703"/>
      <c r="X7" s="1703"/>
      <c r="Y7" s="1704"/>
      <c r="Z7" s="1648"/>
    </row>
    <row r="8" spans="1:26" ht="15" thickBot="1">
      <c r="B8" s="747" t="s">
        <v>1544</v>
      </c>
      <c r="C8" s="919">
        <f t="shared" ref="C8:L8" si="0">C65</f>
        <v>7.6311111797747255</v>
      </c>
      <c r="D8" s="919">
        <f t="shared" si="0"/>
        <v>7.2616869635907815</v>
      </c>
      <c r="E8" s="919">
        <f t="shared" si="0"/>
        <v>7.9819838678104329</v>
      </c>
      <c r="F8" s="919">
        <f t="shared" si="0"/>
        <v>7.1171966443611794</v>
      </c>
      <c r="G8" s="919">
        <f t="shared" si="0"/>
        <v>8.4392390931276928</v>
      </c>
      <c r="H8" s="919">
        <f t="shared" si="0"/>
        <v>9.589610500876109</v>
      </c>
      <c r="I8" s="919">
        <f t="shared" ref="I8" si="1">I65</f>
        <v>9.8638595161923579</v>
      </c>
      <c r="J8" s="749">
        <f>J65</f>
        <v>10.830317920132188</v>
      </c>
      <c r="K8" s="750">
        <f t="shared" si="0"/>
        <v>10.677963001815748</v>
      </c>
      <c r="L8" s="750">
        <f t="shared" si="0"/>
        <v>8.4330602139076056</v>
      </c>
      <c r="M8" s="751">
        <f>AVERAGE(J8:L8)</f>
        <v>9.9804470452851799</v>
      </c>
      <c r="N8" s="1651" t="str">
        <f>IF(M8&gt;=10,"AAA",IF(M8&gt;=5,"AA",IF(M8&gt;=2,"A",IF(M8&gt;=0.5,"BBB",IF(M8&gt;=0.2,"BB","B")))))</f>
        <v>AA</v>
      </c>
      <c r="O8" s="1652" t="s">
        <v>1543</v>
      </c>
      <c r="P8" s="1652" t="str">
        <f>NCP!$H10</f>
        <v>AA</v>
      </c>
      <c r="Q8" s="1653" t="s">
        <v>2700</v>
      </c>
      <c r="R8" s="1648" t="str">
        <f>NCP!$F10</f>
        <v>AA</v>
      </c>
      <c r="S8" s="1652" t="s">
        <v>323</v>
      </c>
      <c r="T8" s="1654" t="s">
        <v>324</v>
      </c>
      <c r="U8" s="1655" t="s">
        <v>325</v>
      </c>
      <c r="V8" s="1655" t="s">
        <v>326</v>
      </c>
      <c r="W8" s="1655" t="s">
        <v>256</v>
      </c>
      <c r="X8" s="1655" t="s">
        <v>327</v>
      </c>
      <c r="Y8" s="1655" t="s">
        <v>2648</v>
      </c>
      <c r="Z8" s="1648"/>
    </row>
    <row r="9" spans="1:26" s="1648" customFormat="1" ht="14">
      <c r="B9" s="1656" t="s">
        <v>2693</v>
      </c>
      <c r="C9" s="1657"/>
      <c r="D9" s="1658">
        <f>D34</f>
        <v>30828.35</v>
      </c>
      <c r="E9" s="1659">
        <f t="shared" ref="E9:I9" si="2">E34</f>
        <v>31903.42</v>
      </c>
      <c r="F9" s="1659">
        <f t="shared" si="2"/>
        <v>32948.589999999997</v>
      </c>
      <c r="G9" s="1659">
        <f t="shared" si="2"/>
        <v>40726.589999999997</v>
      </c>
      <c r="H9" s="1659">
        <f t="shared" si="2"/>
        <v>42417.85</v>
      </c>
      <c r="I9" s="1659">
        <f t="shared" si="2"/>
        <v>43504.98</v>
      </c>
      <c r="J9" s="1660">
        <f>J34</f>
        <v>46511.502456092865</v>
      </c>
      <c r="K9" s="1661">
        <f>K34</f>
        <v>47989.157272241646</v>
      </c>
      <c r="L9" s="1662">
        <f>L34</f>
        <v>47751.395371590828</v>
      </c>
      <c r="M9" s="1663">
        <f>AVERAGE(J9:L9)</f>
        <v>47417.351699975115</v>
      </c>
      <c r="N9" s="1664" t="str">
        <f>IF(M9&gt;=40000,"AAA",IF(M9&gt;=10000,"AA",IF(M9&gt;=5000,"A",IF(M9&gt;=2000,"BBB",IF(M9&gt;=1000,"BB","B")))))</f>
        <v>AAA</v>
      </c>
    </row>
    <row r="10" spans="1:26">
      <c r="B10" s="754" t="s">
        <v>1545</v>
      </c>
      <c r="C10" s="920"/>
      <c r="D10" s="920"/>
      <c r="E10" s="920"/>
      <c r="F10" s="920"/>
      <c r="G10" s="920"/>
      <c r="H10" s="920"/>
      <c r="I10" s="920"/>
      <c r="J10" s="756"/>
      <c r="K10" s="757"/>
      <c r="L10" s="758"/>
      <c r="M10" s="759"/>
      <c r="N10" s="1666"/>
      <c r="O10" s="1652" t="s">
        <v>2115</v>
      </c>
      <c r="P10" s="1652" t="str">
        <f>NCP!$H12</f>
        <v>AA</v>
      </c>
      <c r="Q10" s="1653" t="s">
        <v>2709</v>
      </c>
      <c r="R10" s="1648" t="str">
        <f>NCP!$F12</f>
        <v>AA</v>
      </c>
      <c r="S10" s="1652" t="s">
        <v>2649</v>
      </c>
      <c r="T10" s="1667" t="s">
        <v>2696</v>
      </c>
      <c r="U10" s="1648"/>
      <c r="V10" s="1648"/>
      <c r="W10" s="1648"/>
      <c r="X10" s="1648"/>
      <c r="Y10" s="1648"/>
      <c r="Z10" s="1648"/>
    </row>
    <row r="11" spans="1:26" ht="14" thickBot="1">
      <c r="B11" s="747" t="s">
        <v>1546</v>
      </c>
      <c r="C11" s="921">
        <f t="shared" ref="C11:G11" si="3">C66</f>
        <v>0.88153176026586999</v>
      </c>
      <c r="D11" s="921">
        <f t="shared" si="3"/>
        <v>0.51482215476503446</v>
      </c>
      <c r="E11" s="921">
        <f t="shared" si="3"/>
        <v>1.0155999355878853</v>
      </c>
      <c r="F11" s="921">
        <f t="shared" si="3"/>
        <v>0.98545027227548088</v>
      </c>
      <c r="G11" s="921">
        <f t="shared" si="3"/>
        <v>0.79510455928738966</v>
      </c>
      <c r="H11" s="921">
        <f>H66</f>
        <v>1.3422790132847369</v>
      </c>
      <c r="I11" s="921">
        <f>I66</f>
        <v>1.2296256503352065</v>
      </c>
      <c r="J11" s="749">
        <f>J66</f>
        <v>1.0684063273685542</v>
      </c>
      <c r="K11" s="750">
        <f>K60/AVERAGE(J27:K27)*100</f>
        <v>0.83732988817908149</v>
      </c>
      <c r="L11" s="750">
        <f>L60/AVERAGE(K27:L27)*100</f>
        <v>0.35668621228447239</v>
      </c>
      <c r="M11" s="751">
        <f>AVERAGE(J11:L11)</f>
        <v>0.75414080927736948</v>
      </c>
      <c r="N11" s="1668" t="str">
        <f>IF(M11&gt;2.5,"AAA",IF(M11&gt;1,"AA",IF(M11&gt;0.5,"A",IF(M11&gt;0.1,"BBB",IF(M11&gt;0,"BB","B")))))</f>
        <v>A</v>
      </c>
      <c r="O11" s="1648" t="s">
        <v>2710</v>
      </c>
      <c r="P11" s="1648" t="str">
        <f>NCP!$H11</f>
        <v>A</v>
      </c>
      <c r="Q11" s="1665" t="b">
        <f>N11=P11</f>
        <v>1</v>
      </c>
      <c r="R11" s="1648" t="str">
        <f>NCP!$F11</f>
        <v>AA</v>
      </c>
      <c r="S11" s="1669" t="s">
        <v>328</v>
      </c>
      <c r="T11" s="1670" t="s">
        <v>2650</v>
      </c>
      <c r="U11" s="1671" t="s">
        <v>2651</v>
      </c>
      <c r="V11" s="1672" t="s">
        <v>2652</v>
      </c>
      <c r="W11" s="1671" t="s">
        <v>2653</v>
      </c>
      <c r="X11" s="1672" t="s">
        <v>2654</v>
      </c>
      <c r="Y11" s="1672" t="s">
        <v>2655</v>
      </c>
      <c r="Z11" s="1648"/>
    </row>
    <row r="12" spans="1:26" ht="14" thickBot="1">
      <c r="B12" s="747" t="s">
        <v>1547</v>
      </c>
      <c r="C12" s="921">
        <f t="shared" ref="C12:L12" si="4">C47/C55*100</f>
        <v>146.73178871745688</v>
      </c>
      <c r="D12" s="921">
        <f t="shared" si="4"/>
        <v>135.99680055821472</v>
      </c>
      <c r="E12" s="921">
        <f t="shared" si="4"/>
        <v>169.06138115316116</v>
      </c>
      <c r="F12" s="921">
        <f t="shared" si="4"/>
        <v>165.80829369368175</v>
      </c>
      <c r="G12" s="921">
        <f t="shared" si="4"/>
        <v>164.53900493446474</v>
      </c>
      <c r="H12" s="921">
        <f t="shared" si="4"/>
        <v>213.75220057966396</v>
      </c>
      <c r="I12" s="921">
        <f t="shared" ref="I12" si="5">I47/I55*100</f>
        <v>214.56386456134081</v>
      </c>
      <c r="J12" s="761">
        <f t="shared" si="4"/>
        <v>205.85252316445496</v>
      </c>
      <c r="K12" s="762">
        <f t="shared" si="4"/>
        <v>180.19520430876932</v>
      </c>
      <c r="L12" s="763">
        <f t="shared" si="4"/>
        <v>133.2553203412638</v>
      </c>
      <c r="M12" s="764">
        <f>AVERAGE(J12:L12)</f>
        <v>173.1010159381627</v>
      </c>
      <c r="N12" s="1668" t="str">
        <f>IF(M12&gt;=150,"AAA",IF(M12&gt;=110,"AA",IF(M12&gt;=100,"A",IF(M12&gt;=90,"BBB",IF(M12&gt;=70,"BB","B")))))</f>
        <v>AAA</v>
      </c>
      <c r="O12" s="1648" t="s">
        <v>1547</v>
      </c>
      <c r="P12" s="1648" t="str">
        <f>NCP!$H13</f>
        <v>AAA</v>
      </c>
      <c r="Q12" s="1665" t="b">
        <f>N12=P12</f>
        <v>1</v>
      </c>
      <c r="R12" s="1673" t="str">
        <f>NCP!$F13</f>
        <v>AAA</v>
      </c>
      <c r="S12" s="1669" t="s">
        <v>2656</v>
      </c>
      <c r="T12" s="1674" t="s">
        <v>2657</v>
      </c>
      <c r="U12" s="1675" t="s">
        <v>1293</v>
      </c>
      <c r="V12" s="1676" t="s">
        <v>1294</v>
      </c>
      <c r="W12" s="1675" t="s">
        <v>1295</v>
      </c>
      <c r="X12" s="1676" t="s">
        <v>2658</v>
      </c>
      <c r="Y12" s="1676" t="s">
        <v>2659</v>
      </c>
      <c r="Z12" s="1648"/>
    </row>
    <row r="13" spans="1:26">
      <c r="B13" s="766" t="s">
        <v>1548</v>
      </c>
      <c r="C13" s="920"/>
      <c r="D13" s="920"/>
      <c r="E13" s="920"/>
      <c r="F13" s="920"/>
      <c r="G13" s="920"/>
      <c r="H13" s="920"/>
      <c r="I13" s="920"/>
      <c r="J13" s="756"/>
      <c r="K13" s="757"/>
      <c r="L13" s="758"/>
      <c r="M13" s="759"/>
      <c r="N13" s="1677"/>
      <c r="O13" s="1648"/>
      <c r="P13" s="1648"/>
      <c r="Q13" s="1648"/>
      <c r="R13" s="1648"/>
      <c r="S13" s="1648"/>
      <c r="T13" s="1648"/>
      <c r="U13" s="1648"/>
      <c r="V13" s="1648"/>
      <c r="W13" s="1648"/>
      <c r="X13" s="1648"/>
      <c r="Y13" s="1648"/>
      <c r="Z13" s="1648"/>
    </row>
    <row r="14" spans="1:26" ht="14" thickBot="1">
      <c r="B14" s="747" t="s">
        <v>1549</v>
      </c>
      <c r="C14" s="922">
        <f t="shared" ref="C14:L14" si="6">C84</f>
        <v>93.415683321088608</v>
      </c>
      <c r="D14" s="922">
        <f t="shared" si="6"/>
        <v>99.002154922568522</v>
      </c>
      <c r="E14" s="922">
        <f t="shared" si="6"/>
        <v>94.998867682366182</v>
      </c>
      <c r="F14" s="922">
        <f t="shared" si="6"/>
        <v>101.48056699372781</v>
      </c>
      <c r="G14" s="922">
        <f t="shared" si="6"/>
        <v>123.80934901171914</v>
      </c>
      <c r="H14" s="922">
        <f t="shared" si="6"/>
        <v>289.0339069506432</v>
      </c>
      <c r="I14" s="922">
        <f t="shared" ref="I14" si="7">I84</f>
        <v>280.74806847648432</v>
      </c>
      <c r="J14" s="761">
        <f t="shared" si="6"/>
        <v>303</v>
      </c>
      <c r="K14" s="762">
        <f t="shared" si="6"/>
        <v>336.1</v>
      </c>
      <c r="L14" s="763">
        <f t="shared" si="6"/>
        <v>371.3</v>
      </c>
      <c r="M14" s="764">
        <f>AVERAGE(J14:L14)</f>
        <v>336.8</v>
      </c>
      <c r="N14" s="1668" t="str">
        <f>IF(M14&gt;150,"AAA",IF(M14&gt;120,"AA",IF(M14&gt;90,"A",IF(M14&gt;70,"BBB",IF(M14&gt;40,"BB","B")))))</f>
        <v>AAA</v>
      </c>
      <c r="O14" s="1648" t="s">
        <v>2601</v>
      </c>
      <c r="P14" s="1648" t="str">
        <f>NCP!$H16</f>
        <v>AAA</v>
      </c>
      <c r="Q14" s="1665" t="b">
        <f>N14=P14</f>
        <v>1</v>
      </c>
      <c r="R14" s="1648" t="str">
        <f>NCP!$F16</f>
        <v>AAA</v>
      </c>
      <c r="S14" s="1669" t="s">
        <v>731</v>
      </c>
      <c r="T14" s="1670" t="s">
        <v>2657</v>
      </c>
      <c r="U14" s="1671" t="s">
        <v>2660</v>
      </c>
      <c r="V14" s="1672" t="s">
        <v>2661</v>
      </c>
      <c r="W14" s="1671" t="s">
        <v>2658</v>
      </c>
      <c r="X14" s="1672" t="s">
        <v>2662</v>
      </c>
      <c r="Y14" s="1672" t="s">
        <v>2663</v>
      </c>
      <c r="Z14" s="1648"/>
    </row>
    <row r="15" spans="1:26" ht="14" thickBot="1">
      <c r="B15" s="747" t="s">
        <v>1550</v>
      </c>
      <c r="C15" s="922">
        <f t="shared" ref="C15:L15" si="8">(C76-C80)/C34*100</f>
        <v>0.27869744219039738</v>
      </c>
      <c r="D15" s="922">
        <f t="shared" si="8"/>
        <v>0.30170513997667719</v>
      </c>
      <c r="E15" s="922">
        <f t="shared" si="8"/>
        <v>0.23543060195427368</v>
      </c>
      <c r="F15" s="922">
        <f t="shared" si="8"/>
        <v>5.4567883754661317E-2</v>
      </c>
      <c r="G15" s="922">
        <f t="shared" si="8"/>
        <v>-9.9688977839784768E-2</v>
      </c>
      <c r="H15" s="922">
        <f t="shared" si="8"/>
        <v>-1.6538550914532442</v>
      </c>
      <c r="I15" s="922">
        <f t="shared" ref="I15" si="9">(I76-I80)/I34*100</f>
        <v>-1.9404912254413171</v>
      </c>
      <c r="J15" s="769">
        <f t="shared" si="8"/>
        <v>-2.2285987960396976</v>
      </c>
      <c r="K15" s="770">
        <f t="shared" si="8"/>
        <v>-2.7090969245014453</v>
      </c>
      <c r="L15" s="771">
        <f t="shared" si="8"/>
        <v>-3.3049312412247613</v>
      </c>
      <c r="M15" s="764">
        <f>AVERAGE(J15:L15)</f>
        <v>-2.7475423205886345</v>
      </c>
      <c r="N15" s="1668" t="str">
        <f>IF(M15&lt;1,"AAA",IF(M15&lt;3,"AA",IF(M15&lt;5,"A",IF(M15&lt;7,"BBB",IF(M15&lt;12,"BB","B")))))</f>
        <v>AAA</v>
      </c>
      <c r="O15" s="1648" t="s">
        <v>344</v>
      </c>
      <c r="P15" s="1648" t="str">
        <f>NCP!$H17</f>
        <v>AAA</v>
      </c>
      <c r="Q15" s="1665" t="b">
        <f>N15=P15</f>
        <v>1</v>
      </c>
      <c r="R15" s="1648" t="str">
        <f>NCP!$F17</f>
        <v>AAA</v>
      </c>
      <c r="S15" s="1669" t="s">
        <v>344</v>
      </c>
      <c r="T15" s="1670" t="s">
        <v>2664</v>
      </c>
      <c r="U15" s="1672" t="s">
        <v>2665</v>
      </c>
      <c r="V15" s="1672" t="s">
        <v>2666</v>
      </c>
      <c r="W15" s="1672" t="s">
        <v>2667</v>
      </c>
      <c r="X15" s="1672" t="s">
        <v>2668</v>
      </c>
      <c r="Y15" s="1672" t="s">
        <v>2669</v>
      </c>
      <c r="Z15" s="1648"/>
    </row>
    <row r="16" spans="1:26">
      <c r="B16" s="766" t="s">
        <v>1551</v>
      </c>
      <c r="C16" s="920"/>
      <c r="D16" s="920"/>
      <c r="E16" s="920"/>
      <c r="F16" s="920"/>
      <c r="G16" s="920"/>
      <c r="H16" s="920"/>
      <c r="I16" s="920"/>
      <c r="J16" s="756"/>
      <c r="K16" s="757"/>
      <c r="L16" s="758"/>
      <c r="M16" s="759"/>
      <c r="N16" s="1677"/>
      <c r="O16" s="1648"/>
      <c r="P16" s="1648"/>
      <c r="Q16" s="1648"/>
      <c r="R16" s="1648"/>
      <c r="S16" s="1648"/>
      <c r="T16" s="1648"/>
      <c r="U16" s="1648"/>
      <c r="V16" s="1648"/>
      <c r="W16" s="1648"/>
      <c r="X16" s="1648"/>
      <c r="Y16" s="1648"/>
      <c r="Z16" s="1648"/>
    </row>
    <row r="17" spans="1:26" s="1648" customFormat="1" ht="15" customHeight="1" thickBot="1">
      <c r="B17" s="1656" t="s">
        <v>2697</v>
      </c>
      <c r="C17" s="1657" t="s">
        <v>2698</v>
      </c>
      <c r="D17" s="1657"/>
      <c r="E17" s="1657"/>
      <c r="F17" s="1657"/>
      <c r="G17" s="1657">
        <f t="shared" ref="G17:H17" si="10">G87</f>
        <v>1602.6</v>
      </c>
      <c r="H17" s="1657">
        <f t="shared" si="10"/>
        <v>1469.9</v>
      </c>
      <c r="I17" s="1657">
        <f>I87</f>
        <v>1016.9</v>
      </c>
      <c r="J17" s="1678">
        <f>J87</f>
        <v>878.64583333333337</v>
      </c>
      <c r="K17" s="1679">
        <f t="shared" ref="K17:L17" si="11">K87</f>
        <v>791.81547619047615</v>
      </c>
      <c r="L17" s="1680">
        <f t="shared" si="11"/>
        <v>779.98511904761904</v>
      </c>
      <c r="M17" s="1681">
        <f>AVERAGE(J17:L17)</f>
        <v>816.81547619047615</v>
      </c>
      <c r="N17" s="1682" t="str">
        <f>IF(M17&gt;=500,"AAA",IF(M17&gt;=350,"AA",IF(M17&gt;=250,"A",IF(M17&gt;=150,"BBB",IF(M17&gt;=100,"BB","B")))))</f>
        <v>AAA</v>
      </c>
      <c r="O17" s="1648" t="s">
        <v>2670</v>
      </c>
      <c r="P17" s="1648" t="str">
        <f>NCP!$H19</f>
        <v>AAA</v>
      </c>
      <c r="Q17" s="1665" t="b">
        <f>N17=P17</f>
        <v>1</v>
      </c>
      <c r="R17" s="1648" t="str">
        <f>NCP!$F19</f>
        <v>AAA</v>
      </c>
      <c r="S17" s="1669" t="s">
        <v>2671</v>
      </c>
      <c r="T17" s="1670" t="s">
        <v>2672</v>
      </c>
      <c r="U17" s="1671" t="s">
        <v>2673</v>
      </c>
      <c r="V17" s="1672" t="s">
        <v>2674</v>
      </c>
      <c r="W17" s="1671" t="s">
        <v>2675</v>
      </c>
      <c r="X17" s="1672" t="s">
        <v>2676</v>
      </c>
      <c r="Y17" s="1672" t="s">
        <v>2677</v>
      </c>
    </row>
    <row r="18" spans="1:26" s="1648" customFormat="1" ht="15" customHeight="1" thickBot="1">
      <c r="B18" s="1656" t="s">
        <v>2699</v>
      </c>
      <c r="C18" s="1657" t="s">
        <v>2698</v>
      </c>
      <c r="D18" s="1657">
        <f t="shared" ref="D18:H18" si="12">D94</f>
        <v>425.46744879097724</v>
      </c>
      <c r="E18" s="1657">
        <f t="shared" si="12"/>
        <v>400.41462917963975</v>
      </c>
      <c r="F18" s="1657">
        <f t="shared" si="12"/>
        <v>320.12974268874166</v>
      </c>
      <c r="G18" s="1657">
        <f t="shared" si="12"/>
        <v>334.0312568368596</v>
      </c>
      <c r="H18" s="1657">
        <f t="shared" si="12"/>
        <v>244.12590158507808</v>
      </c>
      <c r="I18" s="1657">
        <f>I94</f>
        <v>164.72644343497888</v>
      </c>
      <c r="J18" s="1678">
        <f>J94</f>
        <v>165.4511622225933</v>
      </c>
      <c r="K18" s="1679">
        <f t="shared" ref="K18:L18" si="13">K94</f>
        <v>165.73542727561679</v>
      </c>
      <c r="L18" s="1680">
        <f t="shared" si="13"/>
        <v>160.11096350512909</v>
      </c>
      <c r="M18" s="1681">
        <f>AVERAGE(J18:L18)</f>
        <v>163.76585100111308</v>
      </c>
      <c r="N18" s="1682" t="str">
        <f>IF(M18&gt;=400,"AAA",IF(M18&gt;=300,"AA",IF(M18&gt;=200,"A",IF(M18&gt;=130,"BBB",IF(M18&gt;=100,"BB","B")))))</f>
        <v>BBB</v>
      </c>
      <c r="O18" s="1648" t="s">
        <v>2678</v>
      </c>
      <c r="P18" s="1648" t="str">
        <f>NCP!$H20</f>
        <v>BBB</v>
      </c>
      <c r="Q18" s="1665" t="b">
        <f>N18=P18</f>
        <v>1</v>
      </c>
      <c r="R18" s="1648" t="str">
        <f>NCP!$F20</f>
        <v>A</v>
      </c>
      <c r="S18" s="1669" t="s">
        <v>2678</v>
      </c>
      <c r="T18" s="1670" t="s">
        <v>2679</v>
      </c>
      <c r="U18" s="1671" t="s">
        <v>2680</v>
      </c>
      <c r="V18" s="1672" t="s">
        <v>2681</v>
      </c>
      <c r="W18" s="1671" t="s">
        <v>2682</v>
      </c>
      <c r="X18" s="1672" t="s">
        <v>2683</v>
      </c>
      <c r="Y18" s="1672" t="s">
        <v>2677</v>
      </c>
    </row>
    <row r="19" spans="1:26" ht="14" thickBot="1">
      <c r="B19" s="747" t="s">
        <v>1554</v>
      </c>
      <c r="C19" s="922">
        <f t="shared" ref="C19:L19" si="14">C27/C34*100</f>
        <v>603.33503211192408</v>
      </c>
      <c r="D19" s="922">
        <f t="shared" si="14"/>
        <v>644.01082120840078</v>
      </c>
      <c r="E19" s="922">
        <f t="shared" si="14"/>
        <v>736.24297959278351</v>
      </c>
      <c r="F19" s="922">
        <f t="shared" si="14"/>
        <v>864.36645695612469</v>
      </c>
      <c r="G19" s="922">
        <f t="shared" si="14"/>
        <v>805.97796181806541</v>
      </c>
      <c r="H19" s="922">
        <f t="shared" si="14"/>
        <v>885.12586092883066</v>
      </c>
      <c r="I19" s="922">
        <f t="shared" ref="I19" si="15">I27/I34*100</f>
        <v>1019.454186624152</v>
      </c>
      <c r="J19" s="769">
        <f t="shared" si="14"/>
        <v>982.1629405139937</v>
      </c>
      <c r="K19" s="770">
        <f t="shared" si="14"/>
        <v>980.47836042781432</v>
      </c>
      <c r="L19" s="771">
        <f t="shared" si="14"/>
        <v>1014.9211299624362</v>
      </c>
      <c r="M19" s="764">
        <f>AVERAGE(J19:L19)</f>
        <v>992.52081030141471</v>
      </c>
      <c r="N19" s="1683" t="str">
        <f>IF(M19&lt;300,"AAA",IF(M19&lt;700,"AA",IF(M19&lt;900,"A",IF(M19&lt;1100,"BBB",IF(M19&lt;1400,"BB","B")))))</f>
        <v>BBB</v>
      </c>
      <c r="O19" s="1648" t="s">
        <v>2605</v>
      </c>
      <c r="P19" s="1648" t="str">
        <f>NCP!$H21</f>
        <v>BBB</v>
      </c>
      <c r="Q19" s="1665" t="b">
        <f>N19=P19</f>
        <v>1</v>
      </c>
      <c r="R19" s="1648" t="str">
        <f>NCP!$F21</f>
        <v>A</v>
      </c>
      <c r="S19" s="1669" t="s">
        <v>2684</v>
      </c>
      <c r="T19" s="1670" t="s">
        <v>2685</v>
      </c>
      <c r="U19" s="1672" t="s">
        <v>820</v>
      </c>
      <c r="V19" s="1672" t="s">
        <v>821</v>
      </c>
      <c r="W19" s="1672" t="s">
        <v>822</v>
      </c>
      <c r="X19" s="1672" t="s">
        <v>2686</v>
      </c>
      <c r="Y19" s="1672" t="s">
        <v>2687</v>
      </c>
      <c r="Z19" s="1648"/>
    </row>
    <row r="20" spans="1:26">
      <c r="B20" s="766" t="s">
        <v>554</v>
      </c>
      <c r="C20" s="920"/>
      <c r="D20" s="920"/>
      <c r="E20" s="920"/>
      <c r="F20" s="920"/>
      <c r="G20" s="920"/>
      <c r="H20" s="920"/>
      <c r="I20" s="920"/>
      <c r="J20" s="756"/>
      <c r="K20" s="757"/>
      <c r="L20" s="758"/>
      <c r="M20" s="759"/>
      <c r="N20" s="1677"/>
      <c r="O20" s="1648"/>
      <c r="P20" s="1648"/>
      <c r="Q20" s="1648"/>
      <c r="R20" s="1648"/>
      <c r="S20" s="1648"/>
      <c r="T20" s="1667"/>
      <c r="U20" s="1648"/>
      <c r="V20" s="1648"/>
      <c r="W20" s="1648"/>
      <c r="X20" s="1648"/>
      <c r="Y20" s="1648"/>
      <c r="Z20" s="1648"/>
    </row>
    <row r="21" spans="1:26" ht="14" thickBot="1">
      <c r="B21" s="747" t="s">
        <v>552</v>
      </c>
      <c r="C21" s="921">
        <f t="shared" ref="C21:H21" si="16">C104</f>
        <v>156.24915158594413</v>
      </c>
      <c r="D21" s="921">
        <f t="shared" si="16"/>
        <v>144.24527687541533</v>
      </c>
      <c r="E21" s="921">
        <f t="shared" si="16"/>
        <v>131.13026293695475</v>
      </c>
      <c r="F21" s="921">
        <f t="shared" si="16"/>
        <v>138.79125205067746</v>
      </c>
      <c r="G21" s="921">
        <f t="shared" si="16"/>
        <v>133.11711922354121</v>
      </c>
      <c r="H21" s="921">
        <f t="shared" si="16"/>
        <v>129.5881283439667</v>
      </c>
      <c r="I21" s="921">
        <f t="shared" ref="I21" si="17">I104</f>
        <v>106.0626874137061</v>
      </c>
      <c r="J21" s="761">
        <f>J104</f>
        <v>107.99106050835019</v>
      </c>
      <c r="K21" s="762">
        <f>K104</f>
        <v>109.95431205272308</v>
      </c>
      <c r="L21" s="763">
        <f>L104</f>
        <v>111.9535952216862</v>
      </c>
      <c r="M21" s="764">
        <f>AVERAGE(J21:L21)</f>
        <v>109.96632259425316</v>
      </c>
      <c r="N21" s="1668" t="str">
        <f>IF(M21&gt;150,"AAA",IF(M21&gt;130,"AA",IF(M21&gt;120,"A",IF(M21&gt;100,"BBB",IF(M21&gt;80,"BB","B")))))</f>
        <v>BBB</v>
      </c>
      <c r="O21" s="1648" t="s">
        <v>2606</v>
      </c>
      <c r="P21" s="1648" t="str">
        <f>NCP!$H23</f>
        <v>BBB</v>
      </c>
      <c r="Q21" s="1665" t="b">
        <f>N21=P21</f>
        <v>1</v>
      </c>
      <c r="R21" s="1648" t="str">
        <f>NCP!$F23</f>
        <v>A</v>
      </c>
      <c r="S21" s="1669" t="s">
        <v>356</v>
      </c>
      <c r="T21" s="1670" t="s">
        <v>2657</v>
      </c>
      <c r="U21" s="1672" t="s">
        <v>2688</v>
      </c>
      <c r="V21" s="1672" t="s">
        <v>2689</v>
      </c>
      <c r="W21" s="1672" t="s">
        <v>2690</v>
      </c>
      <c r="X21" s="1672" t="s">
        <v>2691</v>
      </c>
      <c r="Y21" s="1672" t="s">
        <v>2692</v>
      </c>
      <c r="Z21" s="1648"/>
    </row>
    <row r="22" spans="1:26">
      <c r="B22" s="766" t="s">
        <v>1555</v>
      </c>
      <c r="C22" s="920">
        <f t="shared" ref="C22:G22" si="18">C67</f>
        <v>5.0188521235546961</v>
      </c>
      <c r="D22" s="924">
        <f t="shared" si="18"/>
        <v>3.2089539166717262</v>
      </c>
      <c r="E22" s="920">
        <f t="shared" si="18"/>
        <v>7.0169477145336927</v>
      </c>
      <c r="F22" s="920">
        <f t="shared" si="18"/>
        <v>7.8967777953109719</v>
      </c>
      <c r="G22" s="920">
        <f t="shared" si="18"/>
        <v>6.6159939020548659</v>
      </c>
      <c r="H22" s="920">
        <f>H67</f>
        <v>11.360468829431163</v>
      </c>
      <c r="I22" s="920">
        <f>I67</f>
        <v>11.720051652172799</v>
      </c>
      <c r="J22" s="755">
        <f>J67</f>
        <v>10.686048432160925</v>
      </c>
      <c r="K22" s="757">
        <f t="shared" ref="K22:L22" si="19">K67</f>
        <v>8.2167808253535881</v>
      </c>
      <c r="L22" s="757">
        <f t="shared" si="19"/>
        <v>3.5585048851428964</v>
      </c>
      <c r="M22" s="757"/>
      <c r="N22" s="757"/>
      <c r="O22" s="1652" t="s">
        <v>366</v>
      </c>
      <c r="P22" s="1652" t="str">
        <f>NCP!$H24</f>
        <v>AAA</v>
      </c>
      <c r="Q22" s="1653" t="s">
        <v>2700</v>
      </c>
      <c r="R22" s="1648" t="str">
        <f>NCP!$F24</f>
        <v>AAA</v>
      </c>
      <c r="S22" s="1652" t="s">
        <v>366</v>
      </c>
      <c r="T22" s="1667" t="s">
        <v>2701</v>
      </c>
      <c r="U22" s="1648"/>
      <c r="V22" s="1648"/>
      <c r="W22" s="1648"/>
      <c r="X22" s="1648"/>
      <c r="Y22" s="1648"/>
      <c r="Z22" s="1648"/>
    </row>
    <row r="23" spans="1:26">
      <c r="O23" s="1648"/>
      <c r="P23" s="1648"/>
      <c r="Q23" s="1648"/>
      <c r="R23" s="1648"/>
      <c r="S23" s="1648"/>
      <c r="T23" s="1648"/>
      <c r="U23" s="1648"/>
      <c r="V23" s="1648"/>
      <c r="W23" s="1648"/>
      <c r="X23" s="1648"/>
      <c r="Y23" s="1648"/>
    </row>
    <row r="24" spans="1:26" s="725" customFormat="1">
      <c r="B24" s="726" t="s">
        <v>1556</v>
      </c>
    </row>
    <row r="25" spans="1:26" ht="14" thickBot="1">
      <c r="G25" s="781"/>
      <c r="H25" s="781"/>
      <c r="I25" s="781"/>
      <c r="J25" s="782"/>
      <c r="K25" s="782"/>
      <c r="L25" s="782"/>
      <c r="M25" s="730" t="s">
        <v>1533</v>
      </c>
    </row>
    <row r="26" spans="1:26" ht="15">
      <c r="B26" s="731" t="s">
        <v>1534</v>
      </c>
      <c r="C26" s="732" t="str">
        <f t="shared" ref="C26:I26" si="20">C6</f>
        <v>FY12</v>
      </c>
      <c r="D26" s="732" t="str">
        <f t="shared" si="20"/>
        <v>FY13</v>
      </c>
      <c r="E26" s="732" t="str">
        <f t="shared" si="20"/>
        <v>FY14</v>
      </c>
      <c r="F26" s="732" t="str">
        <f t="shared" si="20"/>
        <v>FY15</v>
      </c>
      <c r="G26" s="732" t="str">
        <f t="shared" si="20"/>
        <v>FY16</v>
      </c>
      <c r="H26" s="732" t="str">
        <f t="shared" si="20"/>
        <v>FY17</v>
      </c>
      <c r="I26" s="732" t="str">
        <f t="shared" si="20"/>
        <v>FY18</v>
      </c>
      <c r="J26" s="734" t="s">
        <v>1425</v>
      </c>
      <c r="K26" s="783" t="s">
        <v>1446</v>
      </c>
      <c r="L26" s="736" t="s">
        <v>2408</v>
      </c>
      <c r="M26" s="736" t="s">
        <v>1560</v>
      </c>
    </row>
    <row r="27" spans="1:26">
      <c r="A27" s="784"/>
      <c r="B27" s="785" t="s">
        <v>1561</v>
      </c>
      <c r="C27" s="912">
        <f>Data!K$15</f>
        <v>192732.48</v>
      </c>
      <c r="D27" s="912">
        <f>Data!L$15</f>
        <v>198537.91</v>
      </c>
      <c r="E27" s="912">
        <f>Data!M$15</f>
        <v>234886.69</v>
      </c>
      <c r="F27" s="912">
        <f>Data!N$15</f>
        <v>284796.56</v>
      </c>
      <c r="G27" s="912">
        <f>Data!O$15</f>
        <v>328247.34000000003</v>
      </c>
      <c r="H27" s="912">
        <f>Data!P$15</f>
        <v>375451.36</v>
      </c>
      <c r="I27" s="912">
        <f>Data!Q$15</f>
        <v>443513.34</v>
      </c>
      <c r="J27" s="787">
        <f>I27*(1+J146/100)</f>
        <v>456818.74020000006</v>
      </c>
      <c r="K27" s="786">
        <f>J27*(1+K146/100)</f>
        <v>470523.30240600009</v>
      </c>
      <c r="L27" s="788">
        <f>K27*(1+L146/100)</f>
        <v>484639.00147818011</v>
      </c>
      <c r="M27" s="788">
        <f>AVERAGE(J27:L27)</f>
        <v>470660.34802806005</v>
      </c>
    </row>
    <row r="28" spans="1:26">
      <c r="A28" s="784"/>
      <c r="B28" s="789" t="s">
        <v>1562</v>
      </c>
      <c r="C28" s="913">
        <f>Data!K$84</f>
        <v>138158.16205314</v>
      </c>
      <c r="D28" s="913">
        <f>Data!L$84</f>
        <v>141137.38937639</v>
      </c>
      <c r="E28" s="913">
        <f>Data!M$84</f>
        <v>151715.90287553999</v>
      </c>
      <c r="F28" s="913">
        <f>Data!N$84</f>
        <v>181381.28420828999</v>
      </c>
      <c r="G28" s="913">
        <f>Data!O$84</f>
        <v>214897.04632433</v>
      </c>
      <c r="H28" s="913">
        <f>Data!P$84</f>
        <v>258551.74957541001</v>
      </c>
      <c r="I28" s="913">
        <f>Data!Q$84</f>
        <v>296182.67243576999</v>
      </c>
      <c r="J28" s="792">
        <f t="shared" ref="J28:L29" si="21">ROUND(I28*(1+J147/100),0)</f>
        <v>310992</v>
      </c>
      <c r="K28" s="790">
        <f t="shared" si="21"/>
        <v>320322</v>
      </c>
      <c r="L28" s="793">
        <f t="shared" si="21"/>
        <v>326728</v>
      </c>
      <c r="M28" s="793">
        <f>AVERAGE(J28:L28)</f>
        <v>319347.33333333331</v>
      </c>
    </row>
    <row r="29" spans="1:26">
      <c r="A29" s="784"/>
      <c r="B29" s="789" t="s">
        <v>1563</v>
      </c>
      <c r="C29" s="913">
        <f>Data!K$118</f>
        <v>14697.519643600001</v>
      </c>
      <c r="D29" s="913">
        <f>Data!L$118</f>
        <v>14787.290585070001</v>
      </c>
      <c r="E29" s="913">
        <f>Data!M$118</f>
        <v>13957.09317111</v>
      </c>
      <c r="F29" s="913">
        <f>Data!N$118</f>
        <v>17554.358424450002</v>
      </c>
      <c r="G29" s="913">
        <f>Data!O$118</f>
        <v>19972.17555177</v>
      </c>
      <c r="H29" s="913">
        <f>Data!P$118</f>
        <v>33520.247614970001</v>
      </c>
      <c r="I29" s="913">
        <f>Data!Q$118</f>
        <v>39926.181118230001</v>
      </c>
      <c r="J29" s="792">
        <f t="shared" si="21"/>
        <v>43919</v>
      </c>
      <c r="K29" s="790">
        <f t="shared" si="21"/>
        <v>48311</v>
      </c>
      <c r="L29" s="793">
        <f t="shared" si="21"/>
        <v>53142</v>
      </c>
      <c r="M29" s="793"/>
    </row>
    <row r="30" spans="1:26">
      <c r="A30" s="784"/>
      <c r="B30" s="789" t="s">
        <v>1564</v>
      </c>
      <c r="C30" s="914">
        <f t="shared" ref="C30:G30" si="22">C27-C28-C29</f>
        <v>39876.798303260017</v>
      </c>
      <c r="D30" s="914">
        <f t="shared" si="22"/>
        <v>42613.230038540001</v>
      </c>
      <c r="E30" s="914">
        <f t="shared" si="22"/>
        <v>69213.693953350012</v>
      </c>
      <c r="F30" s="914">
        <f t="shared" si="22"/>
        <v>85860.917367260001</v>
      </c>
      <c r="G30" s="914">
        <f t="shared" si="22"/>
        <v>93378.118123900029</v>
      </c>
      <c r="H30" s="914">
        <f t="shared" ref="H30:L30" si="23">H27-H28-H29</f>
        <v>83379.362809619983</v>
      </c>
      <c r="I30" s="914">
        <f t="shared" ref="I30" si="24">I27-I28-I29</f>
        <v>107404.48644600004</v>
      </c>
      <c r="J30" s="792">
        <f t="shared" si="23"/>
        <v>101907.74020000006</v>
      </c>
      <c r="K30" s="790">
        <f t="shared" si="23"/>
        <v>101890.30240600009</v>
      </c>
      <c r="L30" s="793">
        <f t="shared" si="23"/>
        <v>104769.00147818011</v>
      </c>
      <c r="M30" s="793"/>
    </row>
    <row r="31" spans="1:26">
      <c r="B31" s="754" t="s">
        <v>1565</v>
      </c>
      <c r="C31" s="913">
        <f>Data!K$16</f>
        <v>160787.96</v>
      </c>
      <c r="D31" s="913">
        <f>Data!L$16</f>
        <v>167709.56</v>
      </c>
      <c r="E31" s="913">
        <f>Data!M$16</f>
        <v>202983.27</v>
      </c>
      <c r="F31" s="913">
        <f>Data!N$16</f>
        <v>251847.96</v>
      </c>
      <c r="G31" s="913">
        <f>Data!O$16</f>
        <v>287521</v>
      </c>
      <c r="H31" s="913">
        <f>Data!P$16</f>
        <v>333033.51</v>
      </c>
      <c r="I31" s="913">
        <f>Data!Q$16</f>
        <v>400008.36000000004</v>
      </c>
      <c r="J31" s="792">
        <f>J27-J34</f>
        <v>410307.2377439072</v>
      </c>
      <c r="K31" s="790">
        <f>K27-K34</f>
        <v>422534.14513375843</v>
      </c>
      <c r="L31" s="793">
        <f>L27-L34</f>
        <v>436887.60610658932</v>
      </c>
      <c r="M31" s="793">
        <f>AVERAGE(J31:L31)</f>
        <v>423242.99632808496</v>
      </c>
    </row>
    <row r="32" spans="1:26">
      <c r="A32" s="784"/>
      <c r="B32" s="747" t="s">
        <v>1566</v>
      </c>
      <c r="C32" s="916">
        <f>Data!K$142</f>
        <v>121441.57188047998</v>
      </c>
      <c r="D32" s="916">
        <f>Data!L$142</f>
        <v>139432.38650522</v>
      </c>
      <c r="E32" s="916">
        <f>Data!M$142</f>
        <v>162729.95110902999</v>
      </c>
      <c r="F32" s="916">
        <f>Data!N$142</f>
        <v>204770.71165647003</v>
      </c>
      <c r="G32" s="916">
        <f>Data!O$142</f>
        <v>236981.69017647998</v>
      </c>
      <c r="H32" s="916">
        <f>Data!P$142</f>
        <v>261635.20874783001</v>
      </c>
      <c r="I32" s="916">
        <f>Data!Q$142</f>
        <v>307902.52161469997</v>
      </c>
      <c r="J32" s="787">
        <f t="shared" ref="J32:L33" si="25">I32*(1+J150/100)</f>
        <v>317139.59726314095</v>
      </c>
      <c r="K32" s="794">
        <f t="shared" si="25"/>
        <v>326653.78518103517</v>
      </c>
      <c r="L32" s="788">
        <f t="shared" si="25"/>
        <v>336453.39873646625</v>
      </c>
      <c r="M32" s="788">
        <f>AVERAGE(J32:L32)</f>
        <v>326748.9270602141</v>
      </c>
    </row>
    <row r="33" spans="1:14">
      <c r="A33" s="784"/>
      <c r="B33" s="747" t="s">
        <v>1567</v>
      </c>
      <c r="C33" s="916">
        <f>Data!K$146</f>
        <v>17885.138986710001</v>
      </c>
      <c r="D33" s="916">
        <f>Data!L$146</f>
        <v>14704.423780720001</v>
      </c>
      <c r="E33" s="916">
        <f>Data!M$146</f>
        <v>14405.17172072</v>
      </c>
      <c r="F33" s="916">
        <f>Data!N$146</f>
        <v>14121.77355849</v>
      </c>
      <c r="G33" s="916">
        <f>Data!O$146</f>
        <v>14394.752296160001</v>
      </c>
      <c r="H33" s="916">
        <f>Data!P$146</f>
        <v>19082.40476804</v>
      </c>
      <c r="I33" s="916">
        <f>Data!Q$146</f>
        <v>26189.871241150002</v>
      </c>
      <c r="J33" s="787">
        <f t="shared" si="25"/>
        <v>26975.567378384501</v>
      </c>
      <c r="K33" s="794">
        <f t="shared" si="25"/>
        <v>27784.834399736039</v>
      </c>
      <c r="L33" s="788">
        <f t="shared" si="25"/>
        <v>28618.379431728121</v>
      </c>
      <c r="M33" s="788">
        <f>AVERAGE(J33:L33)</f>
        <v>27792.927069949554</v>
      </c>
    </row>
    <row r="34" spans="1:14" ht="14" thickBot="1">
      <c r="B34" s="785" t="s">
        <v>1568</v>
      </c>
      <c r="C34" s="916">
        <f>Data!K$17</f>
        <v>31944.52</v>
      </c>
      <c r="D34" s="916">
        <f>Data!L$17</f>
        <v>30828.35</v>
      </c>
      <c r="E34" s="916">
        <f>Data!M$17</f>
        <v>31903.42</v>
      </c>
      <c r="F34" s="916">
        <f>Data!N$17</f>
        <v>32948.589999999997</v>
      </c>
      <c r="G34" s="916">
        <f>Data!O$17</f>
        <v>40726.589999999997</v>
      </c>
      <c r="H34" s="916">
        <f>Data!P$17</f>
        <v>42417.85</v>
      </c>
      <c r="I34" s="916">
        <f>Data!Q$17</f>
        <v>43504.98</v>
      </c>
      <c r="J34" s="795">
        <f>I34+J60-J72+J74</f>
        <v>46511.502456092865</v>
      </c>
      <c r="K34" s="796">
        <f>J34+K60-K72+K74</f>
        <v>47989.157272241646</v>
      </c>
      <c r="L34" s="797">
        <f>K34+L60-L72+L74</f>
        <v>47751.395371590828</v>
      </c>
      <c r="M34" s="797">
        <f>AVERAGE(J34:L34)</f>
        <v>47417.351699975115</v>
      </c>
    </row>
    <row r="35" spans="1:14">
      <c r="B35" s="724" t="s">
        <v>1569</v>
      </c>
      <c r="C35" s="917">
        <f t="shared" ref="C35:L35" si="26">C28+C29</f>
        <v>152855.68169674001</v>
      </c>
      <c r="D35" s="917">
        <f t="shared" si="26"/>
        <v>155924.67996146</v>
      </c>
      <c r="E35" s="917">
        <f t="shared" si="26"/>
        <v>165672.99604664999</v>
      </c>
      <c r="F35" s="917">
        <f t="shared" si="26"/>
        <v>198935.64263274</v>
      </c>
      <c r="G35" s="917">
        <f t="shared" si="26"/>
        <v>234869.2218761</v>
      </c>
      <c r="H35" s="917">
        <f t="shared" si="26"/>
        <v>292071.99719038</v>
      </c>
      <c r="I35" s="917">
        <f t="shared" ref="I35" si="27">I28+I29</f>
        <v>336108.85355399997</v>
      </c>
      <c r="J35" s="798">
        <f t="shared" si="26"/>
        <v>354911</v>
      </c>
      <c r="K35" s="799">
        <f t="shared" si="26"/>
        <v>368633</v>
      </c>
      <c r="L35" s="800">
        <f t="shared" si="26"/>
        <v>379870</v>
      </c>
      <c r="M35" s="800"/>
    </row>
    <row r="36" spans="1:14">
      <c r="B36" s="801" t="s">
        <v>1570</v>
      </c>
      <c r="C36" s="918">
        <f t="shared" ref="C36:L36" si="28">ROUND(C27/C28*100,1)</f>
        <v>139.5</v>
      </c>
      <c r="D36" s="918">
        <f t="shared" si="28"/>
        <v>140.69999999999999</v>
      </c>
      <c r="E36" s="918">
        <f t="shared" si="28"/>
        <v>154.80000000000001</v>
      </c>
      <c r="F36" s="918">
        <f t="shared" si="28"/>
        <v>157</v>
      </c>
      <c r="G36" s="918">
        <f t="shared" si="28"/>
        <v>152.69999999999999</v>
      </c>
      <c r="H36" s="918">
        <f t="shared" si="28"/>
        <v>145.19999999999999</v>
      </c>
      <c r="I36" s="918">
        <f t="shared" ref="I36" si="29">ROUND(I27/I28*100,1)</f>
        <v>149.69999999999999</v>
      </c>
      <c r="J36" s="803">
        <f t="shared" si="28"/>
        <v>146.9</v>
      </c>
      <c r="K36" s="802">
        <f t="shared" si="28"/>
        <v>146.9</v>
      </c>
      <c r="L36" s="804">
        <f t="shared" si="28"/>
        <v>148.30000000000001</v>
      </c>
      <c r="M36" s="804"/>
    </row>
    <row r="37" spans="1:14">
      <c r="B37" s="801" t="s">
        <v>1571</v>
      </c>
      <c r="C37" s="918">
        <f t="shared" ref="C37:L37" si="30">C78/C27*100</f>
        <v>8.3522490887265093</v>
      </c>
      <c r="D37" s="918">
        <f t="shared" si="30"/>
        <v>11.79194951165246</v>
      </c>
      <c r="E37" s="918">
        <f t="shared" si="30"/>
        <v>11.15983468720173</v>
      </c>
      <c r="F37" s="918">
        <f t="shared" si="30"/>
        <v>10.643200812109528</v>
      </c>
      <c r="G37" s="918">
        <f t="shared" si="30"/>
        <v>13.783229119047849</v>
      </c>
      <c r="H37" s="918">
        <f t="shared" si="30"/>
        <v>17.956589800641556</v>
      </c>
      <c r="I37" s="918">
        <f t="shared" ref="I37" si="31">I78/I27*100</f>
        <v>18.711931179619086</v>
      </c>
      <c r="J37" s="803">
        <f t="shared" si="30"/>
        <v>16.99995931997012</v>
      </c>
      <c r="K37" s="802">
        <f t="shared" si="30"/>
        <v>17.000008201714937</v>
      </c>
      <c r="L37" s="804">
        <f t="shared" si="30"/>
        <v>17.000076293634695</v>
      </c>
      <c r="M37" s="804"/>
    </row>
    <row r="38" spans="1:14">
      <c r="B38" s="801" t="s">
        <v>1572</v>
      </c>
      <c r="C38" s="918">
        <f t="shared" ref="C38:L38" si="32">ROUND(C32/C28*100,1)</f>
        <v>87.9</v>
      </c>
      <c r="D38" s="918">
        <f t="shared" si="32"/>
        <v>98.8</v>
      </c>
      <c r="E38" s="918">
        <f t="shared" si="32"/>
        <v>107.3</v>
      </c>
      <c r="F38" s="918">
        <f t="shared" si="32"/>
        <v>112.9</v>
      </c>
      <c r="G38" s="918">
        <f t="shared" si="32"/>
        <v>110.3</v>
      </c>
      <c r="H38" s="918">
        <f t="shared" si="32"/>
        <v>101.2</v>
      </c>
      <c r="I38" s="918">
        <f t="shared" ref="I38" si="33">ROUND(I32/I28*100,1)</f>
        <v>104</v>
      </c>
      <c r="J38" s="803">
        <f t="shared" si="32"/>
        <v>102</v>
      </c>
      <c r="K38" s="802">
        <f t="shared" si="32"/>
        <v>102</v>
      </c>
      <c r="L38" s="804">
        <f t="shared" si="32"/>
        <v>103</v>
      </c>
      <c r="M38" s="804"/>
    </row>
    <row r="39" spans="1:14">
      <c r="B39" s="801" t="s">
        <v>1573</v>
      </c>
      <c r="C39" s="918">
        <f t="shared" ref="C39:L39" si="34">C33/C27*100</f>
        <v>9.2797742169404973</v>
      </c>
      <c r="D39" s="918">
        <f t="shared" si="34"/>
        <v>7.4063556832647235</v>
      </c>
      <c r="E39" s="918">
        <f t="shared" si="34"/>
        <v>6.1328173685448073</v>
      </c>
      <c r="F39" s="918">
        <f t="shared" si="34"/>
        <v>4.9585477993449079</v>
      </c>
      <c r="G39" s="918">
        <f t="shared" si="34"/>
        <v>4.3853370742197031</v>
      </c>
      <c r="H39" s="918">
        <f t="shared" si="34"/>
        <v>5.0825238102853065</v>
      </c>
      <c r="I39" s="918">
        <f t="shared" ref="I39" si="35">I33/I27*100</f>
        <v>5.9050921086499901</v>
      </c>
      <c r="J39" s="803">
        <f t="shared" si="34"/>
        <v>5.9050921086499901</v>
      </c>
      <c r="K39" s="802">
        <f t="shared" si="34"/>
        <v>5.9050921086499901</v>
      </c>
      <c r="L39" s="804">
        <f t="shared" si="34"/>
        <v>5.9050921086499901</v>
      </c>
      <c r="M39" s="804"/>
    </row>
    <row r="40" spans="1:14" ht="14" thickBot="1">
      <c r="B40" s="801" t="s">
        <v>1574</v>
      </c>
      <c r="C40" s="918"/>
      <c r="D40" s="918">
        <f t="shared" ref="D40:L40" si="36">ROUND((D28/C28-1)*100,0)</f>
        <v>2</v>
      </c>
      <c r="E40" s="918">
        <f t="shared" si="36"/>
        <v>7</v>
      </c>
      <c r="F40" s="918">
        <f t="shared" si="36"/>
        <v>20</v>
      </c>
      <c r="G40" s="918">
        <f t="shared" si="36"/>
        <v>18</v>
      </c>
      <c r="H40" s="918">
        <f t="shared" si="36"/>
        <v>20</v>
      </c>
      <c r="I40" s="918">
        <f t="shared" si="36"/>
        <v>15</v>
      </c>
      <c r="J40" s="805">
        <f>ROUND((J28/I28-1)*100,0)</f>
        <v>5</v>
      </c>
      <c r="K40" s="806">
        <f t="shared" si="36"/>
        <v>3</v>
      </c>
      <c r="L40" s="807">
        <f t="shared" si="36"/>
        <v>2</v>
      </c>
      <c r="M40" s="807"/>
    </row>
    <row r="41" spans="1:14">
      <c r="B41" s="808"/>
      <c r="C41" s="809"/>
      <c r="D41" s="809"/>
      <c r="E41" s="809"/>
      <c r="F41" s="809"/>
      <c r="G41" s="809"/>
      <c r="H41" s="809"/>
      <c r="I41" s="809"/>
      <c r="J41" s="810"/>
      <c r="K41" s="810"/>
      <c r="L41" s="810"/>
      <c r="M41" s="811"/>
    </row>
    <row r="42" spans="1:14">
      <c r="B42" s="808"/>
      <c r="C42" s="809"/>
      <c r="D42" s="809"/>
      <c r="E42" s="809"/>
      <c r="F42" s="809"/>
      <c r="G42" s="809"/>
      <c r="H42" s="809"/>
      <c r="I42" s="809"/>
      <c r="J42" s="809"/>
      <c r="K42" s="809"/>
      <c r="L42" s="809"/>
      <c r="M42" s="811"/>
      <c r="N42" s="809"/>
    </row>
    <row r="43" spans="1:14">
      <c r="C43" s="782"/>
      <c r="D43" s="782"/>
      <c r="E43" s="782"/>
      <c r="F43" s="782"/>
      <c r="G43" s="782"/>
      <c r="H43" s="782"/>
      <c r="I43" s="782"/>
      <c r="J43" s="782"/>
      <c r="K43" s="782"/>
    </row>
    <row r="44" spans="1:14" s="725" customFormat="1">
      <c r="B44" s="726" t="s">
        <v>1575</v>
      </c>
    </row>
    <row r="45" spans="1:14" ht="14" thickBot="1">
      <c r="M45" s="730" t="s">
        <v>1533</v>
      </c>
    </row>
    <row r="46" spans="1:14">
      <c r="B46" s="731" t="s">
        <v>1534</v>
      </c>
      <c r="C46" s="732" t="str">
        <f t="shared" ref="C46:H46" si="37">C26</f>
        <v>FY12</v>
      </c>
      <c r="D46" s="732" t="str">
        <f t="shared" si="37"/>
        <v>FY13</v>
      </c>
      <c r="E46" s="732" t="str">
        <f t="shared" si="37"/>
        <v>FY14</v>
      </c>
      <c r="F46" s="732" t="str">
        <f t="shared" si="37"/>
        <v>FY15</v>
      </c>
      <c r="G46" s="732" t="str">
        <f t="shared" si="37"/>
        <v>FY16</v>
      </c>
      <c r="H46" s="732" t="str">
        <f t="shared" si="37"/>
        <v>FY17</v>
      </c>
      <c r="I46" s="732" t="str">
        <f t="shared" ref="I46" si="38">I26</f>
        <v>FY18</v>
      </c>
      <c r="J46" s="734" t="str">
        <f>J$26</f>
        <v>2019(E)</v>
      </c>
      <c r="K46" s="735" t="str">
        <f>K$26</f>
        <v>2020(E)</v>
      </c>
      <c r="L46" s="736" t="str">
        <f>L$26</f>
        <v>2021(E)</v>
      </c>
      <c r="M46" s="737" t="s">
        <v>1560</v>
      </c>
    </row>
    <row r="47" spans="1:14">
      <c r="B47" s="785" t="s">
        <v>1576</v>
      </c>
      <c r="C47" s="925">
        <f t="shared" ref="C47:F47" si="39">C56+C55-C54</f>
        <v>6802.6105963199998</v>
      </c>
      <c r="D47" s="925">
        <f t="shared" si="39"/>
        <v>4074.1709232600001</v>
      </c>
      <c r="E47" s="925">
        <f t="shared" si="39"/>
        <v>7156.9628224399994</v>
      </c>
      <c r="F47" s="925">
        <f t="shared" si="39"/>
        <v>7968.6610414699999</v>
      </c>
      <c r="G47" s="925">
        <f>G56+G55-G54</f>
        <v>7658.8829083599994</v>
      </c>
      <c r="H47" s="925">
        <f>H56+H55-H54</f>
        <v>11381.578177279998</v>
      </c>
      <c r="I47" s="925">
        <f>I56+I55-I54</f>
        <v>12812.620863119999</v>
      </c>
      <c r="J47" s="812">
        <f t="shared" ref="J47:L47" si="40">SUM(J48:J53)</f>
        <v>12661.198326975624</v>
      </c>
      <c r="K47" s="794">
        <f t="shared" si="40"/>
        <v>11858.933216599857</v>
      </c>
      <c r="L47" s="813">
        <f t="shared" si="40"/>
        <v>9646.7192110918986</v>
      </c>
      <c r="M47" s="814">
        <f t="shared" ref="M47:M56" si="41">AVERAGE(J47:L47)</f>
        <v>11388.950251555792</v>
      </c>
    </row>
    <row r="48" spans="1:14">
      <c r="A48" s="784"/>
      <c r="B48" s="789" t="s">
        <v>1577</v>
      </c>
      <c r="C48" s="913">
        <f>Data!K$211</f>
        <v>2549.5407356800001</v>
      </c>
      <c r="D48" s="913">
        <f>Data!L$211</f>
        <v>1775.4715371</v>
      </c>
      <c r="E48" s="913">
        <f>Data!M$211</f>
        <v>2254.4752445700001</v>
      </c>
      <c r="F48" s="913">
        <f>Data!N$211</f>
        <v>2804.3513719699999</v>
      </c>
      <c r="G48" s="913">
        <f>Data!O$211</f>
        <v>2288.01161146</v>
      </c>
      <c r="H48" s="913">
        <f>Data!P$211</f>
        <v>2355.3938719299999</v>
      </c>
      <c r="I48" s="913">
        <f>Data!Q$211</f>
        <v>2566.9765906600001</v>
      </c>
      <c r="J48" s="792">
        <f>J123</f>
        <v>1949.4124552177379</v>
      </c>
      <c r="K48" s="791">
        <f>K123</f>
        <v>1709.3802165998579</v>
      </c>
      <c r="L48" s="815">
        <f>L123</f>
        <v>1686.4497110918992</v>
      </c>
      <c r="M48" s="816">
        <f t="shared" si="41"/>
        <v>1781.7474609698318</v>
      </c>
    </row>
    <row r="49" spans="1:15">
      <c r="A49" s="784"/>
      <c r="B49" s="789" t="s">
        <v>1578</v>
      </c>
      <c r="C49" s="913">
        <f>Data!K$215</f>
        <v>900.5811238</v>
      </c>
      <c r="D49" s="913">
        <f>Data!L$215</f>
        <v>645.21910138999999</v>
      </c>
      <c r="E49" s="913">
        <f>Data!M$215</f>
        <v>830.56379490999996</v>
      </c>
      <c r="F49" s="913">
        <f>Data!N$215</f>
        <v>1010.2729842700001</v>
      </c>
      <c r="G49" s="913">
        <f>Data!O$215</f>
        <v>1031.5412439900001</v>
      </c>
      <c r="H49" s="913">
        <f>Data!P$215</f>
        <v>1199.69167595</v>
      </c>
      <c r="I49" s="913">
        <f>Data!Q$215</f>
        <v>1285.02129752</v>
      </c>
      <c r="J49" s="792">
        <f t="shared" ref="J49:L50" si="42">ROUND(I49*(1+J153/100),0)</f>
        <v>1259</v>
      </c>
      <c r="K49" s="791">
        <f t="shared" si="42"/>
        <v>1240</v>
      </c>
      <c r="L49" s="815">
        <f t="shared" si="42"/>
        <v>1221</v>
      </c>
      <c r="M49" s="816">
        <f t="shared" si="41"/>
        <v>1240</v>
      </c>
    </row>
    <row r="50" spans="1:15">
      <c r="A50" s="784"/>
      <c r="B50" s="789" t="s">
        <v>1579</v>
      </c>
      <c r="C50" s="913">
        <f>Data!K$216</f>
        <v>508.64304060000001</v>
      </c>
      <c r="D50" s="913">
        <f>Data!L$216</f>
        <v>402.81586871000002</v>
      </c>
      <c r="E50" s="913">
        <f>Data!M$216</f>
        <v>697.69222471</v>
      </c>
      <c r="F50" s="913">
        <f>Data!N$216</f>
        <v>867.94531057999995</v>
      </c>
      <c r="G50" s="913">
        <f>Data!O$216</f>
        <v>1406.1302848</v>
      </c>
      <c r="H50" s="913">
        <f>Data!P$216</f>
        <v>1741.6171613500001</v>
      </c>
      <c r="I50" s="913">
        <f>Data!Q$216</f>
        <v>2035.68619304</v>
      </c>
      <c r="J50" s="792">
        <f t="shared" si="42"/>
        <v>2239</v>
      </c>
      <c r="K50" s="791">
        <f t="shared" si="42"/>
        <v>2082</v>
      </c>
      <c r="L50" s="815">
        <f t="shared" si="42"/>
        <v>1874</v>
      </c>
      <c r="M50" s="816">
        <f t="shared" si="41"/>
        <v>2065</v>
      </c>
    </row>
    <row r="51" spans="1:15">
      <c r="A51" s="784"/>
      <c r="B51" s="817" t="s">
        <v>1345</v>
      </c>
      <c r="C51" s="913">
        <f>Data!K$217</f>
        <v>-338.46550351000002</v>
      </c>
      <c r="D51" s="913">
        <f>Data!L$217</f>
        <v>-1219.66343338</v>
      </c>
      <c r="E51" s="913">
        <f>Data!M$217</f>
        <v>-418.70206307000001</v>
      </c>
      <c r="F51" s="913">
        <f>Data!N$217</f>
        <v>-1080.59307812</v>
      </c>
      <c r="G51" s="913">
        <f>Data!O$217</f>
        <v>-841.57422439000004</v>
      </c>
      <c r="H51" s="913">
        <f>Data!P$217</f>
        <v>814.88747707000005</v>
      </c>
      <c r="I51" s="913">
        <f>Data!Q$217</f>
        <v>-217.79837427000001</v>
      </c>
      <c r="J51" s="792">
        <f>J129</f>
        <v>303.58733621788502</v>
      </c>
      <c r="K51" s="791">
        <f>K129</f>
        <v>315.65699999999998</v>
      </c>
      <c r="L51" s="815">
        <f>L129</f>
        <v>0</v>
      </c>
      <c r="M51" s="816">
        <f t="shared" si="41"/>
        <v>206.414778739295</v>
      </c>
    </row>
    <row r="52" spans="1:15">
      <c r="A52" s="784"/>
      <c r="B52" s="817" t="s">
        <v>1580</v>
      </c>
      <c r="C52" s="913">
        <f>Data!K$212</f>
        <v>3376.7798659700002</v>
      </c>
      <c r="D52" s="913">
        <f>Data!L$212</f>
        <v>2535.3586793600002</v>
      </c>
      <c r="E52" s="913">
        <f>Data!M$212</f>
        <v>3781.7952330200001</v>
      </c>
      <c r="F52" s="913">
        <f>Data!N$212</f>
        <v>4383.1420143100004</v>
      </c>
      <c r="G52" s="913">
        <f>Data!O$212</f>
        <v>4134.2741015299998</v>
      </c>
      <c r="H52" s="913">
        <f>Data!P$212</f>
        <v>5048.5961801900003</v>
      </c>
      <c r="I52" s="913">
        <f>Data!Q$212</f>
        <v>6994.99408141</v>
      </c>
      <c r="J52" s="792">
        <f>J133</f>
        <v>6910.1985355399993</v>
      </c>
      <c r="K52" s="791">
        <f>K133</f>
        <v>6511.8959999999997</v>
      </c>
      <c r="L52" s="815">
        <f>L133</f>
        <v>4865.2695000000003</v>
      </c>
      <c r="M52" s="816">
        <f t="shared" si="41"/>
        <v>6095.7880118466664</v>
      </c>
    </row>
    <row r="53" spans="1:15">
      <c r="A53" s="784"/>
      <c r="B53" s="789" t="s">
        <v>1581</v>
      </c>
      <c r="C53" s="913">
        <f>Data!K$221</f>
        <v>-194.46866621999999</v>
      </c>
      <c r="D53" s="913">
        <f>Data!L$221</f>
        <v>-65.030829920000002</v>
      </c>
      <c r="E53" s="913">
        <f>Data!M$221</f>
        <v>11.138388300000001</v>
      </c>
      <c r="F53" s="913">
        <f>Data!N$221</f>
        <v>-16.45756154</v>
      </c>
      <c r="G53" s="913">
        <f>Data!O$221</f>
        <v>-359.50010902999998</v>
      </c>
      <c r="H53" s="913">
        <f>Data!P$221</f>
        <v>221.39181078999999</v>
      </c>
      <c r="I53" s="913">
        <f>Data!Q$221</f>
        <v>147.74107476</v>
      </c>
      <c r="J53" s="792">
        <f>J157</f>
        <v>0</v>
      </c>
      <c r="K53" s="791">
        <f>K157</f>
        <v>0</v>
      </c>
      <c r="L53" s="815">
        <f>L157</f>
        <v>0</v>
      </c>
      <c r="M53" s="816">
        <f t="shared" si="41"/>
        <v>0</v>
      </c>
    </row>
    <row r="54" spans="1:15">
      <c r="A54" s="784"/>
      <c r="B54" s="818" t="s">
        <v>1582</v>
      </c>
      <c r="C54" s="913">
        <f>Data!K$232</f>
        <v>-71.522228510000005</v>
      </c>
      <c r="D54" s="913">
        <f>Data!L$232</f>
        <v>-161.98782571999999</v>
      </c>
      <c r="E54" s="913">
        <f>Data!M$232</f>
        <v>39.585569409999998</v>
      </c>
      <c r="F54" s="913">
        <f>Data!N$232</f>
        <v>-18.27776158</v>
      </c>
      <c r="G54" s="913">
        <f>Data!O$232</f>
        <v>-6.0240624199999999</v>
      </c>
      <c r="H54" s="913">
        <f>Data!P$232</f>
        <v>-22.359034909999998</v>
      </c>
      <c r="I54" s="913">
        <f>Data!Q$232</f>
        <v>-134.70097572</v>
      </c>
      <c r="J54" s="792">
        <f>-J81</f>
        <v>-165.97982190646002</v>
      </c>
      <c r="K54" s="790">
        <f>-K81</f>
        <v>-155.31800000000001</v>
      </c>
      <c r="L54" s="815">
        <f>-L81</f>
        <v>-159.97800000000001</v>
      </c>
      <c r="M54" s="816">
        <f t="shared" si="41"/>
        <v>-160.42527396882002</v>
      </c>
    </row>
    <row r="55" spans="1:15">
      <c r="A55" s="784"/>
      <c r="B55" s="818" t="s">
        <v>1346</v>
      </c>
      <c r="C55" s="913">
        <f>Data!K$224</f>
        <v>4636.0851017900004</v>
      </c>
      <c r="D55" s="913">
        <f>Data!L$224</f>
        <v>2995.7843909100002</v>
      </c>
      <c r="E55" s="913">
        <f>Data!M$224</f>
        <v>4233.35168187</v>
      </c>
      <c r="F55" s="913">
        <f>Data!N$224</f>
        <v>4805.9484021899998</v>
      </c>
      <c r="G55" s="913">
        <f>Data!O$224</f>
        <v>4654.7521734499996</v>
      </c>
      <c r="H55" s="913">
        <f>Data!P$224</f>
        <v>5324.6601187799997</v>
      </c>
      <c r="I55" s="913">
        <f>Data!Q$224</f>
        <v>5971.4718922100001</v>
      </c>
      <c r="J55" s="792">
        <f>I55*(1+J159/100)</f>
        <v>6150.6160489763006</v>
      </c>
      <c r="K55" s="791">
        <f>J55*(1+K159/100)</f>
        <v>6581.159172404642</v>
      </c>
      <c r="L55" s="815">
        <f>K55*(1+L159/100)</f>
        <v>7239.2750896451071</v>
      </c>
      <c r="M55" s="816">
        <f t="shared" si="41"/>
        <v>6657.0167703420166</v>
      </c>
    </row>
    <row r="56" spans="1:15">
      <c r="B56" s="785" t="s">
        <v>1347</v>
      </c>
      <c r="C56" s="916">
        <f>Data!K$233</f>
        <v>2095.00326602</v>
      </c>
      <c r="D56" s="916">
        <f>Data!L$233</f>
        <v>916.39870662999999</v>
      </c>
      <c r="E56" s="916">
        <f>Data!M$233</f>
        <v>2963.1967099799999</v>
      </c>
      <c r="F56" s="916">
        <f>Data!N$233</f>
        <v>3144.4348777</v>
      </c>
      <c r="G56" s="916">
        <f>Data!O$233</f>
        <v>2998.1066724900002</v>
      </c>
      <c r="H56" s="916">
        <f>Data!P$233</f>
        <v>6034.5590235899999</v>
      </c>
      <c r="I56" s="916">
        <f>Data!Q$233</f>
        <v>6706.4479951900003</v>
      </c>
      <c r="J56" s="812">
        <f>J47+J54-J55</f>
        <v>6344.6024560928636</v>
      </c>
      <c r="K56" s="794">
        <f>K47+K54-K55</f>
        <v>5122.4560441952153</v>
      </c>
      <c r="L56" s="813">
        <f>L47+L54-L55</f>
        <v>2247.4661214467924</v>
      </c>
      <c r="M56" s="814">
        <f t="shared" si="41"/>
        <v>4571.5082072449577</v>
      </c>
    </row>
    <row r="57" spans="1:15" ht="12" customHeight="1">
      <c r="A57" s="784"/>
      <c r="B57" s="789" t="s">
        <v>1348</v>
      </c>
      <c r="C57" s="914">
        <f t="shared" ref="C57:G57" si="43">C58-C56</f>
        <v>-81.23982761000002</v>
      </c>
      <c r="D57" s="914">
        <f t="shared" si="43"/>
        <v>-1.1221016199999667</v>
      </c>
      <c r="E57" s="914">
        <f t="shared" si="43"/>
        <v>-148.91480453999975</v>
      </c>
      <c r="F57" s="914">
        <f t="shared" si="43"/>
        <v>32.283853869999803</v>
      </c>
      <c r="G57" s="914">
        <f t="shared" si="43"/>
        <v>65.179226169999765</v>
      </c>
      <c r="H57" s="914">
        <f>H58-H56</f>
        <v>-124.74285837000025</v>
      </c>
      <c r="I57" s="914">
        <f>I58-I56</f>
        <v>-111.99893453999994</v>
      </c>
      <c r="J57" s="958">
        <v>0</v>
      </c>
      <c r="K57" s="959">
        <v>0</v>
      </c>
      <c r="L57" s="960">
        <v>0</v>
      </c>
      <c r="M57" s="816"/>
    </row>
    <row r="58" spans="1:15">
      <c r="B58" s="818" t="s">
        <v>1349</v>
      </c>
      <c r="C58" s="913">
        <f>Data!K252</f>
        <v>2013.7634384099999</v>
      </c>
      <c r="D58" s="913">
        <f>Data!L252</f>
        <v>915.27660501000003</v>
      </c>
      <c r="E58" s="913">
        <f>Data!M252</f>
        <v>2814.2819054400002</v>
      </c>
      <c r="F58" s="913">
        <f>Data!N252</f>
        <v>3176.7187315699998</v>
      </c>
      <c r="G58" s="913">
        <f>Data!O252</f>
        <v>3063.2858986599999</v>
      </c>
      <c r="H58" s="913">
        <f>Data!P252</f>
        <v>5909.8161652199997</v>
      </c>
      <c r="I58" s="913">
        <f>Data!Q252</f>
        <v>6594.4490606500003</v>
      </c>
      <c r="J58" s="822">
        <f>J56+J57</f>
        <v>6344.6024560928636</v>
      </c>
      <c r="K58" s="790">
        <f>K56+K57</f>
        <v>5122.4560441952153</v>
      </c>
      <c r="L58" s="815">
        <f>L56+L57</f>
        <v>2247.4661214467924</v>
      </c>
      <c r="M58" s="816">
        <f>AVERAGE(J58:L58)</f>
        <v>4571.5082072449577</v>
      </c>
    </row>
    <row r="59" spans="1:15">
      <c r="A59" s="784"/>
      <c r="B59" s="789" t="s">
        <v>1583</v>
      </c>
      <c r="C59" s="913">
        <f>Data!K253</f>
        <v>423.5403086</v>
      </c>
      <c r="D59" s="913">
        <f>Data!L253</f>
        <v>159.89431918</v>
      </c>
      <c r="E59" s="913">
        <f>Data!M253</f>
        <v>613.35406317000002</v>
      </c>
      <c r="F59" s="913">
        <f>Data!N253</f>
        <v>616.10909491999996</v>
      </c>
      <c r="G59" s="913">
        <f>Data!O253</f>
        <v>626.11290087999998</v>
      </c>
      <c r="H59" s="913">
        <f>Data!P253</f>
        <v>1187.01657832</v>
      </c>
      <c r="I59" s="913">
        <f>Data!Q253</f>
        <v>1559.34864118</v>
      </c>
      <c r="J59" s="822">
        <f>ROUND(J58*J160/100,0)</f>
        <v>1535</v>
      </c>
      <c r="K59" s="790">
        <f>ROUND(K58*K160/100,0)</f>
        <v>1240</v>
      </c>
      <c r="L59" s="815">
        <f>ROUND(L58*L160/100,0)</f>
        <v>544</v>
      </c>
      <c r="M59" s="816">
        <f>AVERAGE(J59:L59)</f>
        <v>1106.3333333333333</v>
      </c>
    </row>
    <row r="60" spans="1:15">
      <c r="B60" s="785" t="s">
        <v>1350</v>
      </c>
      <c r="C60" s="916">
        <f>Data!K21</f>
        <v>1590.22</v>
      </c>
      <c r="D60" s="916">
        <f>Data!L21</f>
        <v>755.38</v>
      </c>
      <c r="E60" s="916">
        <f>Data!M21</f>
        <v>2200.9299999999998</v>
      </c>
      <c r="F60" s="916">
        <f>Data!N21</f>
        <v>2560.61</v>
      </c>
      <c r="G60" s="916">
        <f>Data!O21</f>
        <v>2437.17</v>
      </c>
      <c r="H60" s="916">
        <f>Data!P21</f>
        <v>4722.8</v>
      </c>
      <c r="I60" s="916">
        <f>Data!Q21</f>
        <v>5035.1000000000004</v>
      </c>
      <c r="J60" s="812">
        <f>J58-J59</f>
        <v>4809.6024560928636</v>
      </c>
      <c r="K60" s="794">
        <f>K58-K59</f>
        <v>3882.4560441952153</v>
      </c>
      <c r="L60" s="813">
        <f>L58-L59</f>
        <v>1703.4661214467924</v>
      </c>
      <c r="M60" s="814">
        <f>AVERAGE(J60:L60)</f>
        <v>3465.1748739116242</v>
      </c>
    </row>
    <row r="61" spans="1:15">
      <c r="B61" s="823" t="s">
        <v>1584</v>
      </c>
      <c r="C61" s="927">
        <f t="shared" ref="C61:H61" si="44">C59/C58*100</f>
        <v>21.032277204040074</v>
      </c>
      <c r="D61" s="927">
        <f t="shared" si="44"/>
        <v>17.469507939433569</v>
      </c>
      <c r="E61" s="927">
        <f t="shared" si="44"/>
        <v>21.794336309535588</v>
      </c>
      <c r="F61" s="927">
        <f t="shared" si="44"/>
        <v>19.394511978575647</v>
      </c>
      <c r="G61" s="927">
        <f t="shared" si="44"/>
        <v>20.439257764150778</v>
      </c>
      <c r="H61" s="927">
        <f t="shared" si="44"/>
        <v>20.085507655986657</v>
      </c>
      <c r="I61" s="927">
        <f t="shared" ref="I61" si="45">I59/I58*100</f>
        <v>23.64638238673874</v>
      </c>
      <c r="J61" s="824"/>
      <c r="K61" s="823"/>
      <c r="L61" s="825"/>
      <c r="M61" s="826"/>
    </row>
    <row r="62" spans="1:15" ht="15">
      <c r="B62" s="823" t="s">
        <v>1585</v>
      </c>
      <c r="C62" s="1004">
        <v>89143.12</v>
      </c>
      <c r="D62" s="1004">
        <v>56105.02</v>
      </c>
      <c r="E62" s="1004">
        <v>89663.96</v>
      </c>
      <c r="F62" s="1004">
        <v>111963.48</v>
      </c>
      <c r="G62" s="1004">
        <v>90753.24</v>
      </c>
      <c r="H62" s="1004">
        <v>118686.55328848</v>
      </c>
      <c r="I62" s="1004">
        <v>129894.6</v>
      </c>
      <c r="J62" s="828">
        <f>I62*(1+J143/100)</f>
        <v>116905.14000000001</v>
      </c>
      <c r="K62" s="827">
        <f>J62*(1+K143/100)</f>
        <v>111059.883</v>
      </c>
      <c r="L62" s="829">
        <f>K62*(1+L143/100)</f>
        <v>114391.67949000001</v>
      </c>
      <c r="M62" s="830">
        <f>AVERAGE(J62:L62)</f>
        <v>114118.90083000001</v>
      </c>
      <c r="O62" s="1318" t="s">
        <v>2412</v>
      </c>
    </row>
    <row r="63" spans="1:15">
      <c r="B63" s="823" t="s">
        <v>1586</v>
      </c>
      <c r="C63" s="928"/>
      <c r="D63" s="928">
        <f>((D62*4/3)/C62-1)*100</f>
        <v>-16.082482491825132</v>
      </c>
      <c r="E63" s="928">
        <f>(E62/(D62*4/3)-1)*100</f>
        <v>19.860878759155611</v>
      </c>
      <c r="F63" s="928">
        <f>(F62/E62-1)*100</f>
        <v>24.870103885663752</v>
      </c>
      <c r="G63" s="928">
        <f>(G62/F62-1)*100</f>
        <v>-18.943891347428632</v>
      </c>
      <c r="H63" s="928">
        <f>(H62/G62-1)*100</f>
        <v>30.779411609414709</v>
      </c>
      <c r="I63" s="928">
        <f>(I62/H62-1)*100</f>
        <v>9.4434006220381903</v>
      </c>
      <c r="J63" s="828"/>
      <c r="K63" s="827"/>
      <c r="L63" s="829"/>
      <c r="M63" s="830"/>
    </row>
    <row r="64" spans="1:15">
      <c r="B64" s="823" t="s">
        <v>1587</v>
      </c>
      <c r="C64" s="929">
        <f t="shared" ref="C64:L64" si="46">C47</f>
        <v>6802.6105963199998</v>
      </c>
      <c r="D64" s="929">
        <f t="shared" si="46"/>
        <v>4074.1709232600001</v>
      </c>
      <c r="E64" s="929">
        <f t="shared" si="46"/>
        <v>7156.9628224399994</v>
      </c>
      <c r="F64" s="929">
        <f t="shared" si="46"/>
        <v>7968.6610414699999</v>
      </c>
      <c r="G64" s="929">
        <f t="shared" si="46"/>
        <v>7658.8829083599994</v>
      </c>
      <c r="H64" s="929">
        <f t="shared" si="46"/>
        <v>11381.578177279998</v>
      </c>
      <c r="I64" s="929">
        <f t="shared" ref="I64" si="47">I47</f>
        <v>12812.620863119999</v>
      </c>
      <c r="J64" s="828">
        <f t="shared" si="46"/>
        <v>12661.198326975624</v>
      </c>
      <c r="K64" s="827">
        <f t="shared" si="46"/>
        <v>11858.933216599857</v>
      </c>
      <c r="L64" s="829">
        <f t="shared" si="46"/>
        <v>9646.7192110918986</v>
      </c>
      <c r="M64" s="830">
        <f>AVERAGE(J64:L64)</f>
        <v>11388.950251555792</v>
      </c>
    </row>
    <row r="65" spans="1:13">
      <c r="B65" s="823" t="s">
        <v>1588</v>
      </c>
      <c r="C65" s="927">
        <f t="shared" ref="C65:L65" si="48">C47/C62*100</f>
        <v>7.6311111797747255</v>
      </c>
      <c r="D65" s="927">
        <f t="shared" si="48"/>
        <v>7.2616869635907815</v>
      </c>
      <c r="E65" s="927">
        <f t="shared" si="48"/>
        <v>7.9819838678104329</v>
      </c>
      <c r="F65" s="927">
        <f t="shared" si="48"/>
        <v>7.1171966443611794</v>
      </c>
      <c r="G65" s="927">
        <f t="shared" si="48"/>
        <v>8.4392390931276928</v>
      </c>
      <c r="H65" s="927">
        <f>H47/H62*100</f>
        <v>9.589610500876109</v>
      </c>
      <c r="I65" s="927">
        <f>I47/I62*100</f>
        <v>9.8638595161923579</v>
      </c>
      <c r="J65" s="824">
        <f>J47/J62*100</f>
        <v>10.830317920132188</v>
      </c>
      <c r="K65" s="823">
        <f t="shared" si="48"/>
        <v>10.677963001815748</v>
      </c>
      <c r="L65" s="825">
        <f t="shared" si="48"/>
        <v>8.4330602139076056</v>
      </c>
      <c r="M65" s="831">
        <f>AVERAGE(J65:L65)</f>
        <v>9.9804470452851799</v>
      </c>
    </row>
    <row r="66" spans="1:13">
      <c r="B66" s="823" t="s">
        <v>1589</v>
      </c>
      <c r="C66" s="926">
        <f>Data!K352</f>
        <v>0.88153176026586999</v>
      </c>
      <c r="D66" s="926">
        <f>Data!L352</f>
        <v>0.51482215476503446</v>
      </c>
      <c r="E66" s="926">
        <f>Data!M352</f>
        <v>1.0155999355878853</v>
      </c>
      <c r="F66" s="926">
        <f>Data!N352</f>
        <v>0.98545027227548088</v>
      </c>
      <c r="G66" s="926">
        <f>Data!O352</f>
        <v>0.79510455928738966</v>
      </c>
      <c r="H66" s="926">
        <f>Data!P352</f>
        <v>1.3422790132847369</v>
      </c>
      <c r="I66" s="926">
        <f>Data!Q352</f>
        <v>1.2296256503352065</v>
      </c>
      <c r="J66" s="824">
        <f>J60/AVERAGE(I27:J27)*100</f>
        <v>1.0684063273685542</v>
      </c>
      <c r="K66" s="823">
        <f t="shared" ref="K66:L66" si="49">K60/AVERAGE(J27:K27)*100</f>
        <v>0.83732988817908149</v>
      </c>
      <c r="L66" s="825">
        <f t="shared" si="49"/>
        <v>0.35668621228447239</v>
      </c>
      <c r="M66" s="831">
        <f>AVERAGE(J66:L66)</f>
        <v>0.75414080927736948</v>
      </c>
    </row>
    <row r="67" spans="1:13" ht="14" thickBot="1">
      <c r="B67" s="823" t="s">
        <v>1590</v>
      </c>
      <c r="C67" s="926">
        <f>Data!K353</f>
        <v>5.0188521235546961</v>
      </c>
      <c r="D67" s="926">
        <f>Data!L353</f>
        <v>3.2089539166717262</v>
      </c>
      <c r="E67" s="926">
        <f>Data!M353</f>
        <v>7.0169477145336927</v>
      </c>
      <c r="F67" s="926">
        <f>Data!N353</f>
        <v>7.8967777953109719</v>
      </c>
      <c r="G67" s="926">
        <f>Data!O353</f>
        <v>6.6159939020548659</v>
      </c>
      <c r="H67" s="926">
        <f>Data!P353</f>
        <v>11.360468829431163</v>
      </c>
      <c r="I67" s="926">
        <f>Data!Q353</f>
        <v>11.720051652172799</v>
      </c>
      <c r="J67" s="832">
        <f>J60/AVERAGE(I34:J34)*100</f>
        <v>10.686048432160925</v>
      </c>
      <c r="K67" s="833">
        <f t="shared" ref="K67:L67" si="50">K60/AVERAGE(J34:K34)*100</f>
        <v>8.2167808253535881</v>
      </c>
      <c r="L67" s="834">
        <f t="shared" si="50"/>
        <v>3.5585048851428964</v>
      </c>
      <c r="M67" s="835">
        <f>AVERAGE(J67:L67)</f>
        <v>7.4871113808858025</v>
      </c>
    </row>
    <row r="68" spans="1:13">
      <c r="J68" s="836"/>
    </row>
    <row r="69" spans="1:13" s="725" customFormat="1">
      <c r="B69" s="726" t="s">
        <v>1591</v>
      </c>
    </row>
    <row r="70" spans="1:13" ht="14" thickBot="1">
      <c r="L70" s="730"/>
      <c r="M70" s="730" t="s">
        <v>1592</v>
      </c>
    </row>
    <row r="71" spans="1:13">
      <c r="B71" s="731" t="s">
        <v>1593</v>
      </c>
      <c r="C71" s="732" t="str">
        <f t="shared" ref="C71:H71" si="51">C46</f>
        <v>FY12</v>
      </c>
      <c r="D71" s="732" t="str">
        <f t="shared" si="51"/>
        <v>FY13</v>
      </c>
      <c r="E71" s="732" t="str">
        <f t="shared" si="51"/>
        <v>FY14</v>
      </c>
      <c r="F71" s="732" t="str">
        <f t="shared" si="51"/>
        <v>FY15</v>
      </c>
      <c r="G71" s="732" t="str">
        <f t="shared" si="51"/>
        <v>FY16</v>
      </c>
      <c r="H71" s="732" t="str">
        <f t="shared" si="51"/>
        <v>FY17</v>
      </c>
      <c r="I71" s="732" t="str">
        <f t="shared" ref="I71" si="52">I46</f>
        <v>FY18</v>
      </c>
      <c r="J71" s="734" t="str">
        <f>J$26</f>
        <v>2019(E)</v>
      </c>
      <c r="K71" s="735" t="str">
        <f>K$26</f>
        <v>2020(E)</v>
      </c>
      <c r="L71" s="736" t="str">
        <f>L$26</f>
        <v>2021(E)</v>
      </c>
      <c r="M71" s="737" t="s">
        <v>1560</v>
      </c>
    </row>
    <row r="72" spans="1:13">
      <c r="A72" s="784"/>
      <c r="B72" s="837" t="s">
        <v>1594</v>
      </c>
      <c r="C72" s="916">
        <f>Data!K$34</f>
        <v>1000.75</v>
      </c>
      <c r="D72" s="916">
        <f>Data!L$34</f>
        <v>1801.35</v>
      </c>
      <c r="E72" s="916">
        <f>Data!M$34</f>
        <v>600.45000000000005</v>
      </c>
      <c r="F72" s="916">
        <f>Data!N$34</f>
        <v>1601.2</v>
      </c>
      <c r="G72" s="916">
        <f>Data!O$34</f>
        <v>2001.5</v>
      </c>
      <c r="H72" s="916">
        <f>Data!P$34</f>
        <v>10823</v>
      </c>
      <c r="I72" s="916">
        <f>Data!Q$34</f>
        <v>3902.46</v>
      </c>
      <c r="J72" s="1320">
        <f>Data!AJ$34</f>
        <v>1803.08</v>
      </c>
      <c r="K72" s="794">
        <f>K73*J60/100</f>
        <v>2404.8012280464318</v>
      </c>
      <c r="L72" s="813">
        <f>L73*K60/100</f>
        <v>1941.2280220976077</v>
      </c>
      <c r="M72" s="838">
        <f>AVERAGE(J72:L72)</f>
        <v>2049.7030833813465</v>
      </c>
    </row>
    <row r="73" spans="1:13">
      <c r="B73" s="839" t="s">
        <v>1595</v>
      </c>
      <c r="C73" s="930"/>
      <c r="D73" s="930">
        <f t="shared" ref="D73:I73" si="53">D72/C60*100</f>
        <v>113.27677931355409</v>
      </c>
      <c r="E73" s="930">
        <f t="shared" si="53"/>
        <v>79.48979321665918</v>
      </c>
      <c r="F73" s="930">
        <f t="shared" si="53"/>
        <v>72.751064322809</v>
      </c>
      <c r="G73" s="930">
        <f t="shared" si="53"/>
        <v>78.164968503598757</v>
      </c>
      <c r="H73" s="930">
        <f t="shared" si="53"/>
        <v>444.08063450641515</v>
      </c>
      <c r="I73" s="930">
        <f t="shared" si="53"/>
        <v>82.630219361395788</v>
      </c>
      <c r="J73" s="1152">
        <f>J72/I60*100</f>
        <v>35.810212309586696</v>
      </c>
      <c r="K73" s="904">
        <f>K161</f>
        <v>50</v>
      </c>
      <c r="L73" s="1263">
        <f t="shared" ref="L73" si="54">L161</f>
        <v>50</v>
      </c>
      <c r="M73" s="838">
        <f>AVERAGE(J73:L73)</f>
        <v>45.27007076986223</v>
      </c>
    </row>
    <row r="74" spans="1:13">
      <c r="A74" s="784"/>
      <c r="B74" s="837" t="s">
        <v>1596</v>
      </c>
      <c r="C74" s="916">
        <f>Data!K$35</f>
        <v>0</v>
      </c>
      <c r="D74" s="916">
        <f>Data!L$35</f>
        <v>0</v>
      </c>
      <c r="E74" s="916">
        <f>Data!M$35</f>
        <v>0</v>
      </c>
      <c r="F74" s="916">
        <f>Data!N$35</f>
        <v>0</v>
      </c>
      <c r="G74" s="916">
        <f>Data!O$35</f>
        <v>16919.98</v>
      </c>
      <c r="H74" s="916">
        <f>Data!P$35</f>
        <v>0</v>
      </c>
      <c r="I74" s="916">
        <f>Data!Q$35</f>
        <v>0</v>
      </c>
      <c r="J74" s="961">
        <v>0</v>
      </c>
      <c r="K74" s="962">
        <v>0</v>
      </c>
      <c r="L74" s="963">
        <v>0</v>
      </c>
      <c r="M74" s="814">
        <f>AVERAGE(J74:L74)</f>
        <v>0</v>
      </c>
    </row>
    <row r="75" spans="1:13">
      <c r="A75" s="784"/>
      <c r="B75" s="785" t="s">
        <v>1597</v>
      </c>
      <c r="C75" s="916">
        <f>Data!K292</f>
        <v>371.06824460999997</v>
      </c>
      <c r="D75" s="916">
        <f>Data!L292</f>
        <v>769.13248494999993</v>
      </c>
      <c r="E75" s="916">
        <f>Data!M292</f>
        <v>609.73959902000001</v>
      </c>
      <c r="F75" s="916">
        <f>Data!N292</f>
        <v>646.04203123000002</v>
      </c>
      <c r="G75" s="916">
        <f>Data!O292</f>
        <v>373.69789374000004</v>
      </c>
      <c r="H75" s="916">
        <f>Data!P292</f>
        <v>371.11319571000001</v>
      </c>
      <c r="I75" s="916">
        <f>Data!Q292</f>
        <v>467.06464231999996</v>
      </c>
      <c r="J75" s="842">
        <f>ROUND(I75*(1+J162/100),0)</f>
        <v>537</v>
      </c>
      <c r="K75" s="843">
        <f>ROUND(J75*(1+K162/100),0)</f>
        <v>575</v>
      </c>
      <c r="L75" s="844">
        <f>ROUND(K75*(1+L162/100),0)</f>
        <v>604</v>
      </c>
      <c r="M75" s="814">
        <f>AVERAGE(J75:L75)</f>
        <v>572</v>
      </c>
    </row>
    <row r="76" spans="1:13">
      <c r="A76" s="784"/>
      <c r="B76" s="785" t="s">
        <v>1598</v>
      </c>
      <c r="C76" s="916">
        <f>Data!K293</f>
        <v>435.66449644999994</v>
      </c>
      <c r="D76" s="916">
        <f>Data!L293</f>
        <v>854.46845082999994</v>
      </c>
      <c r="E76" s="916">
        <f>Data!M293</f>
        <v>654.35612863000006</v>
      </c>
      <c r="F76" s="916">
        <f>Data!N293</f>
        <v>673.5864646</v>
      </c>
      <c r="G76" s="916">
        <f>Data!O293</f>
        <v>422.07300823000003</v>
      </c>
      <c r="H76" s="916">
        <f>Data!P293</f>
        <v>371.11319686000002</v>
      </c>
      <c r="I76" s="916">
        <f>Data!Q293</f>
        <v>467.06464231999996</v>
      </c>
      <c r="J76" s="842">
        <f>J75*J77</f>
        <v>590.70000000000005</v>
      </c>
      <c r="K76" s="843">
        <f>K75*K77</f>
        <v>632.5</v>
      </c>
      <c r="L76" s="844">
        <f>L75*L77</f>
        <v>664.40000000000009</v>
      </c>
      <c r="M76" s="814">
        <f>AVERAGE(J76:L76)</f>
        <v>629.20000000000005</v>
      </c>
    </row>
    <row r="77" spans="1:13">
      <c r="A77" s="784"/>
      <c r="B77" s="785" t="s">
        <v>1599</v>
      </c>
      <c r="C77" s="931">
        <f t="shared" ref="C77:H77" si="55">C76/C75</f>
        <v>1.1740818643963777</v>
      </c>
      <c r="D77" s="931">
        <f t="shared" si="55"/>
        <v>1.110950931796292</v>
      </c>
      <c r="E77" s="931">
        <f t="shared" si="55"/>
        <v>1.0731730884490849</v>
      </c>
      <c r="F77" s="931">
        <f t="shared" si="55"/>
        <v>1.042635667709666</v>
      </c>
      <c r="G77" s="932">
        <f t="shared" si="55"/>
        <v>1.1294497916642177</v>
      </c>
      <c r="H77" s="932">
        <f t="shared" si="55"/>
        <v>1.000000003098785</v>
      </c>
      <c r="I77" s="932">
        <f t="shared" ref="I77" si="56">I76/I75</f>
        <v>1</v>
      </c>
      <c r="J77" s="769">
        <f>J163</f>
        <v>1.1000000000000001</v>
      </c>
      <c r="K77" s="770">
        <f>K163</f>
        <v>1.1000000000000001</v>
      </c>
      <c r="L77" s="771">
        <f>L163</f>
        <v>1.1000000000000001</v>
      </c>
      <c r="M77" s="814"/>
    </row>
    <row r="78" spans="1:13">
      <c r="A78" s="784"/>
      <c r="B78" s="785" t="s">
        <v>1600</v>
      </c>
      <c r="C78" s="916">
        <f>Data!K269</f>
        <v>16097.496804480001</v>
      </c>
      <c r="D78" s="916">
        <f>Data!L269</f>
        <v>23411.490108689999</v>
      </c>
      <c r="E78" s="916">
        <f>Data!M269</f>
        <v>26212.96630624</v>
      </c>
      <c r="F78" s="916">
        <f>Data!N269</f>
        <v>30311.469786779999</v>
      </c>
      <c r="G78" s="916">
        <f>Data!O269</f>
        <v>45243.082949379997</v>
      </c>
      <c r="H78" s="916">
        <f>Data!P269</f>
        <v>67418.260616130006</v>
      </c>
      <c r="I78" s="916">
        <f>Data!Q269</f>
        <v>82989.910953230006</v>
      </c>
      <c r="J78" s="812">
        <f>ROUND(J27*J152/100,0)</f>
        <v>77659</v>
      </c>
      <c r="K78" s="794">
        <f>ROUND(K27*K152/100,0)</f>
        <v>79989</v>
      </c>
      <c r="L78" s="813">
        <f>ROUND(L27*L152/100,0)</f>
        <v>82389</v>
      </c>
      <c r="M78" s="814">
        <f>AVERAGE(J78:L78)</f>
        <v>80012.333333333328</v>
      </c>
    </row>
    <row r="79" spans="1:13">
      <c r="A79" s="784"/>
      <c r="B79" s="845" t="s">
        <v>1679</v>
      </c>
      <c r="C79" s="918">
        <f t="shared" ref="C79:L79" si="57">C75/C78*100</f>
        <v>2.3051301026301809</v>
      </c>
      <c r="D79" s="918">
        <f t="shared" si="57"/>
        <v>3.2852777904320978</v>
      </c>
      <c r="E79" s="918">
        <f t="shared" si="57"/>
        <v>2.3260991979944348</v>
      </c>
      <c r="F79" s="918">
        <f t="shared" si="57"/>
        <v>2.1313451171271276</v>
      </c>
      <c r="G79" s="918">
        <f t="shared" si="57"/>
        <v>0.82597796033950666</v>
      </c>
      <c r="H79" s="918">
        <f t="shared" si="57"/>
        <v>0.55046391336475708</v>
      </c>
      <c r="I79" s="918">
        <f t="shared" ref="I79" si="58">I75/I78*100</f>
        <v>0.56279689537589694</v>
      </c>
      <c r="J79" s="846">
        <f t="shared" si="57"/>
        <v>0.69148456714611317</v>
      </c>
      <c r="K79" s="802">
        <f t="shared" si="57"/>
        <v>0.71884884171573593</v>
      </c>
      <c r="L79" s="804">
        <f t="shared" si="57"/>
        <v>0.73310757504035728</v>
      </c>
      <c r="M79" s="847">
        <f>AVERAGE(J79:L79)</f>
        <v>0.71448032796740213</v>
      </c>
    </row>
    <row r="80" spans="1:13">
      <c r="B80" s="785" t="s">
        <v>1601</v>
      </c>
      <c r="C80" s="916">
        <f>Data!K359</f>
        <v>346.63593629000002</v>
      </c>
      <c r="D80" s="916">
        <f>Data!L359</f>
        <v>761.45773430999998</v>
      </c>
      <c r="E80" s="916">
        <f>Data!M359</f>
        <v>579.24571487999992</v>
      </c>
      <c r="F80" s="916">
        <f>Data!N359</f>
        <v>655.60711631000004</v>
      </c>
      <c r="G80" s="916">
        <f>Data!O359</f>
        <v>462.67292951000002</v>
      </c>
      <c r="H80" s="916">
        <f>Data!P359</f>
        <v>1072.6429687699999</v>
      </c>
      <c r="I80" s="916">
        <f>Data!Q359</f>
        <v>1311.27496185</v>
      </c>
      <c r="J80" s="812">
        <f>I80+J81-J83</f>
        <v>1627.25478375646</v>
      </c>
      <c r="K80" s="794">
        <f>J80+K81-K83</f>
        <v>1932.57278375646</v>
      </c>
      <c r="L80" s="813">
        <f>K80+L81-L83</f>
        <v>2242.5507837564601</v>
      </c>
      <c r="M80" s="814">
        <f>AVERAGE(J80:L80)</f>
        <v>1934.1261170897933</v>
      </c>
    </row>
    <row r="81" spans="1:13">
      <c r="A81" s="784"/>
      <c r="B81" s="845" t="s">
        <v>1602</v>
      </c>
      <c r="C81" s="908">
        <f t="shared" ref="C81:H81" si="59">-C54</f>
        <v>71.522228510000005</v>
      </c>
      <c r="D81" s="908">
        <f t="shared" si="59"/>
        <v>161.98782571999999</v>
      </c>
      <c r="E81" s="908">
        <f t="shared" si="59"/>
        <v>-39.585569409999998</v>
      </c>
      <c r="F81" s="908">
        <f t="shared" si="59"/>
        <v>18.27776158</v>
      </c>
      <c r="G81" s="933">
        <f t="shared" si="59"/>
        <v>6.0240624199999999</v>
      </c>
      <c r="H81" s="933">
        <f t="shared" si="59"/>
        <v>22.359034909999998</v>
      </c>
      <c r="I81" s="933">
        <f t="shared" ref="I81" si="60">-I54</f>
        <v>134.70097572</v>
      </c>
      <c r="J81" s="819">
        <f>J82/100*I78</f>
        <v>165.97982190646002</v>
      </c>
      <c r="K81" s="820">
        <f>K82/100*J78</f>
        <v>155.31800000000001</v>
      </c>
      <c r="L81" s="821">
        <f>L82/100*K78</f>
        <v>159.97800000000001</v>
      </c>
      <c r="M81" s="848">
        <f>AVERAGE(J81:L81)</f>
        <v>160.42527396882002</v>
      </c>
    </row>
    <row r="82" spans="1:13">
      <c r="A82" s="784"/>
      <c r="B82" s="845" t="s">
        <v>1603</v>
      </c>
      <c r="C82" s="820"/>
      <c r="D82" s="904">
        <f t="shared" ref="D82:I82" si="61">D81/C78*100</f>
        <v>1.0062920197314038</v>
      </c>
      <c r="E82" s="904">
        <f t="shared" si="61"/>
        <v>-0.16908607365964468</v>
      </c>
      <c r="F82" s="904">
        <f t="shared" si="61"/>
        <v>6.9727940617117332E-2</v>
      </c>
      <c r="G82" s="934">
        <f t="shared" si="61"/>
        <v>1.9873871054010474E-2</v>
      </c>
      <c r="H82" s="934">
        <f t="shared" si="61"/>
        <v>4.9419786301955364E-2</v>
      </c>
      <c r="I82" s="934">
        <f t="shared" si="61"/>
        <v>0.19979894836944581</v>
      </c>
      <c r="J82" s="849">
        <f>J158</f>
        <v>0.2</v>
      </c>
      <c r="K82" s="840">
        <f>K158</f>
        <v>0.2</v>
      </c>
      <c r="L82" s="841">
        <f>L158</f>
        <v>0.2</v>
      </c>
      <c r="M82" s="848"/>
    </row>
    <row r="83" spans="1:13">
      <c r="A83" s="784"/>
      <c r="B83" s="845" t="s">
        <v>1604</v>
      </c>
      <c r="C83" s="908"/>
      <c r="D83" s="908">
        <f t="shared" ref="D83:I83" si="62">C80+D81-D80</f>
        <v>-252.83397229999997</v>
      </c>
      <c r="E83" s="908">
        <f t="shared" si="62"/>
        <v>142.62645002000011</v>
      </c>
      <c r="F83" s="908">
        <f t="shared" si="62"/>
        <v>-58.083639850000168</v>
      </c>
      <c r="G83" s="933">
        <f t="shared" si="62"/>
        <v>198.95824921999997</v>
      </c>
      <c r="H83" s="933">
        <f t="shared" si="62"/>
        <v>-587.61100434999992</v>
      </c>
      <c r="I83" s="933">
        <f t="shared" si="62"/>
        <v>-103.93101735999994</v>
      </c>
      <c r="J83" s="850">
        <f>J164</f>
        <v>-150</v>
      </c>
      <c r="K83" s="851">
        <f>K164</f>
        <v>-150</v>
      </c>
      <c r="L83" s="852">
        <f>L164</f>
        <v>-150</v>
      </c>
      <c r="M83" s="848">
        <f>AVERAGE(J83:L83)</f>
        <v>-150</v>
      </c>
    </row>
    <row r="84" spans="1:13">
      <c r="A84" s="784"/>
      <c r="B84" s="785" t="s">
        <v>1605</v>
      </c>
      <c r="C84" s="922">
        <f t="shared" ref="C84:H84" si="63">C80/C75*100</f>
        <v>93.415683321088608</v>
      </c>
      <c r="D84" s="922">
        <f t="shared" si="63"/>
        <v>99.002154922568522</v>
      </c>
      <c r="E84" s="922">
        <f t="shared" si="63"/>
        <v>94.998867682366182</v>
      </c>
      <c r="F84" s="922">
        <f t="shared" si="63"/>
        <v>101.48056699372781</v>
      </c>
      <c r="G84" s="922">
        <f t="shared" si="63"/>
        <v>123.80934901171914</v>
      </c>
      <c r="H84" s="922">
        <f t="shared" si="63"/>
        <v>289.0339069506432</v>
      </c>
      <c r="I84" s="922">
        <f t="shared" ref="I84" si="64">I80/I75*100</f>
        <v>280.74806847648432</v>
      </c>
      <c r="J84" s="769">
        <f>ROUND(J80/J75*100,1)</f>
        <v>303</v>
      </c>
      <c r="K84" s="768">
        <f>ROUND(K80/K75*100,1)</f>
        <v>336.1</v>
      </c>
      <c r="L84" s="771">
        <f>ROUND(L80/L75*100,1)</f>
        <v>371.3</v>
      </c>
      <c r="M84" s="853">
        <f>AVERAGE(J84:L84)</f>
        <v>336.8</v>
      </c>
    </row>
    <row r="85" spans="1:13" s="1648" customFormat="1">
      <c r="A85" s="1684"/>
      <c r="B85" s="1685" t="s">
        <v>2702</v>
      </c>
      <c r="C85" s="1686"/>
      <c r="D85" s="1686"/>
      <c r="E85" s="1686"/>
      <c r="F85" s="1686"/>
      <c r="G85" s="1687">
        <f>Data!O277</f>
        <v>30565.59255225</v>
      </c>
      <c r="H85" s="1687">
        <f>Data!P277</f>
        <v>34178.911393499999</v>
      </c>
      <c r="I85" s="1687">
        <f>Data!Q277</f>
        <v>32574.05482827</v>
      </c>
      <c r="J85" s="1688">
        <f>ROUND(I85*(1+J171/100),0)</f>
        <v>33551</v>
      </c>
      <c r="K85" s="1689">
        <f t="shared" ref="K85:L85" si="65">ROUND(J85*(1+K171/100),0)</f>
        <v>34558</v>
      </c>
      <c r="L85" s="1690">
        <f t="shared" si="65"/>
        <v>35595</v>
      </c>
      <c r="M85" s="1691"/>
    </row>
    <row r="86" spans="1:13" s="1648" customFormat="1">
      <c r="A86" s="1684"/>
      <c r="B86" s="1685" t="s">
        <v>2703</v>
      </c>
      <c r="C86" s="1686"/>
      <c r="D86" s="1686"/>
      <c r="E86" s="1686"/>
      <c r="F86" s="1686"/>
      <c r="G86" s="1687">
        <f>Data!O278</f>
        <v>9026.9600008199996</v>
      </c>
      <c r="H86" s="1687">
        <f>Data!P278</f>
        <v>14423.40346989</v>
      </c>
      <c r="I86" s="1687">
        <f>Data!Q278</f>
        <v>18906.459308770001</v>
      </c>
      <c r="J86" s="1688">
        <f>ROUND(I86*(1+J172/100),0)</f>
        <v>21742</v>
      </c>
      <c r="K86" s="1689">
        <f t="shared" ref="K86:L86" si="66">ROUND(J86*(1+K172/100),0)</f>
        <v>23916</v>
      </c>
      <c r="L86" s="1690">
        <f t="shared" si="66"/>
        <v>25112</v>
      </c>
      <c r="M86" s="1691"/>
    </row>
    <row r="87" spans="1:13" s="1648" customFormat="1">
      <c r="A87" s="1684"/>
      <c r="B87" s="1685" t="s">
        <v>2704</v>
      </c>
      <c r="C87" s="1686"/>
      <c r="D87" s="1686"/>
      <c r="E87" s="1686"/>
      <c r="F87" s="1686"/>
      <c r="G87" s="1697">
        <f>Data!O281</f>
        <v>1602.6</v>
      </c>
      <c r="H87" s="1697">
        <f>Data!P281</f>
        <v>1469.9</v>
      </c>
      <c r="I87" s="1697">
        <f>Data!Q281</f>
        <v>1016.9</v>
      </c>
      <c r="J87" s="1698">
        <f>J88/J89*100</f>
        <v>878.64583333333337</v>
      </c>
      <c r="K87" s="1686">
        <f t="shared" ref="K87:L87" si="67">K88/K89*100</f>
        <v>791.81547619047615</v>
      </c>
      <c r="L87" s="1699">
        <f t="shared" si="67"/>
        <v>779.98511904761904</v>
      </c>
      <c r="M87" s="1691">
        <f>AVERAGE(J87:L87)</f>
        <v>816.81547619047615</v>
      </c>
    </row>
    <row r="88" spans="1:13" s="1648" customFormat="1">
      <c r="A88" s="1684"/>
      <c r="B88" s="1685" t="s">
        <v>2705</v>
      </c>
      <c r="C88" s="1686"/>
      <c r="D88" s="1686"/>
      <c r="E88" s="1686"/>
      <c r="F88" s="1686"/>
      <c r="G88" s="1687">
        <f>Data!O279</f>
        <v>21538.632551430001</v>
      </c>
      <c r="H88" s="1687">
        <f>Data!P279</f>
        <v>19755.507923609999</v>
      </c>
      <c r="I88" s="1687">
        <f>Data!Q279</f>
        <v>13667.595519500001</v>
      </c>
      <c r="J88" s="1688">
        <f>J85-J86</f>
        <v>11809</v>
      </c>
      <c r="K88" s="1689">
        <f>K85-K86</f>
        <v>10642</v>
      </c>
      <c r="L88" s="1690">
        <f>L85-L86</f>
        <v>10483</v>
      </c>
      <c r="M88" s="1691"/>
    </row>
    <row r="89" spans="1:13" s="1648" customFormat="1">
      <c r="A89" s="1684"/>
      <c r="B89" s="1685" t="s">
        <v>2706</v>
      </c>
      <c r="C89" s="1686"/>
      <c r="D89" s="1686"/>
      <c r="E89" s="1686"/>
      <c r="F89" s="1686"/>
      <c r="G89" s="1687">
        <f>Data!O280</f>
        <v>1344</v>
      </c>
      <c r="H89" s="1687">
        <f>Data!P280</f>
        <v>1344</v>
      </c>
      <c r="I89" s="1687">
        <f>Data!Q280</f>
        <v>1344</v>
      </c>
      <c r="J89" s="1688">
        <f>I89</f>
        <v>1344</v>
      </c>
      <c r="K89" s="1689">
        <f>J89</f>
        <v>1344</v>
      </c>
      <c r="L89" s="1690">
        <f>K89</f>
        <v>1344</v>
      </c>
      <c r="M89" s="1691"/>
    </row>
    <row r="90" spans="1:13">
      <c r="A90" s="784"/>
      <c r="B90" s="785" t="s">
        <v>1606</v>
      </c>
      <c r="C90" s="916">
        <f>Data!K271</f>
        <v>22794.47025857</v>
      </c>
      <c r="D90" s="916">
        <f>Data!L271</f>
        <v>20855.915167409999</v>
      </c>
      <c r="E90" s="916">
        <f>Data!M271</f>
        <v>22354.537245849999</v>
      </c>
      <c r="F90" s="916">
        <f>Data!N271</f>
        <v>23319.710716400001</v>
      </c>
      <c r="G90" s="916">
        <f>Data!O271</f>
        <v>28375.460349509998</v>
      </c>
      <c r="H90" s="916">
        <f>Data!P271</f>
        <v>32236.587257679999</v>
      </c>
      <c r="I90" s="916">
        <f>Data!Q271</f>
        <v>29935.513599779999</v>
      </c>
      <c r="J90" s="812">
        <f>J91/100*J34</f>
        <v>30232.476596460365</v>
      </c>
      <c r="K90" s="794">
        <f>K91/100*K34</f>
        <v>31192.95222695707</v>
      </c>
      <c r="L90" s="813">
        <f>L91/100*L34</f>
        <v>31038.406991534041</v>
      </c>
      <c r="M90" s="814">
        <f>AVERAGE(J90:L90)</f>
        <v>30821.278604983821</v>
      </c>
    </row>
    <row r="91" spans="1:13">
      <c r="A91" s="784"/>
      <c r="B91" s="854" t="s">
        <v>1607</v>
      </c>
      <c r="C91" s="935">
        <f t="shared" ref="C91:I91" si="68">C90/C34*100</f>
        <v>71.356433775088817</v>
      </c>
      <c r="D91" s="935">
        <f t="shared" si="68"/>
        <v>67.651739932270132</v>
      </c>
      <c r="E91" s="935">
        <f t="shared" si="68"/>
        <v>70.069407122653303</v>
      </c>
      <c r="F91" s="935">
        <f t="shared" si="68"/>
        <v>70.776050557550434</v>
      </c>
      <c r="G91" s="936">
        <f t="shared" si="68"/>
        <v>69.673057207858562</v>
      </c>
      <c r="H91" s="936">
        <f t="shared" si="68"/>
        <v>75.997692616858231</v>
      </c>
      <c r="I91" s="936">
        <f t="shared" si="68"/>
        <v>68.809395153796189</v>
      </c>
      <c r="J91" s="857">
        <f>J165</f>
        <v>65</v>
      </c>
      <c r="K91" s="855">
        <f>K165</f>
        <v>65</v>
      </c>
      <c r="L91" s="858">
        <f>L165</f>
        <v>65</v>
      </c>
      <c r="M91" s="859"/>
    </row>
    <row r="92" spans="1:13">
      <c r="A92" s="784"/>
      <c r="B92" s="785" t="s">
        <v>1608</v>
      </c>
      <c r="C92" s="916">
        <f>Data!K272</f>
        <v>5051.4945556499997</v>
      </c>
      <c r="D92" s="916">
        <f>Data!L272</f>
        <v>4901.8826767299997</v>
      </c>
      <c r="E92" s="916">
        <f>Data!M272</f>
        <v>5582.8472829900002</v>
      </c>
      <c r="F92" s="916">
        <f>Data!N272</f>
        <v>7284.4561459799997</v>
      </c>
      <c r="G92" s="916">
        <f>Data!O272</f>
        <v>8494.8518345899993</v>
      </c>
      <c r="H92" s="916">
        <f>Data!P272</f>
        <v>13204.90249022</v>
      </c>
      <c r="I92" s="916">
        <f>Data!Q272</f>
        <v>18172.86464489</v>
      </c>
      <c r="J92" s="812">
        <f>J93*J27/100</f>
        <v>18272.749608000002</v>
      </c>
      <c r="K92" s="794">
        <f>K93*K27/100</f>
        <v>18820.932096240005</v>
      </c>
      <c r="L92" s="813">
        <f>L93*L27/100</f>
        <v>19385.560059127205</v>
      </c>
      <c r="M92" s="814">
        <f>AVERAGE(J92:L92)</f>
        <v>18826.413921122406</v>
      </c>
    </row>
    <row r="93" spans="1:13">
      <c r="A93" s="784"/>
      <c r="B93" s="854" t="s">
        <v>1609</v>
      </c>
      <c r="C93" s="936">
        <f t="shared" ref="C93:I93" si="69">C92/C27*100</f>
        <v>2.6209876797361811</v>
      </c>
      <c r="D93" s="936">
        <f t="shared" si="69"/>
        <v>2.4689907719538295</v>
      </c>
      <c r="E93" s="936">
        <f t="shared" si="69"/>
        <v>2.3768257294570416</v>
      </c>
      <c r="F93" s="936">
        <f t="shared" si="69"/>
        <v>2.5577753277567679</v>
      </c>
      <c r="G93" s="936">
        <f t="shared" si="69"/>
        <v>2.5879423225760179</v>
      </c>
      <c r="H93" s="936">
        <f t="shared" si="69"/>
        <v>3.5170740865661001</v>
      </c>
      <c r="I93" s="936">
        <f t="shared" si="69"/>
        <v>4.0974787015177494</v>
      </c>
      <c r="J93" s="857">
        <f>J166</f>
        <v>4</v>
      </c>
      <c r="K93" s="856">
        <f>K166</f>
        <v>4</v>
      </c>
      <c r="L93" s="858">
        <f>L166</f>
        <v>4</v>
      </c>
      <c r="M93" s="859"/>
    </row>
    <row r="94" spans="1:13">
      <c r="B94" s="845" t="s">
        <v>1610</v>
      </c>
      <c r="C94" s="802">
        <f t="shared" ref="C94:L94" si="70">C90/C92*100</f>
        <v>451.24210285597206</v>
      </c>
      <c r="D94" s="802">
        <f t="shared" si="70"/>
        <v>425.46744879097724</v>
      </c>
      <c r="E94" s="802">
        <f t="shared" si="70"/>
        <v>400.41462917963975</v>
      </c>
      <c r="F94" s="802">
        <f t="shared" si="70"/>
        <v>320.12974268874166</v>
      </c>
      <c r="G94" s="802">
        <f t="shared" si="70"/>
        <v>334.0312568368596</v>
      </c>
      <c r="H94" s="802">
        <f t="shared" si="70"/>
        <v>244.12590158507808</v>
      </c>
      <c r="I94" s="802">
        <f t="shared" ref="I94" si="71">I90/I92*100</f>
        <v>164.72644343497888</v>
      </c>
      <c r="J94" s="860">
        <f t="shared" si="70"/>
        <v>165.4511622225933</v>
      </c>
      <c r="K94" s="802">
        <f t="shared" si="70"/>
        <v>165.73542727561679</v>
      </c>
      <c r="L94" s="804">
        <f t="shared" si="70"/>
        <v>160.11096350512909</v>
      </c>
      <c r="M94" s="861">
        <f t="shared" ref="M94:M105" si="72">AVERAGE(J94:L94)</f>
        <v>163.76585100111308</v>
      </c>
    </row>
    <row r="95" spans="1:13">
      <c r="B95" s="845" t="s">
        <v>1611</v>
      </c>
      <c r="C95" s="937"/>
      <c r="D95" s="937"/>
      <c r="E95" s="937"/>
      <c r="F95" s="937">
        <f>Data!N275</f>
        <v>0</v>
      </c>
      <c r="G95" s="937">
        <f>Data!O275</f>
        <v>1479.2</v>
      </c>
      <c r="H95" s="937">
        <f>Data!P275</f>
        <v>1416.048</v>
      </c>
      <c r="I95" s="937">
        <f>Data!Q275</f>
        <v>875.2</v>
      </c>
      <c r="J95" s="860">
        <f>J96/J97*100</f>
        <v>889.86063902234844</v>
      </c>
      <c r="K95" s="862">
        <f>K96/K97*100</f>
        <v>920.53721210692436</v>
      </c>
      <c r="L95" s="863">
        <f>L96/L97*100</f>
        <v>867.02730151836568</v>
      </c>
      <c r="M95" s="861">
        <f t="shared" si="72"/>
        <v>892.47505088254604</v>
      </c>
    </row>
    <row r="96" spans="1:13">
      <c r="B96" s="845" t="s">
        <v>1612</v>
      </c>
      <c r="C96" s="938">
        <f t="shared" ref="C96:L96" si="73">C90-C92</f>
        <v>17742.975702920001</v>
      </c>
      <c r="D96" s="938">
        <f t="shared" si="73"/>
        <v>15954.03249068</v>
      </c>
      <c r="E96" s="938">
        <f t="shared" si="73"/>
        <v>16771.68996286</v>
      </c>
      <c r="F96" s="938">
        <f t="shared" si="73"/>
        <v>16035.254570420002</v>
      </c>
      <c r="G96" s="938">
        <f t="shared" si="73"/>
        <v>19880.608514920001</v>
      </c>
      <c r="H96" s="938">
        <f t="shared" si="73"/>
        <v>19031.684767459999</v>
      </c>
      <c r="I96" s="938">
        <f t="shared" ref="I96" si="74">I90-I92</f>
        <v>11762.648954889999</v>
      </c>
      <c r="J96" s="865">
        <f t="shared" si="73"/>
        <v>11959.726988460363</v>
      </c>
      <c r="K96" s="864">
        <f t="shared" si="73"/>
        <v>12372.020130717065</v>
      </c>
      <c r="L96" s="866">
        <f t="shared" si="73"/>
        <v>11652.846932406836</v>
      </c>
      <c r="M96" s="867">
        <f t="shared" si="72"/>
        <v>11994.864683861422</v>
      </c>
    </row>
    <row r="97" spans="1:14">
      <c r="B97" s="845" t="s">
        <v>1613</v>
      </c>
      <c r="C97" s="868"/>
      <c r="D97" s="868"/>
      <c r="E97" s="939"/>
      <c r="F97" s="939">
        <f>Data!N274</f>
        <v>2688</v>
      </c>
      <c r="G97" s="939">
        <f>Data!O274</f>
        <v>1344</v>
      </c>
      <c r="H97" s="939">
        <f>Data!P274</f>
        <v>1343.9999999999998</v>
      </c>
      <c r="I97" s="939">
        <f>Data!Q274</f>
        <v>1344</v>
      </c>
      <c r="J97" s="958">
        <f>I97</f>
        <v>1344</v>
      </c>
      <c r="K97" s="1083">
        <f>J97</f>
        <v>1344</v>
      </c>
      <c r="L97" s="1084">
        <f>K97</f>
        <v>1344</v>
      </c>
      <c r="M97" s="867">
        <f t="shared" si="72"/>
        <v>1344</v>
      </c>
    </row>
    <row r="98" spans="1:14">
      <c r="A98" s="784"/>
      <c r="B98" s="785" t="s">
        <v>1614</v>
      </c>
      <c r="C98" s="916">
        <f>Data!K306</f>
        <v>138087.74935345</v>
      </c>
      <c r="D98" s="916">
        <f>Data!L306</f>
        <v>138148.11877413001</v>
      </c>
      <c r="E98" s="916">
        <f>Data!M306</f>
        <v>144624.18772923999</v>
      </c>
      <c r="F98" s="916">
        <f>Data!N306</f>
        <v>205813.76232923</v>
      </c>
      <c r="G98" s="916">
        <f>Data!O306</f>
        <v>138920.33412539001</v>
      </c>
      <c r="H98" s="916">
        <f>Data!P306</f>
        <v>182857.40900121999</v>
      </c>
      <c r="I98" s="916">
        <f>Data!Q306</f>
        <v>173437.69287873001</v>
      </c>
      <c r="J98" s="812">
        <f>ROUND(I98*(1+J167/100),0)</f>
        <v>194250</v>
      </c>
      <c r="K98" s="794">
        <f>ROUND(J98*(1+$J$167/100),0)</f>
        <v>217560</v>
      </c>
      <c r="L98" s="813">
        <f>ROUND(K98*(1+$J$167/100),0)</f>
        <v>243667</v>
      </c>
      <c r="M98" s="814">
        <f t="shared" si="72"/>
        <v>218492.33333333334</v>
      </c>
    </row>
    <row r="99" spans="1:14">
      <c r="A99" s="784"/>
      <c r="B99" s="854" t="s">
        <v>1615</v>
      </c>
      <c r="C99" s="940"/>
      <c r="D99" s="940">
        <f t="shared" ref="D99:I99" si="75">(D98/C98-1)*100</f>
        <v>4.3718158173100541E-2</v>
      </c>
      <c r="E99" s="940">
        <f t="shared" si="75"/>
        <v>4.6877720902578801</v>
      </c>
      <c r="F99" s="940">
        <f t="shared" si="75"/>
        <v>42.309364402133639</v>
      </c>
      <c r="G99" s="911">
        <f t="shared" si="75"/>
        <v>-32.501921857311913</v>
      </c>
      <c r="H99" s="911">
        <f t="shared" si="75"/>
        <v>31.627533256702513</v>
      </c>
      <c r="I99" s="911">
        <f t="shared" si="75"/>
        <v>-5.1513997567509744</v>
      </c>
      <c r="J99" s="857">
        <f>(J98/I98-1)*100</f>
        <v>11.999875445657725</v>
      </c>
      <c r="K99" s="869">
        <f t="shared" ref="K99:L99" si="76">(K98/J98-1)*100</f>
        <v>12.000000000000011</v>
      </c>
      <c r="L99" s="871">
        <f t="shared" si="76"/>
        <v>11.999908071336641</v>
      </c>
      <c r="M99" s="859"/>
    </row>
    <row r="100" spans="1:14">
      <c r="A100" s="784"/>
      <c r="B100" s="785" t="s">
        <v>1616</v>
      </c>
      <c r="C100" s="916">
        <f>Data!K307</f>
        <v>88376.639458100006</v>
      </c>
      <c r="D100" s="916">
        <f>Data!L307</f>
        <v>95773.062221960005</v>
      </c>
      <c r="E100" s="916">
        <f>Data!M307</f>
        <v>110290.47337362</v>
      </c>
      <c r="F100" s="916">
        <f>Data!N307</f>
        <v>148290.15466629001</v>
      </c>
      <c r="G100" s="916">
        <f>Data!O307</f>
        <v>104359.48053541</v>
      </c>
      <c r="H100" s="916">
        <f>Data!P307</f>
        <v>141106.60547226999</v>
      </c>
      <c r="I100" s="916">
        <f>Data!Q307</f>
        <v>163523.75855065999</v>
      </c>
      <c r="J100" s="812">
        <f>ROUND(I100*(1+J168/100),0)</f>
        <v>179876</v>
      </c>
      <c r="K100" s="794">
        <f>ROUND(J100*(1+K168/100),0)</f>
        <v>197864</v>
      </c>
      <c r="L100" s="813">
        <f>ROUND(K100*(1+L168/100),0)</f>
        <v>217650</v>
      </c>
      <c r="M100" s="814">
        <f t="shared" si="72"/>
        <v>198463.33333333334</v>
      </c>
    </row>
    <row r="101" spans="1:14">
      <c r="A101" s="784"/>
      <c r="B101" s="854" t="s">
        <v>1615</v>
      </c>
      <c r="C101" s="940"/>
      <c r="D101" s="940">
        <f t="shared" ref="D101:L101" si="77">(D100/C100-1)*100</f>
        <v>8.36920571908224</v>
      </c>
      <c r="E101" s="940">
        <f t="shared" si="77"/>
        <v>15.158136134370427</v>
      </c>
      <c r="F101" s="940">
        <f t="shared" si="77"/>
        <v>34.454182786887031</v>
      </c>
      <c r="G101" s="911">
        <f t="shared" si="77"/>
        <v>-29.624808356118415</v>
      </c>
      <c r="H101" s="911">
        <f t="shared" si="77"/>
        <v>35.21206195003186</v>
      </c>
      <c r="I101" s="911">
        <f t="shared" si="77"/>
        <v>15.886678730143068</v>
      </c>
      <c r="J101" s="857">
        <f>(J100/I100-1)*100</f>
        <v>9.9999178066067174</v>
      </c>
      <c r="K101" s="869">
        <f t="shared" si="77"/>
        <v>10.000222375414181</v>
      </c>
      <c r="L101" s="871">
        <f t="shared" si="77"/>
        <v>9.9997978409412482</v>
      </c>
      <c r="M101" s="859"/>
    </row>
    <row r="102" spans="1:14">
      <c r="A102" s="784"/>
      <c r="B102" s="785" t="s">
        <v>1617</v>
      </c>
      <c r="C102" s="916">
        <f>Data!K299</f>
        <v>3680.3640999999998</v>
      </c>
      <c r="D102" s="916">
        <f>Data!L299</f>
        <v>7081.7323059999999</v>
      </c>
      <c r="E102" s="916">
        <f>Data!M299</f>
        <v>10724.824556</v>
      </c>
      <c r="F102" s="916">
        <f>Data!N299</f>
        <v>10680.77225</v>
      </c>
      <c r="G102" s="916">
        <f>Data!O299</f>
        <v>23729.99842018</v>
      </c>
      <c r="H102" s="916">
        <f>Data!P299</f>
        <v>32051.128446160001</v>
      </c>
      <c r="I102" s="916">
        <f>Data!Q299</f>
        <v>39390.12605708</v>
      </c>
      <c r="J102" s="812">
        <f>ROUND(I102*(1+J169/100),0)</f>
        <v>43329</v>
      </c>
      <c r="K102" s="794">
        <f>ROUND(J102*(1+K169/100),0)</f>
        <v>41163</v>
      </c>
      <c r="L102" s="813">
        <f>ROUND(K102*(1+L169/100),0)</f>
        <v>39516</v>
      </c>
      <c r="M102" s="814">
        <f t="shared" si="72"/>
        <v>41336</v>
      </c>
    </row>
    <row r="103" spans="1:14">
      <c r="A103" s="784"/>
      <c r="B103" s="854" t="s">
        <v>1615</v>
      </c>
      <c r="C103" s="940"/>
      <c r="D103" s="940">
        <f t="shared" ref="D103:L103" si="78">(D102/C102-1)*100</f>
        <v>92.419339869117863</v>
      </c>
      <c r="E103" s="940">
        <f t="shared" si="78"/>
        <v>51.443518232302978</v>
      </c>
      <c r="F103" s="940">
        <f t="shared" si="78"/>
        <v>-0.41075083112063204</v>
      </c>
      <c r="G103" s="911">
        <f t="shared" si="78"/>
        <v>122.17493140704315</v>
      </c>
      <c r="H103" s="911">
        <f t="shared" si="78"/>
        <v>35.065868436399519</v>
      </c>
      <c r="I103" s="911">
        <f t="shared" si="78"/>
        <v>22.897782283229628</v>
      </c>
      <c r="J103" s="872">
        <f>(J102/I102-1)*100</f>
        <v>9.9996479757698644</v>
      </c>
      <c r="K103" s="870">
        <f t="shared" si="78"/>
        <v>-4.9989614346049986</v>
      </c>
      <c r="L103" s="871">
        <f t="shared" si="78"/>
        <v>-4.0011660957656181</v>
      </c>
      <c r="M103" s="859"/>
    </row>
    <row r="104" spans="1:14">
      <c r="B104" s="873" t="s">
        <v>552</v>
      </c>
      <c r="C104" s="941">
        <f t="shared" ref="C104:L104" si="79">C98/C100*100</f>
        <v>156.24915158594413</v>
      </c>
      <c r="D104" s="941">
        <f t="shared" si="79"/>
        <v>144.24527687541533</v>
      </c>
      <c r="E104" s="941">
        <f t="shared" si="79"/>
        <v>131.13026293695475</v>
      </c>
      <c r="F104" s="941">
        <f t="shared" si="79"/>
        <v>138.79125205067746</v>
      </c>
      <c r="G104" s="941">
        <f t="shared" si="79"/>
        <v>133.11711922354121</v>
      </c>
      <c r="H104" s="941">
        <f t="shared" si="79"/>
        <v>129.5881283439667</v>
      </c>
      <c r="I104" s="941">
        <f t="shared" ref="I104" si="80">I98/I100*100</f>
        <v>106.0626874137061</v>
      </c>
      <c r="J104" s="875">
        <f t="shared" si="79"/>
        <v>107.99106050835019</v>
      </c>
      <c r="K104" s="874">
        <f t="shared" si="79"/>
        <v>109.95431205272308</v>
      </c>
      <c r="L104" s="876">
        <f t="shared" si="79"/>
        <v>111.9535952216862</v>
      </c>
      <c r="M104" s="877">
        <f t="shared" si="72"/>
        <v>109.96632259425316</v>
      </c>
    </row>
    <row r="105" spans="1:14" ht="14" thickBot="1">
      <c r="B105" s="873" t="s">
        <v>553</v>
      </c>
      <c r="C105" s="941">
        <f t="shared" ref="C105:L105" si="81">C98/(C100+C102)*100</f>
        <v>150.00243763778229</v>
      </c>
      <c r="D105" s="941">
        <f t="shared" si="81"/>
        <v>134.31373754441353</v>
      </c>
      <c r="E105" s="941">
        <f t="shared" si="81"/>
        <v>119.50901266495286</v>
      </c>
      <c r="F105" s="941">
        <f t="shared" si="81"/>
        <v>129.46629067439872</v>
      </c>
      <c r="G105" s="941">
        <f t="shared" si="81"/>
        <v>108.45569461138584</v>
      </c>
      <c r="H105" s="941">
        <f t="shared" si="81"/>
        <v>105.60164126850913</v>
      </c>
      <c r="I105" s="941">
        <f t="shared" ref="I105" si="82">I98/(I100+I102)*100</f>
        <v>85.473546186358092</v>
      </c>
      <c r="J105" s="878">
        <f t="shared" si="81"/>
        <v>87.027620349006511</v>
      </c>
      <c r="K105" s="879">
        <f t="shared" si="81"/>
        <v>91.019006221054525</v>
      </c>
      <c r="L105" s="880">
        <f t="shared" si="81"/>
        <v>94.750861311370869</v>
      </c>
      <c r="M105" s="881">
        <f t="shared" si="72"/>
        <v>90.932495960477311</v>
      </c>
    </row>
    <row r="106" spans="1:14">
      <c r="B106" s="882"/>
      <c r="C106" s="809"/>
      <c r="D106" s="809"/>
      <c r="E106" s="809"/>
      <c r="F106" s="809"/>
      <c r="G106" s="809"/>
      <c r="H106" s="809"/>
      <c r="I106" s="809"/>
      <c r="J106" s="883"/>
      <c r="K106" s="883"/>
      <c r="L106" s="883"/>
    </row>
    <row r="107" spans="1:14">
      <c r="A107" s="725"/>
      <c r="B107" s="726" t="s">
        <v>1577</v>
      </c>
      <c r="C107" s="725"/>
      <c r="D107" s="725"/>
      <c r="E107" s="725"/>
      <c r="F107" s="725"/>
      <c r="G107" s="725"/>
      <c r="H107" s="725"/>
      <c r="I107" s="725"/>
      <c r="J107" s="725"/>
      <c r="K107" s="725"/>
      <c r="L107" s="725"/>
      <c r="M107" s="725"/>
      <c r="N107" s="725"/>
    </row>
    <row r="108" spans="1:14" ht="14" thickBot="1"/>
    <row r="109" spans="1:14">
      <c r="B109" s="1007" t="s">
        <v>1534</v>
      </c>
      <c r="C109" s="1008" t="str">
        <f t="shared" ref="C109:L109" si="83">C$26</f>
        <v>FY12</v>
      </c>
      <c r="D109" s="1008" t="str">
        <f t="shared" si="83"/>
        <v>FY13</v>
      </c>
      <c r="E109" s="1008" t="str">
        <f t="shared" si="83"/>
        <v>FY14</v>
      </c>
      <c r="F109" s="1008" t="str">
        <f t="shared" si="83"/>
        <v>FY15</v>
      </c>
      <c r="G109" s="1008" t="str">
        <f t="shared" si="83"/>
        <v>FY16</v>
      </c>
      <c r="H109" s="1008" t="str">
        <f t="shared" si="83"/>
        <v>FY17</v>
      </c>
      <c r="I109" s="1008" t="str">
        <f t="shared" si="83"/>
        <v>FY18</v>
      </c>
      <c r="J109" s="734" t="str">
        <f t="shared" si="83"/>
        <v>2019(E)</v>
      </c>
      <c r="K109" s="735" t="str">
        <f t="shared" si="83"/>
        <v>2020(E)</v>
      </c>
      <c r="L109" s="736" t="str">
        <f t="shared" si="83"/>
        <v>2021(E)</v>
      </c>
      <c r="M109" s="910" t="s">
        <v>1560</v>
      </c>
    </row>
    <row r="110" spans="1:14">
      <c r="A110" s="724" t="s">
        <v>1618</v>
      </c>
      <c r="B110" s="1020" t="s">
        <v>1619</v>
      </c>
      <c r="C110" s="942">
        <v>28923479.309999999</v>
      </c>
      <c r="D110" s="942">
        <v>19727399.559999999</v>
      </c>
      <c r="E110" s="942">
        <v>25766154.300000001</v>
      </c>
      <c r="F110" s="942">
        <v>39107266.159999996</v>
      </c>
      <c r="G110" s="942">
        <v>34436498.689999998</v>
      </c>
      <c r="H110" s="942">
        <v>37020563.359999999</v>
      </c>
      <c r="I110" s="942">
        <v>49347757.5</v>
      </c>
      <c r="J110" s="1045">
        <f>J112*J111*2</f>
        <v>39801797.852459021</v>
      </c>
      <c r="K110" s="884">
        <f>K112*K111*2</f>
        <v>37015672.002786882</v>
      </c>
      <c r="L110" s="1046">
        <f>L112*L111*2</f>
        <v>38866455.602926224</v>
      </c>
      <c r="M110" s="1021"/>
    </row>
    <row r="111" spans="1:14">
      <c r="A111" s="724" t="s">
        <v>1620</v>
      </c>
      <c r="B111" s="1022" t="s">
        <v>1621</v>
      </c>
      <c r="C111" s="943">
        <v>247</v>
      </c>
      <c r="D111" s="943">
        <v>186</v>
      </c>
      <c r="E111" s="943">
        <v>245</v>
      </c>
      <c r="F111" s="943">
        <v>248</v>
      </c>
      <c r="G111" s="943">
        <v>246</v>
      </c>
      <c r="H111" s="943">
        <v>246</v>
      </c>
      <c r="I111" s="943">
        <v>244</v>
      </c>
      <c r="J111" s="1047">
        <v>246</v>
      </c>
      <c r="K111" s="943">
        <v>246</v>
      </c>
      <c r="L111" s="1048">
        <v>246</v>
      </c>
      <c r="M111" s="1023">
        <f>AVERAGE(J111:L111)</f>
        <v>246</v>
      </c>
    </row>
    <row r="112" spans="1:14">
      <c r="B112" s="1022" t="s">
        <v>1622</v>
      </c>
      <c r="C112" s="944">
        <f t="shared" ref="C112:H112" si="84">C110/C111/2</f>
        <v>58549.553259109307</v>
      </c>
      <c r="D112" s="944">
        <f t="shared" si="84"/>
        <v>53030.64397849462</v>
      </c>
      <c r="E112" s="944">
        <f t="shared" si="84"/>
        <v>52583.988367346938</v>
      </c>
      <c r="F112" s="944">
        <f t="shared" si="84"/>
        <v>78845.294677419341</v>
      </c>
      <c r="G112" s="944">
        <f t="shared" si="84"/>
        <v>69992.883516260161</v>
      </c>
      <c r="H112" s="944">
        <f t="shared" si="84"/>
        <v>75245.047479674802</v>
      </c>
      <c r="I112" s="944">
        <f t="shared" ref="I112" si="85">I110/I111/2</f>
        <v>101122.45389344262</v>
      </c>
      <c r="J112" s="1049">
        <f>I112*(1+J113/100)</f>
        <v>80897.963114754108</v>
      </c>
      <c r="K112" s="886">
        <f>J112*(1+K113/100)</f>
        <v>75235.105696721308</v>
      </c>
      <c r="L112" s="1023">
        <f>K112*(1+L113/100)</f>
        <v>78996.860981557373</v>
      </c>
      <c r="M112" s="1023">
        <f>AVERAGE(J112:L112)</f>
        <v>78376.643264344268</v>
      </c>
    </row>
    <row r="113" spans="1:14">
      <c r="B113" s="1022" t="s">
        <v>1623</v>
      </c>
      <c r="C113" s="886"/>
      <c r="D113" s="945">
        <f t="shared" ref="D113:I113" si="86">(D112/C112-1)*100</f>
        <v>-9.4260484895434153</v>
      </c>
      <c r="E113" s="945">
        <f t="shared" si="86"/>
        <v>-0.8422594515895665</v>
      </c>
      <c r="F113" s="945">
        <f t="shared" si="86"/>
        <v>49.941640270063424</v>
      </c>
      <c r="G113" s="945">
        <f t="shared" si="86"/>
        <v>-11.227570646260066</v>
      </c>
      <c r="H113" s="945">
        <f t="shared" si="86"/>
        <v>7.5038542485458493</v>
      </c>
      <c r="I113" s="945">
        <f t="shared" si="86"/>
        <v>34.390843358505194</v>
      </c>
      <c r="J113" s="1050">
        <f>J141</f>
        <v>-20</v>
      </c>
      <c r="K113" s="887">
        <f>K141</f>
        <v>-7</v>
      </c>
      <c r="L113" s="1051">
        <f>L141</f>
        <v>5</v>
      </c>
      <c r="M113" s="1023"/>
    </row>
    <row r="114" spans="1:14">
      <c r="B114" s="1022" t="s">
        <v>1624</v>
      </c>
      <c r="C114" s="943">
        <v>31837.57</v>
      </c>
      <c r="D114" s="943">
        <v>22539.62</v>
      </c>
      <c r="E114" s="943">
        <v>28398.99</v>
      </c>
      <c r="F114" s="943">
        <v>40139.14</v>
      </c>
      <c r="G114" s="943">
        <v>31851.25</v>
      </c>
      <c r="H114" s="943">
        <v>34485.74</v>
      </c>
      <c r="I114" s="943">
        <v>39750.42</v>
      </c>
      <c r="J114" s="1049">
        <f>J110*J115/100</f>
        <v>34627.564131639345</v>
      </c>
      <c r="K114" s="886">
        <f>K110*K115/100</f>
        <v>30352.851042285241</v>
      </c>
      <c r="L114" s="1023">
        <f>L110*L115/100</f>
        <v>29927.170814253186</v>
      </c>
      <c r="M114" s="1023">
        <f>AVERAGE(J114:L114)</f>
        <v>31635.861996059259</v>
      </c>
    </row>
    <row r="115" spans="1:14">
      <c r="B115" s="1024" t="s">
        <v>1625</v>
      </c>
      <c r="C115" s="946">
        <f t="shared" ref="C115:H115" si="87">C114/C110*100</f>
        <v>0.11007517338687703</v>
      </c>
      <c r="D115" s="946">
        <f t="shared" si="87"/>
        <v>0.11425540366558076</v>
      </c>
      <c r="E115" s="946">
        <f t="shared" si="87"/>
        <v>0.11021819426114357</v>
      </c>
      <c r="F115" s="946">
        <f t="shared" si="87"/>
        <v>0.10263857318938707</v>
      </c>
      <c r="G115" s="946">
        <f t="shared" si="87"/>
        <v>9.2492707480883563E-2</v>
      </c>
      <c r="H115" s="946">
        <f t="shared" si="87"/>
        <v>9.3152931425298541E-2</v>
      </c>
      <c r="I115" s="946">
        <f t="shared" ref="I115" si="88">I114/I110*100</f>
        <v>8.0551623850384696E-2</v>
      </c>
      <c r="J115" s="1052">
        <f>J142</f>
        <v>8.6999999999999994E-2</v>
      </c>
      <c r="K115" s="888">
        <f>K142</f>
        <v>8.199999999999999E-2</v>
      </c>
      <c r="L115" s="1053">
        <f>L142</f>
        <v>7.6999999999999985E-2</v>
      </c>
      <c r="M115" s="1025"/>
    </row>
    <row r="116" spans="1:14">
      <c r="B116" s="1022"/>
      <c r="C116" s="885"/>
      <c r="D116" s="885"/>
      <c r="E116" s="885"/>
      <c r="F116" s="885"/>
      <c r="G116" s="885"/>
      <c r="H116" s="885"/>
      <c r="I116" s="885"/>
      <c r="J116" s="1022"/>
      <c r="K116" s="885"/>
      <c r="L116" s="1039"/>
      <c r="M116" s="1023"/>
    </row>
    <row r="117" spans="1:14">
      <c r="A117" s="724" t="s">
        <v>1626</v>
      </c>
      <c r="B117" s="1026" t="s">
        <v>1627</v>
      </c>
      <c r="C117" s="1235">
        <f>Data!K375</f>
        <v>1854837.74</v>
      </c>
      <c r="D117" s="1235">
        <f>Data!L375</f>
        <v>1211374.26</v>
      </c>
      <c r="E117" s="1235">
        <f>Data!M375</f>
        <v>1196815.19</v>
      </c>
      <c r="F117" s="1235">
        <f>Data!N375</f>
        <v>2393153.9300000002</v>
      </c>
      <c r="G117" s="1235">
        <f>Data!O375</f>
        <v>2010506.59</v>
      </c>
      <c r="H117" s="1235">
        <f>Data!P375</f>
        <v>2315948.69</v>
      </c>
      <c r="I117" s="1235">
        <f>Data!Q375</f>
        <v>2743358.95</v>
      </c>
      <c r="J117" s="1054">
        <f>J118/100*J110</f>
        <v>2388107.8711475413</v>
      </c>
      <c r="K117" s="889">
        <f>K118/100*K110</f>
        <v>2217238.7529669343</v>
      </c>
      <c r="L117" s="1027">
        <f>L118/100*L110</f>
        <v>2324214.0450549885</v>
      </c>
      <c r="M117" s="1027">
        <f>AVERAGE(J117:L117)</f>
        <v>2309853.5563898217</v>
      </c>
    </row>
    <row r="118" spans="1:14">
      <c r="B118" s="1022" t="s">
        <v>1628</v>
      </c>
      <c r="C118" s="948">
        <f t="shared" ref="C118:H118" si="89">C117/C110*100</f>
        <v>6.4129136060014353</v>
      </c>
      <c r="D118" s="948">
        <f t="shared" si="89"/>
        <v>6.1405673683227215</v>
      </c>
      <c r="E118" s="948">
        <f t="shared" si="89"/>
        <v>4.6449119882822405</v>
      </c>
      <c r="F118" s="948">
        <f t="shared" si="89"/>
        <v>6.1194610745963747</v>
      </c>
      <c r="G118" s="948">
        <f t="shared" si="89"/>
        <v>5.8383014141441461</v>
      </c>
      <c r="H118" s="948">
        <f t="shared" si="89"/>
        <v>6.2558439953464831</v>
      </c>
      <c r="I118" s="948">
        <f t="shared" ref="I118" si="90">I117/I110*100</f>
        <v>5.5592373169135403</v>
      </c>
      <c r="J118" s="1055">
        <f t="shared" ref="J118:L119" si="91">J144</f>
        <v>6</v>
      </c>
      <c r="K118" s="890">
        <f t="shared" si="91"/>
        <v>5.99</v>
      </c>
      <c r="L118" s="1056">
        <f t="shared" si="91"/>
        <v>5.98</v>
      </c>
      <c r="M118" s="1023"/>
    </row>
    <row r="119" spans="1:14">
      <c r="B119" s="1022" t="s">
        <v>1629</v>
      </c>
      <c r="C119" s="949">
        <f t="shared" ref="C119:H119" si="92">C120/C117*100</f>
        <v>0.13526948927025823</v>
      </c>
      <c r="D119" s="949">
        <f t="shared" si="92"/>
        <v>0.15128495345938753</v>
      </c>
      <c r="E119" s="949">
        <f t="shared" si="92"/>
        <v>0.19460865468376951</v>
      </c>
      <c r="F119" s="949">
        <f t="shared" si="92"/>
        <v>0.12462428902724196</v>
      </c>
      <c r="G119" s="949">
        <f t="shared" si="92"/>
        <v>0.125166710960644</v>
      </c>
      <c r="H119" s="949">
        <f t="shared" si="92"/>
        <v>0.11215963538898611</v>
      </c>
      <c r="I119" s="949">
        <f t="shared" ref="I119" si="93">I120/I117*100</f>
        <v>0.10598889694839241</v>
      </c>
      <c r="J119" s="1057">
        <f t="shared" si="91"/>
        <v>0.09</v>
      </c>
      <c r="K119" s="891">
        <f t="shared" si="91"/>
        <v>8.4999999999999992E-2</v>
      </c>
      <c r="L119" s="1058">
        <f t="shared" si="91"/>
        <v>7.9999999999999988E-2</v>
      </c>
      <c r="M119" s="1023"/>
    </row>
    <row r="120" spans="1:14">
      <c r="B120" s="1022" t="s">
        <v>1630</v>
      </c>
      <c r="C120" s="950">
        <f>Data!K192</f>
        <v>2509.0295376899999</v>
      </c>
      <c r="D120" s="950">
        <f>Data!L192</f>
        <v>1832.62698546</v>
      </c>
      <c r="E120" s="950">
        <f>Data!M192</f>
        <v>2329.1059403099998</v>
      </c>
      <c r="F120" s="950">
        <f>Data!N192</f>
        <v>2982.4510705900002</v>
      </c>
      <c r="G120" s="950">
        <f>Data!O192</f>
        <v>2516.4849723500001</v>
      </c>
      <c r="H120" s="950">
        <f>Data!P192</f>
        <v>2597.5596065</v>
      </c>
      <c r="I120" s="950">
        <f>Data!Q192</f>
        <v>2907.6558904399999</v>
      </c>
      <c r="J120" s="1049">
        <f>J119*J117/100</f>
        <v>2149.2970840327871</v>
      </c>
      <c r="K120" s="886">
        <f>K119*K117/100</f>
        <v>1884.652940021894</v>
      </c>
      <c r="L120" s="1023">
        <f>L119*L117/100</f>
        <v>1859.3712360439904</v>
      </c>
      <c r="M120" s="1023">
        <f>AVERAGE(J120:L120)</f>
        <v>1964.4404200328906</v>
      </c>
    </row>
    <row r="121" spans="1:14">
      <c r="B121" s="1022" t="s">
        <v>1631</v>
      </c>
      <c r="C121" s="951">
        <f t="shared" ref="C121:I121" si="94">C120-C48</f>
        <v>-40.511197990000255</v>
      </c>
      <c r="D121" s="951">
        <f t="shared" si="94"/>
        <v>57.155448360000037</v>
      </c>
      <c r="E121" s="951">
        <f t="shared" si="94"/>
        <v>74.630695739999737</v>
      </c>
      <c r="F121" s="951">
        <f t="shared" si="94"/>
        <v>178.09969862000025</v>
      </c>
      <c r="G121" s="951">
        <f t="shared" si="94"/>
        <v>228.47336089000009</v>
      </c>
      <c r="H121" s="951">
        <f t="shared" si="94"/>
        <v>242.16573457000004</v>
      </c>
      <c r="I121" s="951">
        <f t="shared" si="94"/>
        <v>340.67929977999984</v>
      </c>
      <c r="J121" s="1049">
        <f>J120*J122/100</f>
        <v>199.88462881504921</v>
      </c>
      <c r="K121" s="886">
        <f>K120*K122/100</f>
        <v>175.27272342203614</v>
      </c>
      <c r="L121" s="1023">
        <f>L120*L122/100</f>
        <v>172.92152495209112</v>
      </c>
      <c r="M121" s="1023">
        <f>AVERAGE(J121:L121)</f>
        <v>182.69295906305879</v>
      </c>
    </row>
    <row r="122" spans="1:14">
      <c r="B122" s="1022" t="s">
        <v>1632</v>
      </c>
      <c r="C122" s="952">
        <f t="shared" ref="C122:H122" si="95">C121/C120*100</f>
        <v>-1.6146162243788447</v>
      </c>
      <c r="D122" s="952">
        <f t="shared" si="95"/>
        <v>3.1187715128866604</v>
      </c>
      <c r="E122" s="952">
        <f t="shared" si="95"/>
        <v>3.2042636811130425</v>
      </c>
      <c r="F122" s="952">
        <f t="shared" si="95"/>
        <v>5.9715882810700354</v>
      </c>
      <c r="G122" s="952">
        <f t="shared" si="95"/>
        <v>9.0790671671145322</v>
      </c>
      <c r="H122" s="952">
        <f t="shared" si="95"/>
        <v>9.3228172306043291</v>
      </c>
      <c r="I122" s="952">
        <f t="shared" ref="I122" si="96">I121/I120*100</f>
        <v>11.716630599243526</v>
      </c>
      <c r="J122" s="1059">
        <f>J170</f>
        <v>9.3000000000000007</v>
      </c>
      <c r="K122" s="964">
        <f>J122</f>
        <v>9.3000000000000007</v>
      </c>
      <c r="L122" s="1060">
        <f>K122</f>
        <v>9.3000000000000007</v>
      </c>
      <c r="M122" s="1023"/>
    </row>
    <row r="123" spans="1:14">
      <c r="B123" s="1028" t="s">
        <v>1633</v>
      </c>
      <c r="C123" s="953">
        <f t="shared" ref="C123:L123" si="97">C120-C121</f>
        <v>2549.5407356800001</v>
      </c>
      <c r="D123" s="953">
        <f t="shared" si="97"/>
        <v>1775.4715371</v>
      </c>
      <c r="E123" s="953">
        <f t="shared" si="97"/>
        <v>2254.4752445700001</v>
      </c>
      <c r="F123" s="953">
        <f t="shared" si="97"/>
        <v>2804.3513719699999</v>
      </c>
      <c r="G123" s="953">
        <f t="shared" si="97"/>
        <v>2288.01161146</v>
      </c>
      <c r="H123" s="953">
        <f t="shared" si="97"/>
        <v>2355.3938719299999</v>
      </c>
      <c r="I123" s="953">
        <f t="shared" ref="I123" si="98">I120-I121</f>
        <v>2566.9765906600001</v>
      </c>
      <c r="J123" s="1061">
        <f t="shared" si="97"/>
        <v>1949.4124552177379</v>
      </c>
      <c r="K123" s="954">
        <f t="shared" si="97"/>
        <v>1709.3802165998579</v>
      </c>
      <c r="L123" s="1062">
        <f t="shared" si="97"/>
        <v>1686.4497110918992</v>
      </c>
      <c r="M123" s="1029">
        <f>AVERAGE(J123:L123)</f>
        <v>1781.7474609698318</v>
      </c>
    </row>
    <row r="124" spans="1:14" ht="14" thickBot="1">
      <c r="B124" s="1030" t="s">
        <v>1623</v>
      </c>
      <c r="C124" s="1031"/>
      <c r="D124" s="1081">
        <f>(D123*4/3/C123-1)*100</f>
        <v>-7.1481639939905754</v>
      </c>
      <c r="E124" s="1032">
        <f>(E123/(D123*4/3)-1)*100</f>
        <v>-4.7657820418066326</v>
      </c>
      <c r="F124" s="1032">
        <f>(F123/E123-1)*100</f>
        <v>24.390426496117001</v>
      </c>
      <c r="G124" s="1032">
        <f>(G123/F123-1)*100</f>
        <v>-18.412092210373832</v>
      </c>
      <c r="H124" s="1032">
        <f>(H123/G123-1)*100</f>
        <v>2.9450139209303616</v>
      </c>
      <c r="I124" s="1032">
        <f>(I123/H123-1)*100</f>
        <v>8.982901808971345</v>
      </c>
      <c r="J124" s="1063">
        <f>(J123/I123-1)*100</f>
        <v>-24.058035343574325</v>
      </c>
      <c r="K124" s="1033">
        <f t="shared" ref="K124:L124" si="99">(K123/J123-1)*100</f>
        <v>-12.313055555555575</v>
      </c>
      <c r="L124" s="1064">
        <f t="shared" si="99"/>
        <v>-1.3414514386723142</v>
      </c>
      <c r="M124" s="1034"/>
    </row>
    <row r="125" spans="1:14">
      <c r="K125" s="836"/>
      <c r="L125" s="836"/>
    </row>
    <row r="126" spans="1:14">
      <c r="A126" s="725"/>
      <c r="B126" s="726" t="s">
        <v>1634</v>
      </c>
      <c r="C126" s="725"/>
      <c r="D126" s="725"/>
      <c r="E126" s="725"/>
      <c r="F126" s="725"/>
      <c r="G126" s="725"/>
      <c r="H126" s="725"/>
      <c r="I126" s="725"/>
      <c r="J126" s="725"/>
      <c r="K126" s="725"/>
      <c r="L126" s="725"/>
      <c r="M126" s="725"/>
      <c r="N126" s="725"/>
    </row>
    <row r="127" spans="1:14" ht="14" thickBot="1"/>
    <row r="128" spans="1:14">
      <c r="B128" s="1035" t="s">
        <v>1534</v>
      </c>
      <c r="C128" s="1011" t="str">
        <f t="shared" ref="C128:L128" si="100">C$26</f>
        <v>FY12</v>
      </c>
      <c r="D128" s="1011" t="str">
        <f t="shared" si="100"/>
        <v>FY13</v>
      </c>
      <c r="E128" s="1011" t="str">
        <f t="shared" si="100"/>
        <v>FY14</v>
      </c>
      <c r="F128" s="1011" t="str">
        <f t="shared" si="100"/>
        <v>FY15</v>
      </c>
      <c r="G128" s="1011" t="str">
        <f t="shared" si="100"/>
        <v>FY16</v>
      </c>
      <c r="H128" s="1011" t="str">
        <f t="shared" si="100"/>
        <v>FY17</v>
      </c>
      <c r="I128" s="1011" t="str">
        <f t="shared" si="100"/>
        <v>FY18</v>
      </c>
      <c r="J128" s="893" t="str">
        <f t="shared" si="100"/>
        <v>2019(E)</v>
      </c>
      <c r="K128" s="783" t="str">
        <f t="shared" si="100"/>
        <v>2020(E)</v>
      </c>
      <c r="L128" s="1066" t="str">
        <f t="shared" si="100"/>
        <v>2021(E)</v>
      </c>
      <c r="M128" s="1065" t="s">
        <v>1635</v>
      </c>
    </row>
    <row r="129" spans="1:17">
      <c r="B129" s="1026" t="s">
        <v>1636</v>
      </c>
      <c r="C129" s="956">
        <f t="shared" ref="C129:I129" si="101">C51</f>
        <v>-338.46550351000002</v>
      </c>
      <c r="D129" s="956">
        <f t="shared" si="101"/>
        <v>-1219.66343338</v>
      </c>
      <c r="E129" s="956">
        <f t="shared" si="101"/>
        <v>-418.70206307000001</v>
      </c>
      <c r="F129" s="956">
        <f t="shared" si="101"/>
        <v>-1080.59307812</v>
      </c>
      <c r="G129" s="956">
        <f t="shared" si="101"/>
        <v>-841.57422439000004</v>
      </c>
      <c r="H129" s="956">
        <f t="shared" si="101"/>
        <v>814.88747707000005</v>
      </c>
      <c r="I129" s="956">
        <f t="shared" si="101"/>
        <v>-217.79837427000001</v>
      </c>
      <c r="J129" s="1067">
        <f>AVERAGE(I130:J130)*J131/100</f>
        <v>303.58733621788502</v>
      </c>
      <c r="K129" s="894">
        <f>AVERAGE(J130:K130)*K131/100</f>
        <v>315.65699999999998</v>
      </c>
      <c r="L129" s="1036">
        <f>AVERAGE(K130:L130)*L131/100</f>
        <v>0</v>
      </c>
      <c r="M129" s="1036">
        <f>AVERAGE(J129:L129)</f>
        <v>206.414778739295</v>
      </c>
    </row>
    <row r="130" spans="1:17">
      <c r="B130" s="1022" t="s">
        <v>1637</v>
      </c>
      <c r="C130" s="957">
        <f t="shared" ref="C130:L130" si="102">C28</f>
        <v>138158.16205314</v>
      </c>
      <c r="D130" s="957">
        <f t="shared" si="102"/>
        <v>141137.38937639</v>
      </c>
      <c r="E130" s="957">
        <f t="shared" si="102"/>
        <v>151715.90287553999</v>
      </c>
      <c r="F130" s="957">
        <f t="shared" si="102"/>
        <v>181381.28420828999</v>
      </c>
      <c r="G130" s="957">
        <f t="shared" si="102"/>
        <v>214897.04632433</v>
      </c>
      <c r="H130" s="957">
        <f t="shared" si="102"/>
        <v>258551.74957541001</v>
      </c>
      <c r="I130" s="957">
        <f t="shared" si="102"/>
        <v>296182.67243576999</v>
      </c>
      <c r="J130" s="798">
        <f t="shared" si="102"/>
        <v>310992</v>
      </c>
      <c r="K130" s="799">
        <f t="shared" si="102"/>
        <v>320322</v>
      </c>
      <c r="L130" s="800">
        <f t="shared" si="102"/>
        <v>326728</v>
      </c>
      <c r="M130" s="800">
        <f>AVERAGE(J130:L130)</f>
        <v>319347.33333333331</v>
      </c>
    </row>
    <row r="131" spans="1:17">
      <c r="A131" s="784"/>
      <c r="B131" s="1037" t="s">
        <v>1638</v>
      </c>
      <c r="C131" s="955">
        <f>C129/AVERAGE(C130:C130)*100</f>
        <v>-0.24498408091142343</v>
      </c>
      <c r="D131" s="1082">
        <f>(D129*4/3)/AVERAGE(C130:D130)*100</f>
        <v>-1.1645140087980597</v>
      </c>
      <c r="E131" s="955">
        <f t="shared" ref="E131:I131" si="103">E129/AVERAGE(D130:E130)*100</f>
        <v>-0.28594663208348525</v>
      </c>
      <c r="F131" s="955">
        <f t="shared" si="103"/>
        <v>-0.64881549290780949</v>
      </c>
      <c r="G131" s="955">
        <f t="shared" si="103"/>
        <v>-0.42473895721670063</v>
      </c>
      <c r="H131" s="955">
        <f t="shared" si="103"/>
        <v>0.34423468139628127</v>
      </c>
      <c r="I131" s="955">
        <f t="shared" si="103"/>
        <v>-7.8523475604912268E-2</v>
      </c>
      <c r="J131" s="1068">
        <f>J155</f>
        <v>0.1</v>
      </c>
      <c r="K131" s="895">
        <f>K155</f>
        <v>0.1</v>
      </c>
      <c r="L131" s="1038">
        <f>L155</f>
        <v>0</v>
      </c>
      <c r="M131" s="1038">
        <f>AVERAGE(J131:L131)</f>
        <v>6.6666666666666666E-2</v>
      </c>
    </row>
    <row r="132" spans="1:17">
      <c r="B132" s="1022"/>
      <c r="C132" s="885"/>
      <c r="D132" s="885"/>
      <c r="E132" s="885"/>
      <c r="F132" s="885"/>
      <c r="G132" s="885"/>
      <c r="H132" s="885"/>
      <c r="I132" s="885"/>
      <c r="J132" s="1022"/>
      <c r="K132" s="885"/>
      <c r="L132" s="1039"/>
      <c r="M132" s="1039"/>
    </row>
    <row r="133" spans="1:17">
      <c r="B133" s="1026" t="s">
        <v>1639</v>
      </c>
      <c r="C133" s="956">
        <f t="shared" ref="C133:I133" si="104">C52</f>
        <v>3376.7798659700002</v>
      </c>
      <c r="D133" s="956">
        <f t="shared" si="104"/>
        <v>2535.3586793600002</v>
      </c>
      <c r="E133" s="956">
        <f t="shared" si="104"/>
        <v>3781.7952330200001</v>
      </c>
      <c r="F133" s="956">
        <f t="shared" si="104"/>
        <v>4383.1420143100004</v>
      </c>
      <c r="G133" s="956">
        <f t="shared" si="104"/>
        <v>4134.2741015299998</v>
      </c>
      <c r="H133" s="956">
        <f t="shared" si="104"/>
        <v>5048.5961801900003</v>
      </c>
      <c r="I133" s="956">
        <f t="shared" si="104"/>
        <v>6994.99408141</v>
      </c>
      <c r="J133" s="1067">
        <f>AVERAGE(I134:J134)*J135/100</f>
        <v>6910.1985355399993</v>
      </c>
      <c r="K133" s="894">
        <f>AVERAGE(J134:K134)*K135/100</f>
        <v>6511.8959999999997</v>
      </c>
      <c r="L133" s="1036">
        <f>AVERAGE(K134:L134)*L135/100</f>
        <v>4865.2695000000003</v>
      </c>
      <c r="M133" s="1036">
        <f>AVERAGE(J133:L133)</f>
        <v>6095.7880118466664</v>
      </c>
    </row>
    <row r="134" spans="1:17">
      <c r="B134" s="1022" t="s">
        <v>1640</v>
      </c>
      <c r="C134" s="957">
        <f t="shared" ref="C134:L134" si="105">C28+C29</f>
        <v>152855.68169674001</v>
      </c>
      <c r="D134" s="957">
        <f t="shared" si="105"/>
        <v>155924.67996146</v>
      </c>
      <c r="E134" s="957">
        <f t="shared" si="105"/>
        <v>165672.99604664999</v>
      </c>
      <c r="F134" s="957">
        <f t="shared" si="105"/>
        <v>198935.64263274</v>
      </c>
      <c r="G134" s="957">
        <f t="shared" si="105"/>
        <v>234869.2218761</v>
      </c>
      <c r="H134" s="957">
        <f t="shared" si="105"/>
        <v>292071.99719038</v>
      </c>
      <c r="I134" s="957">
        <f t="shared" si="105"/>
        <v>336108.85355399997</v>
      </c>
      <c r="J134" s="798">
        <f t="shared" si="105"/>
        <v>354911</v>
      </c>
      <c r="K134" s="799">
        <f t="shared" si="105"/>
        <v>368633</v>
      </c>
      <c r="L134" s="800">
        <f t="shared" si="105"/>
        <v>379870</v>
      </c>
      <c r="M134" s="800">
        <f>AVERAGE(J134:L134)</f>
        <v>367804.66666666669</v>
      </c>
    </row>
    <row r="135" spans="1:17" ht="14" thickBot="1">
      <c r="A135" s="784"/>
      <c r="B135" s="1040" t="s">
        <v>1641</v>
      </c>
      <c r="C135" s="1041">
        <f>C133/AVERAGE(C134:C134)*100</f>
        <v>2.2091294405852744</v>
      </c>
      <c r="D135" s="1042">
        <f>D133/AVERAGE(C134:D134)*100*(4/3)</f>
        <v>2.1895681584106947</v>
      </c>
      <c r="E135" s="1041">
        <f t="shared" ref="E135:I135" si="106">E133/AVERAGE(D134:E134)*100</f>
        <v>2.3518797025912783</v>
      </c>
      <c r="F135" s="1041">
        <f t="shared" si="106"/>
        <v>2.4042995965129688</v>
      </c>
      <c r="G135" s="1041">
        <f t="shared" si="106"/>
        <v>1.906052439596722</v>
      </c>
      <c r="H135" s="1041">
        <f t="shared" si="106"/>
        <v>1.9161895093855086</v>
      </c>
      <c r="I135" s="1041">
        <f t="shared" si="106"/>
        <v>2.2270637741093484</v>
      </c>
      <c r="J135" s="1069">
        <f>J156</f>
        <v>2</v>
      </c>
      <c r="K135" s="1043">
        <f>K156</f>
        <v>1.8</v>
      </c>
      <c r="L135" s="1070">
        <f>L156</f>
        <v>1.3</v>
      </c>
      <c r="M135" s="1044">
        <f>AVERAGE(J135:L135)</f>
        <v>1.7</v>
      </c>
    </row>
    <row r="136" spans="1:17">
      <c r="B136" s="885"/>
      <c r="C136" s="885"/>
      <c r="D136" s="885"/>
      <c r="E136" s="885"/>
      <c r="F136" s="885"/>
      <c r="G136" s="885"/>
      <c r="H136" s="885"/>
      <c r="I136" s="885"/>
      <c r="J136" s="885"/>
      <c r="K136" s="885"/>
      <c r="L136" s="885"/>
      <c r="M136" s="885"/>
      <c r="N136" s="885"/>
    </row>
    <row r="138" spans="1:17" s="725" customFormat="1">
      <c r="B138" s="726" t="s">
        <v>1695</v>
      </c>
    </row>
    <row r="139" spans="1:17" ht="14" thickBot="1"/>
    <row r="140" spans="1:17" ht="15">
      <c r="B140" s="1007" t="s">
        <v>1534</v>
      </c>
      <c r="C140" s="1009" t="s">
        <v>1643</v>
      </c>
      <c r="D140" s="1010" t="str">
        <f t="shared" ref="D140:I140" si="107">D$26</f>
        <v>FY13</v>
      </c>
      <c r="E140" s="1011" t="str">
        <f t="shared" si="107"/>
        <v>FY14</v>
      </c>
      <c r="F140" s="1011" t="str">
        <f t="shared" si="107"/>
        <v>FY15</v>
      </c>
      <c r="G140" s="1011" t="str">
        <f t="shared" si="107"/>
        <v>FY16</v>
      </c>
      <c r="H140" s="1011" t="str">
        <f t="shared" si="107"/>
        <v>FY17</v>
      </c>
      <c r="I140" s="1011" t="str">
        <f t="shared" si="107"/>
        <v>FY18</v>
      </c>
      <c r="J140" s="1079" t="s">
        <v>2409</v>
      </c>
      <c r="K140" s="1011" t="s">
        <v>2410</v>
      </c>
      <c r="L140" s="1012" t="s">
        <v>2411</v>
      </c>
      <c r="O140" s="892" t="s">
        <v>1642</v>
      </c>
    </row>
    <row r="141" spans="1:17">
      <c r="B141" s="1013" t="s">
        <v>1647</v>
      </c>
      <c r="C141" s="979">
        <f>ROUND(((I112/D112)^(1/5)-1)*100,0)</f>
        <v>14</v>
      </c>
      <c r="D141" s="980">
        <f t="shared" ref="D141:G141" si="108">(D112/C112-1)*100</f>
        <v>-9.4260484895434153</v>
      </c>
      <c r="E141" s="981">
        <f t="shared" si="108"/>
        <v>-0.8422594515895665</v>
      </c>
      <c r="F141" s="981">
        <f t="shared" si="108"/>
        <v>49.941640270063424</v>
      </c>
      <c r="G141" s="981">
        <f t="shared" si="108"/>
        <v>-11.227570646260066</v>
      </c>
      <c r="H141" s="1071">
        <f>(H112/G112-1)*100</f>
        <v>7.5038542485458493</v>
      </c>
      <c r="I141" s="1071">
        <f>(I112/H112-1)*100</f>
        <v>34.390843358505194</v>
      </c>
      <c r="J141" s="1321">
        <v>-20</v>
      </c>
      <c r="K141" s="1322">
        <v>-7</v>
      </c>
      <c r="L141" s="1323">
        <v>5</v>
      </c>
      <c r="O141" s="724" t="s">
        <v>1648</v>
      </c>
    </row>
    <row r="142" spans="1:17">
      <c r="B142" s="1013" t="s">
        <v>1649</v>
      </c>
      <c r="C142" s="982">
        <f>AVERAGE(E115:I115)</f>
        <v>9.5810806041419491E-2</v>
      </c>
      <c r="D142" s="983">
        <f>추정!D115</f>
        <v>0.11425540366558076</v>
      </c>
      <c r="E142" s="983">
        <f>추정!E115</f>
        <v>0.11021819426114357</v>
      </c>
      <c r="F142" s="983">
        <f>추정!F115</f>
        <v>0.10263857318938707</v>
      </c>
      <c r="G142" s="983">
        <f>추정!G115</f>
        <v>9.2492707480883563E-2</v>
      </c>
      <c r="H142" s="1072">
        <f>추정!H115</f>
        <v>9.3152931425298541E-2</v>
      </c>
      <c r="I142" s="1072">
        <f>추정!I115</f>
        <v>8.0551623850384696E-2</v>
      </c>
      <c r="J142" s="1324">
        <v>8.6999999999999994E-2</v>
      </c>
      <c r="K142" s="1325">
        <f>J142-0.005</f>
        <v>8.199999999999999E-2</v>
      </c>
      <c r="L142" s="1326">
        <f>K142-0.005</f>
        <v>7.6999999999999985E-2</v>
      </c>
      <c r="O142" s="1257" t="s">
        <v>2149</v>
      </c>
    </row>
    <row r="143" spans="1:17">
      <c r="B143" s="1014" t="s">
        <v>1650</v>
      </c>
      <c r="C143" s="984">
        <f>ROUND(((I62/D62)^(1/5)-1)*100,1)</f>
        <v>18.3</v>
      </c>
      <c r="D143" s="980">
        <f t="shared" ref="D143:I143" si="109">(D62/C62-1)*100</f>
        <v>-37.061861868868853</v>
      </c>
      <c r="E143" s="981">
        <f t="shared" si="109"/>
        <v>59.814505012207484</v>
      </c>
      <c r="F143" s="981">
        <f t="shared" si="109"/>
        <v>24.870103885663752</v>
      </c>
      <c r="G143" s="981">
        <f t="shared" si="109"/>
        <v>-18.943891347428632</v>
      </c>
      <c r="H143" s="1071">
        <f t="shared" si="109"/>
        <v>30.779411609414709</v>
      </c>
      <c r="I143" s="1071">
        <f t="shared" si="109"/>
        <v>9.4434006220381903</v>
      </c>
      <c r="J143" s="1327">
        <v>-10</v>
      </c>
      <c r="K143" s="1328">
        <v>-5</v>
      </c>
      <c r="L143" s="1329">
        <v>3</v>
      </c>
      <c r="O143" s="724" t="s">
        <v>1651</v>
      </c>
    </row>
    <row r="144" spans="1:17">
      <c r="B144" s="1015" t="s">
        <v>1652</v>
      </c>
      <c r="C144" s="899">
        <f>AVERAGE(E144:I144)</f>
        <v>5.6835511578565558</v>
      </c>
      <c r="D144" s="901">
        <f t="shared" ref="D144:E144" si="110">D118</f>
        <v>6.1405673683227215</v>
      </c>
      <c r="E144" s="901">
        <f t="shared" si="110"/>
        <v>4.6449119882822405</v>
      </c>
      <c r="F144" s="901">
        <f>F118</f>
        <v>6.1194610745963747</v>
      </c>
      <c r="G144" s="901">
        <f>G118</f>
        <v>5.8383014141441461</v>
      </c>
      <c r="H144" s="1073">
        <f>H118</f>
        <v>6.2558439953464831</v>
      </c>
      <c r="I144" s="1073">
        <f>I118</f>
        <v>5.5592373169135403</v>
      </c>
      <c r="J144" s="1258">
        <v>6</v>
      </c>
      <c r="K144" s="1259">
        <f>J144-0.01</f>
        <v>5.99</v>
      </c>
      <c r="L144" s="1260">
        <f>K144-0.01</f>
        <v>5.98</v>
      </c>
      <c r="O144" s="724" t="s">
        <v>2128</v>
      </c>
      <c r="Q144" s="1257" t="s">
        <v>2151</v>
      </c>
    </row>
    <row r="145" spans="1:15">
      <c r="B145" s="1015" t="s">
        <v>1653</v>
      </c>
      <c r="C145" s="899">
        <f>AVERAGE(E145:I145)</f>
        <v>0.1325096374018068</v>
      </c>
      <c r="D145" s="900">
        <f t="shared" ref="D145:F145" si="111">D119</f>
        <v>0.15128495345938753</v>
      </c>
      <c r="E145" s="900">
        <f t="shared" si="111"/>
        <v>0.19460865468376951</v>
      </c>
      <c r="F145" s="900">
        <f t="shared" si="111"/>
        <v>0.12462428902724196</v>
      </c>
      <c r="G145" s="900">
        <f>G119</f>
        <v>0.125166710960644</v>
      </c>
      <c r="H145" s="1074">
        <f>H119</f>
        <v>0.11215963538898611</v>
      </c>
      <c r="I145" s="1074">
        <f>I119</f>
        <v>0.10598889694839241</v>
      </c>
      <c r="J145" s="1157">
        <v>0.09</v>
      </c>
      <c r="K145" s="1158">
        <f>J145-0.005</f>
        <v>8.4999999999999992E-2</v>
      </c>
      <c r="L145" s="1159">
        <f>K145-0.005</f>
        <v>7.9999999999999988E-2</v>
      </c>
      <c r="O145" s="724" t="s">
        <v>2128</v>
      </c>
    </row>
    <row r="146" spans="1:15" ht="13.5" customHeight="1">
      <c r="A146" s="784"/>
      <c r="B146" s="1015" t="s">
        <v>1654</v>
      </c>
      <c r="C146" s="896">
        <f>ROUND(((I27/D27)^(1/5)-1)*100,0)</f>
        <v>17</v>
      </c>
      <c r="D146" s="897">
        <f t="shared" ref="D146:I148" si="112">(D27/C27-1)*100</f>
        <v>3.0121700296701359</v>
      </c>
      <c r="E146" s="898">
        <f t="shared" si="112"/>
        <v>18.308231410313525</v>
      </c>
      <c r="F146" s="898">
        <f t="shared" si="112"/>
        <v>21.248487941143026</v>
      </c>
      <c r="G146" s="898">
        <f t="shared" si="112"/>
        <v>15.256778382435531</v>
      </c>
      <c r="H146" s="1075">
        <f t="shared" si="112"/>
        <v>14.38062529310975</v>
      </c>
      <c r="I146" s="1075">
        <f t="shared" si="112"/>
        <v>18.128041938641548</v>
      </c>
      <c r="J146" s="849">
        <v>3</v>
      </c>
      <c r="K146" s="840">
        <v>3</v>
      </c>
      <c r="L146" s="1091">
        <v>3</v>
      </c>
      <c r="O146" s="724" t="s">
        <v>2152</v>
      </c>
    </row>
    <row r="147" spans="1:15">
      <c r="A147" s="784"/>
      <c r="B147" s="1015" t="s">
        <v>1655</v>
      </c>
      <c r="C147" s="896">
        <f>ROUND(((I28/D28)^(1/5)-1)*100,0)</f>
        <v>16</v>
      </c>
      <c r="D147" s="897">
        <f t="shared" si="112"/>
        <v>2.1563889378494405</v>
      </c>
      <c r="E147" s="898">
        <f t="shared" si="112"/>
        <v>7.4951885860229828</v>
      </c>
      <c r="F147" s="898">
        <f t="shared" si="112"/>
        <v>19.553244432843652</v>
      </c>
      <c r="G147" s="898">
        <f t="shared" si="112"/>
        <v>18.478070801148405</v>
      </c>
      <c r="H147" s="1075">
        <f t="shared" si="112"/>
        <v>20.314240701658992</v>
      </c>
      <c r="I147" s="1075">
        <f t="shared" si="112"/>
        <v>14.554503275323771</v>
      </c>
      <c r="J147" s="849">
        <v>5</v>
      </c>
      <c r="K147" s="840">
        <v>3</v>
      </c>
      <c r="L147" s="1091">
        <v>2</v>
      </c>
    </row>
    <row r="148" spans="1:15">
      <c r="A148" s="784"/>
      <c r="B148" s="1015" t="s">
        <v>1656</v>
      </c>
      <c r="C148" s="896">
        <f>ROUND(((I29/D29)^(1/5)-1)*100,0)</f>
        <v>22</v>
      </c>
      <c r="D148" s="897">
        <f t="shared" si="112"/>
        <v>0.61078973627424205</v>
      </c>
      <c r="E148" s="898">
        <f t="shared" si="112"/>
        <v>-5.6142632024707044</v>
      </c>
      <c r="F148" s="898">
        <f t="shared" si="112"/>
        <v>25.773742492355332</v>
      </c>
      <c r="G148" s="898">
        <f t="shared" si="112"/>
        <v>13.773315258006935</v>
      </c>
      <c r="H148" s="1075">
        <f t="shared" si="112"/>
        <v>67.834733517547747</v>
      </c>
      <c r="I148" s="1075">
        <f t="shared" si="112"/>
        <v>19.110638969143935</v>
      </c>
      <c r="J148" s="849">
        <v>10</v>
      </c>
      <c r="K148" s="840">
        <v>10</v>
      </c>
      <c r="L148" s="1091">
        <v>10</v>
      </c>
      <c r="O148" s="724" t="s">
        <v>2153</v>
      </c>
    </row>
    <row r="149" spans="1:15" hidden="1">
      <c r="A149" s="784"/>
      <c r="B149" s="1015" t="s">
        <v>1657</v>
      </c>
      <c r="C149" s="896" t="e">
        <f>ROUND(((G30/#REF!)^(1/5)-1)*100,0)</f>
        <v>#REF!</v>
      </c>
      <c r="D149" s="902"/>
      <c r="E149" s="903"/>
      <c r="F149" s="903"/>
      <c r="G149" s="903"/>
      <c r="H149" s="1076"/>
      <c r="I149" s="1076"/>
      <c r="J149" s="849"/>
      <c r="K149" s="840"/>
      <c r="L149" s="1091"/>
    </row>
    <row r="150" spans="1:15">
      <c r="A150" s="784"/>
      <c r="B150" s="1015" t="s">
        <v>1658</v>
      </c>
      <c r="C150" s="896">
        <f>ROUND(((I32/D32)^(1/5)-1)*100,0)</f>
        <v>17</v>
      </c>
      <c r="D150" s="897">
        <f t="shared" ref="D150:I151" si="113">(D32/C32-1)*100</f>
        <v>14.81437891996833</v>
      </c>
      <c r="E150" s="898">
        <f t="shared" si="113"/>
        <v>16.708861683965925</v>
      </c>
      <c r="F150" s="898">
        <f t="shared" si="113"/>
        <v>25.834679025542439</v>
      </c>
      <c r="G150" s="898">
        <f t="shared" si="113"/>
        <v>15.730266432852048</v>
      </c>
      <c r="H150" s="1075">
        <f t="shared" si="113"/>
        <v>10.403132222152101</v>
      </c>
      <c r="I150" s="1075">
        <f t="shared" si="113"/>
        <v>17.683901600362773</v>
      </c>
      <c r="J150" s="1080">
        <f>J146</f>
        <v>3</v>
      </c>
      <c r="K150" s="904">
        <f t="shared" ref="K150:L150" si="114">K146</f>
        <v>3</v>
      </c>
      <c r="L150" s="1092">
        <f t="shared" si="114"/>
        <v>3</v>
      </c>
    </row>
    <row r="151" spans="1:15">
      <c r="A151" s="784"/>
      <c r="B151" s="1015" t="s">
        <v>1659</v>
      </c>
      <c r="C151" s="896">
        <f>ROUND(((I33/D33)^(1/5)-1)*100,0)</f>
        <v>12</v>
      </c>
      <c r="D151" s="897">
        <f t="shared" si="113"/>
        <v>-17.784123502498417</v>
      </c>
      <c r="E151" s="898">
        <f t="shared" si="113"/>
        <v>-2.0351158567149752</v>
      </c>
      <c r="F151" s="898">
        <f t="shared" si="113"/>
        <v>-1.9673362298234021</v>
      </c>
      <c r="G151" s="898">
        <f t="shared" si="113"/>
        <v>1.9330343780076031</v>
      </c>
      <c r="H151" s="1075">
        <f t="shared" si="113"/>
        <v>32.565009632923633</v>
      </c>
      <c r="I151" s="1075">
        <f t="shared" si="113"/>
        <v>37.246178139004172</v>
      </c>
      <c r="J151" s="1080">
        <f>J146</f>
        <v>3</v>
      </c>
      <c r="K151" s="904">
        <f t="shared" ref="K151:L151" si="115">K146</f>
        <v>3</v>
      </c>
      <c r="L151" s="1092">
        <f t="shared" si="115"/>
        <v>3</v>
      </c>
    </row>
    <row r="152" spans="1:15">
      <c r="A152" s="784"/>
      <c r="B152" s="1015" t="s">
        <v>1571</v>
      </c>
      <c r="C152" s="896">
        <f>AVERAGE(E37:I37)</f>
        <v>14.450957119723949</v>
      </c>
      <c r="D152" s="897">
        <f t="shared" ref="D152:I152" si="116">D37</f>
        <v>11.79194951165246</v>
      </c>
      <c r="E152" s="898">
        <f t="shared" si="116"/>
        <v>11.15983468720173</v>
      </c>
      <c r="F152" s="898">
        <f t="shared" si="116"/>
        <v>10.643200812109528</v>
      </c>
      <c r="G152" s="898">
        <f t="shared" si="116"/>
        <v>13.783229119047849</v>
      </c>
      <c r="H152" s="1075">
        <f t="shared" si="116"/>
        <v>17.956589800641556</v>
      </c>
      <c r="I152" s="1075">
        <f t="shared" si="116"/>
        <v>18.711931179619086</v>
      </c>
      <c r="J152" s="849">
        <v>17</v>
      </c>
      <c r="K152" s="840">
        <v>17</v>
      </c>
      <c r="L152" s="1091">
        <v>17</v>
      </c>
    </row>
    <row r="153" spans="1:15">
      <c r="A153" s="784"/>
      <c r="B153" s="1015" t="s">
        <v>1660</v>
      </c>
      <c r="C153" s="896">
        <f>ROUND(((I49/D49)^(1/5)-1)*100,0)</f>
        <v>15</v>
      </c>
      <c r="D153" s="897">
        <f t="shared" ref="D153:I154" si="117">(D49/C49-1)*100</f>
        <v>-28.355249256446836</v>
      </c>
      <c r="E153" s="898">
        <f t="shared" si="117"/>
        <v>28.725853453611428</v>
      </c>
      <c r="F153" s="898">
        <f t="shared" si="117"/>
        <v>21.637012167075433</v>
      </c>
      <c r="G153" s="898">
        <f t="shared" si="117"/>
        <v>2.1051992927800578</v>
      </c>
      <c r="H153" s="1075">
        <f t="shared" si="117"/>
        <v>16.300892760195818</v>
      </c>
      <c r="I153" s="1075">
        <f t="shared" si="117"/>
        <v>7.1126292930581592</v>
      </c>
      <c r="J153" s="849">
        <v>-2</v>
      </c>
      <c r="K153" s="840">
        <v>-1.5</v>
      </c>
      <c r="L153" s="1091">
        <v>-1.5</v>
      </c>
    </row>
    <row r="154" spans="1:15">
      <c r="A154" s="784"/>
      <c r="B154" s="1015" t="s">
        <v>1661</v>
      </c>
      <c r="C154" s="896">
        <f>ROUND(((I50/D50)^(1/5)-1)*100,0)</f>
        <v>38</v>
      </c>
      <c r="D154" s="897">
        <f t="shared" si="117"/>
        <v>-20.805783907937737</v>
      </c>
      <c r="E154" s="898">
        <f t="shared" si="117"/>
        <v>73.203758566992022</v>
      </c>
      <c r="F154" s="898">
        <f t="shared" si="117"/>
        <v>24.402319509976866</v>
      </c>
      <c r="G154" s="898">
        <f t="shared" si="117"/>
        <v>62.006784028864772</v>
      </c>
      <c r="H154" s="1075">
        <f t="shared" si="117"/>
        <v>23.858875680052492</v>
      </c>
      <c r="I154" s="1075">
        <f t="shared" si="117"/>
        <v>16.884826253207951</v>
      </c>
      <c r="J154" s="849">
        <v>10</v>
      </c>
      <c r="K154" s="840">
        <v>-7</v>
      </c>
      <c r="L154" s="1091">
        <v>-10</v>
      </c>
      <c r="O154" s="724" t="s">
        <v>2154</v>
      </c>
    </row>
    <row r="155" spans="1:15">
      <c r="A155" s="784"/>
      <c r="B155" s="1015" t="s">
        <v>1662</v>
      </c>
      <c r="C155" s="899">
        <f>AVERAGE(E155:I155)</f>
        <v>-0.21875797528332525</v>
      </c>
      <c r="D155" s="897">
        <f t="shared" ref="D155:I155" si="118">D131</f>
        <v>-1.1645140087980597</v>
      </c>
      <c r="E155" s="898">
        <f t="shared" si="118"/>
        <v>-0.28594663208348525</v>
      </c>
      <c r="F155" s="898">
        <f t="shared" si="118"/>
        <v>-0.64881549290780949</v>
      </c>
      <c r="G155" s="898">
        <f t="shared" si="118"/>
        <v>-0.42473895721670063</v>
      </c>
      <c r="H155" s="1075">
        <f t="shared" si="118"/>
        <v>0.34423468139628127</v>
      </c>
      <c r="I155" s="1075">
        <f t="shared" si="118"/>
        <v>-7.8523475604912268E-2</v>
      </c>
      <c r="J155" s="849">
        <v>0.1</v>
      </c>
      <c r="K155" s="840">
        <v>0.1</v>
      </c>
      <c r="L155" s="1091">
        <v>0</v>
      </c>
      <c r="O155" s="724" t="s">
        <v>2155</v>
      </c>
    </row>
    <row r="156" spans="1:15">
      <c r="A156" s="784"/>
      <c r="B156" s="1015" t="s">
        <v>1663</v>
      </c>
      <c r="C156" s="896">
        <f>AVERAGE(E135:I135)</f>
        <v>2.1610970044391653</v>
      </c>
      <c r="D156" s="897">
        <f t="shared" ref="D156:I156" si="119">D135</f>
        <v>2.1895681584106947</v>
      </c>
      <c r="E156" s="898">
        <f t="shared" si="119"/>
        <v>2.3518797025912783</v>
      </c>
      <c r="F156" s="898">
        <f t="shared" si="119"/>
        <v>2.4042995965129688</v>
      </c>
      <c r="G156" s="898">
        <f t="shared" si="119"/>
        <v>1.906052439596722</v>
      </c>
      <c r="H156" s="1075">
        <f t="shared" si="119"/>
        <v>1.9161895093855086</v>
      </c>
      <c r="I156" s="1075">
        <f t="shared" si="119"/>
        <v>2.2270637741093484</v>
      </c>
      <c r="J156" s="849">
        <v>2</v>
      </c>
      <c r="K156" s="840">
        <v>1.8</v>
      </c>
      <c r="L156" s="1091">
        <v>1.3</v>
      </c>
      <c r="O156" s="724" t="s">
        <v>2156</v>
      </c>
    </row>
    <row r="157" spans="1:15">
      <c r="A157" s="784"/>
      <c r="B157" s="1015" t="s">
        <v>1664</v>
      </c>
      <c r="C157" s="905">
        <f>AVERAGE(E53:I53)</f>
        <v>0.86272065600000469</v>
      </c>
      <c r="D157" s="906">
        <f t="shared" ref="D157:I157" si="120">D53</f>
        <v>-65.030829920000002</v>
      </c>
      <c r="E157" s="907">
        <f t="shared" si="120"/>
        <v>11.138388300000001</v>
      </c>
      <c r="F157" s="907">
        <f t="shared" si="120"/>
        <v>-16.45756154</v>
      </c>
      <c r="G157" s="907">
        <f t="shared" si="120"/>
        <v>-359.50010902999998</v>
      </c>
      <c r="H157" s="1077">
        <f t="shared" si="120"/>
        <v>221.39181078999999</v>
      </c>
      <c r="I157" s="1077">
        <f t="shared" si="120"/>
        <v>147.74107476</v>
      </c>
      <c r="J157" s="819">
        <v>0</v>
      </c>
      <c r="K157" s="820">
        <v>0</v>
      </c>
      <c r="L157" s="1160">
        <v>0</v>
      </c>
      <c r="O157" s="724" t="s">
        <v>2157</v>
      </c>
    </row>
    <row r="158" spans="1:15">
      <c r="A158" s="784"/>
      <c r="B158" s="1015" t="s">
        <v>1665</v>
      </c>
      <c r="C158" s="896">
        <f>AVERAGE(E158:I158)</f>
        <v>3.3946894536576858E-2</v>
      </c>
      <c r="D158" s="897">
        <f t="shared" ref="D158:I158" si="121">D82</f>
        <v>1.0062920197314038</v>
      </c>
      <c r="E158" s="898">
        <f t="shared" si="121"/>
        <v>-0.16908607365964468</v>
      </c>
      <c r="F158" s="898">
        <f t="shared" si="121"/>
        <v>6.9727940617117332E-2</v>
      </c>
      <c r="G158" s="898">
        <f t="shared" si="121"/>
        <v>1.9873871054010474E-2</v>
      </c>
      <c r="H158" s="1075">
        <f t="shared" si="121"/>
        <v>4.9419786301955364E-2</v>
      </c>
      <c r="I158" s="1075">
        <f t="shared" si="121"/>
        <v>0.19979894836944581</v>
      </c>
      <c r="J158" s="849">
        <v>0.2</v>
      </c>
      <c r="K158" s="840">
        <v>0.2</v>
      </c>
      <c r="L158" s="1091">
        <v>0.2</v>
      </c>
      <c r="O158" s="724" t="s">
        <v>2157</v>
      </c>
    </row>
    <row r="159" spans="1:15">
      <c r="A159" s="784"/>
      <c r="B159" s="1016" t="s">
        <v>1666</v>
      </c>
      <c r="C159" s="909">
        <f>ROUND(((I55/D55)^(1/5)-1)*100,0)</f>
        <v>15</v>
      </c>
      <c r="D159" s="897">
        <f t="shared" ref="D159:I159" si="122">(D55/C55-1)*100</f>
        <v>-35.381160502137398</v>
      </c>
      <c r="E159" s="898">
        <f t="shared" si="122"/>
        <v>41.310292380022595</v>
      </c>
      <c r="F159" s="898">
        <f t="shared" si="122"/>
        <v>13.525848154128939</v>
      </c>
      <c r="G159" s="898">
        <f t="shared" si="122"/>
        <v>-3.1460227219897385</v>
      </c>
      <c r="H159" s="1075">
        <f t="shared" si="122"/>
        <v>14.391914335440958</v>
      </c>
      <c r="I159" s="1075">
        <f t="shared" si="122"/>
        <v>12.147475313000822</v>
      </c>
      <c r="J159" s="849">
        <v>3</v>
      </c>
      <c r="K159" s="840">
        <v>7</v>
      </c>
      <c r="L159" s="1091">
        <v>10</v>
      </c>
      <c r="O159" s="724" t="s">
        <v>2158</v>
      </c>
    </row>
    <row r="160" spans="1:15">
      <c r="A160" s="784"/>
      <c r="B160" s="1016" t="s">
        <v>1667</v>
      </c>
      <c r="C160" s="896">
        <f>AVERAGE(E61:I61)</f>
        <v>21.071999218997483</v>
      </c>
      <c r="D160" s="897">
        <f t="shared" ref="D160:I160" si="123">D61</f>
        <v>17.469507939433569</v>
      </c>
      <c r="E160" s="898">
        <f t="shared" si="123"/>
        <v>21.794336309535588</v>
      </c>
      <c r="F160" s="898">
        <f t="shared" si="123"/>
        <v>19.394511978575647</v>
      </c>
      <c r="G160" s="898">
        <f t="shared" si="123"/>
        <v>20.439257764150778</v>
      </c>
      <c r="H160" s="1075">
        <f t="shared" si="123"/>
        <v>20.085507655986657</v>
      </c>
      <c r="I160" s="1075">
        <f t="shared" si="123"/>
        <v>23.64638238673874</v>
      </c>
      <c r="J160" s="849">
        <v>24.2</v>
      </c>
      <c r="K160" s="840">
        <v>24.2</v>
      </c>
      <c r="L160" s="1091">
        <v>24.2</v>
      </c>
    </row>
    <row r="161" spans="1:15">
      <c r="A161" s="784"/>
      <c r="B161" s="1016" t="s">
        <v>1668</v>
      </c>
      <c r="C161" s="896">
        <f>AVERAGE(E73:I73)</f>
        <v>151.42333598217559</v>
      </c>
      <c r="D161" s="897">
        <f t="shared" ref="D161:J161" si="124">D73</f>
        <v>113.27677931355409</v>
      </c>
      <c r="E161" s="898">
        <f t="shared" si="124"/>
        <v>79.48979321665918</v>
      </c>
      <c r="F161" s="898">
        <f t="shared" si="124"/>
        <v>72.751064322809</v>
      </c>
      <c r="G161" s="898">
        <f t="shared" si="124"/>
        <v>78.164968503598757</v>
      </c>
      <c r="H161" s="1075">
        <f t="shared" si="124"/>
        <v>444.08063450641515</v>
      </c>
      <c r="I161" s="1075">
        <f t="shared" si="124"/>
        <v>82.630219361395788</v>
      </c>
      <c r="J161" s="1151">
        <f t="shared" si="124"/>
        <v>35.810212309586696</v>
      </c>
      <c r="K161" s="840">
        <v>50</v>
      </c>
      <c r="L161" s="841">
        <v>50</v>
      </c>
      <c r="O161" s="724" t="s">
        <v>2159</v>
      </c>
    </row>
    <row r="162" spans="1:15">
      <c r="A162" s="784"/>
      <c r="B162" s="1016" t="s">
        <v>1669</v>
      </c>
      <c r="C162" s="896">
        <f>ROUND(((I75/D75)^(1/5)-1)*100,1)</f>
        <v>-9.5</v>
      </c>
      <c r="D162" s="897">
        <f t="shared" ref="D162:I162" si="125">(D75/C75-1)*100</f>
        <v>107.27521045579454</v>
      </c>
      <c r="E162" s="898">
        <f t="shared" si="125"/>
        <v>-20.72372303197697</v>
      </c>
      <c r="F162" s="898">
        <f t="shared" si="125"/>
        <v>5.9537599769388105</v>
      </c>
      <c r="G162" s="898">
        <f t="shared" si="125"/>
        <v>-42.155792398132938</v>
      </c>
      <c r="H162" s="1075">
        <f t="shared" si="125"/>
        <v>-0.69165442816178091</v>
      </c>
      <c r="I162" s="1075">
        <f t="shared" si="125"/>
        <v>25.855034991797908</v>
      </c>
      <c r="J162" s="849">
        <v>15</v>
      </c>
      <c r="K162" s="840">
        <v>7</v>
      </c>
      <c r="L162" s="1091">
        <v>5</v>
      </c>
      <c r="O162" s="724" t="s">
        <v>2160</v>
      </c>
    </row>
    <row r="163" spans="1:15">
      <c r="A163" s="784"/>
      <c r="B163" s="1016" t="s">
        <v>1670</v>
      </c>
      <c r="C163" s="896">
        <f>AVERAGE(E77:I77)</f>
        <v>1.0490517101843508</v>
      </c>
      <c r="D163" s="897">
        <f t="shared" ref="D163:I163" si="126">D77</f>
        <v>1.110950931796292</v>
      </c>
      <c r="E163" s="898">
        <f t="shared" si="126"/>
        <v>1.0731730884490849</v>
      </c>
      <c r="F163" s="898">
        <f t="shared" si="126"/>
        <v>1.042635667709666</v>
      </c>
      <c r="G163" s="898">
        <f t="shared" si="126"/>
        <v>1.1294497916642177</v>
      </c>
      <c r="H163" s="1075">
        <f t="shared" si="126"/>
        <v>1.000000003098785</v>
      </c>
      <c r="I163" s="1075">
        <f t="shared" si="126"/>
        <v>1</v>
      </c>
      <c r="J163" s="849">
        <v>1.1000000000000001</v>
      </c>
      <c r="K163" s="840">
        <v>1.1000000000000001</v>
      </c>
      <c r="L163" s="1091">
        <v>1.1000000000000001</v>
      </c>
    </row>
    <row r="164" spans="1:15">
      <c r="A164" s="784"/>
      <c r="B164" s="1016" t="s">
        <v>1671</v>
      </c>
      <c r="C164" s="905">
        <f>AVERAGE(E83:I83)</f>
        <v>-81.608192463999984</v>
      </c>
      <c r="D164" s="906">
        <f t="shared" ref="D164:I164" si="127">D83</f>
        <v>-252.83397229999997</v>
      </c>
      <c r="E164" s="907">
        <f t="shared" si="127"/>
        <v>142.62645002000011</v>
      </c>
      <c r="F164" s="907">
        <f t="shared" si="127"/>
        <v>-58.083639850000168</v>
      </c>
      <c r="G164" s="907">
        <f t="shared" si="127"/>
        <v>198.95824921999997</v>
      </c>
      <c r="H164" s="1077">
        <f t="shared" si="127"/>
        <v>-587.61100434999992</v>
      </c>
      <c r="I164" s="1077">
        <f t="shared" si="127"/>
        <v>-103.93101735999994</v>
      </c>
      <c r="J164" s="819">
        <v>-150</v>
      </c>
      <c r="K164" s="820">
        <v>-150</v>
      </c>
      <c r="L164" s="1160">
        <v>-150</v>
      </c>
      <c r="O164" s="724" t="s">
        <v>2161</v>
      </c>
    </row>
    <row r="165" spans="1:15">
      <c r="A165" s="784"/>
      <c r="B165" s="1016" t="s">
        <v>1672</v>
      </c>
      <c r="C165" s="896">
        <f>AVERAGE(E91:I91)</f>
        <v>71.065120531743347</v>
      </c>
      <c r="D165" s="897">
        <f t="shared" ref="D165:I165" si="128">D91</f>
        <v>67.651739932270132</v>
      </c>
      <c r="E165" s="898">
        <f t="shared" si="128"/>
        <v>70.069407122653303</v>
      </c>
      <c r="F165" s="898">
        <f t="shared" si="128"/>
        <v>70.776050557550434</v>
      </c>
      <c r="G165" s="898">
        <f t="shared" si="128"/>
        <v>69.673057207858562</v>
      </c>
      <c r="H165" s="1075">
        <f t="shared" si="128"/>
        <v>75.997692616858231</v>
      </c>
      <c r="I165" s="1075">
        <f t="shared" si="128"/>
        <v>68.809395153796189</v>
      </c>
      <c r="J165" s="849">
        <v>65</v>
      </c>
      <c r="K165" s="840">
        <v>65</v>
      </c>
      <c r="L165" s="1091">
        <v>65</v>
      </c>
      <c r="O165" s="724" t="s">
        <v>2162</v>
      </c>
    </row>
    <row r="166" spans="1:15">
      <c r="A166" s="784"/>
      <c r="B166" s="1016" t="s">
        <v>1673</v>
      </c>
      <c r="C166" s="896">
        <f>AVERAGE(E93:I93)</f>
        <v>3.0274192335747356</v>
      </c>
      <c r="D166" s="897">
        <f t="shared" ref="D166:I166" si="129">D93</f>
        <v>2.4689907719538295</v>
      </c>
      <c r="E166" s="898">
        <f t="shared" si="129"/>
        <v>2.3768257294570416</v>
      </c>
      <c r="F166" s="898">
        <f t="shared" si="129"/>
        <v>2.5577753277567679</v>
      </c>
      <c r="G166" s="898">
        <f t="shared" si="129"/>
        <v>2.5879423225760179</v>
      </c>
      <c r="H166" s="1075">
        <f t="shared" si="129"/>
        <v>3.5170740865661001</v>
      </c>
      <c r="I166" s="1075">
        <f t="shared" si="129"/>
        <v>4.0974787015177494</v>
      </c>
      <c r="J166" s="849">
        <v>4</v>
      </c>
      <c r="K166" s="840">
        <v>4</v>
      </c>
      <c r="L166" s="1091">
        <v>4</v>
      </c>
      <c r="O166" s="724" t="s">
        <v>2163</v>
      </c>
    </row>
    <row r="167" spans="1:15">
      <c r="A167" s="784"/>
      <c r="B167" s="1016" t="s">
        <v>1674</v>
      </c>
      <c r="C167" s="896">
        <f>ROUND(((I98/D98)^(1/5)-1)*100,1)</f>
        <v>4.7</v>
      </c>
      <c r="D167" s="897">
        <f t="shared" ref="D167:I167" si="130">(D98/C98-1)*100</f>
        <v>4.3718158173100541E-2</v>
      </c>
      <c r="E167" s="898">
        <f t="shared" si="130"/>
        <v>4.6877720902578801</v>
      </c>
      <c r="F167" s="898">
        <f t="shared" si="130"/>
        <v>42.309364402133639</v>
      </c>
      <c r="G167" s="898">
        <f t="shared" si="130"/>
        <v>-32.501921857311913</v>
      </c>
      <c r="H167" s="1075">
        <f t="shared" si="130"/>
        <v>31.627533256702513</v>
      </c>
      <c r="I167" s="1075">
        <f t="shared" si="130"/>
        <v>-5.1513997567509744</v>
      </c>
      <c r="J167" s="849">
        <v>12</v>
      </c>
      <c r="K167" s="840">
        <f>J167</f>
        <v>12</v>
      </c>
      <c r="L167" s="1091">
        <f>K167</f>
        <v>12</v>
      </c>
    </row>
    <row r="168" spans="1:15">
      <c r="A168" s="784"/>
      <c r="B168" s="1016" t="s">
        <v>1675</v>
      </c>
      <c r="C168" s="896">
        <f>ROUND(((I100/D100)^(1/5)-1)*100,1)</f>
        <v>11.3</v>
      </c>
      <c r="D168" s="897">
        <f t="shared" ref="D168:I168" si="131">(D100/C100-1)*100</f>
        <v>8.36920571908224</v>
      </c>
      <c r="E168" s="898">
        <f t="shared" si="131"/>
        <v>15.158136134370427</v>
      </c>
      <c r="F168" s="898">
        <f t="shared" si="131"/>
        <v>34.454182786887031</v>
      </c>
      <c r="G168" s="898">
        <f t="shared" si="131"/>
        <v>-29.624808356118415</v>
      </c>
      <c r="H168" s="1075">
        <f t="shared" si="131"/>
        <v>35.21206195003186</v>
      </c>
      <c r="I168" s="1075">
        <f t="shared" si="131"/>
        <v>15.886678730143068</v>
      </c>
      <c r="J168" s="849">
        <v>10</v>
      </c>
      <c r="K168" s="840">
        <v>10</v>
      </c>
      <c r="L168" s="1091">
        <v>10</v>
      </c>
    </row>
    <row r="169" spans="1:15">
      <c r="A169" s="784"/>
      <c r="B169" s="1016" t="s">
        <v>1676</v>
      </c>
      <c r="C169" s="896">
        <f>ROUND(((I102/D102)^(1/5)-1)*100,1)</f>
        <v>40.9</v>
      </c>
      <c r="D169" s="897">
        <f t="shared" ref="D169:I169" si="132">(D102/C102-1)*100</f>
        <v>92.419339869117863</v>
      </c>
      <c r="E169" s="898">
        <f t="shared" si="132"/>
        <v>51.443518232302978</v>
      </c>
      <c r="F169" s="898">
        <f t="shared" si="132"/>
        <v>-0.41075083112063204</v>
      </c>
      <c r="G169" s="898">
        <f t="shared" si="132"/>
        <v>122.17493140704315</v>
      </c>
      <c r="H169" s="1075">
        <f t="shared" si="132"/>
        <v>35.065868436399519</v>
      </c>
      <c r="I169" s="1075">
        <f t="shared" si="132"/>
        <v>22.897782283229628</v>
      </c>
      <c r="J169" s="849">
        <v>10</v>
      </c>
      <c r="K169" s="840">
        <v>-5</v>
      </c>
      <c r="L169" s="1091">
        <v>-4</v>
      </c>
      <c r="O169" s="724" t="s">
        <v>2164</v>
      </c>
    </row>
    <row r="170" spans="1:15" ht="14" thickBot="1">
      <c r="B170" s="1017" t="s">
        <v>1689</v>
      </c>
      <c r="C170" s="1018">
        <f>AVERAGE(E122:I122)</f>
        <v>7.8588733918290927</v>
      </c>
      <c r="D170" s="1019">
        <f t="shared" ref="D170:G170" si="133">D122</f>
        <v>3.1187715128866604</v>
      </c>
      <c r="E170" s="1019">
        <f t="shared" si="133"/>
        <v>3.2042636811130425</v>
      </c>
      <c r="F170" s="1019">
        <f t="shared" si="133"/>
        <v>5.9715882810700354</v>
      </c>
      <c r="G170" s="1019">
        <f t="shared" si="133"/>
        <v>9.0790671671145322</v>
      </c>
      <c r="H170" s="1078">
        <f>H122</f>
        <v>9.3228172306043291</v>
      </c>
      <c r="I170" s="1078">
        <f>I122</f>
        <v>11.716630599243526</v>
      </c>
      <c r="J170" s="1161">
        <v>9.3000000000000007</v>
      </c>
      <c r="K170" s="1162">
        <v>9.3000000000000007</v>
      </c>
      <c r="L170" s="1163">
        <v>9.3000000000000007</v>
      </c>
      <c r="O170" s="724" t="s">
        <v>2130</v>
      </c>
    </row>
    <row r="171" spans="1:15" s="1648" customFormat="1">
      <c r="A171" s="1684"/>
      <c r="B171" s="1685" t="s">
        <v>2707</v>
      </c>
      <c r="C171" s="1686"/>
      <c r="D171" s="1686"/>
      <c r="E171" s="1686"/>
      <c r="F171" s="1686"/>
      <c r="G171" s="1692"/>
      <c r="H171" s="1693">
        <f>(H85/G85-1)*100</f>
        <v>11.821523940925571</v>
      </c>
      <c r="I171" s="1693">
        <f>(I85/H85-1)*100</f>
        <v>-4.6954583975872382</v>
      </c>
      <c r="J171" s="1694">
        <v>3</v>
      </c>
      <c r="K171" s="1695">
        <v>3</v>
      </c>
      <c r="L171" s="1696">
        <v>3</v>
      </c>
      <c r="M171" s="1691"/>
    </row>
    <row r="172" spans="1:15" s="1648" customFormat="1">
      <c r="A172" s="1684"/>
      <c r="B172" s="1685" t="s">
        <v>2708</v>
      </c>
      <c r="C172" s="1686"/>
      <c r="D172" s="1686"/>
      <c r="E172" s="1686"/>
      <c r="F172" s="1686"/>
      <c r="G172" s="1692"/>
      <c r="H172" s="1692">
        <f>(H86/G86-1)*100</f>
        <v>59.781404465953017</v>
      </c>
      <c r="I172" s="1692">
        <f>(I86/H86-1)*100</f>
        <v>31.081816772572001</v>
      </c>
      <c r="J172" s="1694">
        <v>15</v>
      </c>
      <c r="K172" s="1695">
        <v>10</v>
      </c>
      <c r="L172" s="1696">
        <v>5</v>
      </c>
      <c r="M172" s="1691"/>
    </row>
  </sheetData>
  <mergeCells count="1">
    <mergeCell ref="T7:Y7"/>
  </mergeCells>
  <phoneticPr fontId="73" type="noConversion"/>
  <conditionalFormatting sqref="Q8 Q17:Q19 Q14:Q15 Q10:Q12 Q21:Q22">
    <cfRule type="cellIs" dxfId="63" priority="1" operator="equal">
      <formula>FALSE</formula>
    </cfRule>
  </conditionalFormatting>
  <pageMargins left="0.7" right="0.7" top="0.75" bottom="0.75" header="0.3" footer="0.3"/>
  <pageSetup paperSize="9" scale="51" orientation="portrait" r:id="rId1"/>
  <rowBreaks count="1" manualBreakCount="1">
    <brk id="105" max="11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Z84"/>
  <sheetViews>
    <sheetView zoomScaleNormal="100" zoomScaleSheetLayoutView="115" workbookViewId="0">
      <selection activeCell="I15" sqref="I15"/>
    </sheetView>
  </sheetViews>
  <sheetFormatPr baseColWidth="10" defaultColWidth="9.1640625" defaultRowHeight="14"/>
  <cols>
    <col min="1" max="1" width="27.1640625" style="579" customWidth="1"/>
    <col min="2" max="2" width="9.83203125" style="579" customWidth="1"/>
    <col min="3" max="3" width="9" style="579" customWidth="1"/>
    <col min="4" max="4" width="9.6640625" style="579" customWidth="1"/>
    <col min="5" max="5" width="9.5" style="579" customWidth="1"/>
    <col min="6" max="6" width="9" style="579" customWidth="1"/>
    <col min="7" max="7" width="9.83203125" style="579" customWidth="1"/>
    <col min="8" max="8" width="9.5" style="579" customWidth="1"/>
    <col min="9" max="10" width="9.1640625" style="579" customWidth="1"/>
    <col min="11" max="11" width="9.5" style="579" customWidth="1"/>
    <col min="12" max="12" width="9.6640625" style="579" customWidth="1"/>
    <col min="13" max="13" width="9.83203125" style="579" customWidth="1"/>
    <col min="14" max="14" width="9.1640625" style="579"/>
    <col min="15" max="15" width="9.33203125" style="985" bestFit="1" customWidth="1"/>
    <col min="16" max="16" width="10.1640625" style="985" bestFit="1" customWidth="1"/>
    <col min="17" max="17" width="9.1640625" style="985"/>
    <col min="18" max="16384" width="9.1640625" style="579"/>
  </cols>
  <sheetData>
    <row r="1" spans="1:26">
      <c r="A1" s="577" t="str">
        <f>Data!A1</f>
        <v>한국투자증권</v>
      </c>
      <c r="B1" s="578"/>
    </row>
    <row r="2" spans="1:26">
      <c r="P2" s="985" t="s">
        <v>1697</v>
      </c>
    </row>
    <row r="3" spans="1:26" ht="12" customHeight="1">
      <c r="C3" s="674"/>
      <c r="D3" s="674"/>
      <c r="F3" s="1705" t="s">
        <v>1480</v>
      </c>
      <c r="G3" s="1706"/>
      <c r="H3" s="1707" t="s">
        <v>2419</v>
      </c>
      <c r="I3" s="1708"/>
      <c r="M3" s="579" t="s">
        <v>2422</v>
      </c>
    </row>
    <row r="4" spans="1:26" ht="12" customHeight="1">
      <c r="C4" s="1184" t="s">
        <v>1466</v>
      </c>
      <c r="D4" s="1185" t="s">
        <v>1482</v>
      </c>
      <c r="E4" s="1185" t="s">
        <v>2418</v>
      </c>
      <c r="F4" s="1186" t="s">
        <v>1483</v>
      </c>
      <c r="G4" s="1187" t="s">
        <v>1484</v>
      </c>
      <c r="H4" s="1188" t="s">
        <v>1483</v>
      </c>
      <c r="I4" s="1189" t="s">
        <v>1484</v>
      </c>
      <c r="J4" s="579" t="s">
        <v>2420</v>
      </c>
      <c r="K4" s="579" t="s">
        <v>2421</v>
      </c>
      <c r="M4" s="579" t="s">
        <v>2420</v>
      </c>
      <c r="N4" s="579" t="s">
        <v>2421</v>
      </c>
    </row>
    <row r="5" spans="1:26" ht="12" customHeight="1">
      <c r="A5" s="619" t="s">
        <v>78</v>
      </c>
      <c r="C5" s="1330">
        <f>추정!G27/10000</f>
        <v>32.824733999999999</v>
      </c>
      <c r="D5" s="1331">
        <f>추정!H27/10000</f>
        <v>37.545135999999999</v>
      </c>
      <c r="E5" s="1331">
        <f>추정!I27/10000</f>
        <v>44.351334000000001</v>
      </c>
      <c r="F5" s="1344">
        <f>ROUND((J5*(1-M5)),0)</f>
        <v>43</v>
      </c>
      <c r="G5" s="1346">
        <f>ROUND((J5*(1+M5)),0)</f>
        <v>48</v>
      </c>
      <c r="H5" s="1344">
        <f>ROUND((K5*(1-N5)),0)</f>
        <v>45</v>
      </c>
      <c r="I5" s="1346">
        <f>ROUND((K5*(1+N5)),0)</f>
        <v>49</v>
      </c>
      <c r="J5" s="1331">
        <f>추정!J27/10000</f>
        <v>45.681874020000009</v>
      </c>
      <c r="K5" s="1331">
        <f>추정!K27/10000</f>
        <v>47.052330240600007</v>
      </c>
      <c r="M5" s="1345">
        <v>0.05</v>
      </c>
      <c r="N5" s="1345">
        <v>0.05</v>
      </c>
    </row>
    <row r="6" spans="1:26" ht="12" customHeight="1">
      <c r="A6" s="619" t="s">
        <v>64</v>
      </c>
      <c r="C6" s="1332">
        <f>추정!G47</f>
        <v>7658.8829083599994</v>
      </c>
      <c r="D6" s="1333">
        <f>추정!H47</f>
        <v>11381.578177279998</v>
      </c>
      <c r="E6" s="1333">
        <f>추정!I47</f>
        <v>12812.620863119999</v>
      </c>
      <c r="F6" s="1347">
        <f>ROUND((J6*(1-M6))/100,0)*100</f>
        <v>12000</v>
      </c>
      <c r="G6" s="1348">
        <f>ROUND((J6*(1+M6))/100,0)*100</f>
        <v>13300</v>
      </c>
      <c r="H6" s="1347">
        <f>ROUND((K6*(1-N6))/100,0)*100</f>
        <v>11300</v>
      </c>
      <c r="I6" s="1348">
        <f>ROUND((K6*(1+N6))/100,0)*100</f>
        <v>12500</v>
      </c>
      <c r="J6" s="1333">
        <f>추정!J47</f>
        <v>12661.198326975624</v>
      </c>
      <c r="K6" s="1333">
        <f>추정!K47</f>
        <v>11858.933216599857</v>
      </c>
      <c r="M6" s="1345">
        <v>0.05</v>
      </c>
      <c r="N6" s="1345">
        <v>0.05</v>
      </c>
    </row>
    <row r="7" spans="1:26" ht="12" customHeight="1">
      <c r="A7" s="619" t="s">
        <v>69</v>
      </c>
      <c r="C7" s="1335">
        <f>추정!G60</f>
        <v>2437.17</v>
      </c>
      <c r="D7" s="1334">
        <f>추정!H60</f>
        <v>4722.8</v>
      </c>
      <c r="E7" s="1334">
        <f>추정!I60</f>
        <v>5035.1000000000004</v>
      </c>
      <c r="F7" s="1347">
        <f>ROUND((J7*(1-M7))/10,0)*10</f>
        <v>4470</v>
      </c>
      <c r="G7" s="1348">
        <f>ROUND((J7*(1+M7))/10,0)*10</f>
        <v>5150</v>
      </c>
      <c r="H7" s="1347">
        <f>ROUND((K7*(1-N7))/10,0)*10</f>
        <v>3300</v>
      </c>
      <c r="I7" s="1348">
        <f>ROUND((K7*(1+N7))/10,0)*10</f>
        <v>4460</v>
      </c>
      <c r="J7" s="1334">
        <f>추정!J60</f>
        <v>4809.6024560928636</v>
      </c>
      <c r="K7" s="1334">
        <f>추정!K60</f>
        <v>3882.4560441952153</v>
      </c>
      <c r="M7" s="1345">
        <v>7.0000000000000007E-2</v>
      </c>
      <c r="N7" s="1351">
        <v>0.15</v>
      </c>
    </row>
    <row r="8" spans="1:26" ht="12" customHeight="1">
      <c r="A8" s="579" t="s">
        <v>1418</v>
      </c>
      <c r="C8" s="1336">
        <f>추정!G17</f>
        <v>1602.6</v>
      </c>
      <c r="D8" s="1337">
        <f>추정!H17</f>
        <v>1469.9</v>
      </c>
      <c r="E8" s="1337">
        <f>추정!I17</f>
        <v>1016.9</v>
      </c>
      <c r="F8" s="1344">
        <f t="shared" ref="F8:F11" si="0">ROUND((J8*(1-M8)),0)</f>
        <v>835</v>
      </c>
      <c r="G8" s="1346">
        <f t="shared" ref="G8:G11" si="1">ROUND((J8*(1+M8)),0)</f>
        <v>923</v>
      </c>
      <c r="H8" s="1344">
        <f t="shared" ref="H8:H11" si="2">ROUND((K8*(1-N8)),0)</f>
        <v>752</v>
      </c>
      <c r="I8" s="1346">
        <f t="shared" ref="I8:I11" si="3">ROUND((K8*(1+N8)),0)</f>
        <v>831</v>
      </c>
      <c r="J8" s="1337">
        <f>추정!J17</f>
        <v>878.64583333333337</v>
      </c>
      <c r="K8" s="1337">
        <f>추정!K17</f>
        <v>791.81547619047615</v>
      </c>
      <c r="M8" s="1345">
        <v>0.05</v>
      </c>
      <c r="N8" s="1345">
        <v>0.05</v>
      </c>
    </row>
    <row r="9" spans="1:26" ht="12" customHeight="1">
      <c r="A9" s="619" t="s">
        <v>1706</v>
      </c>
      <c r="C9" s="1339">
        <f>추정!G102/추정!G34*100</f>
        <v>58.266597866848166</v>
      </c>
      <c r="D9" s="1338">
        <f>추정!H102/추정!H34*100</f>
        <v>75.560473824486635</v>
      </c>
      <c r="E9" s="1338">
        <f>추정!I102/추정!I34*100</f>
        <v>90.541648466635309</v>
      </c>
      <c r="F9" s="1344">
        <f t="shared" si="0"/>
        <v>88</v>
      </c>
      <c r="G9" s="1346">
        <f t="shared" si="1"/>
        <v>98</v>
      </c>
      <c r="H9" s="1344">
        <f t="shared" si="2"/>
        <v>81</v>
      </c>
      <c r="I9" s="1346">
        <f t="shared" si="3"/>
        <v>90</v>
      </c>
      <c r="J9" s="1338">
        <f>추정!J102/추정!J34*100</f>
        <v>93.1576012641235</v>
      </c>
      <c r="K9" s="1338">
        <f>추정!K102/추정!K34*100</f>
        <v>85.775625869991885</v>
      </c>
      <c r="M9" s="1345">
        <v>0.05</v>
      </c>
      <c r="N9" s="1345">
        <v>0.05</v>
      </c>
    </row>
    <row r="10" spans="1:26" ht="12" customHeight="1">
      <c r="A10" s="579" t="s">
        <v>1476</v>
      </c>
      <c r="C10" s="1341">
        <f>추정!G66</f>
        <v>0.79510455928738966</v>
      </c>
      <c r="D10" s="1340">
        <f>추정!H66</f>
        <v>1.3422790132847369</v>
      </c>
      <c r="E10" s="1340">
        <f>추정!I66</f>
        <v>1.2296256503352065</v>
      </c>
      <c r="F10" s="1344">
        <f>J10*(1-M10)</f>
        <v>0.85472506189484343</v>
      </c>
      <c r="G10" s="1346">
        <f>J10*(1+M10)</f>
        <v>1.282087592842265</v>
      </c>
      <c r="H10" s="1344">
        <f>K10*(1-N10)</f>
        <v>0.66986391054326522</v>
      </c>
      <c r="I10" s="1346">
        <f>K10*(1+N10)</f>
        <v>1.0047958658148977</v>
      </c>
      <c r="J10" s="1340">
        <f>추정!J66</f>
        <v>1.0684063273685542</v>
      </c>
      <c r="K10" s="1340">
        <f>추정!K66</f>
        <v>0.83732988817908149</v>
      </c>
      <c r="M10" s="1351">
        <v>0.2</v>
      </c>
      <c r="N10" s="1351">
        <v>0.2</v>
      </c>
    </row>
    <row r="11" spans="1:26" ht="12" customHeight="1">
      <c r="A11" s="579" t="s">
        <v>2723</v>
      </c>
      <c r="C11" s="1342">
        <f>추정!G105</f>
        <v>108.45569461138584</v>
      </c>
      <c r="D11" s="1343">
        <f>추정!H105</f>
        <v>105.60164126850913</v>
      </c>
      <c r="E11" s="1343">
        <f>추정!I105</f>
        <v>85.473546186358092</v>
      </c>
      <c r="F11" s="1349">
        <f t="shared" si="0"/>
        <v>83</v>
      </c>
      <c r="G11" s="1350">
        <f t="shared" si="1"/>
        <v>91</v>
      </c>
      <c r="H11" s="1349">
        <f t="shared" si="2"/>
        <v>86</v>
      </c>
      <c r="I11" s="1350">
        <f t="shared" si="3"/>
        <v>96</v>
      </c>
      <c r="J11" s="1343">
        <f>추정!J105</f>
        <v>87.027620349006511</v>
      </c>
      <c r="K11" s="1343">
        <f>추정!K105</f>
        <v>91.019006221054525</v>
      </c>
      <c r="M11" s="1345">
        <v>0.05</v>
      </c>
      <c r="N11" s="1345">
        <v>0.05</v>
      </c>
    </row>
    <row r="12" spans="1:26" s="985" customFormat="1" ht="12" customHeight="1">
      <c r="A12" s="579"/>
      <c r="B12" s="579"/>
      <c r="C12" s="1190"/>
      <c r="D12" s="1190"/>
      <c r="E12" s="988"/>
      <c r="F12" s="988"/>
      <c r="G12" s="988"/>
      <c r="H12" s="988"/>
      <c r="I12" s="579"/>
      <c r="J12" s="579"/>
      <c r="K12" s="579"/>
      <c r="L12" s="579"/>
      <c r="M12" s="579"/>
      <c r="N12" s="579"/>
      <c r="R12" s="579"/>
      <c r="S12" s="579"/>
      <c r="T12" s="579"/>
      <c r="U12" s="579"/>
      <c r="V12" s="579"/>
      <c r="W12" s="579"/>
      <c r="X12" s="579"/>
      <c r="Y12" s="579"/>
      <c r="Z12" s="579"/>
    </row>
    <row r="13" spans="1:26" s="985" customFormat="1" ht="12" customHeight="1">
      <c r="A13" s="579"/>
      <c r="B13" s="579"/>
      <c r="C13" s="1190"/>
      <c r="D13" s="1190"/>
      <c r="E13" s="988"/>
      <c r="F13" s="988"/>
      <c r="G13" s="988"/>
      <c r="H13" s="988"/>
      <c r="I13" s="988"/>
      <c r="J13" s="579"/>
      <c r="K13" s="579"/>
      <c r="L13" s="579"/>
      <c r="M13" s="579"/>
      <c r="N13" s="579"/>
      <c r="R13" s="579"/>
      <c r="S13" s="579"/>
      <c r="T13" s="579"/>
      <c r="U13" s="579"/>
      <c r="V13" s="579"/>
      <c r="W13" s="579"/>
      <c r="X13" s="579"/>
      <c r="Y13" s="579"/>
      <c r="Z13" s="579"/>
    </row>
    <row r="15" spans="1:26" s="985" customFormat="1">
      <c r="A15" s="619" t="s">
        <v>1493</v>
      </c>
      <c r="B15" s="579"/>
      <c r="C15" s="579"/>
      <c r="D15" s="579"/>
      <c r="E15" s="579"/>
      <c r="F15" s="579"/>
      <c r="G15" s="579"/>
      <c r="H15" s="579"/>
      <c r="I15" s="579"/>
      <c r="J15" s="579"/>
      <c r="K15" s="579"/>
      <c r="L15" s="579"/>
      <c r="M15" s="579"/>
      <c r="N15" s="579"/>
      <c r="P15" s="579"/>
      <c r="R15" s="579"/>
      <c r="S15" s="579"/>
      <c r="T15" s="579"/>
      <c r="U15" s="579"/>
      <c r="V15" s="579"/>
      <c r="W15" s="579"/>
      <c r="X15" s="579"/>
      <c r="Y15" s="579"/>
      <c r="Z15" s="579"/>
    </row>
    <row r="27" spans="1:17" ht="15" thickBot="1">
      <c r="P27" s="579"/>
      <c r="Q27" s="579"/>
    </row>
    <row r="28" spans="1:17">
      <c r="A28" s="669" t="s">
        <v>1493</v>
      </c>
      <c r="B28" s="670"/>
      <c r="C28" s="670"/>
      <c r="D28" s="670"/>
      <c r="E28" s="670"/>
      <c r="F28" s="670"/>
      <c r="G28" s="670"/>
      <c r="H28" s="670"/>
      <c r="I28" s="671"/>
      <c r="O28" s="579"/>
      <c r="P28" s="579"/>
      <c r="Q28" s="579"/>
    </row>
    <row r="29" spans="1:17">
      <c r="A29" s="673"/>
      <c r="B29" s="674"/>
      <c r="C29" s="674"/>
      <c r="D29" s="674"/>
      <c r="E29" s="674"/>
      <c r="F29" s="674"/>
      <c r="G29" s="674"/>
      <c r="H29" s="674"/>
      <c r="I29" s="675"/>
      <c r="O29" s="579"/>
      <c r="P29" s="579"/>
      <c r="Q29" s="579"/>
    </row>
    <row r="30" spans="1:17" ht="15" thickBot="1">
      <c r="A30" s="676"/>
      <c r="B30" s="677" t="s">
        <v>1496</v>
      </c>
      <c r="C30" s="1191"/>
      <c r="D30" s="1191"/>
      <c r="E30" s="1191" t="s">
        <v>1497</v>
      </c>
      <c r="F30" s="1191" t="s">
        <v>1498</v>
      </c>
      <c r="G30" s="1191" t="s">
        <v>1499</v>
      </c>
      <c r="H30" s="1191" t="s">
        <v>1500</v>
      </c>
      <c r="I30" s="1192"/>
      <c r="O30" s="579"/>
      <c r="P30" s="579"/>
      <c r="Q30" s="579"/>
    </row>
    <row r="31" spans="1:17" ht="16" thickTop="1" thickBot="1">
      <c r="A31" s="676"/>
      <c r="B31" s="677"/>
      <c r="C31" s="1191"/>
      <c r="D31" s="1191"/>
      <c r="E31" s="1193">
        <v>1</v>
      </c>
      <c r="F31" s="1194">
        <v>0.5</v>
      </c>
      <c r="G31" s="1195"/>
      <c r="H31" s="1195"/>
      <c r="I31" s="1192"/>
      <c r="O31" s="579"/>
      <c r="P31" s="579"/>
      <c r="Q31" s="579"/>
    </row>
    <row r="32" spans="1:17" ht="15" thickTop="1">
      <c r="A32" s="683" t="s">
        <v>2423</v>
      </c>
      <c r="B32" s="684">
        <v>0.98545027227548088</v>
      </c>
      <c r="C32" s="1196"/>
      <c r="D32" s="1196"/>
      <c r="E32" s="1196">
        <f t="shared" ref="E32:F38" si="4">E31</f>
        <v>1</v>
      </c>
      <c r="F32" s="1196">
        <f t="shared" si="4"/>
        <v>0.5</v>
      </c>
      <c r="G32" s="1197">
        <f>B32</f>
        <v>0.98545027227548088</v>
      </c>
      <c r="H32" s="1197">
        <f>B32</f>
        <v>0.98545027227548088</v>
      </c>
      <c r="I32" s="1192"/>
      <c r="O32" s="579"/>
      <c r="P32" s="579"/>
      <c r="Q32" s="579"/>
    </row>
    <row r="33" spans="1:19">
      <c r="A33" s="683" t="s">
        <v>2424</v>
      </c>
      <c r="B33" s="689">
        <f>$C$10</f>
        <v>0.79510455928738966</v>
      </c>
      <c r="C33" s="1196"/>
      <c r="D33" s="1196"/>
      <c r="E33" s="1196">
        <f t="shared" si="4"/>
        <v>1</v>
      </c>
      <c r="F33" s="1196">
        <f t="shared" si="4"/>
        <v>0.5</v>
      </c>
      <c r="G33" s="1197">
        <f>B33</f>
        <v>0.79510455928738966</v>
      </c>
      <c r="H33" s="1197">
        <f>B33</f>
        <v>0.79510455928738966</v>
      </c>
      <c r="I33" s="1192"/>
      <c r="O33" s="579"/>
      <c r="P33" s="579"/>
      <c r="Q33" s="579"/>
    </row>
    <row r="34" spans="1:19">
      <c r="A34" s="683" t="s">
        <v>2425</v>
      </c>
      <c r="B34" s="689">
        <f>$D$10</f>
        <v>1.3422790132847369</v>
      </c>
      <c r="C34" s="1196"/>
      <c r="D34" s="1196"/>
      <c r="E34" s="1196">
        <f t="shared" si="4"/>
        <v>1</v>
      </c>
      <c r="F34" s="1196">
        <f t="shared" si="4"/>
        <v>0.5</v>
      </c>
      <c r="G34" s="1197">
        <f>B34</f>
        <v>1.3422790132847369</v>
      </c>
      <c r="H34" s="1197">
        <f>B34</f>
        <v>1.3422790132847369</v>
      </c>
      <c r="I34" s="1192"/>
      <c r="O34" s="579"/>
      <c r="P34" s="579"/>
      <c r="Q34" s="579"/>
    </row>
    <row r="35" spans="1:19" ht="15" thickBot="1">
      <c r="A35" s="683" t="s">
        <v>2426</v>
      </c>
      <c r="B35" s="691">
        <f>$E$10</f>
        <v>1.2296256503352065</v>
      </c>
      <c r="C35" s="1196"/>
      <c r="D35" s="1196"/>
      <c r="E35" s="1196">
        <f t="shared" si="4"/>
        <v>1</v>
      </c>
      <c r="F35" s="1196">
        <f t="shared" si="4"/>
        <v>0.5</v>
      </c>
      <c r="G35" s="1197">
        <f>B35</f>
        <v>1.2296256503352065</v>
      </c>
      <c r="H35" s="1197">
        <f>B35</f>
        <v>1.2296256503352065</v>
      </c>
      <c r="I35" s="1192" t="s">
        <v>1508</v>
      </c>
      <c r="O35" s="579"/>
      <c r="P35" s="579"/>
      <c r="Q35" s="579"/>
    </row>
    <row r="36" spans="1:19" ht="16" thickTop="1">
      <c r="A36" s="683" t="s">
        <v>1510</v>
      </c>
      <c r="B36" s="693"/>
      <c r="C36" s="1196">
        <f>G36</f>
        <v>0.85472506189484343</v>
      </c>
      <c r="D36" s="1196">
        <f>H36-G36</f>
        <v>0.4273625309474216</v>
      </c>
      <c r="E36" s="1196">
        <f t="shared" si="4"/>
        <v>1</v>
      </c>
      <c r="F36" s="1196">
        <f t="shared" si="4"/>
        <v>0.5</v>
      </c>
      <c r="G36" s="1198">
        <f>$F$10</f>
        <v>0.85472506189484343</v>
      </c>
      <c r="H36" s="1199">
        <f>$G$10</f>
        <v>1.282087592842265</v>
      </c>
      <c r="I36" s="1192">
        <f>AVERAGE(G36:H36)</f>
        <v>1.0684063273685542</v>
      </c>
      <c r="O36" s="579"/>
      <c r="P36" s="579"/>
      <c r="Q36" s="579"/>
    </row>
    <row r="37" spans="1:19" ht="16" thickBot="1">
      <c r="A37" s="683" t="s">
        <v>2427</v>
      </c>
      <c r="B37" s="693"/>
      <c r="C37" s="1196">
        <f>G37</f>
        <v>0.66986391054326522</v>
      </c>
      <c r="D37" s="1196">
        <f>ABS(H37-G37)</f>
        <v>0.33493195527163244</v>
      </c>
      <c r="E37" s="1196">
        <f t="shared" si="4"/>
        <v>1</v>
      </c>
      <c r="F37" s="1196">
        <f t="shared" si="4"/>
        <v>0.5</v>
      </c>
      <c r="G37" s="1200">
        <f>$H$10</f>
        <v>0.66986391054326522</v>
      </c>
      <c r="H37" s="1201">
        <f>$I$10</f>
        <v>1.0047958658148977</v>
      </c>
      <c r="I37" s="1192">
        <f>AVERAGE(G37:H37)</f>
        <v>0.83732988817908138</v>
      </c>
      <c r="O37" s="579"/>
      <c r="P37" s="579"/>
      <c r="Q37" s="579"/>
    </row>
    <row r="38" spans="1:19" ht="16" thickTop="1" thickBot="1">
      <c r="A38" s="702"/>
      <c r="B38" s="703"/>
      <c r="C38" s="704"/>
      <c r="D38" s="704"/>
      <c r="E38" s="704">
        <f t="shared" si="4"/>
        <v>1</v>
      </c>
      <c r="F38" s="704">
        <f t="shared" si="4"/>
        <v>0.5</v>
      </c>
      <c r="G38" s="705"/>
      <c r="H38" s="705"/>
      <c r="I38" s="706"/>
      <c r="O38" s="579"/>
      <c r="P38" s="579"/>
      <c r="Q38" s="579"/>
    </row>
    <row r="39" spans="1:19">
      <c r="A39" s="708"/>
      <c r="B39" s="708"/>
      <c r="C39" s="708"/>
      <c r="D39" s="708"/>
      <c r="E39" s="708"/>
      <c r="F39" s="708"/>
      <c r="G39" s="708"/>
      <c r="H39" s="708"/>
      <c r="I39" s="708"/>
      <c r="P39" s="579"/>
      <c r="Q39" s="579"/>
    </row>
    <row r="40" spans="1:19">
      <c r="A40" s="708"/>
      <c r="B40" s="708"/>
      <c r="C40" s="708"/>
      <c r="D40" s="708"/>
      <c r="E40" s="708"/>
      <c r="F40" s="708"/>
      <c r="G40" s="708" t="s">
        <v>1522</v>
      </c>
      <c r="H40" s="708"/>
      <c r="I40" s="708"/>
      <c r="J40" s="708"/>
      <c r="O40" s="999"/>
      <c r="P40" s="999"/>
      <c r="Q40" s="999"/>
      <c r="R40" s="708"/>
      <c r="S40" s="708"/>
    </row>
    <row r="41" spans="1:19">
      <c r="A41" s="708"/>
      <c r="B41" s="708"/>
      <c r="C41" s="708"/>
      <c r="D41" s="708"/>
      <c r="E41" s="708"/>
      <c r="F41" s="708"/>
      <c r="G41" s="708"/>
      <c r="H41" s="708"/>
      <c r="I41" s="708"/>
      <c r="J41" s="708"/>
      <c r="O41" s="999"/>
      <c r="P41" s="999"/>
      <c r="Q41" s="999"/>
      <c r="R41" s="708"/>
      <c r="S41" s="708"/>
    </row>
    <row r="42" spans="1:19">
      <c r="A42" s="708"/>
      <c r="B42" s="708"/>
      <c r="C42" s="708"/>
      <c r="D42" s="708"/>
      <c r="E42" s="708"/>
      <c r="F42" s="708"/>
      <c r="G42" s="708"/>
      <c r="H42" s="708"/>
      <c r="I42" s="708"/>
      <c r="J42" s="708"/>
      <c r="O42" s="999"/>
      <c r="P42" s="999"/>
      <c r="Q42" s="999"/>
      <c r="R42" s="708"/>
      <c r="S42" s="708"/>
    </row>
    <row r="43" spans="1:19">
      <c r="A43" s="708"/>
      <c r="B43" s="708"/>
      <c r="C43" s="708"/>
      <c r="D43" s="708"/>
      <c r="E43" s="708"/>
      <c r="F43" s="708"/>
      <c r="G43" s="708"/>
      <c r="H43" s="708"/>
      <c r="I43" s="708"/>
      <c r="J43" s="708"/>
      <c r="O43" s="999"/>
      <c r="P43" s="999"/>
      <c r="Q43" s="999"/>
      <c r="R43" s="708"/>
      <c r="S43" s="708"/>
    </row>
    <row r="44" spans="1:19">
      <c r="A44" s="708"/>
      <c r="B44" s="708"/>
      <c r="C44" s="708"/>
      <c r="D44" s="708"/>
      <c r="E44" s="708"/>
      <c r="F44" s="708"/>
      <c r="G44" s="708"/>
      <c r="H44" s="708"/>
      <c r="I44" s="708"/>
      <c r="J44" s="708"/>
      <c r="O44" s="999"/>
      <c r="P44" s="999"/>
      <c r="Q44" s="999"/>
      <c r="R44" s="708"/>
      <c r="S44" s="708"/>
    </row>
    <row r="45" spans="1:19">
      <c r="A45" s="708"/>
      <c r="B45" s="708"/>
      <c r="C45" s="708"/>
      <c r="D45" s="708"/>
      <c r="E45" s="708"/>
      <c r="F45" s="708"/>
      <c r="G45" s="708"/>
      <c r="H45" s="708"/>
      <c r="I45" s="708"/>
      <c r="J45" s="708"/>
      <c r="O45" s="999"/>
      <c r="P45" s="999"/>
      <c r="Q45" s="999"/>
      <c r="R45" s="708"/>
      <c r="S45" s="708"/>
    </row>
    <row r="46" spans="1:19">
      <c r="A46" s="708"/>
      <c r="B46" s="708"/>
      <c r="C46" s="708"/>
      <c r="D46" s="708"/>
      <c r="E46" s="708"/>
      <c r="F46" s="708"/>
      <c r="G46" s="708"/>
      <c r="H46" s="708"/>
      <c r="I46" s="708"/>
      <c r="J46" s="708"/>
      <c r="O46" s="999"/>
      <c r="P46" s="999"/>
      <c r="Q46" s="999"/>
      <c r="R46" s="708"/>
      <c r="S46" s="708"/>
    </row>
    <row r="47" spans="1:19">
      <c r="A47" s="708"/>
      <c r="B47" s="708"/>
      <c r="C47" s="708"/>
      <c r="D47" s="708"/>
      <c r="E47" s="708"/>
      <c r="F47" s="708"/>
      <c r="G47" s="708"/>
      <c r="H47" s="708"/>
      <c r="I47" s="708"/>
      <c r="J47" s="708"/>
      <c r="O47" s="999"/>
      <c r="P47" s="999"/>
      <c r="Q47" s="999"/>
      <c r="R47" s="708"/>
      <c r="S47" s="708"/>
    </row>
    <row r="48" spans="1:19">
      <c r="A48" s="708"/>
      <c r="B48" s="708"/>
      <c r="C48" s="708"/>
      <c r="D48" s="708"/>
      <c r="E48" s="708"/>
      <c r="F48" s="708"/>
      <c r="G48" s="708"/>
      <c r="H48" s="708"/>
      <c r="I48" s="708"/>
      <c r="J48" s="708"/>
      <c r="O48" s="999"/>
      <c r="P48" s="999"/>
      <c r="Q48" s="999"/>
      <c r="R48" s="708"/>
      <c r="S48" s="708"/>
    </row>
    <row r="49" spans="1:19">
      <c r="A49" s="708"/>
      <c r="B49" s="708"/>
      <c r="C49" s="708"/>
      <c r="D49" s="708"/>
      <c r="E49" s="708"/>
      <c r="F49" s="708"/>
      <c r="G49" s="708"/>
      <c r="H49" s="708"/>
      <c r="I49" s="708"/>
      <c r="J49" s="708"/>
      <c r="O49" s="999"/>
      <c r="P49" s="999"/>
      <c r="Q49" s="999"/>
      <c r="R49" s="708"/>
      <c r="S49" s="708"/>
    </row>
    <row r="50" spans="1:19">
      <c r="A50" s="708"/>
      <c r="B50" s="708"/>
      <c r="C50" s="708"/>
      <c r="D50" s="708"/>
      <c r="E50" s="708"/>
      <c r="F50" s="708"/>
      <c r="G50" s="708"/>
      <c r="H50" s="708"/>
      <c r="I50" s="708"/>
      <c r="J50" s="708"/>
      <c r="O50" s="999"/>
      <c r="P50" s="999"/>
      <c r="Q50" s="999"/>
      <c r="R50" s="708"/>
      <c r="S50" s="708"/>
    </row>
    <row r="51" spans="1:19">
      <c r="A51" s="708"/>
      <c r="B51" s="708"/>
      <c r="C51" s="708"/>
      <c r="D51" s="708"/>
      <c r="E51" s="708"/>
      <c r="F51" s="708"/>
      <c r="G51" s="708"/>
      <c r="H51" s="708"/>
      <c r="I51" s="708"/>
      <c r="J51" s="708"/>
      <c r="O51" s="999"/>
      <c r="P51" s="999"/>
      <c r="Q51" s="999"/>
      <c r="R51" s="708"/>
      <c r="S51" s="708"/>
    </row>
    <row r="52" spans="1:19">
      <c r="A52" s="708"/>
      <c r="B52" s="708"/>
      <c r="C52" s="708"/>
      <c r="D52" s="708"/>
      <c r="E52" s="708"/>
      <c r="F52" s="708"/>
      <c r="G52" s="708"/>
      <c r="H52" s="708"/>
      <c r="I52" s="708"/>
      <c r="J52" s="708"/>
      <c r="O52" s="999"/>
      <c r="P52" s="999"/>
      <c r="Q52" s="999"/>
      <c r="R52" s="708"/>
      <c r="S52" s="708"/>
    </row>
    <row r="53" spans="1:19">
      <c r="A53" s="708"/>
      <c r="B53" s="708"/>
      <c r="C53" s="708"/>
      <c r="D53" s="708"/>
      <c r="E53" s="708"/>
      <c r="F53" s="708"/>
      <c r="G53" s="708"/>
      <c r="H53" s="708"/>
      <c r="I53" s="708"/>
      <c r="J53" s="708"/>
      <c r="O53" s="999"/>
      <c r="P53" s="999"/>
      <c r="Q53" s="999"/>
      <c r="R53" s="708"/>
      <c r="S53" s="708"/>
    </row>
    <row r="54" spans="1:19">
      <c r="A54" s="708"/>
      <c r="B54" s="708"/>
      <c r="C54" s="708"/>
      <c r="D54" s="708"/>
      <c r="E54" s="708"/>
      <c r="F54" s="708"/>
      <c r="G54" s="708"/>
      <c r="H54" s="708"/>
      <c r="I54" s="708"/>
      <c r="J54" s="708"/>
      <c r="O54" s="999"/>
      <c r="P54" s="999"/>
      <c r="Q54" s="999"/>
      <c r="R54" s="708"/>
      <c r="S54" s="708"/>
    </row>
    <row r="55" spans="1:19">
      <c r="A55" s="708"/>
      <c r="B55" s="708"/>
      <c r="C55" s="708"/>
      <c r="D55" s="708"/>
      <c r="E55" s="708"/>
      <c r="F55" s="708"/>
      <c r="G55" s="708"/>
      <c r="H55" s="708"/>
      <c r="I55" s="708"/>
      <c r="J55" s="708"/>
      <c r="K55" s="708"/>
      <c r="L55" s="708"/>
      <c r="M55" s="708"/>
      <c r="N55" s="708"/>
      <c r="O55" s="999"/>
      <c r="P55" s="999"/>
      <c r="Q55" s="999"/>
      <c r="R55" s="708"/>
      <c r="S55" s="708"/>
    </row>
    <row r="56" spans="1:19" ht="15" thickBot="1">
      <c r="A56" s="619" t="s">
        <v>1524</v>
      </c>
      <c r="E56" s="985"/>
      <c r="F56" s="985"/>
      <c r="G56" s="985"/>
      <c r="J56" s="708"/>
    </row>
    <row r="57" spans="1:19">
      <c r="A57" s="709"/>
      <c r="B57" s="670"/>
      <c r="C57" s="670"/>
      <c r="D57" s="670"/>
      <c r="E57" s="987"/>
      <c r="F57" s="987"/>
      <c r="G57" s="987"/>
      <c r="H57" s="670"/>
      <c r="I57" s="671"/>
      <c r="J57" s="708"/>
    </row>
    <row r="58" spans="1:19" ht="15" thickBot="1">
      <c r="A58" s="676"/>
      <c r="B58" s="674"/>
      <c r="C58" s="677"/>
      <c r="D58" s="677"/>
      <c r="E58" s="989" t="s">
        <v>1497</v>
      </c>
      <c r="F58" s="989" t="s">
        <v>1498</v>
      </c>
      <c r="G58" s="989" t="s">
        <v>1499</v>
      </c>
      <c r="H58" s="677" t="s">
        <v>1500</v>
      </c>
      <c r="I58" s="678"/>
      <c r="J58" s="708"/>
    </row>
    <row r="59" spans="1:19" ht="16" thickTop="1" thickBot="1">
      <c r="A59" s="676"/>
      <c r="B59" s="677"/>
      <c r="C59" s="677"/>
      <c r="D59" s="677"/>
      <c r="E59" s="990">
        <v>110</v>
      </c>
      <c r="F59" s="991">
        <v>90</v>
      </c>
      <c r="G59" s="992"/>
      <c r="H59" s="681"/>
      <c r="I59" s="678"/>
    </row>
    <row r="60" spans="1:19" ht="15" thickTop="1">
      <c r="A60" s="683" t="s">
        <v>2423</v>
      </c>
      <c r="B60" s="687">
        <v>129.46629067439872</v>
      </c>
      <c r="C60" s="685"/>
      <c r="D60" s="685"/>
      <c r="E60" s="993">
        <f t="shared" ref="E60:F66" si="5">E59</f>
        <v>110</v>
      </c>
      <c r="F60" s="993">
        <f t="shared" si="5"/>
        <v>90</v>
      </c>
      <c r="G60" s="994">
        <f>B60</f>
        <v>129.46629067439872</v>
      </c>
      <c r="H60" s="686">
        <f>B60</f>
        <v>129.46629067439872</v>
      </c>
      <c r="I60" s="678"/>
    </row>
    <row r="61" spans="1:19">
      <c r="A61" s="683" t="s">
        <v>2424</v>
      </c>
      <c r="B61" s="690">
        <f>$C$11</f>
        <v>108.45569461138584</v>
      </c>
      <c r="C61" s="685"/>
      <c r="D61" s="685"/>
      <c r="E61" s="993">
        <f t="shared" si="5"/>
        <v>110</v>
      </c>
      <c r="F61" s="993">
        <f t="shared" si="5"/>
        <v>90</v>
      </c>
      <c r="G61" s="994">
        <f>B61</f>
        <v>108.45569461138584</v>
      </c>
      <c r="H61" s="686">
        <f>B61</f>
        <v>108.45569461138584</v>
      </c>
      <c r="I61" s="678"/>
      <c r="J61" s="708"/>
    </row>
    <row r="62" spans="1:19">
      <c r="A62" s="683" t="s">
        <v>2425</v>
      </c>
      <c r="B62" s="690">
        <f>$D$11</f>
        <v>105.60164126850913</v>
      </c>
      <c r="C62" s="685"/>
      <c r="D62" s="685"/>
      <c r="E62" s="993">
        <f t="shared" si="5"/>
        <v>110</v>
      </c>
      <c r="F62" s="993">
        <f t="shared" si="5"/>
        <v>90</v>
      </c>
      <c r="G62" s="994">
        <f>B62</f>
        <v>105.60164126850913</v>
      </c>
      <c r="H62" s="686">
        <f>B62</f>
        <v>105.60164126850913</v>
      </c>
      <c r="I62" s="678"/>
      <c r="J62" s="708"/>
    </row>
    <row r="63" spans="1:19" ht="15" thickBot="1">
      <c r="A63" s="683" t="s">
        <v>2417</v>
      </c>
      <c r="B63" s="692">
        <f>$E$11</f>
        <v>85.473546186358092</v>
      </c>
      <c r="C63" s="685"/>
      <c r="D63" s="685"/>
      <c r="E63" s="993">
        <f t="shared" si="5"/>
        <v>110</v>
      </c>
      <c r="F63" s="993">
        <f t="shared" si="5"/>
        <v>90</v>
      </c>
      <c r="G63" s="994">
        <f>B63</f>
        <v>85.473546186358092</v>
      </c>
      <c r="H63" s="686">
        <f>B63</f>
        <v>85.473546186358092</v>
      </c>
      <c r="I63" s="678" t="s">
        <v>1508</v>
      </c>
      <c r="J63" s="708"/>
    </row>
    <row r="64" spans="1:19" ht="15" thickTop="1">
      <c r="A64" s="683" t="s">
        <v>2428</v>
      </c>
      <c r="B64" s="693"/>
      <c r="C64" s="694">
        <f>G64</f>
        <v>83</v>
      </c>
      <c r="D64" s="694">
        <f>H64-G64</f>
        <v>8</v>
      </c>
      <c r="E64" s="993">
        <f t="shared" si="5"/>
        <v>110</v>
      </c>
      <c r="F64" s="993">
        <f t="shared" si="5"/>
        <v>90</v>
      </c>
      <c r="G64" s="995">
        <f>$F$11</f>
        <v>83</v>
      </c>
      <c r="H64" s="710">
        <f>$G$11</f>
        <v>91</v>
      </c>
      <c r="I64" s="697">
        <f>AVERAGE(G64:H64)</f>
        <v>87</v>
      </c>
    </row>
    <row r="65" spans="1:9" ht="15" thickBot="1">
      <c r="A65" s="683" t="s">
        <v>2429</v>
      </c>
      <c r="B65" s="693"/>
      <c r="C65" s="694">
        <f>G65</f>
        <v>86</v>
      </c>
      <c r="D65" s="694">
        <f>H65-G65</f>
        <v>10</v>
      </c>
      <c r="E65" s="993">
        <f t="shared" si="5"/>
        <v>110</v>
      </c>
      <c r="F65" s="993">
        <f t="shared" si="5"/>
        <v>90</v>
      </c>
      <c r="G65" s="996">
        <f>$H$11</f>
        <v>86</v>
      </c>
      <c r="H65" s="712">
        <f>$I$11</f>
        <v>96</v>
      </c>
      <c r="I65" s="697">
        <f>AVERAGE(G65:H65)</f>
        <v>91</v>
      </c>
    </row>
    <row r="66" spans="1:9" ht="16" thickTop="1" thickBot="1">
      <c r="A66" s="702"/>
      <c r="B66" s="703"/>
      <c r="C66" s="704"/>
      <c r="D66" s="704"/>
      <c r="E66" s="997">
        <f t="shared" si="5"/>
        <v>110</v>
      </c>
      <c r="F66" s="997">
        <f t="shared" si="5"/>
        <v>90</v>
      </c>
      <c r="G66" s="998"/>
      <c r="H66" s="705"/>
      <c r="I66" s="706"/>
    </row>
    <row r="75" spans="1:9">
      <c r="A75" s="708"/>
      <c r="B75" s="708"/>
      <c r="C75" s="708"/>
      <c r="D75" s="708"/>
      <c r="E75" s="708"/>
      <c r="F75" s="708"/>
      <c r="G75" s="708"/>
      <c r="H75" s="708"/>
      <c r="I75" s="708"/>
    </row>
    <row r="76" spans="1:9">
      <c r="A76" s="708"/>
      <c r="B76" s="708"/>
      <c r="C76" s="708"/>
      <c r="D76" s="708"/>
      <c r="E76" s="708"/>
      <c r="F76" s="708"/>
      <c r="G76" s="708"/>
      <c r="H76" s="708"/>
      <c r="I76" s="708"/>
    </row>
    <row r="77" spans="1:9">
      <c r="A77" s="708"/>
      <c r="B77" s="708"/>
      <c r="C77" s="708"/>
      <c r="D77" s="708"/>
      <c r="E77" s="708"/>
      <c r="F77" s="708"/>
      <c r="G77" s="708"/>
      <c r="H77" s="708"/>
      <c r="I77" s="708"/>
    </row>
    <row r="78" spans="1:9">
      <c r="A78" s="708"/>
      <c r="B78" s="708"/>
      <c r="C78" s="708"/>
      <c r="D78" s="708"/>
      <c r="E78" s="708"/>
      <c r="F78" s="708"/>
      <c r="G78" s="708"/>
      <c r="H78" s="708"/>
      <c r="I78" s="708"/>
    </row>
    <row r="79" spans="1:9">
      <c r="A79" s="714" t="s">
        <v>1526</v>
      </c>
      <c r="B79" s="715"/>
      <c r="C79" s="715"/>
      <c r="D79" s="715"/>
      <c r="E79" s="715"/>
      <c r="F79" s="715"/>
      <c r="G79" s="715"/>
      <c r="H79" s="715"/>
      <c r="I79" s="716"/>
    </row>
    <row r="80" spans="1:9">
      <c r="A80" s="717" t="s">
        <v>1527</v>
      </c>
      <c r="B80" s="718"/>
      <c r="C80" s="718"/>
      <c r="D80" s="718"/>
      <c r="E80" s="718"/>
      <c r="F80" s="718"/>
      <c r="G80" s="718"/>
      <c r="H80" s="718"/>
      <c r="I80" s="719"/>
    </row>
    <row r="81" spans="1:9">
      <c r="A81" s="717" t="s">
        <v>1528</v>
      </c>
      <c r="B81" s="718"/>
      <c r="C81" s="718"/>
      <c r="D81" s="718"/>
      <c r="E81" s="718"/>
      <c r="F81" s="718"/>
      <c r="G81" s="718"/>
      <c r="H81" s="718"/>
      <c r="I81" s="719"/>
    </row>
    <row r="82" spans="1:9">
      <c r="A82" s="720" t="s">
        <v>1529</v>
      </c>
      <c r="B82" s="721"/>
      <c r="C82" s="721"/>
      <c r="D82" s="721"/>
      <c r="E82" s="721"/>
      <c r="F82" s="721"/>
      <c r="G82" s="721"/>
      <c r="H82" s="721"/>
      <c r="I82" s="722"/>
    </row>
    <row r="83" spans="1:9">
      <c r="A83" s="708"/>
      <c r="B83" s="708"/>
      <c r="C83" s="708"/>
      <c r="D83" s="708"/>
      <c r="E83" s="708"/>
      <c r="F83" s="708"/>
      <c r="G83" s="708"/>
      <c r="H83" s="708"/>
      <c r="I83" s="708"/>
    </row>
    <row r="84" spans="1:9">
      <c r="A84" s="708"/>
      <c r="B84" s="708"/>
      <c r="C84" s="708"/>
      <c r="D84" s="708"/>
      <c r="E84" s="708"/>
      <c r="F84" s="708"/>
      <c r="G84" s="708"/>
      <c r="H84" s="708"/>
      <c r="I84" s="708"/>
    </row>
  </sheetData>
  <mergeCells count="2">
    <mergeCell ref="F3:G3"/>
    <mergeCell ref="H3:I3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1" manualBreakCount="1">
    <brk id="14" max="1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  <pageSetUpPr fitToPage="1"/>
  </sheetPr>
  <dimension ref="A1:AC151"/>
  <sheetViews>
    <sheetView showGridLines="0" view="pageBreakPreview" zoomScaleNormal="100" zoomScaleSheetLayoutView="100" workbookViewId="0">
      <pane xSplit="5" ySplit="8" topLeftCell="F9" activePane="bottomRight" state="frozen"/>
      <selection activeCell="E10" sqref="E10"/>
      <selection pane="topRight" activeCell="E10" sqref="E10"/>
      <selection pane="bottomLeft" activeCell="E10" sqref="E10"/>
      <selection pane="bottomRight" activeCell="J18" sqref="J18:K18"/>
    </sheetView>
  </sheetViews>
  <sheetFormatPr baseColWidth="10" defaultColWidth="8.83203125" defaultRowHeight="17" outlineLevelRow="1"/>
  <cols>
    <col min="1" max="1" width="1.5" style="1492" customWidth="1"/>
    <col min="2" max="3" width="8.6640625" style="1492" customWidth="1"/>
    <col min="4" max="4" width="17.83203125" style="1492" customWidth="1"/>
    <col min="5" max="10" width="13.33203125" style="1492" customWidth="1"/>
    <col min="11" max="11" width="38" style="1492" customWidth="1"/>
    <col min="12" max="21" width="12.5" style="1492" customWidth="1"/>
    <col min="22" max="256" width="9.1640625" style="1492"/>
    <col min="257" max="257" width="1.5" style="1492" customWidth="1"/>
    <col min="258" max="258" width="5.1640625" style="1492" customWidth="1"/>
    <col min="259" max="259" width="9.6640625" style="1492" customWidth="1"/>
    <col min="260" max="260" width="14.6640625" style="1492" customWidth="1"/>
    <col min="261" max="263" width="8.5" style="1492" customWidth="1"/>
    <col min="264" max="265" width="9.5" style="1492" customWidth="1"/>
    <col min="266" max="266" width="8.33203125" style="1492" customWidth="1"/>
    <col min="267" max="267" width="8" style="1492" customWidth="1"/>
    <col min="268" max="268" width="20.33203125" style="1492" customWidth="1"/>
    <col min="269" max="512" width="9.1640625" style="1492"/>
    <col min="513" max="513" width="1.5" style="1492" customWidth="1"/>
    <col min="514" max="514" width="5.1640625" style="1492" customWidth="1"/>
    <col min="515" max="515" width="9.6640625" style="1492" customWidth="1"/>
    <col min="516" max="516" width="14.6640625" style="1492" customWidth="1"/>
    <col min="517" max="519" width="8.5" style="1492" customWidth="1"/>
    <col min="520" max="521" width="9.5" style="1492" customWidth="1"/>
    <col min="522" max="522" width="8.33203125" style="1492" customWidth="1"/>
    <col min="523" max="523" width="8" style="1492" customWidth="1"/>
    <col min="524" max="524" width="20.33203125" style="1492" customWidth="1"/>
    <col min="525" max="768" width="9.1640625" style="1492"/>
    <col min="769" max="769" width="1.5" style="1492" customWidth="1"/>
    <col min="770" max="770" width="5.1640625" style="1492" customWidth="1"/>
    <col min="771" max="771" width="9.6640625" style="1492" customWidth="1"/>
    <col min="772" max="772" width="14.6640625" style="1492" customWidth="1"/>
    <col min="773" max="775" width="8.5" style="1492" customWidth="1"/>
    <col min="776" max="777" width="9.5" style="1492" customWidth="1"/>
    <col min="778" max="778" width="8.33203125" style="1492" customWidth="1"/>
    <col min="779" max="779" width="8" style="1492" customWidth="1"/>
    <col min="780" max="780" width="20.33203125" style="1492" customWidth="1"/>
    <col min="781" max="1024" width="9.1640625" style="1492"/>
    <col min="1025" max="1025" width="1.5" style="1492" customWidth="1"/>
    <col min="1026" max="1026" width="5.1640625" style="1492" customWidth="1"/>
    <col min="1027" max="1027" width="9.6640625" style="1492" customWidth="1"/>
    <col min="1028" max="1028" width="14.6640625" style="1492" customWidth="1"/>
    <col min="1029" max="1031" width="8.5" style="1492" customWidth="1"/>
    <col min="1032" max="1033" width="9.5" style="1492" customWidth="1"/>
    <col min="1034" max="1034" width="8.33203125" style="1492" customWidth="1"/>
    <col min="1035" max="1035" width="8" style="1492" customWidth="1"/>
    <col min="1036" max="1036" width="20.33203125" style="1492" customWidth="1"/>
    <col min="1037" max="1280" width="9.1640625" style="1492"/>
    <col min="1281" max="1281" width="1.5" style="1492" customWidth="1"/>
    <col min="1282" max="1282" width="5.1640625" style="1492" customWidth="1"/>
    <col min="1283" max="1283" width="9.6640625" style="1492" customWidth="1"/>
    <col min="1284" max="1284" width="14.6640625" style="1492" customWidth="1"/>
    <col min="1285" max="1287" width="8.5" style="1492" customWidth="1"/>
    <col min="1288" max="1289" width="9.5" style="1492" customWidth="1"/>
    <col min="1290" max="1290" width="8.33203125" style="1492" customWidth="1"/>
    <col min="1291" max="1291" width="8" style="1492" customWidth="1"/>
    <col min="1292" max="1292" width="20.33203125" style="1492" customWidth="1"/>
    <col min="1293" max="1536" width="9.1640625" style="1492"/>
    <col min="1537" max="1537" width="1.5" style="1492" customWidth="1"/>
    <col min="1538" max="1538" width="5.1640625" style="1492" customWidth="1"/>
    <col min="1539" max="1539" width="9.6640625" style="1492" customWidth="1"/>
    <col min="1540" max="1540" width="14.6640625" style="1492" customWidth="1"/>
    <col min="1541" max="1543" width="8.5" style="1492" customWidth="1"/>
    <col min="1544" max="1545" width="9.5" style="1492" customWidth="1"/>
    <col min="1546" max="1546" width="8.33203125" style="1492" customWidth="1"/>
    <col min="1547" max="1547" width="8" style="1492" customWidth="1"/>
    <col min="1548" max="1548" width="20.33203125" style="1492" customWidth="1"/>
    <col min="1549" max="1792" width="9.1640625" style="1492"/>
    <col min="1793" max="1793" width="1.5" style="1492" customWidth="1"/>
    <col min="1794" max="1794" width="5.1640625" style="1492" customWidth="1"/>
    <col min="1795" max="1795" width="9.6640625" style="1492" customWidth="1"/>
    <col min="1796" max="1796" width="14.6640625" style="1492" customWidth="1"/>
    <col min="1797" max="1799" width="8.5" style="1492" customWidth="1"/>
    <col min="1800" max="1801" width="9.5" style="1492" customWidth="1"/>
    <col min="1802" max="1802" width="8.33203125" style="1492" customWidth="1"/>
    <col min="1803" max="1803" width="8" style="1492" customWidth="1"/>
    <col min="1804" max="1804" width="20.33203125" style="1492" customWidth="1"/>
    <col min="1805" max="2048" width="9.1640625" style="1492"/>
    <col min="2049" max="2049" width="1.5" style="1492" customWidth="1"/>
    <col min="2050" max="2050" width="5.1640625" style="1492" customWidth="1"/>
    <col min="2051" max="2051" width="9.6640625" style="1492" customWidth="1"/>
    <col min="2052" max="2052" width="14.6640625" style="1492" customWidth="1"/>
    <col min="2053" max="2055" width="8.5" style="1492" customWidth="1"/>
    <col min="2056" max="2057" width="9.5" style="1492" customWidth="1"/>
    <col min="2058" max="2058" width="8.33203125" style="1492" customWidth="1"/>
    <col min="2059" max="2059" width="8" style="1492" customWidth="1"/>
    <col min="2060" max="2060" width="20.33203125" style="1492" customWidth="1"/>
    <col min="2061" max="2304" width="9.1640625" style="1492"/>
    <col min="2305" max="2305" width="1.5" style="1492" customWidth="1"/>
    <col min="2306" max="2306" width="5.1640625" style="1492" customWidth="1"/>
    <col min="2307" max="2307" width="9.6640625" style="1492" customWidth="1"/>
    <col min="2308" max="2308" width="14.6640625" style="1492" customWidth="1"/>
    <col min="2309" max="2311" width="8.5" style="1492" customWidth="1"/>
    <col min="2312" max="2313" width="9.5" style="1492" customWidth="1"/>
    <col min="2314" max="2314" width="8.33203125" style="1492" customWidth="1"/>
    <col min="2315" max="2315" width="8" style="1492" customWidth="1"/>
    <col min="2316" max="2316" width="20.33203125" style="1492" customWidth="1"/>
    <col min="2317" max="2560" width="9.1640625" style="1492"/>
    <col min="2561" max="2561" width="1.5" style="1492" customWidth="1"/>
    <col min="2562" max="2562" width="5.1640625" style="1492" customWidth="1"/>
    <col min="2563" max="2563" width="9.6640625" style="1492" customWidth="1"/>
    <col min="2564" max="2564" width="14.6640625" style="1492" customWidth="1"/>
    <col min="2565" max="2567" width="8.5" style="1492" customWidth="1"/>
    <col min="2568" max="2569" width="9.5" style="1492" customWidth="1"/>
    <col min="2570" max="2570" width="8.33203125" style="1492" customWidth="1"/>
    <col min="2571" max="2571" width="8" style="1492" customWidth="1"/>
    <col min="2572" max="2572" width="20.33203125" style="1492" customWidth="1"/>
    <col min="2573" max="2816" width="9.1640625" style="1492"/>
    <col min="2817" max="2817" width="1.5" style="1492" customWidth="1"/>
    <col min="2818" max="2818" width="5.1640625" style="1492" customWidth="1"/>
    <col min="2819" max="2819" width="9.6640625" style="1492" customWidth="1"/>
    <col min="2820" max="2820" width="14.6640625" style="1492" customWidth="1"/>
    <col min="2821" max="2823" width="8.5" style="1492" customWidth="1"/>
    <col min="2824" max="2825" width="9.5" style="1492" customWidth="1"/>
    <col min="2826" max="2826" width="8.33203125" style="1492" customWidth="1"/>
    <col min="2827" max="2827" width="8" style="1492" customWidth="1"/>
    <col min="2828" max="2828" width="20.33203125" style="1492" customWidth="1"/>
    <col min="2829" max="3072" width="9.1640625" style="1492"/>
    <col min="3073" max="3073" width="1.5" style="1492" customWidth="1"/>
    <col min="3074" max="3074" width="5.1640625" style="1492" customWidth="1"/>
    <col min="3075" max="3075" width="9.6640625" style="1492" customWidth="1"/>
    <col min="3076" max="3076" width="14.6640625" style="1492" customWidth="1"/>
    <col min="3077" max="3079" width="8.5" style="1492" customWidth="1"/>
    <col min="3080" max="3081" width="9.5" style="1492" customWidth="1"/>
    <col min="3082" max="3082" width="8.33203125" style="1492" customWidth="1"/>
    <col min="3083" max="3083" width="8" style="1492" customWidth="1"/>
    <col min="3084" max="3084" width="20.33203125" style="1492" customWidth="1"/>
    <col min="3085" max="3328" width="9.1640625" style="1492"/>
    <col min="3329" max="3329" width="1.5" style="1492" customWidth="1"/>
    <col min="3330" max="3330" width="5.1640625" style="1492" customWidth="1"/>
    <col min="3331" max="3331" width="9.6640625" style="1492" customWidth="1"/>
    <col min="3332" max="3332" width="14.6640625" style="1492" customWidth="1"/>
    <col min="3333" max="3335" width="8.5" style="1492" customWidth="1"/>
    <col min="3336" max="3337" width="9.5" style="1492" customWidth="1"/>
    <col min="3338" max="3338" width="8.33203125" style="1492" customWidth="1"/>
    <col min="3339" max="3339" width="8" style="1492" customWidth="1"/>
    <col min="3340" max="3340" width="20.33203125" style="1492" customWidth="1"/>
    <col min="3341" max="3584" width="9.1640625" style="1492"/>
    <col min="3585" max="3585" width="1.5" style="1492" customWidth="1"/>
    <col min="3586" max="3586" width="5.1640625" style="1492" customWidth="1"/>
    <col min="3587" max="3587" width="9.6640625" style="1492" customWidth="1"/>
    <col min="3588" max="3588" width="14.6640625" style="1492" customWidth="1"/>
    <col min="3589" max="3591" width="8.5" style="1492" customWidth="1"/>
    <col min="3592" max="3593" width="9.5" style="1492" customWidth="1"/>
    <col min="3594" max="3594" width="8.33203125" style="1492" customWidth="1"/>
    <col min="3595" max="3595" width="8" style="1492" customWidth="1"/>
    <col min="3596" max="3596" width="20.33203125" style="1492" customWidth="1"/>
    <col min="3597" max="3840" width="9.1640625" style="1492"/>
    <col min="3841" max="3841" width="1.5" style="1492" customWidth="1"/>
    <col min="3842" max="3842" width="5.1640625" style="1492" customWidth="1"/>
    <col min="3843" max="3843" width="9.6640625" style="1492" customWidth="1"/>
    <col min="3844" max="3844" width="14.6640625" style="1492" customWidth="1"/>
    <col min="3845" max="3847" width="8.5" style="1492" customWidth="1"/>
    <col min="3848" max="3849" width="9.5" style="1492" customWidth="1"/>
    <col min="3850" max="3850" width="8.33203125" style="1492" customWidth="1"/>
    <col min="3851" max="3851" width="8" style="1492" customWidth="1"/>
    <col min="3852" max="3852" width="20.33203125" style="1492" customWidth="1"/>
    <col min="3853" max="4096" width="9.1640625" style="1492"/>
    <col min="4097" max="4097" width="1.5" style="1492" customWidth="1"/>
    <col min="4098" max="4098" width="5.1640625" style="1492" customWidth="1"/>
    <col min="4099" max="4099" width="9.6640625" style="1492" customWidth="1"/>
    <col min="4100" max="4100" width="14.6640625" style="1492" customWidth="1"/>
    <col min="4101" max="4103" width="8.5" style="1492" customWidth="1"/>
    <col min="4104" max="4105" width="9.5" style="1492" customWidth="1"/>
    <col min="4106" max="4106" width="8.33203125" style="1492" customWidth="1"/>
    <col min="4107" max="4107" width="8" style="1492" customWidth="1"/>
    <col min="4108" max="4108" width="20.33203125" style="1492" customWidth="1"/>
    <col min="4109" max="4352" width="9.1640625" style="1492"/>
    <col min="4353" max="4353" width="1.5" style="1492" customWidth="1"/>
    <col min="4354" max="4354" width="5.1640625" style="1492" customWidth="1"/>
    <col min="4355" max="4355" width="9.6640625" style="1492" customWidth="1"/>
    <col min="4356" max="4356" width="14.6640625" style="1492" customWidth="1"/>
    <col min="4357" max="4359" width="8.5" style="1492" customWidth="1"/>
    <col min="4360" max="4361" width="9.5" style="1492" customWidth="1"/>
    <col min="4362" max="4362" width="8.33203125" style="1492" customWidth="1"/>
    <col min="4363" max="4363" width="8" style="1492" customWidth="1"/>
    <col min="4364" max="4364" width="20.33203125" style="1492" customWidth="1"/>
    <col min="4365" max="4608" width="9.1640625" style="1492"/>
    <col min="4609" max="4609" width="1.5" style="1492" customWidth="1"/>
    <col min="4610" max="4610" width="5.1640625" style="1492" customWidth="1"/>
    <col min="4611" max="4611" width="9.6640625" style="1492" customWidth="1"/>
    <col min="4612" max="4612" width="14.6640625" style="1492" customWidth="1"/>
    <col min="4613" max="4615" width="8.5" style="1492" customWidth="1"/>
    <col min="4616" max="4617" width="9.5" style="1492" customWidth="1"/>
    <col min="4618" max="4618" width="8.33203125" style="1492" customWidth="1"/>
    <col min="4619" max="4619" width="8" style="1492" customWidth="1"/>
    <col min="4620" max="4620" width="20.33203125" style="1492" customWidth="1"/>
    <col min="4621" max="4864" width="9.1640625" style="1492"/>
    <col min="4865" max="4865" width="1.5" style="1492" customWidth="1"/>
    <col min="4866" max="4866" width="5.1640625" style="1492" customWidth="1"/>
    <col min="4867" max="4867" width="9.6640625" style="1492" customWidth="1"/>
    <col min="4868" max="4868" width="14.6640625" style="1492" customWidth="1"/>
    <col min="4869" max="4871" width="8.5" style="1492" customWidth="1"/>
    <col min="4872" max="4873" width="9.5" style="1492" customWidth="1"/>
    <col min="4874" max="4874" width="8.33203125" style="1492" customWidth="1"/>
    <col min="4875" max="4875" width="8" style="1492" customWidth="1"/>
    <col min="4876" max="4876" width="20.33203125" style="1492" customWidth="1"/>
    <col min="4877" max="5120" width="9.1640625" style="1492"/>
    <col min="5121" max="5121" width="1.5" style="1492" customWidth="1"/>
    <col min="5122" max="5122" width="5.1640625" style="1492" customWidth="1"/>
    <col min="5123" max="5123" width="9.6640625" style="1492" customWidth="1"/>
    <col min="5124" max="5124" width="14.6640625" style="1492" customWidth="1"/>
    <col min="5125" max="5127" width="8.5" style="1492" customWidth="1"/>
    <col min="5128" max="5129" width="9.5" style="1492" customWidth="1"/>
    <col min="5130" max="5130" width="8.33203125" style="1492" customWidth="1"/>
    <col min="5131" max="5131" width="8" style="1492" customWidth="1"/>
    <col min="5132" max="5132" width="20.33203125" style="1492" customWidth="1"/>
    <col min="5133" max="5376" width="9.1640625" style="1492"/>
    <col min="5377" max="5377" width="1.5" style="1492" customWidth="1"/>
    <col min="5378" max="5378" width="5.1640625" style="1492" customWidth="1"/>
    <col min="5379" max="5379" width="9.6640625" style="1492" customWidth="1"/>
    <col min="5380" max="5380" width="14.6640625" style="1492" customWidth="1"/>
    <col min="5381" max="5383" width="8.5" style="1492" customWidth="1"/>
    <col min="5384" max="5385" width="9.5" style="1492" customWidth="1"/>
    <col min="5386" max="5386" width="8.33203125" style="1492" customWidth="1"/>
    <col min="5387" max="5387" width="8" style="1492" customWidth="1"/>
    <col min="5388" max="5388" width="20.33203125" style="1492" customWidth="1"/>
    <col min="5389" max="5632" width="9.1640625" style="1492"/>
    <col min="5633" max="5633" width="1.5" style="1492" customWidth="1"/>
    <col min="5634" max="5634" width="5.1640625" style="1492" customWidth="1"/>
    <col min="5635" max="5635" width="9.6640625" style="1492" customWidth="1"/>
    <col min="5636" max="5636" width="14.6640625" style="1492" customWidth="1"/>
    <col min="5637" max="5639" width="8.5" style="1492" customWidth="1"/>
    <col min="5640" max="5641" width="9.5" style="1492" customWidth="1"/>
    <col min="5642" max="5642" width="8.33203125" style="1492" customWidth="1"/>
    <col min="5643" max="5643" width="8" style="1492" customWidth="1"/>
    <col min="5644" max="5644" width="20.33203125" style="1492" customWidth="1"/>
    <col min="5645" max="5888" width="9.1640625" style="1492"/>
    <col min="5889" max="5889" width="1.5" style="1492" customWidth="1"/>
    <col min="5890" max="5890" width="5.1640625" style="1492" customWidth="1"/>
    <col min="5891" max="5891" width="9.6640625" style="1492" customWidth="1"/>
    <col min="5892" max="5892" width="14.6640625" style="1492" customWidth="1"/>
    <col min="5893" max="5895" width="8.5" style="1492" customWidth="1"/>
    <col min="5896" max="5897" width="9.5" style="1492" customWidth="1"/>
    <col min="5898" max="5898" width="8.33203125" style="1492" customWidth="1"/>
    <col min="5899" max="5899" width="8" style="1492" customWidth="1"/>
    <col min="5900" max="5900" width="20.33203125" style="1492" customWidth="1"/>
    <col min="5901" max="6144" width="9.1640625" style="1492"/>
    <col min="6145" max="6145" width="1.5" style="1492" customWidth="1"/>
    <col min="6146" max="6146" width="5.1640625" style="1492" customWidth="1"/>
    <col min="6147" max="6147" width="9.6640625" style="1492" customWidth="1"/>
    <col min="6148" max="6148" width="14.6640625" style="1492" customWidth="1"/>
    <col min="6149" max="6151" width="8.5" style="1492" customWidth="1"/>
    <col min="6152" max="6153" width="9.5" style="1492" customWidth="1"/>
    <col min="6154" max="6154" width="8.33203125" style="1492" customWidth="1"/>
    <col min="6155" max="6155" width="8" style="1492" customWidth="1"/>
    <col min="6156" max="6156" width="20.33203125" style="1492" customWidth="1"/>
    <col min="6157" max="6400" width="9.1640625" style="1492"/>
    <col min="6401" max="6401" width="1.5" style="1492" customWidth="1"/>
    <col min="6402" max="6402" width="5.1640625" style="1492" customWidth="1"/>
    <col min="6403" max="6403" width="9.6640625" style="1492" customWidth="1"/>
    <col min="6404" max="6404" width="14.6640625" style="1492" customWidth="1"/>
    <col min="6405" max="6407" width="8.5" style="1492" customWidth="1"/>
    <col min="6408" max="6409" width="9.5" style="1492" customWidth="1"/>
    <col min="6410" max="6410" width="8.33203125" style="1492" customWidth="1"/>
    <col min="6411" max="6411" width="8" style="1492" customWidth="1"/>
    <col min="6412" max="6412" width="20.33203125" style="1492" customWidth="1"/>
    <col min="6413" max="6656" width="9.1640625" style="1492"/>
    <col min="6657" max="6657" width="1.5" style="1492" customWidth="1"/>
    <col min="6658" max="6658" width="5.1640625" style="1492" customWidth="1"/>
    <col min="6659" max="6659" width="9.6640625" style="1492" customWidth="1"/>
    <col min="6660" max="6660" width="14.6640625" style="1492" customWidth="1"/>
    <col min="6661" max="6663" width="8.5" style="1492" customWidth="1"/>
    <col min="6664" max="6665" width="9.5" style="1492" customWidth="1"/>
    <col min="6666" max="6666" width="8.33203125" style="1492" customWidth="1"/>
    <col min="6667" max="6667" width="8" style="1492" customWidth="1"/>
    <col min="6668" max="6668" width="20.33203125" style="1492" customWidth="1"/>
    <col min="6669" max="6912" width="9.1640625" style="1492"/>
    <col min="6913" max="6913" width="1.5" style="1492" customWidth="1"/>
    <col min="6914" max="6914" width="5.1640625" style="1492" customWidth="1"/>
    <col min="6915" max="6915" width="9.6640625" style="1492" customWidth="1"/>
    <col min="6916" max="6916" width="14.6640625" style="1492" customWidth="1"/>
    <col min="6917" max="6919" width="8.5" style="1492" customWidth="1"/>
    <col min="6920" max="6921" width="9.5" style="1492" customWidth="1"/>
    <col min="6922" max="6922" width="8.33203125" style="1492" customWidth="1"/>
    <col min="6923" max="6923" width="8" style="1492" customWidth="1"/>
    <col min="6924" max="6924" width="20.33203125" style="1492" customWidth="1"/>
    <col min="6925" max="7168" width="9.1640625" style="1492"/>
    <col min="7169" max="7169" width="1.5" style="1492" customWidth="1"/>
    <col min="7170" max="7170" width="5.1640625" style="1492" customWidth="1"/>
    <col min="7171" max="7171" width="9.6640625" style="1492" customWidth="1"/>
    <col min="7172" max="7172" width="14.6640625" style="1492" customWidth="1"/>
    <col min="7173" max="7175" width="8.5" style="1492" customWidth="1"/>
    <col min="7176" max="7177" width="9.5" style="1492" customWidth="1"/>
    <col min="7178" max="7178" width="8.33203125" style="1492" customWidth="1"/>
    <col min="7179" max="7179" width="8" style="1492" customWidth="1"/>
    <col min="7180" max="7180" width="20.33203125" style="1492" customWidth="1"/>
    <col min="7181" max="7424" width="9.1640625" style="1492"/>
    <col min="7425" max="7425" width="1.5" style="1492" customWidth="1"/>
    <col min="7426" max="7426" width="5.1640625" style="1492" customWidth="1"/>
    <col min="7427" max="7427" width="9.6640625" style="1492" customWidth="1"/>
    <col min="7428" max="7428" width="14.6640625" style="1492" customWidth="1"/>
    <col min="7429" max="7431" width="8.5" style="1492" customWidth="1"/>
    <col min="7432" max="7433" width="9.5" style="1492" customWidth="1"/>
    <col min="7434" max="7434" width="8.33203125" style="1492" customWidth="1"/>
    <col min="7435" max="7435" width="8" style="1492" customWidth="1"/>
    <col min="7436" max="7436" width="20.33203125" style="1492" customWidth="1"/>
    <col min="7437" max="7680" width="9.1640625" style="1492"/>
    <col min="7681" max="7681" width="1.5" style="1492" customWidth="1"/>
    <col min="7682" max="7682" width="5.1640625" style="1492" customWidth="1"/>
    <col min="7683" max="7683" width="9.6640625" style="1492" customWidth="1"/>
    <col min="7684" max="7684" width="14.6640625" style="1492" customWidth="1"/>
    <col min="7685" max="7687" width="8.5" style="1492" customWidth="1"/>
    <col min="7688" max="7689" width="9.5" style="1492" customWidth="1"/>
    <col min="7690" max="7690" width="8.33203125" style="1492" customWidth="1"/>
    <col min="7691" max="7691" width="8" style="1492" customWidth="1"/>
    <col min="7692" max="7692" width="20.33203125" style="1492" customWidth="1"/>
    <col min="7693" max="7936" width="9.1640625" style="1492"/>
    <col min="7937" max="7937" width="1.5" style="1492" customWidth="1"/>
    <col min="7938" max="7938" width="5.1640625" style="1492" customWidth="1"/>
    <col min="7939" max="7939" width="9.6640625" style="1492" customWidth="1"/>
    <col min="7940" max="7940" width="14.6640625" style="1492" customWidth="1"/>
    <col min="7941" max="7943" width="8.5" style="1492" customWidth="1"/>
    <col min="7944" max="7945" width="9.5" style="1492" customWidth="1"/>
    <col min="7946" max="7946" width="8.33203125" style="1492" customWidth="1"/>
    <col min="7947" max="7947" width="8" style="1492" customWidth="1"/>
    <col min="7948" max="7948" width="20.33203125" style="1492" customWidth="1"/>
    <col min="7949" max="8192" width="9.1640625" style="1492"/>
    <col min="8193" max="8193" width="1.5" style="1492" customWidth="1"/>
    <col min="8194" max="8194" width="5.1640625" style="1492" customWidth="1"/>
    <col min="8195" max="8195" width="9.6640625" style="1492" customWidth="1"/>
    <col min="8196" max="8196" width="14.6640625" style="1492" customWidth="1"/>
    <col min="8197" max="8199" width="8.5" style="1492" customWidth="1"/>
    <col min="8200" max="8201" width="9.5" style="1492" customWidth="1"/>
    <col min="8202" max="8202" width="8.33203125" style="1492" customWidth="1"/>
    <col min="8203" max="8203" width="8" style="1492" customWidth="1"/>
    <col min="8204" max="8204" width="20.33203125" style="1492" customWidth="1"/>
    <col min="8205" max="8448" width="9.1640625" style="1492"/>
    <col min="8449" max="8449" width="1.5" style="1492" customWidth="1"/>
    <col min="8450" max="8450" width="5.1640625" style="1492" customWidth="1"/>
    <col min="8451" max="8451" width="9.6640625" style="1492" customWidth="1"/>
    <col min="8452" max="8452" width="14.6640625" style="1492" customWidth="1"/>
    <col min="8453" max="8455" width="8.5" style="1492" customWidth="1"/>
    <col min="8456" max="8457" width="9.5" style="1492" customWidth="1"/>
    <col min="8458" max="8458" width="8.33203125" style="1492" customWidth="1"/>
    <col min="8459" max="8459" width="8" style="1492" customWidth="1"/>
    <col min="8460" max="8460" width="20.33203125" style="1492" customWidth="1"/>
    <col min="8461" max="8704" width="9.1640625" style="1492"/>
    <col min="8705" max="8705" width="1.5" style="1492" customWidth="1"/>
    <col min="8706" max="8706" width="5.1640625" style="1492" customWidth="1"/>
    <col min="8707" max="8707" width="9.6640625" style="1492" customWidth="1"/>
    <col min="8708" max="8708" width="14.6640625" style="1492" customWidth="1"/>
    <col min="8709" max="8711" width="8.5" style="1492" customWidth="1"/>
    <col min="8712" max="8713" width="9.5" style="1492" customWidth="1"/>
    <col min="8714" max="8714" width="8.33203125" style="1492" customWidth="1"/>
    <col min="8715" max="8715" width="8" style="1492" customWidth="1"/>
    <col min="8716" max="8716" width="20.33203125" style="1492" customWidth="1"/>
    <col min="8717" max="8960" width="9.1640625" style="1492"/>
    <col min="8961" max="8961" width="1.5" style="1492" customWidth="1"/>
    <col min="8962" max="8962" width="5.1640625" style="1492" customWidth="1"/>
    <col min="8963" max="8963" width="9.6640625" style="1492" customWidth="1"/>
    <col min="8964" max="8964" width="14.6640625" style="1492" customWidth="1"/>
    <col min="8965" max="8967" width="8.5" style="1492" customWidth="1"/>
    <col min="8968" max="8969" width="9.5" style="1492" customWidth="1"/>
    <col min="8970" max="8970" width="8.33203125" style="1492" customWidth="1"/>
    <col min="8971" max="8971" width="8" style="1492" customWidth="1"/>
    <col min="8972" max="8972" width="20.33203125" style="1492" customWidth="1"/>
    <col min="8973" max="9216" width="9.1640625" style="1492"/>
    <col min="9217" max="9217" width="1.5" style="1492" customWidth="1"/>
    <col min="9218" max="9218" width="5.1640625" style="1492" customWidth="1"/>
    <col min="9219" max="9219" width="9.6640625" style="1492" customWidth="1"/>
    <col min="9220" max="9220" width="14.6640625" style="1492" customWidth="1"/>
    <col min="9221" max="9223" width="8.5" style="1492" customWidth="1"/>
    <col min="9224" max="9225" width="9.5" style="1492" customWidth="1"/>
    <col min="9226" max="9226" width="8.33203125" style="1492" customWidth="1"/>
    <col min="9227" max="9227" width="8" style="1492" customWidth="1"/>
    <col min="9228" max="9228" width="20.33203125" style="1492" customWidth="1"/>
    <col min="9229" max="9472" width="9.1640625" style="1492"/>
    <col min="9473" max="9473" width="1.5" style="1492" customWidth="1"/>
    <col min="9474" max="9474" width="5.1640625" style="1492" customWidth="1"/>
    <col min="9475" max="9475" width="9.6640625" style="1492" customWidth="1"/>
    <col min="9476" max="9476" width="14.6640625" style="1492" customWidth="1"/>
    <col min="9477" max="9479" width="8.5" style="1492" customWidth="1"/>
    <col min="9480" max="9481" width="9.5" style="1492" customWidth="1"/>
    <col min="9482" max="9482" width="8.33203125" style="1492" customWidth="1"/>
    <col min="9483" max="9483" width="8" style="1492" customWidth="1"/>
    <col min="9484" max="9484" width="20.33203125" style="1492" customWidth="1"/>
    <col min="9485" max="9728" width="9.1640625" style="1492"/>
    <col min="9729" max="9729" width="1.5" style="1492" customWidth="1"/>
    <col min="9730" max="9730" width="5.1640625" style="1492" customWidth="1"/>
    <col min="9731" max="9731" width="9.6640625" style="1492" customWidth="1"/>
    <col min="9732" max="9732" width="14.6640625" style="1492" customWidth="1"/>
    <col min="9733" max="9735" width="8.5" style="1492" customWidth="1"/>
    <col min="9736" max="9737" width="9.5" style="1492" customWidth="1"/>
    <col min="9738" max="9738" width="8.33203125" style="1492" customWidth="1"/>
    <col min="9739" max="9739" width="8" style="1492" customWidth="1"/>
    <col min="9740" max="9740" width="20.33203125" style="1492" customWidth="1"/>
    <col min="9741" max="9984" width="9.1640625" style="1492"/>
    <col min="9985" max="9985" width="1.5" style="1492" customWidth="1"/>
    <col min="9986" max="9986" width="5.1640625" style="1492" customWidth="1"/>
    <col min="9987" max="9987" width="9.6640625" style="1492" customWidth="1"/>
    <col min="9988" max="9988" width="14.6640625" style="1492" customWidth="1"/>
    <col min="9989" max="9991" width="8.5" style="1492" customWidth="1"/>
    <col min="9992" max="9993" width="9.5" style="1492" customWidth="1"/>
    <col min="9994" max="9994" width="8.33203125" style="1492" customWidth="1"/>
    <col min="9995" max="9995" width="8" style="1492" customWidth="1"/>
    <col min="9996" max="9996" width="20.33203125" style="1492" customWidth="1"/>
    <col min="9997" max="10240" width="9.1640625" style="1492"/>
    <col min="10241" max="10241" width="1.5" style="1492" customWidth="1"/>
    <col min="10242" max="10242" width="5.1640625" style="1492" customWidth="1"/>
    <col min="10243" max="10243" width="9.6640625" style="1492" customWidth="1"/>
    <col min="10244" max="10244" width="14.6640625" style="1492" customWidth="1"/>
    <col min="10245" max="10247" width="8.5" style="1492" customWidth="1"/>
    <col min="10248" max="10249" width="9.5" style="1492" customWidth="1"/>
    <col min="10250" max="10250" width="8.33203125" style="1492" customWidth="1"/>
    <col min="10251" max="10251" width="8" style="1492" customWidth="1"/>
    <col min="10252" max="10252" width="20.33203125" style="1492" customWidth="1"/>
    <col min="10253" max="10496" width="9.1640625" style="1492"/>
    <col min="10497" max="10497" width="1.5" style="1492" customWidth="1"/>
    <col min="10498" max="10498" width="5.1640625" style="1492" customWidth="1"/>
    <col min="10499" max="10499" width="9.6640625" style="1492" customWidth="1"/>
    <col min="10500" max="10500" width="14.6640625" style="1492" customWidth="1"/>
    <col min="10501" max="10503" width="8.5" style="1492" customWidth="1"/>
    <col min="10504" max="10505" width="9.5" style="1492" customWidth="1"/>
    <col min="10506" max="10506" width="8.33203125" style="1492" customWidth="1"/>
    <col min="10507" max="10507" width="8" style="1492" customWidth="1"/>
    <col min="10508" max="10508" width="20.33203125" style="1492" customWidth="1"/>
    <col min="10509" max="10752" width="9.1640625" style="1492"/>
    <col min="10753" max="10753" width="1.5" style="1492" customWidth="1"/>
    <col min="10754" max="10754" width="5.1640625" style="1492" customWidth="1"/>
    <col min="10755" max="10755" width="9.6640625" style="1492" customWidth="1"/>
    <col min="10756" max="10756" width="14.6640625" style="1492" customWidth="1"/>
    <col min="10757" max="10759" width="8.5" style="1492" customWidth="1"/>
    <col min="10760" max="10761" width="9.5" style="1492" customWidth="1"/>
    <col min="10762" max="10762" width="8.33203125" style="1492" customWidth="1"/>
    <col min="10763" max="10763" width="8" style="1492" customWidth="1"/>
    <col min="10764" max="10764" width="20.33203125" style="1492" customWidth="1"/>
    <col min="10765" max="11008" width="9.1640625" style="1492"/>
    <col min="11009" max="11009" width="1.5" style="1492" customWidth="1"/>
    <col min="11010" max="11010" width="5.1640625" style="1492" customWidth="1"/>
    <col min="11011" max="11011" width="9.6640625" style="1492" customWidth="1"/>
    <col min="11012" max="11012" width="14.6640625" style="1492" customWidth="1"/>
    <col min="11013" max="11015" width="8.5" style="1492" customWidth="1"/>
    <col min="11016" max="11017" width="9.5" style="1492" customWidth="1"/>
    <col min="11018" max="11018" width="8.33203125" style="1492" customWidth="1"/>
    <col min="11019" max="11019" width="8" style="1492" customWidth="1"/>
    <col min="11020" max="11020" width="20.33203125" style="1492" customWidth="1"/>
    <col min="11021" max="11264" width="9.1640625" style="1492"/>
    <col min="11265" max="11265" width="1.5" style="1492" customWidth="1"/>
    <col min="11266" max="11266" width="5.1640625" style="1492" customWidth="1"/>
    <col min="11267" max="11267" width="9.6640625" style="1492" customWidth="1"/>
    <col min="11268" max="11268" width="14.6640625" style="1492" customWidth="1"/>
    <col min="11269" max="11271" width="8.5" style="1492" customWidth="1"/>
    <col min="11272" max="11273" width="9.5" style="1492" customWidth="1"/>
    <col min="11274" max="11274" width="8.33203125" style="1492" customWidth="1"/>
    <col min="11275" max="11275" width="8" style="1492" customWidth="1"/>
    <col min="11276" max="11276" width="20.33203125" style="1492" customWidth="1"/>
    <col min="11277" max="11520" width="9.1640625" style="1492"/>
    <col min="11521" max="11521" width="1.5" style="1492" customWidth="1"/>
    <col min="11522" max="11522" width="5.1640625" style="1492" customWidth="1"/>
    <col min="11523" max="11523" width="9.6640625" style="1492" customWidth="1"/>
    <col min="11524" max="11524" width="14.6640625" style="1492" customWidth="1"/>
    <col min="11525" max="11527" width="8.5" style="1492" customWidth="1"/>
    <col min="11528" max="11529" width="9.5" style="1492" customWidth="1"/>
    <col min="11530" max="11530" width="8.33203125" style="1492" customWidth="1"/>
    <col min="11531" max="11531" width="8" style="1492" customWidth="1"/>
    <col min="11532" max="11532" width="20.33203125" style="1492" customWidth="1"/>
    <col min="11533" max="11776" width="9.1640625" style="1492"/>
    <col min="11777" max="11777" width="1.5" style="1492" customWidth="1"/>
    <col min="11778" max="11778" width="5.1640625" style="1492" customWidth="1"/>
    <col min="11779" max="11779" width="9.6640625" style="1492" customWidth="1"/>
    <col min="11780" max="11780" width="14.6640625" style="1492" customWidth="1"/>
    <col min="11781" max="11783" width="8.5" style="1492" customWidth="1"/>
    <col min="11784" max="11785" width="9.5" style="1492" customWidth="1"/>
    <col min="11786" max="11786" width="8.33203125" style="1492" customWidth="1"/>
    <col min="11787" max="11787" width="8" style="1492" customWidth="1"/>
    <col min="11788" max="11788" width="20.33203125" style="1492" customWidth="1"/>
    <col min="11789" max="12032" width="9.1640625" style="1492"/>
    <col min="12033" max="12033" width="1.5" style="1492" customWidth="1"/>
    <col min="12034" max="12034" width="5.1640625" style="1492" customWidth="1"/>
    <col min="12035" max="12035" width="9.6640625" style="1492" customWidth="1"/>
    <col min="12036" max="12036" width="14.6640625" style="1492" customWidth="1"/>
    <col min="12037" max="12039" width="8.5" style="1492" customWidth="1"/>
    <col min="12040" max="12041" width="9.5" style="1492" customWidth="1"/>
    <col min="12042" max="12042" width="8.33203125" style="1492" customWidth="1"/>
    <col min="12043" max="12043" width="8" style="1492" customWidth="1"/>
    <col min="12044" max="12044" width="20.33203125" style="1492" customWidth="1"/>
    <col min="12045" max="12288" width="9.1640625" style="1492"/>
    <col min="12289" max="12289" width="1.5" style="1492" customWidth="1"/>
    <col min="12290" max="12290" width="5.1640625" style="1492" customWidth="1"/>
    <col min="12291" max="12291" width="9.6640625" style="1492" customWidth="1"/>
    <col min="12292" max="12292" width="14.6640625" style="1492" customWidth="1"/>
    <col min="12293" max="12295" width="8.5" style="1492" customWidth="1"/>
    <col min="12296" max="12297" width="9.5" style="1492" customWidth="1"/>
    <col min="12298" max="12298" width="8.33203125" style="1492" customWidth="1"/>
    <col min="12299" max="12299" width="8" style="1492" customWidth="1"/>
    <col min="12300" max="12300" width="20.33203125" style="1492" customWidth="1"/>
    <col min="12301" max="12544" width="9.1640625" style="1492"/>
    <col min="12545" max="12545" width="1.5" style="1492" customWidth="1"/>
    <col min="12546" max="12546" width="5.1640625" style="1492" customWidth="1"/>
    <col min="12547" max="12547" width="9.6640625" style="1492" customWidth="1"/>
    <col min="12548" max="12548" width="14.6640625" style="1492" customWidth="1"/>
    <col min="12549" max="12551" width="8.5" style="1492" customWidth="1"/>
    <col min="12552" max="12553" width="9.5" style="1492" customWidth="1"/>
    <col min="12554" max="12554" width="8.33203125" style="1492" customWidth="1"/>
    <col min="12555" max="12555" width="8" style="1492" customWidth="1"/>
    <col min="12556" max="12556" width="20.33203125" style="1492" customWidth="1"/>
    <col min="12557" max="12800" width="9.1640625" style="1492"/>
    <col min="12801" max="12801" width="1.5" style="1492" customWidth="1"/>
    <col min="12802" max="12802" width="5.1640625" style="1492" customWidth="1"/>
    <col min="12803" max="12803" width="9.6640625" style="1492" customWidth="1"/>
    <col min="12804" max="12804" width="14.6640625" style="1492" customWidth="1"/>
    <col min="12805" max="12807" width="8.5" style="1492" customWidth="1"/>
    <col min="12808" max="12809" width="9.5" style="1492" customWidth="1"/>
    <col min="12810" max="12810" width="8.33203125" style="1492" customWidth="1"/>
    <col min="12811" max="12811" width="8" style="1492" customWidth="1"/>
    <col min="12812" max="12812" width="20.33203125" style="1492" customWidth="1"/>
    <col min="12813" max="13056" width="9.1640625" style="1492"/>
    <col min="13057" max="13057" width="1.5" style="1492" customWidth="1"/>
    <col min="13058" max="13058" width="5.1640625" style="1492" customWidth="1"/>
    <col min="13059" max="13059" width="9.6640625" style="1492" customWidth="1"/>
    <col min="13060" max="13060" width="14.6640625" style="1492" customWidth="1"/>
    <col min="13061" max="13063" width="8.5" style="1492" customWidth="1"/>
    <col min="13064" max="13065" width="9.5" style="1492" customWidth="1"/>
    <col min="13066" max="13066" width="8.33203125" style="1492" customWidth="1"/>
    <col min="13067" max="13067" width="8" style="1492" customWidth="1"/>
    <col min="13068" max="13068" width="20.33203125" style="1492" customWidth="1"/>
    <col min="13069" max="13312" width="9.1640625" style="1492"/>
    <col min="13313" max="13313" width="1.5" style="1492" customWidth="1"/>
    <col min="13314" max="13314" width="5.1640625" style="1492" customWidth="1"/>
    <col min="13315" max="13315" width="9.6640625" style="1492" customWidth="1"/>
    <col min="13316" max="13316" width="14.6640625" style="1492" customWidth="1"/>
    <col min="13317" max="13319" width="8.5" style="1492" customWidth="1"/>
    <col min="13320" max="13321" width="9.5" style="1492" customWidth="1"/>
    <col min="13322" max="13322" width="8.33203125" style="1492" customWidth="1"/>
    <col min="13323" max="13323" width="8" style="1492" customWidth="1"/>
    <col min="13324" max="13324" width="20.33203125" style="1492" customWidth="1"/>
    <col min="13325" max="13568" width="9.1640625" style="1492"/>
    <col min="13569" max="13569" width="1.5" style="1492" customWidth="1"/>
    <col min="13570" max="13570" width="5.1640625" style="1492" customWidth="1"/>
    <col min="13571" max="13571" width="9.6640625" style="1492" customWidth="1"/>
    <col min="13572" max="13572" width="14.6640625" style="1492" customWidth="1"/>
    <col min="13573" max="13575" width="8.5" style="1492" customWidth="1"/>
    <col min="13576" max="13577" width="9.5" style="1492" customWidth="1"/>
    <col min="13578" max="13578" width="8.33203125" style="1492" customWidth="1"/>
    <col min="13579" max="13579" width="8" style="1492" customWidth="1"/>
    <col min="13580" max="13580" width="20.33203125" style="1492" customWidth="1"/>
    <col min="13581" max="13824" width="9.1640625" style="1492"/>
    <col min="13825" max="13825" width="1.5" style="1492" customWidth="1"/>
    <col min="13826" max="13826" width="5.1640625" style="1492" customWidth="1"/>
    <col min="13827" max="13827" width="9.6640625" style="1492" customWidth="1"/>
    <col min="13828" max="13828" width="14.6640625" style="1492" customWidth="1"/>
    <col min="13829" max="13831" width="8.5" style="1492" customWidth="1"/>
    <col min="13832" max="13833" width="9.5" style="1492" customWidth="1"/>
    <col min="13834" max="13834" width="8.33203125" style="1492" customWidth="1"/>
    <col min="13835" max="13835" width="8" style="1492" customWidth="1"/>
    <col min="13836" max="13836" width="20.33203125" style="1492" customWidth="1"/>
    <col min="13837" max="14080" width="9.1640625" style="1492"/>
    <col min="14081" max="14081" width="1.5" style="1492" customWidth="1"/>
    <col min="14082" max="14082" width="5.1640625" style="1492" customWidth="1"/>
    <col min="14083" max="14083" width="9.6640625" style="1492" customWidth="1"/>
    <col min="14084" max="14084" width="14.6640625" style="1492" customWidth="1"/>
    <col min="14085" max="14087" width="8.5" style="1492" customWidth="1"/>
    <col min="14088" max="14089" width="9.5" style="1492" customWidth="1"/>
    <col min="14090" max="14090" width="8.33203125" style="1492" customWidth="1"/>
    <col min="14091" max="14091" width="8" style="1492" customWidth="1"/>
    <col min="14092" max="14092" width="20.33203125" style="1492" customWidth="1"/>
    <col min="14093" max="14336" width="9.1640625" style="1492"/>
    <col min="14337" max="14337" width="1.5" style="1492" customWidth="1"/>
    <col min="14338" max="14338" width="5.1640625" style="1492" customWidth="1"/>
    <col min="14339" max="14339" width="9.6640625" style="1492" customWidth="1"/>
    <col min="14340" max="14340" width="14.6640625" style="1492" customWidth="1"/>
    <col min="14341" max="14343" width="8.5" style="1492" customWidth="1"/>
    <col min="14344" max="14345" width="9.5" style="1492" customWidth="1"/>
    <col min="14346" max="14346" width="8.33203125" style="1492" customWidth="1"/>
    <col min="14347" max="14347" width="8" style="1492" customWidth="1"/>
    <col min="14348" max="14348" width="20.33203125" style="1492" customWidth="1"/>
    <col min="14349" max="14592" width="9.1640625" style="1492"/>
    <col min="14593" max="14593" width="1.5" style="1492" customWidth="1"/>
    <col min="14594" max="14594" width="5.1640625" style="1492" customWidth="1"/>
    <col min="14595" max="14595" width="9.6640625" style="1492" customWidth="1"/>
    <col min="14596" max="14596" width="14.6640625" style="1492" customWidth="1"/>
    <col min="14597" max="14599" width="8.5" style="1492" customWidth="1"/>
    <col min="14600" max="14601" width="9.5" style="1492" customWidth="1"/>
    <col min="14602" max="14602" width="8.33203125" style="1492" customWidth="1"/>
    <col min="14603" max="14603" width="8" style="1492" customWidth="1"/>
    <col min="14604" max="14604" width="20.33203125" style="1492" customWidth="1"/>
    <col min="14605" max="14848" width="9.1640625" style="1492"/>
    <col min="14849" max="14849" width="1.5" style="1492" customWidth="1"/>
    <col min="14850" max="14850" width="5.1640625" style="1492" customWidth="1"/>
    <col min="14851" max="14851" width="9.6640625" style="1492" customWidth="1"/>
    <col min="14852" max="14852" width="14.6640625" style="1492" customWidth="1"/>
    <col min="14853" max="14855" width="8.5" style="1492" customWidth="1"/>
    <col min="14856" max="14857" width="9.5" style="1492" customWidth="1"/>
    <col min="14858" max="14858" width="8.33203125" style="1492" customWidth="1"/>
    <col min="14859" max="14859" width="8" style="1492" customWidth="1"/>
    <col min="14860" max="14860" width="20.33203125" style="1492" customWidth="1"/>
    <col min="14861" max="15104" width="9.1640625" style="1492"/>
    <col min="15105" max="15105" width="1.5" style="1492" customWidth="1"/>
    <col min="15106" max="15106" width="5.1640625" style="1492" customWidth="1"/>
    <col min="15107" max="15107" width="9.6640625" style="1492" customWidth="1"/>
    <col min="15108" max="15108" width="14.6640625" style="1492" customWidth="1"/>
    <col min="15109" max="15111" width="8.5" style="1492" customWidth="1"/>
    <col min="15112" max="15113" width="9.5" style="1492" customWidth="1"/>
    <col min="15114" max="15114" width="8.33203125" style="1492" customWidth="1"/>
    <col min="15115" max="15115" width="8" style="1492" customWidth="1"/>
    <col min="15116" max="15116" width="20.33203125" style="1492" customWidth="1"/>
    <col min="15117" max="15360" width="9.1640625" style="1492"/>
    <col min="15361" max="15361" width="1.5" style="1492" customWidth="1"/>
    <col min="15362" max="15362" width="5.1640625" style="1492" customWidth="1"/>
    <col min="15363" max="15363" width="9.6640625" style="1492" customWidth="1"/>
    <col min="15364" max="15364" width="14.6640625" style="1492" customWidth="1"/>
    <col min="15365" max="15367" width="8.5" style="1492" customWidth="1"/>
    <col min="15368" max="15369" width="9.5" style="1492" customWidth="1"/>
    <col min="15370" max="15370" width="8.33203125" style="1492" customWidth="1"/>
    <col min="15371" max="15371" width="8" style="1492" customWidth="1"/>
    <col min="15372" max="15372" width="20.33203125" style="1492" customWidth="1"/>
    <col min="15373" max="15616" width="9.1640625" style="1492"/>
    <col min="15617" max="15617" width="1.5" style="1492" customWidth="1"/>
    <col min="15618" max="15618" width="5.1640625" style="1492" customWidth="1"/>
    <col min="15619" max="15619" width="9.6640625" style="1492" customWidth="1"/>
    <col min="15620" max="15620" width="14.6640625" style="1492" customWidth="1"/>
    <col min="15621" max="15623" width="8.5" style="1492" customWidth="1"/>
    <col min="15624" max="15625" width="9.5" style="1492" customWidth="1"/>
    <col min="15626" max="15626" width="8.33203125" style="1492" customWidth="1"/>
    <col min="15627" max="15627" width="8" style="1492" customWidth="1"/>
    <col min="15628" max="15628" width="20.33203125" style="1492" customWidth="1"/>
    <col min="15629" max="15872" width="9.1640625" style="1492"/>
    <col min="15873" max="15873" width="1.5" style="1492" customWidth="1"/>
    <col min="15874" max="15874" width="5.1640625" style="1492" customWidth="1"/>
    <col min="15875" max="15875" width="9.6640625" style="1492" customWidth="1"/>
    <col min="15876" max="15876" width="14.6640625" style="1492" customWidth="1"/>
    <col min="15877" max="15879" width="8.5" style="1492" customWidth="1"/>
    <col min="15880" max="15881" width="9.5" style="1492" customWidth="1"/>
    <col min="15882" max="15882" width="8.33203125" style="1492" customWidth="1"/>
    <col min="15883" max="15883" width="8" style="1492" customWidth="1"/>
    <col min="15884" max="15884" width="20.33203125" style="1492" customWidth="1"/>
    <col min="15885" max="16128" width="9.1640625" style="1492"/>
    <col min="16129" max="16129" width="1.5" style="1492" customWidth="1"/>
    <col min="16130" max="16130" width="5.1640625" style="1492" customWidth="1"/>
    <col min="16131" max="16131" width="9.6640625" style="1492" customWidth="1"/>
    <col min="16132" max="16132" width="14.6640625" style="1492" customWidth="1"/>
    <col min="16133" max="16135" width="8.5" style="1492" customWidth="1"/>
    <col min="16136" max="16137" width="9.5" style="1492" customWidth="1"/>
    <col min="16138" max="16138" width="8.33203125" style="1492" customWidth="1"/>
    <col min="16139" max="16139" width="8" style="1492" customWidth="1"/>
    <col min="16140" max="16140" width="20.33203125" style="1492" customWidth="1"/>
    <col min="16141" max="16384" width="9.1640625" style="1492"/>
  </cols>
  <sheetData>
    <row r="1" spans="1:11">
      <c r="B1" s="1493"/>
    </row>
    <row r="2" spans="1:11" ht="16.5" customHeight="1">
      <c r="B2" s="1494"/>
      <c r="F2" s="391" t="s">
        <v>2483</v>
      </c>
      <c r="G2" s="1228" t="str">
        <f>Data!A1</f>
        <v>한국투자증권</v>
      </c>
      <c r="H2" s="548" t="s">
        <v>1358</v>
      </c>
      <c r="I2" s="1315" t="s">
        <v>2726</v>
      </c>
      <c r="J2" s="1495"/>
      <c r="K2" s="1495"/>
    </row>
    <row r="3" spans="1:11" ht="16.5" customHeight="1">
      <c r="B3" s="1496"/>
      <c r="C3" s="1497"/>
      <c r="F3" s="391" t="s">
        <v>2484</v>
      </c>
      <c r="G3" s="565" t="s">
        <v>1364</v>
      </c>
      <c r="H3" s="548" t="s">
        <v>1359</v>
      </c>
      <c r="I3" s="566" t="s">
        <v>1360</v>
      </c>
      <c r="J3" s="1495"/>
      <c r="K3" s="1495"/>
    </row>
    <row r="4" spans="1:11" ht="16.5" customHeight="1">
      <c r="F4" s="391" t="s">
        <v>2485</v>
      </c>
      <c r="G4" s="565" t="s">
        <v>1361</v>
      </c>
      <c r="H4" s="548" t="s">
        <v>1362</v>
      </c>
      <c r="I4" s="566" t="s">
        <v>1363</v>
      </c>
      <c r="J4" s="1495"/>
      <c r="K4" s="1495"/>
    </row>
    <row r="5" spans="1:11">
      <c r="F5" s="1495"/>
      <c r="G5" s="1495"/>
    </row>
    <row r="6" spans="1:11">
      <c r="A6" s="91"/>
      <c r="B6" s="1493"/>
      <c r="C6" s="91"/>
      <c r="D6" s="91"/>
      <c r="E6" s="91"/>
      <c r="F6" s="91"/>
      <c r="G6" s="91"/>
      <c r="H6" s="91"/>
      <c r="I6" s="91"/>
      <c r="J6" s="91"/>
      <c r="K6" s="91"/>
    </row>
    <row r="7" spans="1:11" ht="16.5" customHeight="1">
      <c r="A7" s="91"/>
      <c r="B7" s="1807" t="s">
        <v>227</v>
      </c>
      <c r="C7" s="1807" t="s">
        <v>228</v>
      </c>
      <c r="D7" s="1807" t="s">
        <v>229</v>
      </c>
      <c r="E7" s="1807" t="s">
        <v>2486</v>
      </c>
      <c r="F7" s="1807" t="s">
        <v>2487</v>
      </c>
      <c r="G7" s="1807"/>
      <c r="H7" s="1807" t="s">
        <v>2488</v>
      </c>
      <c r="I7" s="1807"/>
      <c r="J7" s="1796" t="s">
        <v>2489</v>
      </c>
      <c r="K7" s="1797"/>
    </row>
    <row r="8" spans="1:11">
      <c r="A8" s="91"/>
      <c r="B8" s="1807"/>
      <c r="C8" s="1807"/>
      <c r="D8" s="1807"/>
      <c r="E8" s="1808"/>
      <c r="F8" s="1498" t="s">
        <v>2490</v>
      </c>
      <c r="G8" s="1498" t="s">
        <v>2491</v>
      </c>
      <c r="H8" s="1498" t="s">
        <v>2492</v>
      </c>
      <c r="I8" s="1498" t="s">
        <v>2491</v>
      </c>
      <c r="J8" s="1798"/>
      <c r="K8" s="1799"/>
    </row>
    <row r="9" spans="1:11" ht="23.25" customHeight="1">
      <c r="A9" s="91"/>
      <c r="B9" s="1793" t="s">
        <v>2493</v>
      </c>
      <c r="C9" s="1800" t="s">
        <v>236</v>
      </c>
      <c r="D9" s="1800"/>
      <c r="E9" s="1499">
        <v>0.05</v>
      </c>
      <c r="F9" s="1500" t="s">
        <v>2494</v>
      </c>
      <c r="G9" s="1500">
        <f>IF(F9="AAA",6, IF(F9="AA",5, IF(F9="A",4, IF(F9="BBB",3, IF(F9="BB",2,1)))))</f>
        <v>3</v>
      </c>
      <c r="H9" s="1500" t="s">
        <v>2494</v>
      </c>
      <c r="I9" s="1500">
        <f>IF(H9="AAA",6, IF(H9="AA",5, IF(H9="A",4, IF(H9="BBB",3, IF(H9="BB",2,1)))))</f>
        <v>3</v>
      </c>
      <c r="J9" s="1801"/>
      <c r="K9" s="1802"/>
    </row>
    <row r="10" spans="1:11" ht="23.25" customHeight="1">
      <c r="A10" s="91"/>
      <c r="B10" s="1793"/>
      <c r="C10" s="1803" t="s">
        <v>263</v>
      </c>
      <c r="D10" s="1501" t="s">
        <v>2495</v>
      </c>
      <c r="E10" s="1502">
        <v>0.35</v>
      </c>
      <c r="F10" s="1503" t="s">
        <v>2496</v>
      </c>
      <c r="G10" s="1504">
        <f>IF(F10="AAA",6, IF(F10="AA",5, IF(F10="A",4, IF(F10="BBB",3, IF(F10="BB",2,1)))))</f>
        <v>5</v>
      </c>
      <c r="H10" s="1503" t="s">
        <v>2712</v>
      </c>
      <c r="I10" s="1504">
        <f t="shared" ref="I10" si="0">IF(H10="AAA",6, IF(H10="AA",5, IF(H10="A",4, IF(H10="BBB",3, IF(H10="BB",2,1)))))</f>
        <v>5</v>
      </c>
      <c r="J10" s="1804"/>
      <c r="K10" s="1805"/>
    </row>
    <row r="11" spans="1:11" ht="23.25" customHeight="1">
      <c r="A11" s="91"/>
      <c r="B11" s="1793"/>
      <c r="C11" s="1803"/>
      <c r="D11" s="1501" t="s">
        <v>2497</v>
      </c>
      <c r="E11" s="1502">
        <v>0.2</v>
      </c>
      <c r="F11" s="1505" t="str">
        <f>K116</f>
        <v>AA</v>
      </c>
      <c r="G11" s="1504">
        <f t="shared" ref="G11:I13" si="1">IF(F11="AAA",6, IF(F11="AA",5, IF(F11="A",4, IF(F11="BBB",3, IF(F11="BB",2,1)))))</f>
        <v>5</v>
      </c>
      <c r="H11" s="1503" t="s">
        <v>2625</v>
      </c>
      <c r="I11" s="1504">
        <f t="shared" si="1"/>
        <v>4</v>
      </c>
      <c r="J11" s="1784" t="s">
        <v>2717</v>
      </c>
      <c r="K11" s="1785"/>
    </row>
    <row r="12" spans="1:11" ht="23.25" customHeight="1">
      <c r="A12" s="91"/>
      <c r="B12" s="1793"/>
      <c r="C12" s="1803"/>
      <c r="D12" s="1501" t="s">
        <v>2498</v>
      </c>
      <c r="E12" s="1502">
        <v>0.2</v>
      </c>
      <c r="F12" s="1503" t="s">
        <v>2641</v>
      </c>
      <c r="G12" s="1504">
        <f t="shared" si="1"/>
        <v>5</v>
      </c>
      <c r="H12" s="1503" t="s">
        <v>686</v>
      </c>
      <c r="I12" s="1504">
        <f t="shared" si="1"/>
        <v>5</v>
      </c>
      <c r="J12" s="1784"/>
      <c r="K12" s="1806"/>
    </row>
    <row r="13" spans="1:11" ht="23.25" customHeight="1">
      <c r="A13" s="91"/>
      <c r="B13" s="1793"/>
      <c r="C13" s="1803"/>
      <c r="D13" s="1501" t="s">
        <v>2500</v>
      </c>
      <c r="E13" s="1502">
        <v>0.2</v>
      </c>
      <c r="F13" s="1505" t="str">
        <f>NCP!K117</f>
        <v>AAA</v>
      </c>
      <c r="G13" s="1504">
        <f t="shared" si="1"/>
        <v>6</v>
      </c>
      <c r="H13" s="1503" t="s">
        <v>2514</v>
      </c>
      <c r="I13" s="1504">
        <f t="shared" si="1"/>
        <v>6</v>
      </c>
      <c r="J13" s="1784"/>
      <c r="K13" s="1805"/>
    </row>
    <row r="14" spans="1:11" ht="23.25" customHeight="1">
      <c r="A14" s="91"/>
      <c r="B14" s="1793"/>
      <c r="C14" s="1803"/>
      <c r="D14" s="1506" t="s">
        <v>2501</v>
      </c>
      <c r="E14" s="1499">
        <f>+E15-E9</f>
        <v>0.95</v>
      </c>
      <c r="F14" s="1500" t="str">
        <f>IF(G14&gt;=5.5,"AAA",IF(G14&gt;=4.5,"AA",IF(G14&gt;=3.5,"A", IF(G14&gt;=2.5,"BBB",IF(G14&gt;=1.5,"BB",IF(G14&gt;=0.5,"B"))))))</f>
        <v>AA</v>
      </c>
      <c r="G14" s="1507">
        <f>G10*E10/$E$14+G11*E11/$E$14+G12*E12/$E$14+G13*E13/$E$14</f>
        <v>5.2105263157894743</v>
      </c>
      <c r="H14" s="1500" t="str">
        <f>IF(I14&gt;=5.5,"AAA",IF(I14&gt;=4.5,"AA",IF(I14&gt;=3.5,"A", IF(I14&gt;=2.5,"BBB",IF(I14&gt;=1.5,"BB",IF(I14&gt;=0.5,"B"))))))</f>
        <v>AA</v>
      </c>
      <c r="I14" s="1507">
        <f>+I10*E10/$E$14+I11*E11/E14+I12*E12/E14+I13*E13/E14</f>
        <v>5.0000000000000009</v>
      </c>
      <c r="J14" s="1781"/>
      <c r="K14" s="1782"/>
    </row>
    <row r="15" spans="1:11" ht="23.25" customHeight="1">
      <c r="A15" s="91"/>
      <c r="B15" s="1790" t="s">
        <v>2502</v>
      </c>
      <c r="C15" s="1790"/>
      <c r="D15" s="1790"/>
      <c r="E15" s="1508">
        <v>1</v>
      </c>
      <c r="F15" s="1509" t="str">
        <f>IF(G15&gt;=5.5,"AAA",IF(G15&gt;=4.5,"AA",IF(G15&gt;=3.5,"A", IF(G15&gt;=2.5,"BBB",IF(G15&gt;=1.5,"BB",IF(G15&gt;=0.5,"B"))))))</f>
        <v>AA</v>
      </c>
      <c r="G15" s="1510">
        <f>G14*E14+G9*E9</f>
        <v>5.1000000000000005</v>
      </c>
      <c r="H15" s="1509" t="str">
        <f>IF(I15&gt;=5.5,"AAA",IF(I15&gt;=4.5,"AA",IF(I15&gt;=3.5,"A", IF(I15&gt;=2.5,"BBB",IF(I15&gt;=1.5,"BB",IF(I15&gt;=0.5,"B"))))))</f>
        <v>AA</v>
      </c>
      <c r="I15" s="1510">
        <f>I14*E14+I9*E9</f>
        <v>4.9000000000000012</v>
      </c>
      <c r="J15" s="1792"/>
      <c r="K15" s="1787"/>
    </row>
    <row r="16" spans="1:11" ht="23.25" customHeight="1">
      <c r="A16" s="91"/>
      <c r="B16" s="1793" t="s">
        <v>265</v>
      </c>
      <c r="C16" s="1783" t="s">
        <v>2503</v>
      </c>
      <c r="D16" s="1501" t="s">
        <v>2504</v>
      </c>
      <c r="E16" s="1502">
        <v>0.1</v>
      </c>
      <c r="F16" s="1505" t="str">
        <f>K118</f>
        <v>AAA</v>
      </c>
      <c r="G16" s="1511">
        <f>IF(F16="AAA",6, IF(F16="AA",5, IF(F16="A",4, IF(F16="BBB",3, IF(F16="BB",2,1)))))</f>
        <v>6</v>
      </c>
      <c r="H16" s="1503" t="s">
        <v>2711</v>
      </c>
      <c r="I16" s="1511">
        <f>IF(H16="AAA",6, IF(H16="AA",5, IF(H16="A",4, IF(H16="BBB",3, IF(H16="BB",2,1)))))</f>
        <v>6</v>
      </c>
      <c r="J16" s="1784"/>
      <c r="K16" s="1785"/>
    </row>
    <row r="17" spans="1:16" ht="23.25" customHeight="1">
      <c r="A17" s="91"/>
      <c r="B17" s="1793"/>
      <c r="C17" s="1783"/>
      <c r="D17" s="1501" t="s">
        <v>344</v>
      </c>
      <c r="E17" s="1502">
        <v>0.1</v>
      </c>
      <c r="F17" s="1505" t="str">
        <f>K119</f>
        <v>AAA</v>
      </c>
      <c r="G17" s="1511">
        <f>IF(F17="AAA",6, IF(F17="AA",5, IF(F17="A",4, IF(F17="BBB",3, IF(F17="BB",2,1)))))</f>
        <v>6</v>
      </c>
      <c r="H17" s="1503" t="s">
        <v>2713</v>
      </c>
      <c r="I17" s="1511">
        <f>IF(H17="AAA",6, IF(H17="AA",5, IF(H17="A",4, IF(H17="BBB",3, IF(H17="BB",2,1)))))</f>
        <v>6</v>
      </c>
      <c r="J17" s="1784"/>
      <c r="K17" s="1785"/>
    </row>
    <row r="18" spans="1:16" ht="23.25" customHeight="1">
      <c r="A18" s="91"/>
      <c r="B18" s="1793"/>
      <c r="C18" s="1783"/>
      <c r="D18" s="1506" t="s">
        <v>2505</v>
      </c>
      <c r="E18" s="1499">
        <f>E16+E17</f>
        <v>0.2</v>
      </c>
      <c r="F18" s="1500" t="str">
        <f>IF(G18&gt;=5.5,"AAA",IF(G18&gt;=4.5,"AA",IF(G18&gt;=3.5,"A", IF(G18&gt;=2.5,"BBB",IF(G18&gt;=1.5,"BB",IF(G18&gt;=0.5,"B"))))))</f>
        <v>AAA</v>
      </c>
      <c r="G18" s="1507">
        <f>+G16*E16/E18+G17*E17/E18</f>
        <v>6.0000000000000009</v>
      </c>
      <c r="H18" s="1500" t="str">
        <f>IF(I18&gt;=5.5,"AAA",IF(I18&gt;=4.5,"AA",IF(I18&gt;=3.5,"A", IF(I18&gt;=2.5,"BBB",IF(I18&gt;=1.5,"BB",IF(I18&gt;=0.5,"B"))))))</f>
        <v>AAA</v>
      </c>
      <c r="I18" s="1507">
        <f>+I16*E16/E18+I17*E17/E18</f>
        <v>6.0000000000000009</v>
      </c>
      <c r="J18" s="1781"/>
      <c r="K18" s="1782"/>
    </row>
    <row r="19" spans="1:16" ht="23.25" customHeight="1">
      <c r="A19" s="91"/>
      <c r="B19" s="1793"/>
      <c r="C19" s="1783" t="s">
        <v>2506</v>
      </c>
      <c r="D19" s="1501" t="s">
        <v>2507</v>
      </c>
      <c r="E19" s="1502">
        <v>0.2</v>
      </c>
      <c r="F19" s="1505" t="str">
        <f>K120</f>
        <v>AAA</v>
      </c>
      <c r="G19" s="1504">
        <f>IF(F19="AAA",6, IF(F19="AA",5, IF(F19="A",4, IF(F19="BBB",3, IF(F19="BB",2,1)))))</f>
        <v>6</v>
      </c>
      <c r="H19" s="1503" t="s">
        <v>2514</v>
      </c>
      <c r="I19" s="1504">
        <f t="shared" ref="I19" si="2">IF(H19="AAA",6, IF(H19="AA",5, IF(H19="A",4, IF(H19="BBB",3, IF(H19="BB",2,1)))))</f>
        <v>6</v>
      </c>
      <c r="J19" s="1786"/>
      <c r="K19" s="1795"/>
    </row>
    <row r="20" spans="1:16" ht="23.25" customHeight="1">
      <c r="A20" s="91"/>
      <c r="B20" s="1793"/>
      <c r="C20" s="1783"/>
      <c r="D20" s="1501" t="s">
        <v>2508</v>
      </c>
      <c r="E20" s="1502">
        <v>0.1</v>
      </c>
      <c r="F20" s="1505" t="str">
        <f>K122</f>
        <v>A</v>
      </c>
      <c r="G20" s="1504">
        <f>IF(F20="AAA",6, IF(F20="AA",5, IF(F20="A",4, IF(F20="BBB",3, IF(F20="BB",2,1)))))</f>
        <v>4</v>
      </c>
      <c r="H20" s="1503" t="s">
        <v>2714</v>
      </c>
      <c r="I20" s="1504">
        <f>IF(H20="AAA",6, IF(H20="AA",5, IF(H20="A",4, IF(H20="BBB",3, IF(H20="BB",2,1)))))</f>
        <v>3</v>
      </c>
      <c r="J20" s="1784" t="s">
        <v>2716</v>
      </c>
      <c r="K20" s="1785"/>
    </row>
    <row r="21" spans="1:16" ht="23.25" customHeight="1">
      <c r="A21" s="91"/>
      <c r="B21" s="1793"/>
      <c r="C21" s="1783"/>
      <c r="D21" s="1501" t="s">
        <v>2509</v>
      </c>
      <c r="E21" s="1502">
        <v>0.1</v>
      </c>
      <c r="F21" s="1505" t="str">
        <f>K123</f>
        <v>A</v>
      </c>
      <c r="G21" s="1504">
        <f>IF(F21="AAA",6, IF(F21="AA",5, IF(F21="A",4, IF(F21="BBB",3, IF(F21="BB",2,1)))))</f>
        <v>4</v>
      </c>
      <c r="H21" s="1503" t="s">
        <v>2715</v>
      </c>
      <c r="I21" s="1504">
        <f>IF(H21="AAA",6, IF(H21="AA",5, IF(H21="A",4, IF(H21="BBB",3, IF(H21="BB",2,1)))))</f>
        <v>3</v>
      </c>
      <c r="J21" s="1784" t="s">
        <v>2718</v>
      </c>
      <c r="K21" s="1785"/>
    </row>
    <row r="22" spans="1:16" ht="23.25" customHeight="1">
      <c r="A22" s="91"/>
      <c r="B22" s="1793"/>
      <c r="C22" s="1794"/>
      <c r="D22" s="1506" t="s">
        <v>2510</v>
      </c>
      <c r="E22" s="1499">
        <f>+E19+E21+E20</f>
        <v>0.4</v>
      </c>
      <c r="F22" s="1500" t="str">
        <f>IF(G22&gt;=5.5,"AAA",IF(G22&gt;=4.5,"AA",IF(G22&gt;=3.5,"A", IF(G22&gt;=2.5,"BBB",IF(G22&gt;=1.5,"BB",IF(G22&gt;=0.5,"B"))))))</f>
        <v>AA</v>
      </c>
      <c r="G22" s="1507">
        <f>+G19*E19/E22+G21*E21/E22+G20*E20/E22</f>
        <v>5</v>
      </c>
      <c r="H22" s="1500" t="str">
        <f>IF(I22&gt;=5.5,"AAA",IF(I22&gt;=4.5,"AA",IF(I22&gt;=3.5,"A", IF(I22&gt;=2.5,"BBB",IF(I22&gt;=1.5,"BB",IF(I22&gt;=0.5,"B"))))))</f>
        <v>AA</v>
      </c>
      <c r="I22" s="1507">
        <f>+I19*E19/E22+I21*E21/E22+I20*E20/E22</f>
        <v>4.5000000000000009</v>
      </c>
      <c r="J22" s="1781"/>
      <c r="K22" s="1782"/>
    </row>
    <row r="23" spans="1:16" ht="23.25" customHeight="1">
      <c r="A23" s="91"/>
      <c r="B23" s="1793"/>
      <c r="C23" s="1783" t="s">
        <v>2511</v>
      </c>
      <c r="D23" s="1501" t="s">
        <v>2512</v>
      </c>
      <c r="E23" s="1502">
        <v>0.15</v>
      </c>
      <c r="F23" s="1512" t="str">
        <f>K124</f>
        <v>A</v>
      </c>
      <c r="G23" s="1511">
        <f>IF(F23="AAA",6, IF(F23="AA",5, IF(F23="A",4, IF(F23="BBB",3, IF(F23="BB",2,1)))))</f>
        <v>4</v>
      </c>
      <c r="H23" s="1503" t="s">
        <v>252</v>
      </c>
      <c r="I23" s="1511">
        <f t="shared" ref="I23" si="3">IF(H23="AAA",6, IF(H23="AA",5, IF(H23="A",4, IF(H23="BBB",3, IF(H23="BB",2,1)))))</f>
        <v>3</v>
      </c>
      <c r="J23" s="1784" t="s">
        <v>2719</v>
      </c>
      <c r="K23" s="1785"/>
    </row>
    <row r="24" spans="1:16" ht="23.25" customHeight="1">
      <c r="A24" s="91"/>
      <c r="B24" s="1793"/>
      <c r="C24" s="1783"/>
      <c r="D24" s="1501" t="s">
        <v>2513</v>
      </c>
      <c r="E24" s="1502">
        <v>0.25</v>
      </c>
      <c r="F24" s="1503" t="s">
        <v>2514</v>
      </c>
      <c r="G24" s="1511">
        <f>IF(F24="AAA",6, IF(F24="AA",5, IF(F24="A",4, IF(F24="BBB",3, IF(F24="BB",2,1)))))</f>
        <v>6</v>
      </c>
      <c r="H24" s="1503" t="s">
        <v>2711</v>
      </c>
      <c r="I24" s="1511">
        <f>IF(H24="AAA",6, IF(H24="AA",5, IF(H24="A",4, IF(H24="BBB",3, IF(H24="BB",2,1)))))</f>
        <v>6</v>
      </c>
      <c r="J24" s="1786"/>
      <c r="K24" s="1787"/>
    </row>
    <row r="25" spans="1:16" ht="23.25" customHeight="1">
      <c r="A25" s="91"/>
      <c r="B25" s="1793"/>
      <c r="C25" s="1783"/>
      <c r="D25" s="1506" t="s">
        <v>2515</v>
      </c>
      <c r="E25" s="1499">
        <f>E23+E24</f>
        <v>0.4</v>
      </c>
      <c r="F25" s="1500" t="str">
        <f>IF(G25&gt;=5.5,"AAA",IF(G25&gt;=4.5,"AA",IF(G25&gt;=3.5,"A", IF(G25&gt;=2.5,"BBB",IF(G25&gt;=1.5,"BB",IF(G25&gt;=0.5,"B"))))))</f>
        <v>AA</v>
      </c>
      <c r="G25" s="1507">
        <f>+G23*E23/E25+G24*E24/E25</f>
        <v>5.25</v>
      </c>
      <c r="H25" s="1500" t="str">
        <f>IF(I25&gt;=5.5,"AAA",IF(I25&gt;=4.5,"AA",IF(I25&gt;=3.5,"A", IF(I25&gt;=2.5,"BBB",IF(I25&gt;=1.5,"BB",IF(I25&gt;=0.5,"B"))))))</f>
        <v>AA</v>
      </c>
      <c r="I25" s="1507">
        <f>+I23*E23/E25+I24*E24/E25</f>
        <v>4.875</v>
      </c>
      <c r="J25" s="1788"/>
      <c r="K25" s="1789"/>
    </row>
    <row r="26" spans="1:16" ht="21.75" customHeight="1">
      <c r="A26" s="91"/>
      <c r="B26" s="1790" t="s">
        <v>2516</v>
      </c>
      <c r="C26" s="1790"/>
      <c r="D26" s="1790"/>
      <c r="E26" s="1513">
        <f>+E18+E25+E22</f>
        <v>1</v>
      </c>
      <c r="F26" s="1509" t="str">
        <f>IF(G26&gt;=5.5,"AAA",IF(G26&gt;=4.5,"AA",IF(G26&gt;=3.5,"A", IF(G26&gt;=2.5,"BBB",IF(G26&gt;=1.5,"BB",IF(G26&gt;=0.5,"B"))))))</f>
        <v>AA</v>
      </c>
      <c r="G26" s="1510">
        <f>G18*$E$18+G25*$E$25+G22*$E$22</f>
        <v>5.3000000000000007</v>
      </c>
      <c r="H26" s="1509" t="str">
        <f>IF(I26&gt;=5.5,"AAA",IF(I26&gt;=4.5,"AA",IF(I26&gt;=3.5,"A", IF(I26&gt;=2.5,"BBB",IF(I26&gt;=1.5,"BB",IF(I26&gt;=0.5,"B"))))))</f>
        <v>AA</v>
      </c>
      <c r="I26" s="1510">
        <f>I18*$E$18+I25*$E$25+I22*$E$22</f>
        <v>4.9500000000000011</v>
      </c>
      <c r="J26" s="1791"/>
      <c r="K26" s="1778"/>
    </row>
    <row r="27" spans="1:16" ht="18" customHeight="1">
      <c r="A27" s="91"/>
      <c r="B27" s="1730" t="s">
        <v>2517</v>
      </c>
      <c r="C27" s="1731"/>
      <c r="D27" s="1731"/>
      <c r="E27" s="1732"/>
      <c r="F27" s="1774" t="str">
        <f>G67</f>
        <v>aa</v>
      </c>
      <c r="G27" s="1775"/>
      <c r="H27" s="1776"/>
      <c r="I27" s="1777"/>
      <c r="J27" s="1733" t="str">
        <f>"선택된 조합: "&amp;E67&amp;", 조합 내 등급선택: "&amp;F67&amp;"번째"</f>
        <v>선택된 조합: aa-/aa/aa+, 조합 내 등급선택: 2번째</v>
      </c>
      <c r="K27" s="1778"/>
    </row>
    <row r="28" spans="1:16" ht="18" customHeight="1">
      <c r="A28" s="91"/>
      <c r="B28" s="1730" t="s">
        <v>2518</v>
      </c>
      <c r="C28" s="1731"/>
      <c r="D28" s="1731"/>
      <c r="E28" s="1732"/>
      <c r="F28" s="1779"/>
      <c r="G28" s="1777"/>
      <c r="H28" s="1774" t="str">
        <f>J67</f>
        <v>aa</v>
      </c>
      <c r="I28" s="1780"/>
      <c r="J28" s="1733" t="str">
        <f>"선택된 조합: "&amp;H67&amp;", 조합 내 등급선택: "&amp;I67&amp;"번째"</f>
        <v>선택된 조합: aa-/aa/aa+, 조합 내 등급선택: 2번째</v>
      </c>
      <c r="K28" s="1778"/>
    </row>
    <row r="29" spans="1:16" ht="16.5" customHeight="1">
      <c r="A29" s="91"/>
      <c r="B29" s="1767" t="s">
        <v>2519</v>
      </c>
      <c r="C29" s="1768"/>
      <c r="D29" s="1768"/>
      <c r="E29" s="1769"/>
      <c r="F29" s="1770" t="s">
        <v>1319</v>
      </c>
      <c r="G29" s="1771"/>
      <c r="H29" s="1771"/>
      <c r="I29" s="1772"/>
      <c r="J29" s="1733"/>
      <c r="K29" s="1773"/>
    </row>
    <row r="30" spans="1:16" ht="18" customHeight="1">
      <c r="A30" s="91"/>
      <c r="B30" s="1767" t="s">
        <v>2520</v>
      </c>
      <c r="C30" s="1768"/>
      <c r="D30" s="1768"/>
      <c r="E30" s="1769"/>
      <c r="F30" s="1770" t="s">
        <v>1319</v>
      </c>
      <c r="G30" s="1771"/>
      <c r="H30" s="1771"/>
      <c r="I30" s="1772"/>
      <c r="J30" s="1733"/>
      <c r="K30" s="1734"/>
    </row>
    <row r="31" spans="1:16">
      <c r="A31" s="91"/>
      <c r="B31" s="1741" t="s">
        <v>271</v>
      </c>
      <c r="C31" s="1742"/>
      <c r="D31" s="1742"/>
      <c r="E31" s="1732"/>
      <c r="F31" s="1761" t="s">
        <v>1320</v>
      </c>
      <c r="G31" s="1762"/>
      <c r="H31" s="1762"/>
      <c r="I31" s="1763"/>
      <c r="J31" s="1733"/>
      <c r="K31" s="1734"/>
    </row>
    <row r="32" spans="1:16">
      <c r="A32" s="91"/>
      <c r="B32" s="1741" t="s">
        <v>2521</v>
      </c>
      <c r="C32" s="1742"/>
      <c r="D32" s="1742"/>
      <c r="E32" s="1732"/>
      <c r="F32" s="1764" t="s">
        <v>1321</v>
      </c>
      <c r="G32" s="1765"/>
      <c r="H32" s="1765"/>
      <c r="I32" s="1766"/>
      <c r="J32" s="1733"/>
      <c r="K32" s="1734"/>
      <c r="L32" s="1514"/>
      <c r="M32" s="1514"/>
      <c r="N32" s="1514"/>
      <c r="O32" s="1514"/>
      <c r="P32" s="1514"/>
    </row>
    <row r="33" spans="1:29" ht="16.5" customHeight="1">
      <c r="A33" s="91"/>
      <c r="B33" s="1730" t="s">
        <v>2522</v>
      </c>
      <c r="C33" s="1731"/>
      <c r="D33" s="1731"/>
      <c r="E33" s="1732"/>
      <c r="F33" s="1730" t="s">
        <v>2263</v>
      </c>
      <c r="G33" s="1736"/>
      <c r="H33" s="1736"/>
      <c r="I33" s="1737"/>
      <c r="J33" s="1733"/>
      <c r="K33" s="1734"/>
    </row>
    <row r="34" spans="1:29" ht="16.5" customHeight="1">
      <c r="A34" s="91"/>
      <c r="B34" s="1741" t="s">
        <v>2523</v>
      </c>
      <c r="C34" s="1742"/>
      <c r="D34" s="1742"/>
      <c r="E34" s="1732"/>
      <c r="F34" s="1758" t="s">
        <v>2107</v>
      </c>
      <c r="G34" s="1759"/>
      <c r="H34" s="1759"/>
      <c r="I34" s="1760"/>
      <c r="J34" s="1747" t="s">
        <v>2262</v>
      </c>
      <c r="K34" s="1754"/>
    </row>
    <row r="35" spans="1:29">
      <c r="A35" s="91"/>
      <c r="B35" s="1741" t="s">
        <v>2524</v>
      </c>
      <c r="C35" s="1742"/>
      <c r="D35" s="1742"/>
      <c r="E35" s="1732"/>
      <c r="F35" s="1744" t="s">
        <v>2248</v>
      </c>
      <c r="G35" s="1756"/>
      <c r="H35" s="1756"/>
      <c r="I35" s="1757"/>
      <c r="J35" s="1747"/>
      <c r="K35" s="1734"/>
    </row>
    <row r="36" spans="1:29" s="1515" customFormat="1">
      <c r="A36" s="91"/>
      <c r="B36" s="1730" t="s">
        <v>2525</v>
      </c>
      <c r="C36" s="1731"/>
      <c r="D36" s="1731"/>
      <c r="E36" s="1751"/>
      <c r="F36" s="1755">
        <v>0</v>
      </c>
      <c r="G36" s="1752"/>
      <c r="H36" s="1752"/>
      <c r="I36" s="1753"/>
      <c r="J36" s="1747"/>
      <c r="K36" s="1754"/>
    </row>
    <row r="37" spans="1:29" s="1515" customFormat="1" ht="16.5" customHeight="1">
      <c r="A37" s="91"/>
      <c r="B37" s="1730" t="s">
        <v>2526</v>
      </c>
      <c r="C37" s="1731"/>
      <c r="D37" s="1731"/>
      <c r="E37" s="1751"/>
      <c r="F37" s="1730">
        <v>0</v>
      </c>
      <c r="G37" s="1752"/>
      <c r="H37" s="1752"/>
      <c r="I37" s="1753"/>
      <c r="J37" s="1747"/>
      <c r="K37" s="1754"/>
    </row>
    <row r="38" spans="1:29" s="1515" customFormat="1" ht="16.5" customHeight="1">
      <c r="A38" s="91"/>
      <c r="B38" s="1730" t="s">
        <v>2527</v>
      </c>
      <c r="C38" s="1731"/>
      <c r="D38" s="1731"/>
      <c r="E38" s="1751"/>
      <c r="F38" s="1755">
        <v>0</v>
      </c>
      <c r="G38" s="1752"/>
      <c r="H38" s="1752"/>
      <c r="I38" s="1753"/>
      <c r="J38" s="1747"/>
      <c r="K38" s="1754"/>
    </row>
    <row r="39" spans="1:29" ht="16.5" customHeight="1">
      <c r="A39" s="91"/>
      <c r="B39" s="1741" t="s">
        <v>2528</v>
      </c>
      <c r="C39" s="1742"/>
      <c r="D39" s="1742"/>
      <c r="E39" s="1743"/>
      <c r="F39" s="1744" t="s">
        <v>2137</v>
      </c>
      <c r="G39" s="1745"/>
      <c r="H39" s="1745"/>
      <c r="I39" s="1746"/>
      <c r="J39" s="1747"/>
      <c r="K39" s="1748"/>
    </row>
    <row r="40" spans="1:29" ht="16.5" customHeight="1">
      <c r="A40" s="91"/>
      <c r="B40" s="1730" t="s">
        <v>2529</v>
      </c>
      <c r="C40" s="1731"/>
      <c r="D40" s="1731"/>
      <c r="E40" s="1732"/>
      <c r="F40" s="1730" t="s">
        <v>2265</v>
      </c>
      <c r="G40" s="1749"/>
      <c r="H40" s="1749"/>
      <c r="I40" s="1750"/>
      <c r="J40" s="1733"/>
      <c r="K40" s="1734"/>
    </row>
    <row r="41" spans="1:29" ht="16.5" customHeight="1">
      <c r="A41" s="91"/>
      <c r="B41" s="1730" t="s">
        <v>2530</v>
      </c>
      <c r="C41" s="1731"/>
      <c r="D41" s="1731"/>
      <c r="E41" s="1732"/>
      <c r="F41" s="92" t="s">
        <v>2474</v>
      </c>
      <c r="G41" s="93"/>
      <c r="H41" s="92" t="s">
        <v>2475</v>
      </c>
      <c r="I41" s="93"/>
      <c r="J41" s="1733" t="s">
        <v>2645</v>
      </c>
      <c r="K41" s="1734"/>
    </row>
    <row r="42" spans="1:29" ht="16.5" customHeight="1">
      <c r="A42" s="1516"/>
      <c r="B42" s="1730" t="s">
        <v>2531</v>
      </c>
      <c r="C42" s="1731"/>
      <c r="D42" s="1731"/>
      <c r="E42" s="1732"/>
      <c r="F42" s="1735" t="s">
        <v>2477</v>
      </c>
      <c r="G42" s="1736"/>
      <c r="H42" s="1736"/>
      <c r="I42" s="1737"/>
      <c r="J42" s="1738"/>
      <c r="K42" s="1734"/>
    </row>
    <row r="43" spans="1:29">
      <c r="A43" s="1517"/>
      <c r="F43" s="1518"/>
      <c r="G43" s="1518"/>
      <c r="H43" s="1518"/>
      <c r="J43" s="1518"/>
    </row>
    <row r="44" spans="1:29" hidden="1">
      <c r="A44" s="1517"/>
      <c r="B44" s="1519" t="s">
        <v>2532</v>
      </c>
      <c r="F44" s="1518"/>
      <c r="G44" s="1518"/>
      <c r="H44" s="1518"/>
      <c r="J44" s="1518"/>
    </row>
    <row r="45" spans="1:29" hidden="1" outlineLevel="1">
      <c r="A45" s="1517"/>
      <c r="B45" s="1520"/>
      <c r="H45" s="1518"/>
      <c r="I45" s="1518"/>
      <c r="J45" s="1518"/>
      <c r="Y45" s="1518"/>
      <c r="AB45" s="1518"/>
      <c r="AC45" s="1520"/>
    </row>
    <row r="46" spans="1:29" hidden="1" outlineLevel="1">
      <c r="A46" s="1517"/>
      <c r="B46" s="1494" t="s">
        <v>2533</v>
      </c>
      <c r="Y46" s="1518"/>
      <c r="AB46" s="1518"/>
      <c r="AC46" s="1520"/>
    </row>
    <row r="47" spans="1:29" hidden="1" outlineLevel="1">
      <c r="A47" s="1517"/>
      <c r="B47" s="1494" t="s">
        <v>2534</v>
      </c>
      <c r="Y47" s="1518"/>
      <c r="AB47" s="1518"/>
      <c r="AC47" s="1520"/>
    </row>
    <row r="48" spans="1:29" hidden="1" outlineLevel="1">
      <c r="A48" s="1517"/>
      <c r="B48" s="1739" t="s">
        <v>277</v>
      </c>
      <c r="C48" s="1521" t="s">
        <v>278</v>
      </c>
      <c r="D48" s="1522">
        <v>6</v>
      </c>
      <c r="E48" s="1523" t="s">
        <v>279</v>
      </c>
      <c r="F48" s="1524" t="s">
        <v>2535</v>
      </c>
      <c r="G48" s="1523" t="s">
        <v>2536</v>
      </c>
      <c r="H48" s="1523" t="s">
        <v>2537</v>
      </c>
      <c r="I48" s="1523" t="s">
        <v>2538</v>
      </c>
      <c r="J48" s="1525" t="s">
        <v>278</v>
      </c>
      <c r="Y48" s="1518"/>
      <c r="AB48" s="1518"/>
      <c r="AC48" s="1520"/>
    </row>
    <row r="49" spans="1:29" hidden="1" outlineLevel="1">
      <c r="A49" s="1517"/>
      <c r="B49" s="1740"/>
      <c r="C49" s="1526" t="s">
        <v>280</v>
      </c>
      <c r="D49" s="1527">
        <v>5</v>
      </c>
      <c r="E49" s="1528" t="s">
        <v>279</v>
      </c>
      <c r="F49" s="1529" t="s">
        <v>2539</v>
      </c>
      <c r="G49" s="1528" t="s">
        <v>2540</v>
      </c>
      <c r="H49" s="1528" t="s">
        <v>2541</v>
      </c>
      <c r="I49" s="1528" t="s">
        <v>2542</v>
      </c>
      <c r="J49" s="1530" t="s">
        <v>2543</v>
      </c>
      <c r="Y49" s="1518"/>
      <c r="AB49" s="1518"/>
      <c r="AC49" s="1520"/>
    </row>
    <row r="50" spans="1:29" hidden="1" outlineLevel="1">
      <c r="A50" s="1517"/>
      <c r="B50" s="1740"/>
      <c r="C50" s="1526" t="s">
        <v>281</v>
      </c>
      <c r="D50" s="1527">
        <v>4</v>
      </c>
      <c r="E50" s="1528" t="s">
        <v>2544</v>
      </c>
      <c r="F50" s="1529" t="s">
        <v>282</v>
      </c>
      <c r="G50" s="1528" t="s">
        <v>2545</v>
      </c>
      <c r="H50" s="1528" t="s">
        <v>2546</v>
      </c>
      <c r="I50" s="1528" t="s">
        <v>2537</v>
      </c>
      <c r="J50" s="1530" t="s">
        <v>283</v>
      </c>
      <c r="Y50" s="1518"/>
      <c r="AB50" s="1518"/>
      <c r="AC50" s="1520"/>
    </row>
    <row r="51" spans="1:29" hidden="1" outlineLevel="1">
      <c r="A51" s="1517"/>
      <c r="B51" s="1740"/>
      <c r="C51" s="1526" t="s">
        <v>284</v>
      </c>
      <c r="D51" s="1527">
        <v>3</v>
      </c>
      <c r="E51" s="1528" t="s">
        <v>285</v>
      </c>
      <c r="F51" s="1529" t="s">
        <v>2547</v>
      </c>
      <c r="G51" s="1528" t="s">
        <v>2548</v>
      </c>
      <c r="H51" s="1528" t="s">
        <v>2540</v>
      </c>
      <c r="I51" s="1528" t="s">
        <v>2541</v>
      </c>
      <c r="J51" s="1530" t="s">
        <v>2549</v>
      </c>
      <c r="Y51" s="1518"/>
      <c r="AB51" s="1518"/>
      <c r="AC51" s="1520"/>
    </row>
    <row r="52" spans="1:29" hidden="1" outlineLevel="1">
      <c r="A52" s="1517"/>
      <c r="B52" s="1740"/>
      <c r="C52" s="1526" t="s">
        <v>286</v>
      </c>
      <c r="D52" s="1527">
        <v>2</v>
      </c>
      <c r="E52" s="1531" t="s">
        <v>287</v>
      </c>
      <c r="F52" s="1532" t="s">
        <v>2550</v>
      </c>
      <c r="G52" s="1531" t="s">
        <v>2551</v>
      </c>
      <c r="H52" s="1531" t="s">
        <v>282</v>
      </c>
      <c r="I52" s="1531" t="s">
        <v>2552</v>
      </c>
      <c r="J52" s="1533" t="s">
        <v>2548</v>
      </c>
      <c r="Y52" s="1518"/>
      <c r="AB52" s="1518"/>
      <c r="AC52" s="1520"/>
    </row>
    <row r="53" spans="1:29" hidden="1" outlineLevel="1">
      <c r="A53" s="1517"/>
      <c r="B53" s="1740"/>
      <c r="C53" s="1526" t="s">
        <v>288</v>
      </c>
      <c r="D53" s="1527">
        <v>1</v>
      </c>
      <c r="E53" s="1534" t="s">
        <v>2553</v>
      </c>
      <c r="F53" s="1535" t="s">
        <v>2554</v>
      </c>
      <c r="G53" s="1534" t="s">
        <v>2555</v>
      </c>
      <c r="H53" s="1534" t="s">
        <v>2555</v>
      </c>
      <c r="I53" s="1534" t="s">
        <v>2550</v>
      </c>
      <c r="J53" s="1536" t="s">
        <v>2550</v>
      </c>
      <c r="Y53" s="1518"/>
      <c r="AB53" s="1518"/>
      <c r="AC53" s="1520"/>
    </row>
    <row r="54" spans="1:29" hidden="1" outlineLevel="1">
      <c r="A54" s="1517"/>
      <c r="B54" s="1537"/>
      <c r="C54" s="1538"/>
      <c r="D54" s="1539"/>
      <c r="E54" s="1521">
        <v>1</v>
      </c>
      <c r="F54" s="1521">
        <v>2</v>
      </c>
      <c r="G54" s="1521">
        <v>3</v>
      </c>
      <c r="H54" s="1521">
        <v>4</v>
      </c>
      <c r="I54" s="1521">
        <v>5</v>
      </c>
      <c r="J54" s="1522">
        <v>6</v>
      </c>
      <c r="Y54" s="1518"/>
      <c r="AB54" s="1518"/>
      <c r="AC54" s="1520"/>
    </row>
    <row r="55" spans="1:29" hidden="1" outlineLevel="1">
      <c r="A55" s="1517"/>
      <c r="B55" s="1540"/>
      <c r="C55" s="1541"/>
      <c r="D55" s="1542"/>
      <c r="E55" s="1526" t="s">
        <v>288</v>
      </c>
      <c r="F55" s="1526" t="s">
        <v>286</v>
      </c>
      <c r="G55" s="1526" t="s">
        <v>284</v>
      </c>
      <c r="H55" s="1526" t="s">
        <v>281</v>
      </c>
      <c r="I55" s="1526" t="s">
        <v>280</v>
      </c>
      <c r="J55" s="1527" t="s">
        <v>278</v>
      </c>
      <c r="Y55" s="1518"/>
      <c r="AB55" s="1518"/>
      <c r="AC55" s="1520"/>
    </row>
    <row r="56" spans="1:29" hidden="1" outlineLevel="1">
      <c r="A56" s="1517"/>
      <c r="B56" s="1543"/>
      <c r="C56" s="1544"/>
      <c r="D56" s="1545"/>
      <c r="E56" s="1719" t="s">
        <v>289</v>
      </c>
      <c r="F56" s="1720"/>
      <c r="G56" s="1720"/>
      <c r="H56" s="1720"/>
      <c r="I56" s="1720"/>
      <c r="J56" s="1721"/>
      <c r="Y56" s="1518"/>
      <c r="AB56" s="1518"/>
      <c r="AC56" s="1520"/>
    </row>
    <row r="57" spans="1:29" hidden="1" outlineLevel="1">
      <c r="A57" s="1517"/>
      <c r="B57" s="1546" t="s">
        <v>2556</v>
      </c>
      <c r="C57" s="1547"/>
      <c r="D57" s="1548"/>
      <c r="E57" s="1549">
        <f>F57-1</f>
        <v>0.49999999999</v>
      </c>
      <c r="F57" s="1549">
        <f>G57-1</f>
        <v>1.49999999999</v>
      </c>
      <c r="G57" s="1549">
        <f>H57-1</f>
        <v>2.49999999999</v>
      </c>
      <c r="H57" s="1549">
        <f>I57-1</f>
        <v>3.49999999999</v>
      </c>
      <c r="I57" s="1549">
        <f>J57-1</f>
        <v>4.49999999999</v>
      </c>
      <c r="J57" s="1550">
        <v>5.49999999999</v>
      </c>
      <c r="Y57" s="1518"/>
      <c r="AB57" s="1518"/>
      <c r="AC57" s="1520"/>
    </row>
    <row r="58" spans="1:29" hidden="1" outlineLevel="1">
      <c r="A58" s="1517"/>
      <c r="Y58" s="1518"/>
      <c r="AB58" s="1518"/>
      <c r="AC58" s="1520"/>
    </row>
    <row r="59" spans="1:29" hidden="1" outlineLevel="1">
      <c r="A59" s="1517"/>
      <c r="B59" s="1494" t="s">
        <v>2557</v>
      </c>
      <c r="Y59" s="1518"/>
      <c r="AB59" s="1518"/>
      <c r="AC59" s="1520"/>
    </row>
    <row r="60" spans="1:29" hidden="1" outlineLevel="1">
      <c r="A60" s="1517"/>
      <c r="B60" s="1551"/>
      <c r="C60" s="1552"/>
      <c r="D60" s="1552"/>
      <c r="E60" s="1722" t="s">
        <v>291</v>
      </c>
      <c r="F60" s="1723"/>
      <c r="G60" s="1722" t="s">
        <v>292</v>
      </c>
      <c r="H60" s="1724"/>
      <c r="I60" s="1723"/>
      <c r="Y60" s="1518"/>
      <c r="AB60" s="1518"/>
      <c r="AC60" s="1520"/>
    </row>
    <row r="61" spans="1:29" hidden="1" outlineLevel="1">
      <c r="A61" s="1517"/>
      <c r="B61" s="1553" t="s">
        <v>2558</v>
      </c>
      <c r="C61" s="1554"/>
      <c r="D61" s="1555"/>
      <c r="E61" s="1556" t="s">
        <v>294</v>
      </c>
      <c r="F61" s="1557" t="s">
        <v>295</v>
      </c>
      <c r="G61" s="1558" t="s">
        <v>296</v>
      </c>
      <c r="H61" s="1558" t="s">
        <v>297</v>
      </c>
      <c r="I61" s="1557" t="s">
        <v>298</v>
      </c>
      <c r="Y61" s="1518"/>
      <c r="AB61" s="1518"/>
      <c r="AC61" s="1520"/>
    </row>
    <row r="62" spans="1:29" hidden="1" outlineLevel="1">
      <c r="A62" s="1517"/>
      <c r="B62" s="1559" t="s">
        <v>2559</v>
      </c>
      <c r="C62" s="1560"/>
      <c r="D62" s="1561"/>
      <c r="E62" s="1562" t="s">
        <v>2560</v>
      </c>
      <c r="F62" s="1563" t="s">
        <v>2561</v>
      </c>
      <c r="G62" s="1564" t="s">
        <v>2560</v>
      </c>
      <c r="H62" s="1564" t="s">
        <v>2562</v>
      </c>
      <c r="I62" s="1563" t="s">
        <v>2561</v>
      </c>
      <c r="Y62" s="1518"/>
      <c r="AB62" s="1518"/>
      <c r="AC62" s="1520"/>
    </row>
    <row r="63" spans="1:29" hidden="1" outlineLevel="1">
      <c r="A63" s="1517"/>
      <c r="B63" s="1565"/>
      <c r="C63" s="1566"/>
      <c r="D63" s="1566"/>
      <c r="E63" s="1567">
        <v>-1.0000000000000001E-15</v>
      </c>
      <c r="F63" s="1568">
        <v>0.49999999999</v>
      </c>
      <c r="G63" s="1569">
        <v>-1.0000000000000001E-15</v>
      </c>
      <c r="H63" s="1570">
        <v>0.29999999999999899</v>
      </c>
      <c r="I63" s="1568">
        <v>0.69999999998999995</v>
      </c>
      <c r="Y63" s="1518"/>
      <c r="AB63" s="1518"/>
      <c r="AC63" s="1520"/>
    </row>
    <row r="64" spans="1:29" hidden="1" outlineLevel="1">
      <c r="A64" s="1517"/>
      <c r="U64" s="1518"/>
      <c r="V64" s="1518"/>
      <c r="W64" s="1518"/>
      <c r="Y64" s="1518"/>
      <c r="AB64" s="1518"/>
      <c r="AC64" s="1520"/>
    </row>
    <row r="65" spans="1:29" hidden="1" outlineLevel="1">
      <c r="A65" s="1517"/>
      <c r="B65" s="1494" t="s">
        <v>2563</v>
      </c>
      <c r="U65" s="1518"/>
      <c r="V65" s="1518"/>
      <c r="W65" s="1518"/>
      <c r="Y65" s="1518"/>
      <c r="AB65" s="1518"/>
      <c r="AC65" s="1520"/>
    </row>
    <row r="66" spans="1:29" hidden="1" outlineLevel="1">
      <c r="A66" s="1517"/>
      <c r="E66" s="1571" t="s">
        <v>2564</v>
      </c>
      <c r="F66" s="1572" t="s">
        <v>2565</v>
      </c>
      <c r="G66" s="1572" t="s">
        <v>2566</v>
      </c>
      <c r="H66" s="1571" t="s">
        <v>2567</v>
      </c>
      <c r="I66" s="1572" t="s">
        <v>2565</v>
      </c>
      <c r="J66" s="1572" t="s">
        <v>2566</v>
      </c>
      <c r="U66" s="1518"/>
      <c r="V66" s="1518"/>
      <c r="W66" s="1518"/>
      <c r="Y66" s="1518"/>
      <c r="AB66" s="1518"/>
      <c r="AC66" s="1520"/>
    </row>
    <row r="67" spans="1:29" hidden="1" outlineLevel="1">
      <c r="A67" s="1517"/>
      <c r="E67" s="1573" t="str">
        <f>INDEX($D$48:$J$54,MATCH(MATCH(G$26,$E$57:$J$57,1),$D$48:$D$54,FALSE),MATCH(MATCH(G$15,$E$57:$J$57,1),$D$54:$J$54,FALSE))</f>
        <v>aa-/aa/aa+</v>
      </c>
      <c r="F67" s="1574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1574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1573" t="str">
        <f>INDEX($D$48:$J$54,MATCH(MATCH(I$26,$E$57:$J$57,1),$D$48:$D$54,FALSE),MATCH(MATCH(I$15,$E$57:$J$57,1),$D$54:$J$54,FALSE))</f>
        <v>aa-/aa/aa+</v>
      </c>
      <c r="I67" s="1574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1574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1518"/>
      <c r="V67" s="1518"/>
      <c r="W67" s="1518"/>
      <c r="Y67" s="1518"/>
      <c r="AB67" s="1518"/>
      <c r="AC67" s="1520"/>
    </row>
    <row r="68" spans="1:29" hidden="1" collapsed="1">
      <c r="A68" s="1517"/>
      <c r="U68" s="1518"/>
      <c r="V68" s="1518"/>
      <c r="W68" s="1518"/>
      <c r="Y68" s="1518"/>
      <c r="AB68" s="1518"/>
      <c r="AC68" s="1520"/>
    </row>
    <row r="69" spans="1:29" hidden="1">
      <c r="A69" s="1517"/>
      <c r="B69" s="1519" t="s">
        <v>2568</v>
      </c>
      <c r="U69" s="1518"/>
      <c r="V69" s="1518"/>
      <c r="W69" s="1518"/>
      <c r="Y69" s="1518"/>
      <c r="AB69" s="1518"/>
      <c r="AC69" s="1520"/>
    </row>
    <row r="70" spans="1:29" hidden="1">
      <c r="A70" s="1517"/>
      <c r="B70" s="1575" t="s">
        <v>2569</v>
      </c>
      <c r="C70" s="1576"/>
      <c r="D70" s="1576"/>
      <c r="E70" s="1576"/>
      <c r="U70" s="1518"/>
      <c r="V70" s="1518"/>
      <c r="W70" s="1518"/>
      <c r="Y70" s="1518"/>
      <c r="AB70" s="1518"/>
      <c r="AC70" s="1520"/>
    </row>
    <row r="71" spans="1:29" hidden="1">
      <c r="A71" s="1517"/>
      <c r="B71" s="1576" t="s">
        <v>2570</v>
      </c>
      <c r="C71" s="1576"/>
      <c r="D71" s="1576"/>
      <c r="E71" s="1576"/>
      <c r="U71" s="1518"/>
      <c r="V71" s="1518"/>
      <c r="W71" s="1518"/>
      <c r="Y71" s="1518"/>
      <c r="AB71" s="1518"/>
      <c r="AC71" s="1520"/>
    </row>
    <row r="72" spans="1:29" hidden="1">
      <c r="A72" s="1517"/>
      <c r="B72" s="1576" t="s">
        <v>2571</v>
      </c>
      <c r="C72" s="1576"/>
      <c r="D72" s="1576"/>
      <c r="E72" s="1576"/>
      <c r="U72" s="1518"/>
      <c r="V72" s="1518"/>
      <c r="W72" s="1518"/>
      <c r="Y72" s="1518"/>
      <c r="AB72" s="1518"/>
      <c r="AC72" s="1520"/>
    </row>
    <row r="73" spans="1:29" hidden="1">
      <c r="A73" s="1517"/>
      <c r="B73" s="1576" t="s">
        <v>2572</v>
      </c>
      <c r="C73" s="1576"/>
      <c r="D73" s="1576"/>
      <c r="E73" s="1576"/>
      <c r="U73" s="1518"/>
      <c r="V73" s="1518"/>
      <c r="W73" s="1518"/>
      <c r="Y73" s="1518"/>
      <c r="AB73" s="1518"/>
      <c r="AC73" s="1520"/>
    </row>
    <row r="74" spans="1:29" hidden="1">
      <c r="A74" s="1517"/>
      <c r="B74" s="1576" t="s">
        <v>2573</v>
      </c>
      <c r="C74" s="1576"/>
      <c r="D74" s="1576"/>
      <c r="E74" s="1576"/>
      <c r="U74" s="1518"/>
      <c r="V74" s="1518"/>
      <c r="W74" s="1518"/>
      <c r="Y74" s="1518"/>
      <c r="AB74" s="1518"/>
      <c r="AC74" s="1520"/>
    </row>
    <row r="75" spans="1:29" hidden="1">
      <c r="A75" s="1517"/>
      <c r="B75" s="1576" t="s">
        <v>2574</v>
      </c>
      <c r="C75" s="1576"/>
      <c r="D75" s="1576"/>
      <c r="E75" s="1576"/>
      <c r="U75" s="1518"/>
      <c r="V75" s="1518"/>
      <c r="W75" s="1518"/>
      <c r="Y75" s="1518"/>
      <c r="AB75" s="1518"/>
      <c r="AC75" s="1520"/>
    </row>
    <row r="76" spans="1:29" hidden="1">
      <c r="A76" s="1517"/>
      <c r="B76" s="1576" t="s">
        <v>2575</v>
      </c>
      <c r="C76" s="1576"/>
      <c r="D76" s="1576"/>
      <c r="E76" s="1576"/>
      <c r="U76" s="1518"/>
      <c r="V76" s="1518"/>
      <c r="W76" s="1518"/>
      <c r="Y76" s="1518"/>
      <c r="AB76" s="1518"/>
      <c r="AC76" s="1520"/>
    </row>
    <row r="77" spans="1:29" hidden="1">
      <c r="A77" s="1517"/>
      <c r="B77" s="1576" t="s">
        <v>2576</v>
      </c>
      <c r="C77" s="1576"/>
      <c r="D77" s="1576"/>
      <c r="E77" s="1576"/>
      <c r="U77" s="1518"/>
      <c r="V77" s="1518"/>
      <c r="W77" s="1518"/>
      <c r="Y77" s="1518"/>
      <c r="AB77" s="1518"/>
      <c r="AC77" s="1520"/>
    </row>
    <row r="78" spans="1:29" hidden="1">
      <c r="A78" s="1517"/>
      <c r="B78" s="1576" t="s">
        <v>2577</v>
      </c>
      <c r="C78" s="1576"/>
      <c r="D78" s="1576"/>
      <c r="E78" s="1576"/>
      <c r="U78" s="1518"/>
      <c r="V78" s="1518"/>
      <c r="W78" s="1518"/>
      <c r="Y78" s="1518"/>
      <c r="AB78" s="1518"/>
      <c r="AC78" s="1520"/>
    </row>
    <row r="79" spans="1:29" hidden="1">
      <c r="A79" s="1517"/>
      <c r="B79" s="1576" t="s">
        <v>2578</v>
      </c>
      <c r="C79" s="1576"/>
      <c r="D79" s="1576"/>
      <c r="E79" s="1576"/>
      <c r="U79" s="1518"/>
      <c r="V79" s="1518"/>
      <c r="W79" s="1518"/>
      <c r="Y79" s="1518"/>
      <c r="AB79" s="1518"/>
      <c r="AC79" s="1520"/>
    </row>
    <row r="80" spans="1:29" hidden="1">
      <c r="A80" s="1517"/>
      <c r="U80" s="1518"/>
      <c r="V80" s="1518"/>
      <c r="W80" s="1518"/>
      <c r="Y80" s="1518"/>
      <c r="AB80" s="1518"/>
      <c r="AC80" s="1520"/>
    </row>
    <row r="81" spans="1:29" hidden="1">
      <c r="A81" s="1517"/>
      <c r="H81" s="91"/>
      <c r="I81" s="91"/>
      <c r="U81" s="1518"/>
      <c r="V81" s="1518"/>
      <c r="W81" s="1518"/>
      <c r="Y81" s="1518"/>
      <c r="Z81" s="1577"/>
      <c r="AA81" s="1518"/>
      <c r="AB81" s="1518"/>
      <c r="AC81" s="1520"/>
    </row>
    <row r="82" spans="1:29" hidden="1">
      <c r="A82" s="1517"/>
      <c r="B82" s="1578" t="s">
        <v>2579</v>
      </c>
      <c r="C82" s="91"/>
      <c r="D82" s="91"/>
      <c r="E82" s="91"/>
      <c r="F82" s="91"/>
      <c r="G82" s="91"/>
      <c r="H82" s="91"/>
      <c r="I82" s="91"/>
      <c r="S82" s="1518"/>
      <c r="T82" s="1518"/>
      <c r="U82" s="1518"/>
      <c r="W82" s="1518"/>
      <c r="X82" s="1577"/>
      <c r="Y82" s="1518"/>
      <c r="Z82" s="1518"/>
      <c r="AA82" s="1520"/>
    </row>
    <row r="83" spans="1:29" hidden="1">
      <c r="A83" s="1517"/>
      <c r="B83" s="1579" t="s">
        <v>2580</v>
      </c>
      <c r="C83" s="91"/>
      <c r="D83" s="91"/>
      <c r="E83" s="91"/>
      <c r="F83" s="91"/>
      <c r="G83" s="91"/>
      <c r="H83" s="91"/>
      <c r="I83" s="91"/>
      <c r="S83" s="1518"/>
      <c r="T83" s="1518"/>
      <c r="U83" s="1518"/>
      <c r="W83" s="1518"/>
      <c r="X83" s="1577"/>
      <c r="Y83" s="1518"/>
      <c r="Z83" s="1518"/>
      <c r="AA83" s="1520"/>
    </row>
    <row r="84" spans="1:29" hidden="1">
      <c r="A84" s="1517"/>
      <c r="B84" s="1579" t="s">
        <v>2581</v>
      </c>
      <c r="C84" s="91"/>
      <c r="D84" s="91"/>
      <c r="E84" s="91"/>
      <c r="F84" s="91"/>
      <c r="G84" s="91"/>
      <c r="H84" s="91"/>
      <c r="I84" s="91"/>
      <c r="Z84" s="1518"/>
      <c r="AA84" s="1520"/>
    </row>
    <row r="85" spans="1:29" hidden="1">
      <c r="A85" s="91"/>
      <c r="B85" s="1579" t="s">
        <v>2582</v>
      </c>
      <c r="C85" s="91"/>
      <c r="D85" s="91"/>
      <c r="E85" s="91"/>
      <c r="F85" s="91"/>
      <c r="G85" s="91"/>
      <c r="H85" s="91"/>
      <c r="I85" s="91"/>
      <c r="AA85" s="1580"/>
    </row>
    <row r="86" spans="1:29" hidden="1">
      <c r="A86" s="91"/>
      <c r="B86" s="1579" t="s">
        <v>2583</v>
      </c>
    </row>
    <row r="87" spans="1:29" hidden="1">
      <c r="A87" s="91"/>
      <c r="B87" s="1579" t="s">
        <v>2584</v>
      </c>
      <c r="C87" s="1581"/>
      <c r="D87" s="1581"/>
    </row>
    <row r="88" spans="1:29" hidden="1">
      <c r="A88" s="91"/>
      <c r="B88" s="1579" t="s">
        <v>2585</v>
      </c>
    </row>
    <row r="89" spans="1:29" hidden="1">
      <c r="A89" s="91"/>
      <c r="B89" s="1579" t="s">
        <v>310</v>
      </c>
    </row>
    <row r="90" spans="1:29" hidden="1">
      <c r="B90" s="1579" t="s">
        <v>2586</v>
      </c>
    </row>
    <row r="91" spans="1:29" hidden="1">
      <c r="B91" s="1579"/>
      <c r="C91" s="1582" t="s">
        <v>2587</v>
      </c>
      <c r="D91" s="1582" t="s">
        <v>2588</v>
      </c>
      <c r="E91" s="1582" t="s">
        <v>2499</v>
      </c>
      <c r="F91" s="1582" t="s">
        <v>2494</v>
      </c>
      <c r="G91" s="1582" t="s">
        <v>2589</v>
      </c>
      <c r="H91" s="1582" t="s">
        <v>2590</v>
      </c>
    </row>
    <row r="92" spans="1:29" hidden="1">
      <c r="B92" s="1579"/>
      <c r="C92" s="1582">
        <v>6</v>
      </c>
      <c r="D92" s="1582">
        <v>5</v>
      </c>
      <c r="E92" s="1582">
        <v>4</v>
      </c>
      <c r="F92" s="1582">
        <v>3</v>
      </c>
      <c r="G92" s="1582">
        <v>2</v>
      </c>
      <c r="H92" s="1582">
        <v>1</v>
      </c>
    </row>
    <row r="93" spans="1:29" hidden="1">
      <c r="B93" s="1579" t="s">
        <v>2591</v>
      </c>
    </row>
    <row r="94" spans="1:29" hidden="1">
      <c r="B94" s="1579" t="s">
        <v>2592</v>
      </c>
    </row>
    <row r="95" spans="1:29" hidden="1">
      <c r="B95" s="1579" t="s">
        <v>2593</v>
      </c>
    </row>
    <row r="96" spans="1:29" hidden="1">
      <c r="B96" s="1579"/>
    </row>
    <row r="98" spans="2:12">
      <c r="D98" s="1583" t="s">
        <v>388</v>
      </c>
      <c r="E98" s="1583" t="s">
        <v>389</v>
      </c>
      <c r="F98" s="1583" t="s">
        <v>576</v>
      </c>
      <c r="G98" s="1583" t="s">
        <v>2594</v>
      </c>
      <c r="H98" s="1583" t="s">
        <v>2595</v>
      </c>
      <c r="I98" s="1583" t="s">
        <v>2596</v>
      </c>
      <c r="J98" s="1583" t="s">
        <v>2597</v>
      </c>
      <c r="K98" s="1645" t="s">
        <v>2632</v>
      </c>
      <c r="L98" s="1646" t="s">
        <v>2633</v>
      </c>
    </row>
    <row r="100" spans="2:12">
      <c r="B100" s="1646" t="s">
        <v>2634</v>
      </c>
      <c r="K100" s="1647"/>
      <c r="L100" s="1586" t="e">
        <f t="shared" ref="L100:L111" si="4">AVERAGE(E100:I100)</f>
        <v>#DIV/0!</v>
      </c>
    </row>
    <row r="101" spans="2:12">
      <c r="B101" s="1646" t="s">
        <v>2635</v>
      </c>
      <c r="K101" s="1647" t="e">
        <f>IF(L101&gt;=10,"AAA",IF(L101&gt;=5,"AA",IF(L101&gt;=2,"A",IF(L101&gt;=0.5,"BBB","BB"))))</f>
        <v>#DIV/0!</v>
      </c>
      <c r="L101" s="1586" t="e">
        <f t="shared" si="4"/>
        <v>#DIV/0!</v>
      </c>
    </row>
    <row r="102" spans="2:12">
      <c r="B102" s="1646" t="s">
        <v>2636</v>
      </c>
      <c r="C102" s="1646"/>
      <c r="D102" s="1587">
        <f>[38]DB!$H$2565</f>
        <v>0.51482215832040512</v>
      </c>
      <c r="E102" s="1587">
        <f>[38]DB!$I$2565</f>
        <v>1.0155999217487903</v>
      </c>
      <c r="F102" s="1587">
        <f>[38]DB!$J$2565</f>
        <v>0.98545025290982058</v>
      </c>
      <c r="G102" s="1587">
        <f>[38]DB!$K$2565</f>
        <v>0.79510780883542265</v>
      </c>
      <c r="H102" s="1587">
        <f>[38]DB!$L$2565</f>
        <v>1.3422789798452386</v>
      </c>
      <c r="I102" s="1587">
        <f>[38]DB!$M$2565</f>
        <v>1.2296280751828732</v>
      </c>
      <c r="J102" s="1587">
        <f>[38]DB!$N$2565</f>
        <v>1.7487906573003167</v>
      </c>
      <c r="K102" s="1647" t="str">
        <f>IF(L102&gt;=2.5,"AAA",IF(L102&gt;=1,"AA",IF(L102&gt;=0.5,"A",IF(L102&gt;=0.1,"BBB",IF(L102&gt;=0,"BB","B")))))</f>
        <v>AA</v>
      </c>
      <c r="L102" s="1586">
        <f t="shared" si="4"/>
        <v>1.073613007704429</v>
      </c>
    </row>
    <row r="103" spans="2:12">
      <c r="B103" s="1646" t="s">
        <v>2637</v>
      </c>
      <c r="C103" s="1646"/>
      <c r="D103" s="1587">
        <f>[38]DB!$H$2552</f>
        <v>135.99680055821472</v>
      </c>
      <c r="E103" s="1587">
        <f>[38]DB!$I$2552</f>
        <v>169.06138115316111</v>
      </c>
      <c r="F103" s="1587">
        <f>[38]DB!$J$2552</f>
        <v>165.8082936936818</v>
      </c>
      <c r="G103" s="1587">
        <f>[38]DB!$K$2552</f>
        <v>164.53900493446471</v>
      </c>
      <c r="H103" s="1587">
        <f>[38]DB!$L$2552</f>
        <v>213.75220057966396</v>
      </c>
      <c r="I103" s="1587">
        <f>[38]DB!$M$2552</f>
        <v>214.56386456134084</v>
      </c>
      <c r="J103" s="1587">
        <f>[38]DB!$N$2552</f>
        <v>263.78491143175967</v>
      </c>
      <c r="K103" s="1647" t="str">
        <f>IF(L103&gt;=150,"AAA",IF(L103&gt;=110,"AA",IF(L103&gt;=100,"A",IF(L103&gt;=90,"BBB",IF(L103&gt;=70,"BB","B")))))</f>
        <v>AAA</v>
      </c>
      <c r="L103" s="1586">
        <f t="shared" si="4"/>
        <v>185.54494898446251</v>
      </c>
    </row>
    <row r="104" spans="2:12">
      <c r="B104" s="1646" t="s">
        <v>2601</v>
      </c>
      <c r="C104" s="1646"/>
      <c r="D104" s="1587">
        <f>[38]DB!$H$2553</f>
        <v>98.958563571827753</v>
      </c>
      <c r="E104" s="1587">
        <f>[38]DB!$I$2553</f>
        <v>94.950223869581279</v>
      </c>
      <c r="F104" s="1587">
        <f>[38]DB!$J$2553</f>
        <v>101.43491788307016</v>
      </c>
      <c r="G104" s="1587">
        <f>[38]DB!$K$2553</f>
        <v>123.72758897511554</v>
      </c>
      <c r="H104" s="1587">
        <f>[38]DB!$L$2553</f>
        <v>289.04098515264241</v>
      </c>
      <c r="I104" s="1587">
        <f>[38]DB!$M$2553</f>
        <v>276.29905581604919</v>
      </c>
      <c r="J104" s="1587">
        <f>[38]DB!$N$2553</f>
        <v>304.00958673402374</v>
      </c>
      <c r="K104" s="1647" t="str">
        <f>IF(L104&gt;=150,"AAA",IF(L104&gt;=120,"AA",IF(L104&gt;=90,"A",IF(L104&gt;=70,"BBB",IF(L104&gt;=40,"BB","B")))))</f>
        <v>AAA</v>
      </c>
      <c r="L104" s="1586">
        <f t="shared" si="4"/>
        <v>177.09055433929171</v>
      </c>
    </row>
    <row r="105" spans="2:12">
      <c r="B105" s="1646" t="s">
        <v>344</v>
      </c>
      <c r="C105" s="1646"/>
      <c r="D105" s="1587">
        <f>[38]DB!$H$2554</f>
        <v>0.30280569670449858</v>
      </c>
      <c r="E105" s="1587">
        <f>[38]DB!$I$2554</f>
        <v>0.23636964312917591</v>
      </c>
      <c r="F105" s="1587">
        <f>[38]DB!$J$2554</f>
        <v>5.5480354248744382E-2</v>
      </c>
      <c r="G105" s="1587">
        <f>[38]DB!$K$2554</f>
        <v>0</v>
      </c>
      <c r="H105" s="1587">
        <f>[38]DB!$L$2554</f>
        <v>0</v>
      </c>
      <c r="I105" s="1587">
        <f>[38]DB!$M$2554</f>
        <v>0</v>
      </c>
      <c r="J105" s="1587">
        <f>[38]DB!$N$2554</f>
        <v>0</v>
      </c>
      <c r="K105" s="1647" t="str">
        <f>IF(L105&lt;1,"AAA",IF(L105&lt;3,"AA",IF(L105&lt;5,"A",IF(L105&lt;7,"BBB",IF(L105&lt;12,"BB","B")))))</f>
        <v>AAA</v>
      </c>
      <c r="L105" s="1586">
        <f t="shared" si="4"/>
        <v>5.8369999475584057E-2</v>
      </c>
    </row>
    <row r="106" spans="2:12">
      <c r="B106" s="1646" t="s">
        <v>2602</v>
      </c>
      <c r="C106" s="1646"/>
      <c r="D106" s="1587"/>
      <c r="E106" s="1587"/>
      <c r="F106" s="1587"/>
      <c r="G106" s="1587">
        <f>[38]DB!$K$1188</f>
        <v>1602.58</v>
      </c>
      <c r="H106" s="1587">
        <f>[38]DB!$L$1188</f>
        <v>1469.9</v>
      </c>
      <c r="I106" s="1587">
        <f>[38]DB!$M$1188</f>
        <v>1016.93</v>
      </c>
      <c r="J106" s="1587">
        <f>[38]DB!$N$1188</f>
        <v>883.11</v>
      </c>
      <c r="K106" s="1647" t="str">
        <f>IF(L106&gt;=500,"AAA",IF(L106&gt;=350,"AA",IF(L106&gt;=250,"A",IF(L106&gt;=150,"BBB",IF(L106&gt;=100,"BB","B")))))</f>
        <v>AAA</v>
      </c>
      <c r="L106" s="1586">
        <f t="shared" si="4"/>
        <v>1363.1366666666665</v>
      </c>
    </row>
    <row r="107" spans="2:12">
      <c r="B107" s="1646" t="s">
        <v>2603</v>
      </c>
      <c r="C107" s="1646"/>
      <c r="D107" s="1587"/>
      <c r="E107" s="1587"/>
      <c r="F107" s="1587"/>
      <c r="G107" s="1587">
        <f>[38]DB!K$1184/[38]DB!K$1185*100</f>
        <v>338.60309716327845</v>
      </c>
      <c r="H107" s="1587">
        <f>[38]DB!L$1184/[38]DB!L$1185*100</f>
        <v>236.96837294370749</v>
      </c>
      <c r="I107" s="1587">
        <f>[38]DB!M$1184/[38]DB!M$1185*100</f>
        <v>172.29063505278091</v>
      </c>
      <c r="J107" s="1587">
        <f>[38]DB!N$1184/[38]DB!N$1185*100</f>
        <v>147.37900058796467</v>
      </c>
      <c r="K107" s="1647" t="str">
        <f>IF(L107&gt;=400,"AAA",IF(L107&gt;=300,"AA",IF(L107&gt;=200,"A",IF(L107&gt;=130,"BBB",IF(L107&gt;=100,"BB","B")))))</f>
        <v>A</v>
      </c>
      <c r="L107" s="1586">
        <f t="shared" si="4"/>
        <v>249.28736838658895</v>
      </c>
    </row>
    <row r="108" spans="2:12">
      <c r="B108" s="1646" t="s">
        <v>2604</v>
      </c>
      <c r="C108" s="1646"/>
      <c r="D108" s="1587">
        <f>[38]DB!H$1178/[38]DB!H$1179*100</f>
        <v>425.46777970900951</v>
      </c>
      <c r="E108" s="1587">
        <f>[38]DB!I$1178/[38]DB!I$1179*100</f>
        <v>400.41448364186749</v>
      </c>
      <c r="F108" s="1587">
        <f>[38]DB!J$1192/[38]DB!J$1193*100</f>
        <v>320.12970076024857</v>
      </c>
      <c r="G108" s="1587">
        <f>[38]DB!K$1192/[38]DB!K$1193*100</f>
        <v>334.03104936396829</v>
      </c>
      <c r="H108" s="1587">
        <f>[38]DB!L$1192/[38]DB!L$1193*100</f>
        <v>244.1257835153742</v>
      </c>
      <c r="I108" s="1587">
        <f>[38]DB!M$1192/[38]DB!M$1193*100</f>
        <v>164.72643011257992</v>
      </c>
      <c r="J108" s="1587">
        <f>[38]DB!N$1192/[38]DB!N$1193*100</f>
        <v>124.28758493930987</v>
      </c>
      <c r="K108" s="1647" t="str">
        <f>IF(L108&gt;=400,"AAA",IF(L108&gt;=300,"AA",IF(L108&gt;=200,"A",IF(L108&gt;=130,"BBB",IF(L108&gt;=100,"BB","B")))))</f>
        <v>A</v>
      </c>
      <c r="L108" s="1586">
        <f t="shared" si="4"/>
        <v>292.68548947880771</v>
      </c>
    </row>
    <row r="109" spans="2:12">
      <c r="B109" s="1646" t="s">
        <v>2605</v>
      </c>
      <c r="C109" s="1646"/>
      <c r="D109" s="1587">
        <f>[38]DB!H$992/[38]DB!H$1066*100</f>
        <v>644.01082120840078</v>
      </c>
      <c r="E109" s="1587">
        <f>[38]DB!I$992/[38]DB!I$1066*100</f>
        <v>736.24301093738552</v>
      </c>
      <c r="F109" s="1587">
        <f>[38]DB!J$992/[38]DB!J$1066*100</f>
        <v>864.36619461828423</v>
      </c>
      <c r="G109" s="1587">
        <f>[38]DB!K$992/[38]DB!K$1066*100</f>
        <v>805.97778847239886</v>
      </c>
      <c r="H109" s="1587">
        <f>[38]DB!L$992/[38]DB!L$1066*100</f>
        <v>885.12567583560315</v>
      </c>
      <c r="I109" s="1587">
        <f>[38]DB!M$992/[38]DB!M$1066*100</f>
        <v>1019.4539522937484</v>
      </c>
      <c r="J109" s="1587">
        <f>[38]DB!N$992/[38]DB!N$1066*100</f>
        <v>1089.136757089407</v>
      </c>
      <c r="K109" s="1647" t="str">
        <f>IF(L109&lt;300,"AAA",IF(L109&lt;700,"AA",IF(L109&lt;900,"A",IF(L109&lt;1100,"BBB",IF(L109&lt;1400,"BB","B")))))</f>
        <v>A</v>
      </c>
      <c r="L109" s="1586">
        <f t="shared" si="4"/>
        <v>862.23332443148388</v>
      </c>
    </row>
    <row r="110" spans="2:12">
      <c r="B110" s="1646" t="s">
        <v>2606</v>
      </c>
      <c r="C110" s="1646"/>
      <c r="D110" s="1587">
        <f>[38]DB!H$1410/[38]DB!H$1411*100</f>
        <v>144.24528150191713</v>
      </c>
      <c r="E110" s="1587">
        <f>[38]DB!I$1410/[38]DB!I$1411*100</f>
        <v>131.13025711738675</v>
      </c>
      <c r="F110" s="1587">
        <f>[38]DB!J$1410/[38]DB!J$1411*100</f>
        <v>138.79125223143598</v>
      </c>
      <c r="G110" s="1587">
        <f>[38]DB!K$1410/[38]DB!K$1411*100</f>
        <v>133.11711278006436</v>
      </c>
      <c r="H110" s="1587">
        <f>[38]DB!L$1410/[38]DB!L$1411*100</f>
        <v>120.88998325596043</v>
      </c>
      <c r="I110" s="1587">
        <f>[38]DB!M$1410/[38]DB!M$1411*100</f>
        <v>106.4967023299759</v>
      </c>
      <c r="J110" s="1587">
        <f>[38]DB!N$1410/[38]DB!N$1411*100</f>
        <v>122.63883923280095</v>
      </c>
      <c r="K110" s="1647" t="str">
        <f>IF(L110&gt;=150,"AAA",IF(L110&gt;=130,"AA",IF(L110&gt;=120,"A",IF(L110&gt;=100,"BBB",IF(L110&gt;=80,"BB","B")))))</f>
        <v>A</v>
      </c>
      <c r="L110" s="1586">
        <f t="shared" si="4"/>
        <v>126.0850615429647</v>
      </c>
    </row>
    <row r="111" spans="2:12">
      <c r="B111" s="1646" t="s">
        <v>2607</v>
      </c>
      <c r="C111" s="1646"/>
      <c r="D111" s="1587"/>
      <c r="E111" s="1587"/>
      <c r="F111" s="1587">
        <f>[38]DB!$J$1196</f>
        <v>596.54999999999995</v>
      </c>
      <c r="G111" s="1587">
        <f>[38]DB!$K$1196</f>
        <v>1479.21</v>
      </c>
      <c r="H111" s="1587">
        <f>[38]DB!$L$1196</f>
        <v>1416.05</v>
      </c>
      <c r="I111" s="1587">
        <f>[38]DB!$M$1196</f>
        <v>875.2</v>
      </c>
      <c r="J111" s="1587">
        <f>[38]DB!$N$1196</f>
        <v>440.95</v>
      </c>
      <c r="K111" s="1647" t="str">
        <f>IF(L111&gt;=500,"AAA",IF(L111&gt;=350,"AA",IF(L111&gt;=250,"A",IF(L111&gt;=150,"BBB",IF(L111&gt;=100,"BB","B")))))</f>
        <v>AAA</v>
      </c>
      <c r="L111" s="1586">
        <f t="shared" si="4"/>
        <v>1091.7525000000001</v>
      </c>
    </row>
    <row r="113" spans="2:12">
      <c r="B113" s="1494" t="s">
        <v>2608</v>
      </c>
    </row>
    <row r="114" spans="2:12">
      <c r="B114" s="1584" t="s">
        <v>2598</v>
      </c>
      <c r="E114" s="1588">
        <f>Data!M17</f>
        <v>31903.42</v>
      </c>
      <c r="F114" s="1588">
        <f>Data!N17</f>
        <v>32948.589999999997</v>
      </c>
      <c r="G114" s="1588">
        <f>Data!O17</f>
        <v>40726.589999999997</v>
      </c>
      <c r="H114" s="1588">
        <f>Data!P17</f>
        <v>42417.85</v>
      </c>
      <c r="I114" s="1588">
        <f>Data!Q17</f>
        <v>43504.98</v>
      </c>
      <c r="J114" s="1588">
        <f>Data!R17</f>
        <v>46442.8</v>
      </c>
      <c r="K114" s="1585"/>
      <c r="L114" s="1586">
        <f t="shared" ref="L114:L125" si="5">AVERAGE(E114:I114)</f>
        <v>38300.286</v>
      </c>
    </row>
    <row r="115" spans="2:12">
      <c r="B115" s="1584" t="s">
        <v>2599</v>
      </c>
      <c r="E115" s="1588"/>
      <c r="F115" s="1588"/>
      <c r="G115" s="1588"/>
      <c r="H115" s="1588"/>
      <c r="I115" s="1588"/>
      <c r="J115" s="1588"/>
      <c r="K115" s="1585" t="e">
        <f>IF(L115&gt;=10,"AAA",IF(L115&gt;=5,"AA",IF(L115&gt;=2,"A",IF(L115&gt;=0.5,"BBB","BB"))))</f>
        <v>#DIV/0!</v>
      </c>
      <c r="L115" s="1586" t="e">
        <f t="shared" si="5"/>
        <v>#DIV/0!</v>
      </c>
    </row>
    <row r="116" spans="2:12">
      <c r="B116" s="1584" t="s">
        <v>2600</v>
      </c>
      <c r="E116" s="1589">
        <f>Data!M352</f>
        <v>1.0155999355878853</v>
      </c>
      <c r="F116" s="1589">
        <f>Data!N352</f>
        <v>0.98545027227548088</v>
      </c>
      <c r="G116" s="1589">
        <f>Data!O352</f>
        <v>0.79510455928738966</v>
      </c>
      <c r="H116" s="1589">
        <f>Data!P352</f>
        <v>1.3422790132847369</v>
      </c>
      <c r="I116" s="1589">
        <f>Data!Q352</f>
        <v>1.2296256503352065</v>
      </c>
      <c r="J116" s="1589">
        <f>Data!R352</f>
        <v>1.5174251502121172</v>
      </c>
      <c r="K116" s="1585" t="str">
        <f>IF(L116&gt;=2.5,"AAA",IF(L116&gt;=1,"AA",IF(L116&gt;=0.5,"A",IF(L116&gt;=0.1,"BBB",IF(L116&gt;=0,"BB","B")))))</f>
        <v>AA</v>
      </c>
      <c r="L116" s="1590">
        <f t="shared" si="5"/>
        <v>1.0736118861541399</v>
      </c>
    </row>
    <row r="117" spans="2:12">
      <c r="B117" s="1584" t="s">
        <v>2500</v>
      </c>
      <c r="E117" s="1589">
        <f>Data!M356</f>
        <v>169.99646929099606</v>
      </c>
      <c r="F117" s="1589">
        <f>Data!N356</f>
        <v>165.42797830012341</v>
      </c>
      <c r="G117" s="1589">
        <f>Data!O356</f>
        <v>164.4095874661329</v>
      </c>
      <c r="H117" s="1589">
        <f>Data!P356</f>
        <v>213.33228579803989</v>
      </c>
      <c r="I117" s="1589">
        <f>Data!Q356</f>
        <v>212.30812295941314</v>
      </c>
      <c r="J117" s="1589">
        <f>Data!R356</f>
        <v>241.86126590526214</v>
      </c>
      <c r="K117" s="1585" t="str">
        <f>IF(L117&gt;=150,"AAA",IF(L117&gt;=110,"AA",IF(L117&gt;=100,"A",IF(L117&gt;=90,"BBB",IF(L117&gt;=70,"BB","B")))))</f>
        <v>AAA</v>
      </c>
      <c r="L117" s="1590">
        <f t="shared" si="5"/>
        <v>185.09488876294108</v>
      </c>
    </row>
    <row r="118" spans="2:12">
      <c r="B118" s="1584" t="s">
        <v>2601</v>
      </c>
      <c r="E118" s="1589">
        <f>Data!M340</f>
        <v>94.998867682366182</v>
      </c>
      <c r="F118" s="1589">
        <f>Data!N340</f>
        <v>101.48056699372781</v>
      </c>
      <c r="G118" s="1589">
        <f>Data!O340</f>
        <v>123.80934901171914</v>
      </c>
      <c r="H118" s="1589">
        <f>Data!P340</f>
        <v>289.0339069506432</v>
      </c>
      <c r="I118" s="1589">
        <f>Data!Q340</f>
        <v>280.74806847648432</v>
      </c>
      <c r="J118" s="1589">
        <f>Data!R340</f>
        <v>285.66494501399814</v>
      </c>
      <c r="K118" s="1585" t="str">
        <f>IF(L118&gt;=150,"AAA",IF(L118&gt;=120,"AA",IF(L118&gt;=90,"A",IF(L118&gt;=70,"BBB",IF(L118&gt;=40,"BB","B")))))</f>
        <v>AAA</v>
      </c>
      <c r="L118" s="1590">
        <f t="shared" si="5"/>
        <v>178.01415182298814</v>
      </c>
    </row>
    <row r="119" spans="2:12">
      <c r="B119" s="1584" t="s">
        <v>344</v>
      </c>
      <c r="E119" s="1589">
        <f>Data!M344</f>
        <v>0.23543061703445747</v>
      </c>
      <c r="F119" s="1589">
        <f>Data!N344</f>
        <v>5.456787727037031E-2</v>
      </c>
      <c r="G119" s="1589">
        <f>Data!O344</f>
        <v>0</v>
      </c>
      <c r="H119" s="1589">
        <f>Data!P344</f>
        <v>0</v>
      </c>
      <c r="I119" s="1589">
        <f>Data!Q344</f>
        <v>0</v>
      </c>
      <c r="J119" s="1589">
        <f>Data!R344</f>
        <v>0</v>
      </c>
      <c r="K119" s="1585" t="str">
        <f>IF(L119&lt;1,"AAA",IF(L119&lt;3,"AA",IF(L119&lt;5,"A",IF(L119&lt;7,"BBB",IF(L119&lt;12,"BB","B")))))</f>
        <v>AAA</v>
      </c>
      <c r="L119" s="1590">
        <f t="shared" si="5"/>
        <v>5.7999698860965551E-2</v>
      </c>
    </row>
    <row r="120" spans="2:12">
      <c r="B120" s="1584" t="s">
        <v>2602</v>
      </c>
      <c r="E120" s="1589"/>
      <c r="F120" s="1589"/>
      <c r="G120" s="1589">
        <f>Data!O281</f>
        <v>1602.6</v>
      </c>
      <c r="H120" s="1589">
        <f>Data!P281</f>
        <v>1469.9</v>
      </c>
      <c r="I120" s="1589">
        <f>Data!Q281</f>
        <v>1016.9</v>
      </c>
      <c r="J120" s="1589">
        <f>Data!R281</f>
        <v>882.8</v>
      </c>
      <c r="K120" s="1585" t="str">
        <f>IF(L120&gt;=500,"AAA",IF(L120&gt;=350,"AA",IF(L120&gt;=250,"A",IF(L120&gt;=150,"BBB",IF(L120&gt;=100,"BB","B")))))</f>
        <v>AAA</v>
      </c>
      <c r="L120" s="1590">
        <f t="shared" si="5"/>
        <v>1363.1333333333334</v>
      </c>
    </row>
    <row r="121" spans="2:12">
      <c r="B121" s="1584" t="s">
        <v>2603</v>
      </c>
      <c r="E121" s="1589"/>
      <c r="F121" s="1589"/>
      <c r="G121" s="1589">
        <f>Data!O282</f>
        <v>338.60338972891708</v>
      </c>
      <c r="H121" s="1589">
        <f>Data!P282</f>
        <v>236.96842055934434</v>
      </c>
      <c r="I121" s="1589">
        <f>Data!Q282</f>
        <v>172.29061399751413</v>
      </c>
      <c r="J121" s="1589">
        <f>Data!R282</f>
        <v>145.15481579837183</v>
      </c>
      <c r="K121" s="1585" t="str">
        <f>IF(L121&gt;=400,"AAA",IF(L121&gt;=300,"AA",IF(L121&gt;=200,"A",IF(L121&gt;=130,"BBB",IF(L121&gt;=100,"BB","B")))))</f>
        <v>A</v>
      </c>
      <c r="L121" s="1590">
        <f t="shared" si="5"/>
        <v>249.28747476192518</v>
      </c>
    </row>
    <row r="122" spans="2:12">
      <c r="B122" s="1584" t="s">
        <v>2604</v>
      </c>
      <c r="E122" s="1589"/>
      <c r="F122" s="1589">
        <f>Data!N276</f>
        <v>320.12974268874166</v>
      </c>
      <c r="G122" s="1589">
        <f>Data!O276</f>
        <v>334.0312568368596</v>
      </c>
      <c r="H122" s="1589">
        <f>Data!P276</f>
        <v>244.12590158507808</v>
      </c>
      <c r="I122" s="1589">
        <f>Data!Q276</f>
        <v>164.72644343497888</v>
      </c>
      <c r="J122" s="1589">
        <f>Data!R276</f>
        <v>120.26549717834413</v>
      </c>
      <c r="K122" s="1585" t="str">
        <f>IF(L122&gt;=400,"AAA",IF(L122&gt;=300,"AA",IF(L122&gt;=200,"A",IF(L122&gt;=130,"BBB",IF(L122&gt;=100,"BB","B")))))</f>
        <v>A</v>
      </c>
      <c r="L122" s="1590">
        <f t="shared" si="5"/>
        <v>265.75333613641453</v>
      </c>
    </row>
    <row r="123" spans="2:12">
      <c r="B123" s="1584" t="s">
        <v>2605</v>
      </c>
      <c r="E123" s="1589">
        <f>Data!M368</f>
        <v>736.24297959278351</v>
      </c>
      <c r="F123" s="1589">
        <f>Data!N368</f>
        <v>864.3664517080399</v>
      </c>
      <c r="G123" s="1589">
        <f>Data!O368</f>
        <v>805.97796626977618</v>
      </c>
      <c r="H123" s="1589">
        <f>Data!P368</f>
        <v>885.1258624755618</v>
      </c>
      <c r="I123" s="1589">
        <f>Data!Q368</f>
        <v>1019.4541816782124</v>
      </c>
      <c r="J123" s="1589">
        <f>Data!R368</f>
        <v>1032.1903331962974</v>
      </c>
      <c r="K123" s="1585" t="str">
        <f>IF(L123&lt;300,"AAA",IF(L123&lt;700,"AA",IF(L123&lt;900,"A",IF(L123&lt;1100,"BBB",IF(L123&lt;1400,"BB","B")))))</f>
        <v>A</v>
      </c>
      <c r="L123" s="1590">
        <f t="shared" si="5"/>
        <v>862.23348834487479</v>
      </c>
    </row>
    <row r="124" spans="2:12">
      <c r="B124" s="1584" t="s">
        <v>2606</v>
      </c>
      <c r="E124" s="1589">
        <f>Data!M348</f>
        <v>131.13026293695475</v>
      </c>
      <c r="F124" s="1589">
        <f>Data!N348</f>
        <v>138.79125205067746</v>
      </c>
      <c r="G124" s="1589">
        <f>Data!O348</f>
        <v>133.11711922354121</v>
      </c>
      <c r="H124" s="1589">
        <f>Data!P348</f>
        <v>129.5881283439667</v>
      </c>
      <c r="I124" s="1589">
        <f>Data!Q348</f>
        <v>106.0626874137061</v>
      </c>
      <c r="J124" s="1589">
        <f>Data!R348</f>
        <v>110.53114067056103</v>
      </c>
      <c r="K124" s="1585" t="str">
        <f>IF(L124&gt;=150,"AAA",IF(L124&gt;=130,"AA",IF(L124&gt;=120,"A",IF(L124&gt;=100,"BBB",IF(L124&gt;=80,"BB","B")))))</f>
        <v>A</v>
      </c>
      <c r="L124" s="1590">
        <f t="shared" si="5"/>
        <v>127.73788999376924</v>
      </c>
    </row>
    <row r="125" spans="2:12">
      <c r="B125" s="1584" t="s">
        <v>2607</v>
      </c>
      <c r="E125" s="1589"/>
      <c r="F125" s="1589"/>
      <c r="G125" s="1589">
        <f>Data!O275</f>
        <v>1479.2</v>
      </c>
      <c r="H125" s="1589">
        <f>Data!P275</f>
        <v>1416.048</v>
      </c>
      <c r="I125" s="1589">
        <f>Data!Q275</f>
        <v>875.2</v>
      </c>
      <c r="J125" s="1589">
        <f>Data!R275</f>
        <v>389.9</v>
      </c>
      <c r="K125" s="1585" t="str">
        <f>IF(L125&gt;=500,"AAA",IF(L125&gt;=350,"AA",IF(L125&gt;=250,"A",IF(L125&gt;=150,"BBB",IF(L125&gt;=100,"BB","B")))))</f>
        <v>AAA</v>
      </c>
      <c r="L125" s="1590">
        <f t="shared" si="5"/>
        <v>1256.816</v>
      </c>
    </row>
    <row r="130" spans="2:21">
      <c r="B130" s="1591" t="s">
        <v>317</v>
      </c>
      <c r="C130" s="1592"/>
      <c r="D130" s="1592"/>
      <c r="E130" s="1592"/>
      <c r="F130" s="1592"/>
      <c r="G130" s="1592"/>
      <c r="H130" s="1592"/>
      <c r="I130" s="1592"/>
      <c r="J130" s="1592"/>
    </row>
    <row r="132" spans="2:21" ht="15.75" customHeight="1">
      <c r="B132" s="1712" t="s">
        <v>227</v>
      </c>
      <c r="C132" s="1712" t="s">
        <v>228</v>
      </c>
      <c r="D132" s="1725" t="s">
        <v>318</v>
      </c>
      <c r="E132" s="1712" t="s">
        <v>319</v>
      </c>
      <c r="F132" s="1727" t="s">
        <v>320</v>
      </c>
      <c r="G132" s="1728"/>
      <c r="H132" s="1728"/>
      <c r="I132" s="1728"/>
      <c r="J132" s="1729"/>
      <c r="K132" s="1712" t="s">
        <v>2609</v>
      </c>
    </row>
    <row r="133" spans="2:21">
      <c r="B133" s="1713"/>
      <c r="C133" s="1713"/>
      <c r="D133" s="1726"/>
      <c r="E133" s="1713"/>
      <c r="F133" s="1593" t="s">
        <v>231</v>
      </c>
      <c r="G133" s="1594" t="s">
        <v>232</v>
      </c>
      <c r="H133" s="1593" t="s">
        <v>233</v>
      </c>
      <c r="I133" s="1594" t="s">
        <v>234</v>
      </c>
      <c r="J133" s="1595" t="s">
        <v>235</v>
      </c>
      <c r="K133" s="1713"/>
    </row>
    <row r="134" spans="2:21">
      <c r="B134" s="1714" t="s">
        <v>322</v>
      </c>
      <c r="C134" s="1717" t="s">
        <v>236</v>
      </c>
      <c r="D134" s="1718"/>
      <c r="E134" s="1596">
        <v>0.1</v>
      </c>
      <c r="F134" s="1597"/>
      <c r="G134" s="1598"/>
      <c r="H134" s="1597"/>
      <c r="I134" s="1599" t="s">
        <v>237</v>
      </c>
      <c r="J134" s="1600"/>
      <c r="K134" s="1601"/>
      <c r="L134" s="1602" t="s">
        <v>2610</v>
      </c>
      <c r="M134" s="1602" t="s">
        <v>2611</v>
      </c>
      <c r="N134" s="1492">
        <v>2012</v>
      </c>
      <c r="O134" s="1492">
        <v>2013</v>
      </c>
      <c r="P134" s="1492">
        <v>2014</v>
      </c>
      <c r="Q134" s="1492">
        <v>2015</v>
      </c>
      <c r="R134" s="1492">
        <v>2016</v>
      </c>
      <c r="S134" s="1492">
        <v>2017</v>
      </c>
      <c r="T134" s="1492">
        <v>2018</v>
      </c>
    </row>
    <row r="135" spans="2:21">
      <c r="B135" s="1715"/>
      <c r="C135" s="1714" t="s">
        <v>263</v>
      </c>
      <c r="D135" s="1603" t="s">
        <v>323</v>
      </c>
      <c r="E135" s="1604">
        <v>0.35</v>
      </c>
      <c r="F135" s="1605" t="s">
        <v>2612</v>
      </c>
      <c r="G135" s="1606" t="s">
        <v>2613</v>
      </c>
      <c r="H135" s="1605" t="s">
        <v>2614</v>
      </c>
      <c r="I135" s="1606" t="s">
        <v>2615</v>
      </c>
      <c r="J135" s="1607" t="s">
        <v>2616</v>
      </c>
      <c r="K135" s="1608">
        <f>M135</f>
        <v>8.9408115138675477</v>
      </c>
      <c r="L135" s="1602" t="s">
        <v>2496</v>
      </c>
      <c r="M135" s="1609">
        <f>AVERAGE(P135:T135)</f>
        <v>8.9408115138675477</v>
      </c>
      <c r="N135" s="1610">
        <f>[39]Data!K490</f>
        <v>7.5439888914702573</v>
      </c>
      <c r="O135" s="1610">
        <f>[39]Data!L490</f>
        <v>6.2839000805810254</v>
      </c>
      <c r="P135" s="1610">
        <f>[39]Data!M490</f>
        <v>8.3751902071579281</v>
      </c>
      <c r="Q135" s="1610">
        <f>[39]Data!N490</f>
        <v>8.5002831002216084</v>
      </c>
      <c r="R135" s="1610">
        <f>[39]Data!O490</f>
        <v>4.3644464815902122</v>
      </c>
      <c r="S135" s="1610">
        <f>[39]Data!P490</f>
        <v>12.260233888359432</v>
      </c>
      <c r="T135" s="1610">
        <f>[39]Data!Q490</f>
        <v>11.203903892008556</v>
      </c>
      <c r="U135" s="1492">
        <v>8.2374374547465017</v>
      </c>
    </row>
    <row r="136" spans="2:21">
      <c r="B136" s="1715"/>
      <c r="C136" s="1715"/>
      <c r="D136" s="1603" t="s">
        <v>328</v>
      </c>
      <c r="E136" s="1604">
        <v>0.2</v>
      </c>
      <c r="F136" s="1611" t="s">
        <v>1354</v>
      </c>
      <c r="G136" s="1612" t="s">
        <v>1355</v>
      </c>
      <c r="H136" s="1611" t="s">
        <v>1356</v>
      </c>
      <c r="I136" s="1612" t="s">
        <v>332</v>
      </c>
      <c r="J136" s="1613" t="s">
        <v>2617</v>
      </c>
      <c r="K136" s="1614">
        <f>M136</f>
        <v>0.61509247788227506</v>
      </c>
      <c r="L136" s="1602" t="s">
        <v>2618</v>
      </c>
      <c r="M136" s="1609">
        <f>AVERAGE(P136:T136)</f>
        <v>0.61509247788227506</v>
      </c>
      <c r="N136" s="1610">
        <f>[39]Data!K373</f>
        <v>0.41934337108982273</v>
      </c>
      <c r="O136" s="1610">
        <f>[39]Data!L373</f>
        <v>-0.1772829472218061</v>
      </c>
      <c r="P136" s="1610">
        <f>[39]Data!M373</f>
        <v>0.68597905918008362</v>
      </c>
      <c r="Q136" s="1610">
        <f>[39]Data!N373</f>
        <v>0.87965321914853267</v>
      </c>
      <c r="R136" s="1610">
        <f>[39]Data!O373</f>
        <v>6.1488817004988892E-2</v>
      </c>
      <c r="S136" s="1610">
        <f>[39]Data!P373</f>
        <v>0.74877486502477064</v>
      </c>
      <c r="T136" s="1610">
        <f>[39]Data!Q373</f>
        <v>0.69956642905299971</v>
      </c>
      <c r="U136" s="1492">
        <v>0.33536843698711333</v>
      </c>
    </row>
    <row r="137" spans="2:21">
      <c r="B137" s="1715"/>
      <c r="C137" s="1715"/>
      <c r="D137" s="1615" t="s">
        <v>2619</v>
      </c>
      <c r="E137" s="1604">
        <v>0.2</v>
      </c>
      <c r="F137" s="1611" t="s">
        <v>324</v>
      </c>
      <c r="G137" s="1612" t="s">
        <v>325</v>
      </c>
      <c r="H137" s="1611" t="s">
        <v>326</v>
      </c>
      <c r="I137" s="1612" t="s">
        <v>1353</v>
      </c>
      <c r="J137" s="1616" t="s">
        <v>327</v>
      </c>
      <c r="K137" s="1617"/>
      <c r="L137" s="1602"/>
      <c r="M137" s="1609"/>
      <c r="N137" s="1610"/>
      <c r="O137" s="1610"/>
      <c r="P137" s="1610"/>
      <c r="Q137" s="1610"/>
      <c r="R137" s="1610"/>
      <c r="S137" s="1610"/>
      <c r="T137" s="1610"/>
    </row>
    <row r="138" spans="2:21">
      <c r="B138" s="1715"/>
      <c r="C138" s="1715"/>
      <c r="D138" s="1603" t="s">
        <v>334</v>
      </c>
      <c r="E138" s="1604">
        <v>0.2</v>
      </c>
      <c r="F138" s="1605" t="s">
        <v>2620</v>
      </c>
      <c r="G138" s="1606" t="s">
        <v>2621</v>
      </c>
      <c r="H138" s="1605" t="s">
        <v>2622</v>
      </c>
      <c r="I138" s="1606" t="s">
        <v>2623</v>
      </c>
      <c r="J138" s="1607" t="s">
        <v>2624</v>
      </c>
      <c r="K138" s="1614">
        <f>M138</f>
        <v>152.37366701579964</v>
      </c>
      <c r="L138" s="1602" t="s">
        <v>2496</v>
      </c>
      <c r="M138" s="1609">
        <f>AVERAGE(P138:T138)</f>
        <v>152.37366701579964</v>
      </c>
      <c r="N138" s="1610">
        <f>[39]Data!K376</f>
        <v>123.35516518154091</v>
      </c>
      <c r="O138" s="1610">
        <f>[39]Data!L376</f>
        <v>95.088280022210029</v>
      </c>
      <c r="P138" s="1610">
        <f>[39]Data!M376</f>
        <v>151.11779579897771</v>
      </c>
      <c r="Q138" s="1610">
        <f>[39]Data!N376</f>
        <v>167.85646826208267</v>
      </c>
      <c r="R138" s="1610">
        <f>[39]Data!O376</f>
        <v>120.69249547157153</v>
      </c>
      <c r="S138" s="1610">
        <f>[39]Data!P376</f>
        <v>161.49463669335677</v>
      </c>
      <c r="T138" s="1610">
        <f>[39]Data!Q376</f>
        <v>160.7069388530094</v>
      </c>
      <c r="U138" s="1492">
        <v>129.42549884809802</v>
      </c>
    </row>
    <row r="139" spans="2:21">
      <c r="B139" s="1716"/>
      <c r="C139" s="1716"/>
      <c r="D139" s="1618" t="s">
        <v>335</v>
      </c>
      <c r="E139" s="1619">
        <v>0.9</v>
      </c>
      <c r="F139" s="1620"/>
      <c r="G139" s="1621"/>
      <c r="H139" s="1620"/>
      <c r="I139" s="1621"/>
      <c r="J139" s="1622"/>
      <c r="K139" s="1623" t="s">
        <v>116</v>
      </c>
      <c r="M139" s="1609"/>
      <c r="N139" s="1624"/>
      <c r="O139" s="1624"/>
      <c r="P139" s="1624"/>
      <c r="Q139" s="1624"/>
      <c r="R139" s="1624"/>
      <c r="S139" s="1624"/>
      <c r="T139" s="1624"/>
    </row>
    <row r="140" spans="2:21">
      <c r="B140" s="1709" t="s">
        <v>336</v>
      </c>
      <c r="C140" s="1710"/>
      <c r="D140" s="1711"/>
      <c r="E140" s="1619">
        <v>1</v>
      </c>
      <c r="F140" s="1620"/>
      <c r="G140" s="1621"/>
      <c r="H140" s="1620"/>
      <c r="I140" s="1621"/>
      <c r="J140" s="1622"/>
      <c r="K140" s="1625" t="s">
        <v>116</v>
      </c>
      <c r="M140" s="1609"/>
      <c r="N140" s="1624"/>
      <c r="O140" s="1624"/>
      <c r="P140" s="1624"/>
      <c r="Q140" s="1624"/>
      <c r="R140" s="1624"/>
      <c r="S140" s="1624"/>
      <c r="T140" s="1624"/>
    </row>
    <row r="141" spans="2:21">
      <c r="B141" s="1714" t="s">
        <v>265</v>
      </c>
      <c r="C141" s="1714" t="s">
        <v>337</v>
      </c>
      <c r="D141" s="1626" t="s">
        <v>338</v>
      </c>
      <c r="E141" s="1627">
        <v>0.1</v>
      </c>
      <c r="F141" s="1628" t="s">
        <v>1375</v>
      </c>
      <c r="G141" s="1629" t="s">
        <v>340</v>
      </c>
      <c r="H141" s="1628" t="s">
        <v>341</v>
      </c>
      <c r="I141" s="1629" t="s">
        <v>342</v>
      </c>
      <c r="J141" s="1630" t="s">
        <v>1376</v>
      </c>
      <c r="K141" s="1608">
        <f>M141</f>
        <v>122.2478697571012</v>
      </c>
      <c r="L141" s="1602" t="s">
        <v>2625</v>
      </c>
      <c r="M141" s="1609">
        <f>AVERAGE(P141:T141)</f>
        <v>122.2478697571012</v>
      </c>
      <c r="N141" s="1610">
        <f>[39]Data!K361</f>
        <v>81.766770141939276</v>
      </c>
      <c r="O141" s="1610">
        <f>[39]Data!L361</f>
        <v>80.92088496262852</v>
      </c>
      <c r="P141" s="1610">
        <f>[39]Data!M361</f>
        <v>88.267959481805917</v>
      </c>
      <c r="Q141" s="1610">
        <f>[39]Data!N361</f>
        <v>111.6151177661074</v>
      </c>
      <c r="R141" s="1610">
        <f>[39]Data!O361</f>
        <v>104.29902948767713</v>
      </c>
      <c r="S141" s="1610">
        <f>[39]Data!P361</f>
        <v>141.52421096565803</v>
      </c>
      <c r="T141" s="1610">
        <f>[39]Data!Q361</f>
        <v>165.53303108425754</v>
      </c>
      <c r="U141" s="1492">
        <v>71.348882606942794</v>
      </c>
    </row>
    <row r="142" spans="2:21">
      <c r="B142" s="1715"/>
      <c r="C142" s="1715"/>
      <c r="D142" s="1603" t="s">
        <v>344</v>
      </c>
      <c r="E142" s="1604">
        <v>0.1</v>
      </c>
      <c r="F142" s="1611" t="s">
        <v>345</v>
      </c>
      <c r="G142" s="1612" t="s">
        <v>346</v>
      </c>
      <c r="H142" s="1611" t="s">
        <v>347</v>
      </c>
      <c r="I142" s="1612" t="s">
        <v>348</v>
      </c>
      <c r="J142" s="1616" t="s">
        <v>349</v>
      </c>
      <c r="K142" s="1614">
        <f>M142</f>
        <v>0.36599555550402052</v>
      </c>
      <c r="L142" s="1602" t="s">
        <v>2514</v>
      </c>
      <c r="M142" s="1609">
        <f>AVERAGE(P142:T142)</f>
        <v>0.36599555550402052</v>
      </c>
      <c r="N142" s="1610">
        <f>[39]Data!K364</f>
        <v>0.9683403453448316</v>
      </c>
      <c r="O142" s="1610">
        <f>[39]Data!L364</f>
        <v>0.69625405899268644</v>
      </c>
      <c r="P142" s="1610">
        <f>[39]Data!M364</f>
        <v>0.40872231935481429</v>
      </c>
      <c r="Q142" s="1610">
        <f>[39]Data!N364</f>
        <v>0</v>
      </c>
      <c r="R142" s="1610">
        <f>[39]Data!O364</f>
        <v>1.4212554581652883</v>
      </c>
      <c r="S142" s="1610">
        <f>[39]Data!P364</f>
        <v>0</v>
      </c>
      <c r="T142" s="1610">
        <f>[39]Data!Q364</f>
        <v>0</v>
      </c>
      <c r="U142" s="1492">
        <v>0.9840022446420893</v>
      </c>
    </row>
    <row r="143" spans="2:21">
      <c r="B143" s="1715"/>
      <c r="C143" s="1716"/>
      <c r="D143" s="1618" t="s">
        <v>350</v>
      </c>
      <c r="E143" s="1619">
        <v>0.2</v>
      </c>
      <c r="F143" s="1620"/>
      <c r="G143" s="1621"/>
      <c r="H143" s="1620"/>
      <c r="I143" s="1621"/>
      <c r="J143" s="1622"/>
      <c r="K143" s="1623" t="s">
        <v>116</v>
      </c>
      <c r="M143" s="1609"/>
      <c r="N143" s="1624"/>
      <c r="O143" s="1624"/>
      <c r="P143" s="1624"/>
      <c r="Q143" s="1624"/>
      <c r="R143" s="1624"/>
      <c r="S143" s="1624"/>
      <c r="T143" s="1624"/>
    </row>
    <row r="144" spans="2:21">
      <c r="B144" s="1715"/>
      <c r="C144" s="1714" t="s">
        <v>351</v>
      </c>
      <c r="D144" s="1626" t="s">
        <v>1418</v>
      </c>
      <c r="E144" s="1627">
        <v>0.3</v>
      </c>
      <c r="F144" s="1628" t="s">
        <v>1377</v>
      </c>
      <c r="G144" s="1629" t="s">
        <v>1378</v>
      </c>
      <c r="H144" s="1628" t="s">
        <v>1379</v>
      </c>
      <c r="I144" s="1629" t="s">
        <v>1380</v>
      </c>
      <c r="J144" s="1630" t="s">
        <v>1381</v>
      </c>
      <c r="K144" s="1608">
        <f>M144</f>
        <v>1279.7562855117151</v>
      </c>
      <c r="L144" s="1602" t="s">
        <v>2514</v>
      </c>
      <c r="M144" s="1609">
        <f>AVERAGE(P144:T144)</f>
        <v>1279.7562855117151</v>
      </c>
      <c r="N144" s="1610"/>
      <c r="O144" s="1610"/>
      <c r="P144" s="1610"/>
      <c r="Q144" s="1610"/>
      <c r="R144" s="1610">
        <f>[39]Data!O368</f>
        <v>1702.3753968072917</v>
      </c>
      <c r="S144" s="1610">
        <f>[39]Data!P368</f>
        <v>1661.1084458439248</v>
      </c>
      <c r="T144" s="1610">
        <f>[39]Data!Q368</f>
        <v>475.78501388392863</v>
      </c>
      <c r="U144" s="1492">
        <v>1158.235949509286</v>
      </c>
    </row>
    <row r="145" spans="2:21">
      <c r="B145" s="1715"/>
      <c r="C145" s="1715"/>
      <c r="D145" s="1603" t="s">
        <v>2626</v>
      </c>
      <c r="E145" s="1604">
        <v>0.1</v>
      </c>
      <c r="F145" s="1611" t="s">
        <v>1382</v>
      </c>
      <c r="G145" s="1631" t="s">
        <v>1383</v>
      </c>
      <c r="H145" s="1632" t="s">
        <v>1384</v>
      </c>
      <c r="I145" s="1631" t="s">
        <v>1385</v>
      </c>
      <c r="J145" s="1616" t="s">
        <v>1386</v>
      </c>
      <c r="K145" s="1614">
        <f t="shared" ref="K145:K149" si="6">M145</f>
        <v>793.65371419323822</v>
      </c>
      <c r="L145" s="1602" t="s">
        <v>2625</v>
      </c>
      <c r="M145" s="1609">
        <f>AVERAGE(P145:T145)</f>
        <v>793.65371419323822</v>
      </c>
      <c r="N145" s="1610">
        <f>[39]Data!K389</f>
        <v>622.91014517268479</v>
      </c>
      <c r="O145" s="1610">
        <f>[39]Data!L389</f>
        <v>659.93716838943305</v>
      </c>
      <c r="P145" s="1610">
        <f>[39]Data!M389</f>
        <v>735.39026422714619</v>
      </c>
      <c r="Q145" s="1610">
        <f>[39]Data!N389</f>
        <v>799.65734046523721</v>
      </c>
      <c r="R145" s="1610">
        <f>[39]Data!O389</f>
        <v>848.29134247621619</v>
      </c>
      <c r="S145" s="1633">
        <f>[39]Data!P389</f>
        <v>775.19242183734707</v>
      </c>
      <c r="T145" s="1633">
        <f>[39]Data!Q389</f>
        <v>809.73720196024465</v>
      </c>
      <c r="U145" s="1492">
        <v>864.49477646736307</v>
      </c>
    </row>
    <row r="146" spans="2:21">
      <c r="B146" s="1715"/>
      <c r="C146" s="1716"/>
      <c r="D146" s="1618" t="s">
        <v>354</v>
      </c>
      <c r="E146" s="1619">
        <v>0.4</v>
      </c>
      <c r="F146" s="1620"/>
      <c r="G146" s="1621"/>
      <c r="H146" s="1620"/>
      <c r="I146" s="1621"/>
      <c r="J146" s="1622"/>
      <c r="K146" s="1623"/>
      <c r="L146" s="1602"/>
      <c r="M146" s="1609"/>
      <c r="N146" s="1624"/>
      <c r="O146" s="1624"/>
      <c r="P146" s="1624"/>
      <c r="Q146" s="1634"/>
      <c r="R146" s="1634"/>
      <c r="S146" s="1634"/>
      <c r="T146" s="1634"/>
    </row>
    <row r="147" spans="2:21">
      <c r="B147" s="1715"/>
      <c r="C147" s="1714" t="s">
        <v>355</v>
      </c>
      <c r="D147" s="1603" t="s">
        <v>356</v>
      </c>
      <c r="E147" s="1604">
        <v>0.1</v>
      </c>
      <c r="F147" s="1611" t="s">
        <v>1375</v>
      </c>
      <c r="G147" s="1612" t="s">
        <v>357</v>
      </c>
      <c r="H147" s="1611" t="s">
        <v>358</v>
      </c>
      <c r="I147" s="1612" t="s">
        <v>359</v>
      </c>
      <c r="J147" s="1616" t="s">
        <v>1387</v>
      </c>
      <c r="K147" s="1608">
        <f t="shared" si="6"/>
        <v>129.49702079627247</v>
      </c>
      <c r="L147" s="1602" t="s">
        <v>2496</v>
      </c>
      <c r="M147" s="1609">
        <f>AVERAGE(P147:T147)</f>
        <v>129.49702079627247</v>
      </c>
      <c r="N147" s="1610">
        <f>[39]Data!K369</f>
        <v>166.88066220937284</v>
      </c>
      <c r="O147" s="1610">
        <f>[39]Data!L369</f>
        <v>151.1462291871851</v>
      </c>
      <c r="P147" s="1610">
        <f>[39]Data!M369</f>
        <v>119.72898253717024</v>
      </c>
      <c r="Q147" s="1610">
        <f>[39]Data!N369</f>
        <v>127.05238826567032</v>
      </c>
      <c r="R147" s="1610">
        <f>[39]Data!O369</f>
        <v>131.61904635498229</v>
      </c>
      <c r="S147" s="1610">
        <f>[39]Data!P369</f>
        <v>133.85382114281339</v>
      </c>
      <c r="T147" s="1610">
        <f>[39]Data!Q369</f>
        <v>135.23086568072605</v>
      </c>
      <c r="U147" s="1492">
        <v>152.76524641241355</v>
      </c>
    </row>
    <row r="148" spans="2:21">
      <c r="B148" s="1715"/>
      <c r="C148" s="1715"/>
      <c r="D148" s="1603" t="s">
        <v>360</v>
      </c>
      <c r="E148" s="1604">
        <v>0.1</v>
      </c>
      <c r="F148" s="1611" t="s">
        <v>1388</v>
      </c>
      <c r="G148" s="1612" t="s">
        <v>362</v>
      </c>
      <c r="H148" s="1611" t="s">
        <v>363</v>
      </c>
      <c r="I148" s="1612" t="s">
        <v>364</v>
      </c>
      <c r="J148" s="1616" t="s">
        <v>1389</v>
      </c>
      <c r="K148" s="1614">
        <f t="shared" si="6"/>
        <v>117.27519177240507</v>
      </c>
      <c r="L148" s="1602" t="s">
        <v>2625</v>
      </c>
      <c r="M148" s="1609">
        <f>AVERAGE(P148:T148)</f>
        <v>117.27519177240507</v>
      </c>
      <c r="N148" s="1610">
        <f>[39]Data!K370</f>
        <v>166.88066220937284</v>
      </c>
      <c r="O148" s="1610">
        <f>[39]Data!L370</f>
        <v>133.90008352421856</v>
      </c>
      <c r="P148" s="1610">
        <f>[39]Data!M370</f>
        <v>111.20650697114773</v>
      </c>
      <c r="Q148" s="1610">
        <f>[39]Data!N370</f>
        <v>116.72274395047968</v>
      </c>
      <c r="R148" s="1610">
        <f>[39]Data!O370</f>
        <v>119.65940927199262</v>
      </c>
      <c r="S148" s="1610">
        <f>[39]Data!P370</f>
        <v>118.03380816470525</v>
      </c>
      <c r="T148" s="1610">
        <f>[39]Data!Q370</f>
        <v>120.75349050370004</v>
      </c>
      <c r="U148" s="1492">
        <v>131.66944667503941</v>
      </c>
    </row>
    <row r="149" spans="2:21">
      <c r="B149" s="1715"/>
      <c r="C149" s="1715"/>
      <c r="D149" s="1603" t="s">
        <v>366</v>
      </c>
      <c r="E149" s="1604">
        <v>0.15</v>
      </c>
      <c r="F149" s="1635" t="s">
        <v>2627</v>
      </c>
      <c r="G149" s="1636" t="s">
        <v>2628</v>
      </c>
      <c r="H149" s="1635" t="s">
        <v>2629</v>
      </c>
      <c r="I149" s="1636" t="s">
        <v>2630</v>
      </c>
      <c r="J149" s="1637" t="s">
        <v>2631</v>
      </c>
      <c r="K149" s="1638">
        <f t="shared" si="6"/>
        <v>54673.885854618005</v>
      </c>
      <c r="L149" s="1602" t="s">
        <v>2514</v>
      </c>
      <c r="M149" s="1639">
        <f>AVERAGE(P149:T149)</f>
        <v>54673.885854618005</v>
      </c>
      <c r="N149" s="1640">
        <f>[39]Data!K180</f>
        <v>36191.687622989994</v>
      </c>
      <c r="O149" s="1640">
        <f>[39]Data!L180</f>
        <v>35221.558894829999</v>
      </c>
      <c r="P149" s="1640">
        <f>[39]Data!M180</f>
        <v>35907.934452129994</v>
      </c>
      <c r="Q149" s="1640">
        <f>[39]Data!N180</f>
        <v>38567.337741970026</v>
      </c>
      <c r="R149" s="1640">
        <f>[39]Data!O180</f>
        <v>48331.313456620032</v>
      </c>
      <c r="S149" s="1640">
        <f>[39]Data!P180</f>
        <v>70787.296477349999</v>
      </c>
      <c r="T149" s="1640">
        <f>[39]Data!Q180</f>
        <v>79775.547145019984</v>
      </c>
      <c r="U149" s="1492">
        <v>35433.005173557991</v>
      </c>
    </row>
    <row r="150" spans="2:21">
      <c r="B150" s="1716"/>
      <c r="C150" s="1716"/>
      <c r="D150" s="1618" t="s">
        <v>367</v>
      </c>
      <c r="E150" s="1619">
        <v>0.4</v>
      </c>
      <c r="F150" s="1641"/>
      <c r="G150" s="1642"/>
      <c r="H150" s="1641"/>
      <c r="I150" s="1642"/>
      <c r="J150" s="1643"/>
      <c r="K150" s="1623" t="s">
        <v>116</v>
      </c>
    </row>
    <row r="151" spans="2:21">
      <c r="B151" s="1709" t="s">
        <v>368</v>
      </c>
      <c r="C151" s="1710"/>
      <c r="D151" s="1711"/>
      <c r="E151" s="1619">
        <v>1</v>
      </c>
      <c r="F151" s="1641"/>
      <c r="G151" s="1642"/>
      <c r="H151" s="1641"/>
      <c r="I151" s="1642"/>
      <c r="J151" s="1643"/>
      <c r="K151" s="1644"/>
    </row>
  </sheetData>
  <sheetProtection formatCells="0" formatColumns="0" formatRows="0" insertColumns="0" insertRows="0" deleteColumns="0" deleteRows="0" selectLockedCells="1" sort="0" pivotTables="0"/>
  <mergeCells count="102">
    <mergeCell ref="J7:K8"/>
    <mergeCell ref="B9:B14"/>
    <mergeCell ref="C9:D9"/>
    <mergeCell ref="J9:K9"/>
    <mergeCell ref="C10:C14"/>
    <mergeCell ref="J10:K10"/>
    <mergeCell ref="J11:K11"/>
    <mergeCell ref="J12:K12"/>
    <mergeCell ref="J13:K13"/>
    <mergeCell ref="J14:K14"/>
    <mergeCell ref="B7:B8"/>
    <mergeCell ref="C7:C8"/>
    <mergeCell ref="D7:D8"/>
    <mergeCell ref="E7:E8"/>
    <mergeCell ref="F7:G7"/>
    <mergeCell ref="H7:I7"/>
    <mergeCell ref="B15:D15"/>
    <mergeCell ref="J15:K15"/>
    <mergeCell ref="B16:B25"/>
    <mergeCell ref="C16:C18"/>
    <mergeCell ref="J16:K16"/>
    <mergeCell ref="J17:K17"/>
    <mergeCell ref="J18:K18"/>
    <mergeCell ref="C19:C22"/>
    <mergeCell ref="J19:K19"/>
    <mergeCell ref="J21:K21"/>
    <mergeCell ref="J20:K20"/>
    <mergeCell ref="B27:E27"/>
    <mergeCell ref="F27:G27"/>
    <mergeCell ref="H27:I27"/>
    <mergeCell ref="J27:K27"/>
    <mergeCell ref="B28:E28"/>
    <mergeCell ref="F28:G28"/>
    <mergeCell ref="H28:I28"/>
    <mergeCell ref="J28:K28"/>
    <mergeCell ref="J22:K22"/>
    <mergeCell ref="C23:C25"/>
    <mergeCell ref="J23:K23"/>
    <mergeCell ref="J24:K24"/>
    <mergeCell ref="J25:K25"/>
    <mergeCell ref="B26:D26"/>
    <mergeCell ref="J26:K26"/>
    <mergeCell ref="B31:E31"/>
    <mergeCell ref="F31:I31"/>
    <mergeCell ref="J31:K31"/>
    <mergeCell ref="B32:E32"/>
    <mergeCell ref="F32:I32"/>
    <mergeCell ref="J32:K32"/>
    <mergeCell ref="B29:E29"/>
    <mergeCell ref="F29:I29"/>
    <mergeCell ref="J29:K29"/>
    <mergeCell ref="B30:E30"/>
    <mergeCell ref="F30:I30"/>
    <mergeCell ref="J30:K30"/>
    <mergeCell ref="B35:E35"/>
    <mergeCell ref="F35:I35"/>
    <mergeCell ref="J35:K35"/>
    <mergeCell ref="B36:E36"/>
    <mergeCell ref="F36:I36"/>
    <mergeCell ref="J36:K36"/>
    <mergeCell ref="B33:E33"/>
    <mergeCell ref="F33:I33"/>
    <mergeCell ref="J33:K33"/>
    <mergeCell ref="B34:E34"/>
    <mergeCell ref="F34:I34"/>
    <mergeCell ref="J34:K34"/>
    <mergeCell ref="B39:E39"/>
    <mergeCell ref="F39:I39"/>
    <mergeCell ref="J39:K39"/>
    <mergeCell ref="B40:E40"/>
    <mergeCell ref="F40:I40"/>
    <mergeCell ref="J40:K40"/>
    <mergeCell ref="B37:E37"/>
    <mergeCell ref="F37:I37"/>
    <mergeCell ref="J37:K37"/>
    <mergeCell ref="B38:E38"/>
    <mergeCell ref="F38:I38"/>
    <mergeCell ref="J38:K38"/>
    <mergeCell ref="E56:J56"/>
    <mergeCell ref="E60:F60"/>
    <mergeCell ref="G60:I60"/>
    <mergeCell ref="B132:B133"/>
    <mergeCell ref="C132:C133"/>
    <mergeCell ref="D132:D133"/>
    <mergeCell ref="E132:E133"/>
    <mergeCell ref="F132:J132"/>
    <mergeCell ref="B41:E41"/>
    <mergeCell ref="J41:K41"/>
    <mergeCell ref="B42:E42"/>
    <mergeCell ref="F42:I42"/>
    <mergeCell ref="J42:K42"/>
    <mergeCell ref="B48:B53"/>
    <mergeCell ref="B151:D151"/>
    <mergeCell ref="K132:K133"/>
    <mergeCell ref="B134:B139"/>
    <mergeCell ref="C134:D134"/>
    <mergeCell ref="C135:C139"/>
    <mergeCell ref="B140:D140"/>
    <mergeCell ref="B141:B150"/>
    <mergeCell ref="C141:C143"/>
    <mergeCell ref="C144:C146"/>
    <mergeCell ref="C147:C150"/>
  </mergeCells>
  <phoneticPr fontId="73" type="noConversion"/>
  <dataValidations count="1">
    <dataValidation type="list" allowBlank="1" showInputMessage="1" showErrorMessage="1" sqref="F32" xr:uid="{00000000-0002-0000-04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  <rowBreaks count="1" manualBreakCount="1">
    <brk id="4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A1:V184"/>
  <sheetViews>
    <sheetView showGridLines="0" view="pageBreakPreview" zoomScale="145" zoomScaleNormal="145" zoomScaleSheetLayoutView="145" workbookViewId="0">
      <selection activeCell="G12" sqref="G12"/>
    </sheetView>
  </sheetViews>
  <sheetFormatPr baseColWidth="10" defaultColWidth="9.1640625" defaultRowHeight="17"/>
  <cols>
    <col min="1" max="2" width="2.6640625" style="168" customWidth="1" collapsed="1"/>
    <col min="3" max="3" width="17.5" style="168" customWidth="1" collapsed="1"/>
    <col min="4" max="7" width="11.33203125" style="168" customWidth="1" collapsed="1"/>
    <col min="8" max="12" width="11.33203125" style="169" customWidth="1" collapsed="1"/>
    <col min="13" max="13" width="11.33203125" style="168" customWidth="1" collapsed="1"/>
    <col min="14" max="15" width="2.6640625" style="168" customWidth="1" collapsed="1"/>
    <col min="16" max="16" width="9.1640625" style="168" collapsed="1"/>
    <col min="17" max="17" width="3.83203125" style="132" customWidth="1" collapsed="1"/>
    <col min="18" max="19" width="1.5" style="168" customWidth="1" collapsed="1"/>
    <col min="20" max="21" width="9.1640625" style="168" collapsed="1"/>
    <col min="22" max="22" width="9.1640625" style="168"/>
    <col min="23" max="16384" width="9.1640625" style="168" collapsed="1"/>
  </cols>
  <sheetData>
    <row r="1" spans="1:17" ht="16.5" customHeight="1">
      <c r="A1" s="166"/>
      <c r="B1" s="166"/>
      <c r="C1" s="167"/>
      <c r="O1" s="166"/>
      <c r="P1" s="166"/>
    </row>
    <row r="2" spans="1:17" ht="16.5" customHeight="1">
      <c r="A2" s="166"/>
      <c r="B2" s="166"/>
      <c r="C2" s="1809" t="str">
        <f>Data!A1</f>
        <v>한국투자증권</v>
      </c>
      <c r="D2" s="1809"/>
      <c r="E2" s="170"/>
      <c r="F2" s="170"/>
      <c r="G2" s="170"/>
      <c r="H2" s="171"/>
      <c r="I2" s="171"/>
      <c r="J2" s="171"/>
      <c r="K2" s="171"/>
      <c r="L2" s="171"/>
      <c r="M2" s="1811" t="s">
        <v>568</v>
      </c>
      <c r="N2" s="1811"/>
      <c r="O2" s="166"/>
      <c r="P2" s="166"/>
    </row>
    <row r="3" spans="1:17" ht="16.5" customHeight="1" thickBot="1">
      <c r="A3" s="166"/>
      <c r="B3" s="166"/>
      <c r="C3" s="1810"/>
      <c r="D3" s="1810"/>
      <c r="E3" s="172"/>
      <c r="F3" s="172"/>
      <c r="G3" s="172"/>
      <c r="H3" s="172"/>
      <c r="I3" s="172"/>
      <c r="J3" s="172"/>
      <c r="K3" s="172"/>
      <c r="L3" s="172"/>
      <c r="M3" s="1812"/>
      <c r="N3" s="1812"/>
      <c r="O3" s="166"/>
      <c r="P3" s="166"/>
    </row>
    <row r="4" spans="1:17" ht="17.25" customHeight="1" thickTop="1">
      <c r="A4" s="166"/>
      <c r="B4" s="166"/>
      <c r="C4" s="133"/>
      <c r="D4" s="136"/>
      <c r="E4" s="136"/>
      <c r="F4" s="136"/>
      <c r="G4" s="136"/>
      <c r="H4" s="166"/>
      <c r="I4" s="166"/>
      <c r="J4" s="166"/>
      <c r="K4" s="166"/>
      <c r="L4" s="166"/>
      <c r="M4" s="136"/>
      <c r="N4" s="136"/>
      <c r="O4" s="166"/>
      <c r="P4" s="166"/>
    </row>
    <row r="5" spans="1:17" ht="19.5" customHeight="1">
      <c r="A5" s="166"/>
      <c r="B5" s="166"/>
      <c r="C5" s="173" t="s">
        <v>437</v>
      </c>
      <c r="D5" s="174" t="str">
        <f>Data!J1</f>
        <v>K-IFRS</v>
      </c>
      <c r="E5" s="174" t="str">
        <f>Data!K1</f>
        <v>K-IFRS</v>
      </c>
      <c r="F5" s="174" t="str">
        <f>Data!L1</f>
        <v>K-IFRS</v>
      </c>
      <c r="G5" s="174" t="str">
        <f>Data!M1</f>
        <v>K-IFRS</v>
      </c>
      <c r="H5" s="174" t="str">
        <f>Data!N1</f>
        <v>K-IFRS</v>
      </c>
      <c r="I5" s="174" t="str">
        <f>Data!O1</f>
        <v>K-IFRS</v>
      </c>
      <c r="J5" s="174" t="str">
        <f>Data!P1</f>
        <v>K-IFRS</v>
      </c>
      <c r="K5" s="174" t="str">
        <f>Data!Q1</f>
        <v>K-IFRS</v>
      </c>
      <c r="L5" s="174" t="str">
        <f>Data!R1</f>
        <v>K-IFRS</v>
      </c>
      <c r="M5" s="174"/>
      <c r="N5" s="175"/>
      <c r="O5" s="166"/>
      <c r="P5" s="166"/>
    </row>
    <row r="6" spans="1:17" ht="20" customHeight="1">
      <c r="A6" s="166"/>
      <c r="B6" s="166"/>
      <c r="C6" s="176" t="s">
        <v>569</v>
      </c>
      <c r="D6" s="177" t="str">
        <f>Data!J2</f>
        <v>별도</v>
      </c>
      <c r="E6" s="177" t="str">
        <f>Data!K2</f>
        <v>별도</v>
      </c>
      <c r="F6" s="177" t="str">
        <f>Data!L2</f>
        <v>별도</v>
      </c>
      <c r="G6" s="177" t="str">
        <f>Data!M2</f>
        <v>별도</v>
      </c>
      <c r="H6" s="177" t="str">
        <f>Data!N2</f>
        <v>별도</v>
      </c>
      <c r="I6" s="177" t="str">
        <f>Data!O2</f>
        <v>별도</v>
      </c>
      <c r="J6" s="177" t="str">
        <f>Data!P2</f>
        <v>별도</v>
      </c>
      <c r="K6" s="177" t="str">
        <f>Data!Q2</f>
        <v>별도</v>
      </c>
      <c r="L6" s="177" t="str">
        <f>Data!R2</f>
        <v>별도</v>
      </c>
      <c r="M6" s="177"/>
      <c r="N6" s="178"/>
      <c r="O6" s="166"/>
      <c r="P6" s="166"/>
    </row>
    <row r="7" spans="1:17" ht="19.5" customHeight="1">
      <c r="A7" s="166"/>
      <c r="B7" s="166"/>
      <c r="C7" s="179" t="s">
        <v>49</v>
      </c>
      <c r="D7" s="180" t="str">
        <f>Data!J4</f>
        <v>'12.03</v>
      </c>
      <c r="E7" s="180" t="str">
        <f>Data!K4</f>
        <v>'13.03</v>
      </c>
      <c r="F7" s="180" t="str">
        <f>Data!L4</f>
        <v>'13.12</v>
      </c>
      <c r="G7" s="180" t="str">
        <f>Data!M4</f>
        <v>'14.12</v>
      </c>
      <c r="H7" s="180" t="str">
        <f>Data!N4</f>
        <v>'15.12</v>
      </c>
      <c r="I7" s="180" t="str">
        <f>Data!O4</f>
        <v>'16.12</v>
      </c>
      <c r="J7" s="180" t="str">
        <f>Data!P4</f>
        <v>'17.12</v>
      </c>
      <c r="K7" s="180" t="str">
        <f>Data!Q4</f>
        <v>'18.12</v>
      </c>
      <c r="L7" s="180" t="str">
        <f>Data!R4</f>
        <v>'19.09</v>
      </c>
      <c r="M7" s="180" t="s">
        <v>449</v>
      </c>
      <c r="N7" s="181"/>
      <c r="O7" s="166"/>
      <c r="P7" s="166"/>
    </row>
    <row r="8" spans="1:17" ht="11" customHeight="1">
      <c r="A8" s="182"/>
      <c r="B8" s="182"/>
      <c r="C8" s="183" t="s">
        <v>50</v>
      </c>
      <c r="D8" s="249">
        <f>Data!J62</f>
        <v>17197.129297799998</v>
      </c>
      <c r="E8" s="249">
        <f>Data!K62</f>
        <v>14983.052331110002</v>
      </c>
      <c r="F8" s="249">
        <f>Data!L62</f>
        <v>17598.77209911</v>
      </c>
      <c r="G8" s="249">
        <f>Data!M62</f>
        <v>42261.793319299999</v>
      </c>
      <c r="H8" s="249">
        <f>Data!N62</f>
        <v>55592.259315210002</v>
      </c>
      <c r="I8" s="249">
        <f>Data!O62</f>
        <v>61155.059985960004</v>
      </c>
      <c r="J8" s="249">
        <f>Data!P62</f>
        <v>46250.818412880006</v>
      </c>
      <c r="K8" s="249">
        <f>Data!Q62</f>
        <v>69331.469754029997</v>
      </c>
      <c r="L8" s="249">
        <f>Data!R62</f>
        <v>53477.477433290005</v>
      </c>
      <c r="M8" s="255">
        <f t="shared" ref="M8:M13" si="0">AVERAGE(G8:K8)</f>
        <v>54918.280157476001</v>
      </c>
      <c r="N8" s="186"/>
      <c r="O8" s="182"/>
      <c r="P8" s="182"/>
      <c r="Q8" s="134"/>
    </row>
    <row r="9" spans="1:17" ht="11" customHeight="1">
      <c r="A9" s="166"/>
      <c r="B9" s="166"/>
      <c r="C9" s="183" t="s">
        <v>2356</v>
      </c>
      <c r="D9" s="249">
        <f>Data!J12</f>
        <v>16209.82</v>
      </c>
      <c r="E9" s="249">
        <f>Data!K12</f>
        <v>12053.54</v>
      </c>
      <c r="F9" s="249">
        <f>Data!L12</f>
        <v>11983.14</v>
      </c>
      <c r="G9" s="249">
        <f>Data!M12</f>
        <v>13885.939999999999</v>
      </c>
      <c r="H9" s="249">
        <f>Data!N12</f>
        <v>24679.8</v>
      </c>
      <c r="I9" s="249">
        <f>Data!O12</f>
        <v>46982.549999999996</v>
      </c>
      <c r="J9" s="249">
        <f>Data!P12</f>
        <v>37851.49</v>
      </c>
      <c r="K9" s="249">
        <f>Data!Q12</f>
        <v>302493.86</v>
      </c>
      <c r="L9" s="249">
        <f>Data!R12</f>
        <v>315038.54000000004</v>
      </c>
      <c r="M9" s="255">
        <f t="shared" si="0"/>
        <v>85178.728000000003</v>
      </c>
      <c r="N9" s="187"/>
      <c r="O9" s="166"/>
      <c r="P9" s="166"/>
      <c r="Q9" s="134"/>
    </row>
    <row r="10" spans="1:17" ht="11" customHeight="1">
      <c r="A10" s="166"/>
      <c r="B10" s="166"/>
      <c r="C10" s="183" t="s">
        <v>446</v>
      </c>
      <c r="D10" s="249">
        <f>Data!J63</f>
        <v>1099.7406575499999</v>
      </c>
      <c r="E10" s="249">
        <f>Data!K63</f>
        <v>4254.2978276599997</v>
      </c>
      <c r="F10" s="249">
        <f>Data!L63</f>
        <v>4577.35865233</v>
      </c>
      <c r="G10" s="249">
        <f>Data!M63</f>
        <v>5935.2910772300002</v>
      </c>
      <c r="H10" s="249">
        <f>Data!N63</f>
        <v>6906.80568881</v>
      </c>
      <c r="I10" s="249">
        <f>Data!O63</f>
        <v>7611.50325342</v>
      </c>
      <c r="J10" s="249">
        <f>Data!P63</f>
        <v>8117.4936839600005</v>
      </c>
      <c r="K10" s="249">
        <f>Data!Q63</f>
        <v>18164.449087659999</v>
      </c>
      <c r="L10" s="249">
        <f>Data!R63</f>
        <v>33719.470408540001</v>
      </c>
      <c r="M10" s="255">
        <f t="shared" si="0"/>
        <v>9347.1085582159994</v>
      </c>
      <c r="N10" s="186"/>
      <c r="O10" s="166"/>
      <c r="P10" s="166"/>
      <c r="Q10" s="134" t="s">
        <v>570</v>
      </c>
    </row>
    <row r="11" spans="1:17" ht="11" customHeight="1">
      <c r="A11" s="166"/>
      <c r="B11" s="166"/>
      <c r="C11" s="183" t="s">
        <v>32</v>
      </c>
      <c r="D11" s="249">
        <f>Data!J64</f>
        <v>11362.955513860001</v>
      </c>
      <c r="E11" s="249">
        <f>Data!K64</f>
        <v>14697.519643600001</v>
      </c>
      <c r="F11" s="249">
        <f>Data!L64</f>
        <v>14787.290585070001</v>
      </c>
      <c r="G11" s="249">
        <f>Data!M64</f>
        <v>13957.09317111</v>
      </c>
      <c r="H11" s="249">
        <f>Data!N64</f>
        <v>17554.358424450002</v>
      </c>
      <c r="I11" s="249">
        <f>Data!O64</f>
        <v>19972.17555177</v>
      </c>
      <c r="J11" s="249">
        <f>Data!P64</f>
        <v>33520.247614970001</v>
      </c>
      <c r="K11" s="249">
        <f>Data!Q64</f>
        <v>39926.181118230001</v>
      </c>
      <c r="L11" s="249">
        <f>Data!R64</f>
        <v>45222.263071120004</v>
      </c>
      <c r="M11" s="255">
        <f t="shared" si="0"/>
        <v>24986.011176106</v>
      </c>
      <c r="N11" s="186"/>
      <c r="O11" s="166"/>
      <c r="P11" s="166"/>
      <c r="Q11" s="134" t="s">
        <v>571</v>
      </c>
    </row>
    <row r="12" spans="1:17" ht="11" customHeight="1">
      <c r="A12" s="166"/>
      <c r="B12" s="166"/>
      <c r="C12" s="183" t="s">
        <v>34</v>
      </c>
      <c r="D12" s="251">
        <f t="shared" ref="D12:J12" si="1">D13-D8-D9-D10-D11</f>
        <v>122183.51453079002</v>
      </c>
      <c r="E12" s="251">
        <f t="shared" si="1"/>
        <v>146744.07019763</v>
      </c>
      <c r="F12" s="251">
        <f t="shared" si="1"/>
        <v>149591.34866349</v>
      </c>
      <c r="G12" s="251">
        <f t="shared" si="1"/>
        <v>158846.57243236</v>
      </c>
      <c r="H12" s="251">
        <f t="shared" si="1"/>
        <v>180063.33657153</v>
      </c>
      <c r="I12" s="251">
        <f t="shared" si="1"/>
        <v>192526.05120885003</v>
      </c>
      <c r="J12" s="251">
        <f t="shared" si="1"/>
        <v>249711.31028819</v>
      </c>
      <c r="K12" s="251">
        <f>K13-K8-K9-K10-K11</f>
        <v>13597.380040080039</v>
      </c>
      <c r="L12" s="251">
        <f>L13-L8-L9-L10-L11</f>
        <v>31920.339087050001</v>
      </c>
      <c r="M12" s="255">
        <f t="shared" si="0"/>
        <v>158948.93010820201</v>
      </c>
      <c r="N12" s="186"/>
      <c r="O12" s="166"/>
      <c r="P12" s="166"/>
      <c r="Q12" s="134"/>
    </row>
    <row r="13" spans="1:17" ht="11" customHeight="1">
      <c r="A13" s="166"/>
      <c r="B13" s="166"/>
      <c r="C13" s="188" t="s">
        <v>51</v>
      </c>
      <c r="D13" s="250">
        <f>Data!J15</f>
        <v>168053.16</v>
      </c>
      <c r="E13" s="250">
        <f>Data!K15</f>
        <v>192732.48</v>
      </c>
      <c r="F13" s="250">
        <f>Data!L15</f>
        <v>198537.91</v>
      </c>
      <c r="G13" s="250">
        <f>Data!M15</f>
        <v>234886.69</v>
      </c>
      <c r="H13" s="250">
        <f>Data!N15</f>
        <v>284796.56</v>
      </c>
      <c r="I13" s="250">
        <f>Data!O15</f>
        <v>328247.34000000003</v>
      </c>
      <c r="J13" s="250">
        <f>Data!P15</f>
        <v>375451.36</v>
      </c>
      <c r="K13" s="250">
        <f>Data!Q15</f>
        <v>443513.34</v>
      </c>
      <c r="L13" s="250">
        <f>Data!R15</f>
        <v>479378.09</v>
      </c>
      <c r="M13" s="256">
        <f t="shared" si="0"/>
        <v>333379.05800000008</v>
      </c>
      <c r="N13" s="189"/>
      <c r="O13" s="166"/>
      <c r="P13" s="166"/>
      <c r="Q13" s="134"/>
    </row>
    <row r="14" spans="1:17" ht="11" customHeight="1">
      <c r="A14" s="166"/>
      <c r="B14" s="166"/>
      <c r="C14" s="183"/>
      <c r="D14" s="190"/>
      <c r="E14" s="190"/>
      <c r="F14" s="190"/>
      <c r="G14" s="190"/>
      <c r="H14" s="191"/>
      <c r="I14" s="191"/>
      <c r="J14" s="191"/>
      <c r="K14" s="191"/>
      <c r="L14" s="191"/>
      <c r="M14" s="257"/>
      <c r="N14" s="186"/>
      <c r="O14" s="166"/>
      <c r="P14" s="166"/>
      <c r="Q14" s="134"/>
    </row>
    <row r="15" spans="1:17" ht="11" customHeight="1">
      <c r="A15" s="166"/>
      <c r="B15" s="166"/>
      <c r="C15" s="183" t="s">
        <v>114</v>
      </c>
      <c r="D15" s="252">
        <f>Data!J143</f>
        <v>14207.8961284</v>
      </c>
      <c r="E15" s="252">
        <f>Data!K143</f>
        <v>12949.57943165</v>
      </c>
      <c r="F15" s="252">
        <f>Data!L143</f>
        <v>14640.90978652</v>
      </c>
      <c r="G15" s="252">
        <f>Data!M143</f>
        <v>22277.056166419999</v>
      </c>
      <c r="H15" s="252">
        <f>Data!N143</f>
        <v>34794.073786790002</v>
      </c>
      <c r="I15" s="252">
        <f>Data!O143</f>
        <v>36609.749452199998</v>
      </c>
      <c r="J15" s="252">
        <f>Data!P143</f>
        <v>33424.893275609997</v>
      </c>
      <c r="K15" s="252">
        <f>Data!Q143</f>
        <v>38973.322408139997</v>
      </c>
      <c r="L15" s="252">
        <f>Data!R143</f>
        <v>38029.024807310001</v>
      </c>
      <c r="M15" s="255">
        <f t="shared" ref="M15:M23" si="2">AVERAGE(G15:K15)</f>
        <v>33215.819017832</v>
      </c>
      <c r="N15" s="192"/>
      <c r="O15" s="166"/>
      <c r="P15" s="166"/>
      <c r="Q15" s="134" t="s">
        <v>572</v>
      </c>
    </row>
    <row r="16" spans="1:17" ht="11" customHeight="1">
      <c r="A16" s="166"/>
      <c r="B16" s="166"/>
      <c r="C16" s="183" t="s">
        <v>52</v>
      </c>
      <c r="D16" s="255">
        <f t="shared" ref="D16:H16" si="3">D17+D18+D20+D19+D21</f>
        <v>113271.30424384998</v>
      </c>
      <c r="E16" s="255">
        <f t="shared" si="3"/>
        <v>139223.10311296</v>
      </c>
      <c r="F16" s="255">
        <f t="shared" si="3"/>
        <v>143905.69572682001</v>
      </c>
      <c r="G16" s="255">
        <f t="shared" si="3"/>
        <v>170309.87366757001</v>
      </c>
      <c r="H16" s="255">
        <f t="shared" si="3"/>
        <v>201406.93546745999</v>
      </c>
      <c r="I16" s="255">
        <f>I17+I18+I20+I19+I21</f>
        <v>234466.63864125998</v>
      </c>
      <c r="J16" s="255">
        <f t="shared" ref="J16:K16" si="4">J17+J18+J20+J19+J21</f>
        <v>262326.92449727003</v>
      </c>
      <c r="K16" s="255">
        <f t="shared" si="4"/>
        <v>273242.13739642996</v>
      </c>
      <c r="L16" s="255">
        <f t="shared" ref="L16" si="5">L17+L18+L20+L19+L21</f>
        <v>275960.08950142999</v>
      </c>
      <c r="M16" s="255">
        <f t="shared" si="2"/>
        <v>228350.50193399802</v>
      </c>
      <c r="N16" s="192"/>
      <c r="O16" s="166"/>
      <c r="P16" s="166"/>
      <c r="Q16" s="134"/>
    </row>
    <row r="17" spans="1:17" ht="11" customHeight="1">
      <c r="A17" s="166"/>
      <c r="B17" s="166"/>
      <c r="C17" s="193" t="s">
        <v>53</v>
      </c>
      <c r="D17" s="253">
        <f>Data!J147</f>
        <v>14718.249455609999</v>
      </c>
      <c r="E17" s="253">
        <f>Data!K147</f>
        <v>15185.138986710001</v>
      </c>
      <c r="F17" s="253">
        <f>Data!L147</f>
        <v>12004.423780720001</v>
      </c>
      <c r="G17" s="253">
        <f>Data!M147</f>
        <v>11705.17172072</v>
      </c>
      <c r="H17" s="253">
        <f>Data!N147</f>
        <v>8321.7735584900001</v>
      </c>
      <c r="I17" s="253">
        <f>Data!O147</f>
        <v>6594.7522961599998</v>
      </c>
      <c r="J17" s="253">
        <f>Data!P147</f>
        <v>4732.4047680399999</v>
      </c>
      <c r="K17" s="253">
        <f>Data!Q147</f>
        <v>10000</v>
      </c>
      <c r="L17" s="253">
        <f>Data!R147</f>
        <v>9200</v>
      </c>
      <c r="M17" s="258">
        <f t="shared" si="2"/>
        <v>8270.820468681999</v>
      </c>
      <c r="N17" s="192"/>
      <c r="O17" s="166"/>
      <c r="P17" s="166"/>
      <c r="Q17" s="134"/>
    </row>
    <row r="18" spans="1:17" ht="11" customHeight="1">
      <c r="A18" s="166"/>
      <c r="B18" s="166"/>
      <c r="C18" s="193" t="s">
        <v>54</v>
      </c>
      <c r="D18" s="253">
        <f>Data!J150</f>
        <v>56459.878963869996</v>
      </c>
      <c r="E18" s="253">
        <f>Data!K150</f>
        <v>68723.380438509994</v>
      </c>
      <c r="F18" s="253">
        <f>Data!L150</f>
        <v>77534.115325229999</v>
      </c>
      <c r="G18" s="253">
        <f>Data!M150</f>
        <v>83128.050130660005</v>
      </c>
      <c r="H18" s="253">
        <f>Data!N150</f>
        <v>102435.54906067</v>
      </c>
      <c r="I18" s="253">
        <f>Data!O150</f>
        <v>116124.37310368</v>
      </c>
      <c r="J18" s="253">
        <f>Data!P150</f>
        <v>129935.32550214999</v>
      </c>
      <c r="K18" s="253">
        <f>Data!Q150</f>
        <v>103006.16178676</v>
      </c>
      <c r="L18" s="253">
        <f>Data!R150</f>
        <v>95941.336174149998</v>
      </c>
      <c r="M18" s="258">
        <f t="shared" si="2"/>
        <v>106925.89191678399</v>
      </c>
      <c r="N18" s="192"/>
      <c r="O18" s="166"/>
      <c r="P18" s="166"/>
      <c r="Q18" s="134"/>
    </row>
    <row r="19" spans="1:17" ht="11" customHeight="1">
      <c r="A19" s="166"/>
      <c r="B19" s="166"/>
      <c r="C19" s="193" t="s">
        <v>55</v>
      </c>
      <c r="D19" s="253">
        <f>Data!J159</f>
        <v>625.79</v>
      </c>
      <c r="E19" s="253">
        <f>Data!K159</f>
        <v>2700</v>
      </c>
      <c r="F19" s="253">
        <f>Data!L159</f>
        <v>2700</v>
      </c>
      <c r="G19" s="253">
        <f>Data!M159</f>
        <v>2700</v>
      </c>
      <c r="H19" s="253">
        <f>Data!N159</f>
        <v>5800</v>
      </c>
      <c r="I19" s="253">
        <f>Data!O159</f>
        <v>7800</v>
      </c>
      <c r="J19" s="253">
        <f>Data!P159</f>
        <v>7000</v>
      </c>
      <c r="K19" s="253">
        <f>Data!Q159</f>
        <v>7989.8712411500001</v>
      </c>
      <c r="L19" s="253">
        <f>Data!R159</f>
        <v>11979.45683619</v>
      </c>
      <c r="M19" s="258">
        <f t="shared" si="2"/>
        <v>6257.9742482300007</v>
      </c>
      <c r="N19" s="192"/>
      <c r="O19" s="166"/>
      <c r="P19" s="166"/>
      <c r="Q19" s="134"/>
    </row>
    <row r="20" spans="1:17" ht="11" customHeight="1">
      <c r="A20" s="166"/>
      <c r="B20" s="166"/>
      <c r="C20" s="193" t="s">
        <v>56</v>
      </c>
      <c r="D20" s="253">
        <f>Data!J152</f>
        <v>32356.694091869998</v>
      </c>
      <c r="E20" s="253">
        <f>Data!K152</f>
        <v>39768.612010320001</v>
      </c>
      <c r="F20" s="253">
        <f>Data!L152</f>
        <v>47257.361393469997</v>
      </c>
      <c r="G20" s="253">
        <f>Data!M152</f>
        <v>57324.844811950003</v>
      </c>
      <c r="H20" s="253">
        <f>Data!N152</f>
        <v>67541.088809010005</v>
      </c>
      <c r="I20" s="253">
        <f>Data!O152</f>
        <v>84247.567620600006</v>
      </c>
      <c r="J20" s="253">
        <f>Data!P152</f>
        <v>89748.049846280002</v>
      </c>
      <c r="K20" s="253">
        <f>Data!Q152</f>
        <v>123568.41673821</v>
      </c>
      <c r="L20" s="253">
        <f>Data!R152</f>
        <v>129336.46208752001</v>
      </c>
      <c r="M20" s="258">
        <f t="shared" si="2"/>
        <v>84485.99356521001</v>
      </c>
      <c r="N20" s="192"/>
      <c r="O20" s="166"/>
      <c r="P20" s="166"/>
      <c r="Q20" s="134"/>
    </row>
    <row r="21" spans="1:17" ht="11" customHeight="1">
      <c r="A21" s="166"/>
      <c r="B21" s="166"/>
      <c r="C21" s="193" t="s">
        <v>447</v>
      </c>
      <c r="D21" s="253">
        <f>Data!J151</f>
        <v>9110.6917324999995</v>
      </c>
      <c r="E21" s="253">
        <f>Data!K151</f>
        <v>12845.971677420001</v>
      </c>
      <c r="F21" s="253">
        <f>Data!L151</f>
        <v>4409.7952273999999</v>
      </c>
      <c r="G21" s="253">
        <f>Data!M151</f>
        <v>15451.80700424</v>
      </c>
      <c r="H21" s="253">
        <f>Data!N151</f>
        <v>17308.524039290001</v>
      </c>
      <c r="I21" s="253">
        <f>Data!O151</f>
        <v>19699.945620819999</v>
      </c>
      <c r="J21" s="253">
        <f>Data!P151</f>
        <v>30911.1443808</v>
      </c>
      <c r="K21" s="253">
        <f>Data!Q151</f>
        <v>28677.68763031</v>
      </c>
      <c r="L21" s="253">
        <f>Data!R151</f>
        <v>29502.834403569999</v>
      </c>
      <c r="M21" s="258">
        <f t="shared" si="2"/>
        <v>22409.821735091999</v>
      </c>
      <c r="N21" s="193"/>
      <c r="O21" s="166"/>
      <c r="P21" s="166"/>
      <c r="Q21" s="134"/>
    </row>
    <row r="22" spans="1:17" ht="11" customHeight="1">
      <c r="A22" s="166"/>
      <c r="B22" s="166"/>
      <c r="C22" s="183" t="s">
        <v>57</v>
      </c>
      <c r="D22" s="255">
        <f t="shared" ref="D22:G22" si="6">D23-D15-D16</f>
        <v>9148.4896277500229</v>
      </c>
      <c r="E22" s="255">
        <f t="shared" si="6"/>
        <v>8615.2774553899944</v>
      </c>
      <c r="F22" s="255">
        <f t="shared" si="6"/>
        <v>9162.9544866599899</v>
      </c>
      <c r="G22" s="255">
        <f t="shared" si="6"/>
        <v>10396.340166009992</v>
      </c>
      <c r="H22" s="255">
        <f>H23-H15-H16</f>
        <v>15646.950745750015</v>
      </c>
      <c r="I22" s="255">
        <f>I23-I15-I16</f>
        <v>16444.611906540027</v>
      </c>
      <c r="J22" s="255">
        <f>J23-J15-J16</f>
        <v>37281.692227119987</v>
      </c>
      <c r="K22" s="255">
        <f>K23-K15-K16</f>
        <v>87792.900195430091</v>
      </c>
      <c r="L22" s="255">
        <f>L23-L15-L16</f>
        <v>118946.17569126002</v>
      </c>
      <c r="M22" s="255">
        <f t="shared" si="2"/>
        <v>33512.499048170022</v>
      </c>
      <c r="N22" s="193"/>
      <c r="O22" s="166"/>
      <c r="P22" s="166"/>
      <c r="Q22" s="134"/>
    </row>
    <row r="23" spans="1:17" ht="11" customHeight="1">
      <c r="A23" s="166"/>
      <c r="B23" s="166"/>
      <c r="C23" s="188" t="s">
        <v>58</v>
      </c>
      <c r="D23" s="254">
        <f>Data!J16</f>
        <v>136627.69</v>
      </c>
      <c r="E23" s="254">
        <f>Data!K16</f>
        <v>160787.96</v>
      </c>
      <c r="F23" s="254">
        <f>Data!L16</f>
        <v>167709.56</v>
      </c>
      <c r="G23" s="254">
        <f>Data!M16</f>
        <v>202983.27</v>
      </c>
      <c r="H23" s="254">
        <f>Data!N16</f>
        <v>251847.96</v>
      </c>
      <c r="I23" s="254">
        <f>Data!O16</f>
        <v>287521</v>
      </c>
      <c r="J23" s="254">
        <f>Data!P16</f>
        <v>333033.51</v>
      </c>
      <c r="K23" s="254">
        <f>Data!Q16</f>
        <v>400008.36000000004</v>
      </c>
      <c r="L23" s="254">
        <f>Data!R16</f>
        <v>432935.29000000004</v>
      </c>
      <c r="M23" s="256">
        <f t="shared" si="2"/>
        <v>295078.82</v>
      </c>
      <c r="N23" s="194"/>
      <c r="O23" s="166"/>
      <c r="P23" s="166"/>
      <c r="Q23" s="134"/>
    </row>
    <row r="24" spans="1:17" ht="11" customHeight="1">
      <c r="A24" s="166"/>
      <c r="B24" s="166"/>
      <c r="C24" s="183"/>
      <c r="D24" s="184"/>
      <c r="E24" s="184"/>
      <c r="F24" s="184"/>
      <c r="G24" s="184"/>
      <c r="H24" s="184"/>
      <c r="I24" s="184"/>
      <c r="J24" s="184"/>
      <c r="K24" s="184"/>
      <c r="L24" s="184"/>
      <c r="M24" s="255"/>
      <c r="N24" s="193"/>
      <c r="O24" s="166"/>
      <c r="P24" s="166"/>
      <c r="Q24" s="134"/>
    </row>
    <row r="25" spans="1:17" ht="11" customHeight="1">
      <c r="A25" s="166"/>
      <c r="B25" s="166"/>
      <c r="C25" s="193" t="s">
        <v>40</v>
      </c>
      <c r="D25" s="253">
        <f>Data!J179</f>
        <v>1755.6980000000001</v>
      </c>
      <c r="E25" s="253">
        <f>Data!K179</f>
        <v>1755.6980000000001</v>
      </c>
      <c r="F25" s="253">
        <f>Data!L179</f>
        <v>1755.6980000000001</v>
      </c>
      <c r="G25" s="253">
        <f>Data!M179</f>
        <v>1755.6980000000001</v>
      </c>
      <c r="H25" s="253">
        <f>Data!N179</f>
        <v>1755.6980000000001</v>
      </c>
      <c r="I25" s="253">
        <f>Data!O179</f>
        <v>1757.39</v>
      </c>
      <c r="J25" s="253">
        <f>Data!P179</f>
        <v>1757.39</v>
      </c>
      <c r="K25" s="253">
        <f>Data!Q179</f>
        <v>1757.39</v>
      </c>
      <c r="L25" s="253">
        <f>Data!R179</f>
        <v>1757.39</v>
      </c>
      <c r="M25" s="258">
        <f>AVERAGE(G25:K25)</f>
        <v>1756.7132000000001</v>
      </c>
      <c r="N25" s="192"/>
      <c r="O25" s="195"/>
      <c r="P25" s="195"/>
      <c r="Q25" s="134" t="s">
        <v>438</v>
      </c>
    </row>
    <row r="26" spans="1:17" ht="11" customHeight="1">
      <c r="A26" s="166"/>
      <c r="B26" s="166"/>
      <c r="C26" s="193" t="s">
        <v>42</v>
      </c>
      <c r="D26" s="253">
        <f>Data!J182</f>
        <v>14181.947962239999</v>
      </c>
      <c r="E26" s="253">
        <f>Data!K182</f>
        <v>14771.42323205</v>
      </c>
      <c r="F26" s="253">
        <f>Data!L182</f>
        <v>13763.724601010001</v>
      </c>
      <c r="G26" s="253">
        <f>Data!M182</f>
        <v>15364.203727280001</v>
      </c>
      <c r="H26" s="253">
        <f>Data!N182</f>
        <v>16323.616787929999</v>
      </c>
      <c r="I26" s="253">
        <f>Data!O182</f>
        <v>7138.0690257099996</v>
      </c>
      <c r="J26" s="253">
        <f>Data!P182</f>
        <v>8158.7508386099998</v>
      </c>
      <c r="K26" s="253">
        <f>Data!Q182</f>
        <v>9502.8758399599992</v>
      </c>
      <c r="L26" s="253">
        <f>Data!R182</f>
        <v>12951.362266820001</v>
      </c>
      <c r="M26" s="258">
        <f>AVERAGE(G26:K26)</f>
        <v>11297.503243898</v>
      </c>
      <c r="N26" s="196"/>
      <c r="O26" s="195"/>
      <c r="P26" s="195"/>
      <c r="Q26" s="134"/>
    </row>
    <row r="27" spans="1:17" ht="11" customHeight="1">
      <c r="A27" s="166"/>
      <c r="B27" s="166"/>
      <c r="C27" s="188" t="s">
        <v>12</v>
      </c>
      <c r="D27" s="254">
        <f>Data!J17</f>
        <v>31425.47</v>
      </c>
      <c r="E27" s="254">
        <f>Data!K17</f>
        <v>31944.52</v>
      </c>
      <c r="F27" s="254">
        <f>Data!L17</f>
        <v>30828.35</v>
      </c>
      <c r="G27" s="254">
        <f>Data!M17</f>
        <v>31903.42</v>
      </c>
      <c r="H27" s="254">
        <f>Data!N17</f>
        <v>32948.589999999997</v>
      </c>
      <c r="I27" s="254">
        <f>Data!O17</f>
        <v>40726.589999999997</v>
      </c>
      <c r="J27" s="254">
        <f>Data!P17</f>
        <v>42417.85</v>
      </c>
      <c r="K27" s="254">
        <f>Data!Q17</f>
        <v>43504.98</v>
      </c>
      <c r="L27" s="254">
        <f>Data!R17</f>
        <v>46442.8</v>
      </c>
      <c r="M27" s="256">
        <f>AVERAGE(G27:K27)</f>
        <v>38300.286</v>
      </c>
      <c r="N27" s="197"/>
      <c r="O27" s="195"/>
      <c r="P27" s="195"/>
      <c r="Q27" s="134"/>
    </row>
    <row r="28" spans="1:17" ht="11" customHeight="1">
      <c r="A28" s="166"/>
      <c r="B28" s="166"/>
      <c r="C28" s="183"/>
      <c r="D28" s="184"/>
      <c r="E28" s="184"/>
      <c r="F28" s="184"/>
      <c r="G28" s="184"/>
      <c r="H28" s="184"/>
      <c r="I28" s="184"/>
      <c r="J28" s="184"/>
      <c r="K28" s="184"/>
      <c r="L28" s="184"/>
      <c r="M28" s="255"/>
      <c r="N28" s="198"/>
      <c r="O28" s="195"/>
      <c r="P28" s="195"/>
      <c r="Q28" s="134"/>
    </row>
    <row r="29" spans="1:17" ht="11" customHeight="1">
      <c r="A29" s="166"/>
      <c r="B29" s="166"/>
      <c r="C29" s="183" t="s">
        <v>38</v>
      </c>
      <c r="D29" s="252">
        <f>Data!J357</f>
        <v>103024.46918413999</v>
      </c>
      <c r="E29" s="252">
        <f>Data!K357</f>
        <v>121441.57188047998</v>
      </c>
      <c r="F29" s="252">
        <f>Data!L357</f>
        <v>139432.38650522</v>
      </c>
      <c r="G29" s="252">
        <f>Data!M357</f>
        <v>162729.95110902999</v>
      </c>
      <c r="H29" s="252">
        <f>Data!N357</f>
        <v>204770.71165647003</v>
      </c>
      <c r="I29" s="252">
        <f>Data!O357</f>
        <v>236981.69017647998</v>
      </c>
      <c r="J29" s="252">
        <f>Data!P357</f>
        <v>253108.26862404001</v>
      </c>
      <c r="K29" s="252">
        <f>Data!Q357</f>
        <v>265547.90093310998</v>
      </c>
      <c r="L29" s="252">
        <f>Data!R357</f>
        <v>263306.82306898001</v>
      </c>
      <c r="M29" s="255">
        <f>AVERAGE(G29:K29)</f>
        <v>224627.70449982598</v>
      </c>
      <c r="N29" s="198"/>
      <c r="O29" s="195"/>
      <c r="P29" s="195"/>
      <c r="Q29" s="134"/>
    </row>
    <row r="30" spans="1:17" ht="11" customHeight="1">
      <c r="A30" s="166"/>
      <c r="B30" s="166"/>
      <c r="C30" s="183" t="s">
        <v>37</v>
      </c>
      <c r="D30" s="252">
        <f>Data!J358</f>
        <v>15344.03945561</v>
      </c>
      <c r="E30" s="252">
        <f>Data!K358</f>
        <v>17885.138986710001</v>
      </c>
      <c r="F30" s="252">
        <f>Data!L358</f>
        <v>14704.423780720001</v>
      </c>
      <c r="G30" s="252">
        <f>Data!M358</f>
        <v>14405.17172072</v>
      </c>
      <c r="H30" s="252">
        <f>Data!N358</f>
        <v>14121.77355849</v>
      </c>
      <c r="I30" s="252">
        <f>Data!O358</f>
        <v>14394.752296160001</v>
      </c>
      <c r="J30" s="252">
        <f>Data!P358</f>
        <v>19082.40476804</v>
      </c>
      <c r="K30" s="252">
        <f>Data!Q358</f>
        <v>26189.871241150002</v>
      </c>
      <c r="L30" s="252">
        <f>Data!R358</f>
        <v>30559.456836190002</v>
      </c>
      <c r="M30" s="255">
        <f>AVERAGE(G30:K30)</f>
        <v>17638.794716911998</v>
      </c>
      <c r="N30" s="198"/>
      <c r="O30" s="195"/>
      <c r="P30" s="195"/>
      <c r="Q30" s="134"/>
    </row>
    <row r="31" spans="1:17" ht="11" customHeight="1">
      <c r="A31" s="166"/>
      <c r="B31" s="166"/>
      <c r="C31" s="188" t="s">
        <v>1698</v>
      </c>
      <c r="D31" s="254"/>
      <c r="E31" s="254">
        <f>Data!K299</f>
        <v>3680.3640999999998</v>
      </c>
      <c r="F31" s="254">
        <f>Data!L299</f>
        <v>7081.7323059999999</v>
      </c>
      <c r="G31" s="254">
        <f>Data!M299</f>
        <v>10724.824556</v>
      </c>
      <c r="H31" s="254">
        <f>Data!N299</f>
        <v>10680.77225</v>
      </c>
      <c r="I31" s="254">
        <f>Data!O299</f>
        <v>23729.99842018</v>
      </c>
      <c r="J31" s="254">
        <f>Data!P299</f>
        <v>32051.128446160001</v>
      </c>
      <c r="K31" s="254">
        <f>Data!Q299</f>
        <v>39390.12605708</v>
      </c>
      <c r="L31" s="254">
        <f>Data!R299</f>
        <v>41558.69516612</v>
      </c>
      <c r="M31" s="256">
        <f>AVERAGE(G31:K31)</f>
        <v>23315.369945884002</v>
      </c>
      <c r="N31" s="198"/>
      <c r="O31" s="195"/>
      <c r="P31" s="195"/>
      <c r="Q31" s="134"/>
    </row>
    <row r="32" spans="1:17" ht="11" customHeight="1">
      <c r="A32" s="166"/>
      <c r="B32" s="166"/>
      <c r="C32" s="137" t="s">
        <v>573</v>
      </c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8"/>
      <c r="O32" s="195"/>
      <c r="P32" s="195"/>
      <c r="Q32" s="134"/>
    </row>
    <row r="33" spans="1:17" ht="11" customHeight="1">
      <c r="A33" s="166"/>
      <c r="B33" s="166"/>
      <c r="C33" s="137" t="s">
        <v>439</v>
      </c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8"/>
      <c r="O33" s="195"/>
      <c r="P33" s="195"/>
      <c r="Q33" s="134"/>
    </row>
    <row r="34" spans="1:17" ht="11" customHeight="1">
      <c r="A34" s="166"/>
      <c r="B34" s="166"/>
      <c r="C34" s="137" t="s">
        <v>59</v>
      </c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8"/>
      <c r="O34" s="195"/>
      <c r="P34" s="195"/>
      <c r="Q34" s="134"/>
    </row>
    <row r="35" spans="1:17" ht="11" customHeight="1">
      <c r="A35" s="166"/>
      <c r="B35" s="166"/>
      <c r="C35" s="137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8"/>
      <c r="O35" s="195"/>
      <c r="P35" s="195"/>
      <c r="Q35" s="134"/>
    </row>
    <row r="36" spans="1:17" ht="10.5" customHeight="1">
      <c r="A36" s="166"/>
      <c r="B36" s="166"/>
      <c r="C36" s="183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8"/>
      <c r="O36" s="195"/>
      <c r="P36" s="195"/>
      <c r="Q36" s="134"/>
    </row>
    <row r="37" spans="1:17" ht="9.75" customHeight="1">
      <c r="A37" s="166"/>
      <c r="B37" s="166"/>
      <c r="C37" s="193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198"/>
      <c r="O37" s="195"/>
      <c r="P37" s="195"/>
      <c r="Q37" s="134"/>
    </row>
    <row r="38" spans="1:17" ht="19.5" customHeight="1">
      <c r="A38" s="182"/>
      <c r="B38" s="182"/>
      <c r="C38" s="201" t="s">
        <v>450</v>
      </c>
      <c r="D38" s="202" t="s">
        <v>1</v>
      </c>
      <c r="E38" s="202" t="s">
        <v>387</v>
      </c>
      <c r="F38" s="202" t="s">
        <v>388</v>
      </c>
      <c r="G38" s="202" t="s">
        <v>389</v>
      </c>
      <c r="H38" s="202" t="s">
        <v>576</v>
      </c>
      <c r="I38" s="527" t="str">
        <f>I7</f>
        <v>'16.12</v>
      </c>
      <c r="J38" s="527" t="str">
        <f>J7</f>
        <v>'17.12</v>
      </c>
      <c r="K38" s="527" t="str">
        <f>K7</f>
        <v>'18.12</v>
      </c>
      <c r="L38" s="527" t="str">
        <f>L7</f>
        <v>'19.09</v>
      </c>
      <c r="M38" s="202" t="s">
        <v>449</v>
      </c>
      <c r="N38" s="203"/>
      <c r="O38" s="182"/>
      <c r="P38" s="182"/>
    </row>
    <row r="39" spans="1:17" ht="9.75" customHeight="1">
      <c r="A39" s="166"/>
      <c r="B39" s="166"/>
      <c r="C39" s="204" t="s">
        <v>60</v>
      </c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6"/>
      <c r="O39" s="166"/>
      <c r="P39" s="166"/>
      <c r="Q39" s="135"/>
    </row>
    <row r="40" spans="1:17" ht="11" customHeight="1">
      <c r="A40" s="166"/>
      <c r="B40" s="166"/>
      <c r="C40" s="198" t="s">
        <v>440</v>
      </c>
      <c r="D40" s="264"/>
      <c r="E40" s="264">
        <f>Data!K340</f>
        <v>93.415683321088608</v>
      </c>
      <c r="F40" s="264">
        <f>Data!L340</f>
        <v>99.002154922568522</v>
      </c>
      <c r="G40" s="264">
        <f>Data!M340</f>
        <v>94.998867682366182</v>
      </c>
      <c r="H40" s="264">
        <f>Data!N340</f>
        <v>101.48056699372781</v>
      </c>
      <c r="I40" s="264">
        <f>Data!O340</f>
        <v>123.80934901171914</v>
      </c>
      <c r="J40" s="264">
        <f>Data!P340</f>
        <v>289.0339069506432</v>
      </c>
      <c r="K40" s="264">
        <f>Data!Q340</f>
        <v>280.74806847648432</v>
      </c>
      <c r="L40" s="264">
        <f>Data!R340</f>
        <v>285.66494501399814</v>
      </c>
      <c r="M40" s="259">
        <f>AVERAGE(G40:K40)</f>
        <v>178.01415182298814</v>
      </c>
      <c r="N40" s="206"/>
      <c r="O40" s="166"/>
      <c r="P40" s="166"/>
      <c r="Q40" s="135"/>
    </row>
    <row r="41" spans="1:17" ht="11" customHeight="1">
      <c r="A41" s="166"/>
      <c r="B41" s="166"/>
      <c r="C41" s="197" t="s">
        <v>426</v>
      </c>
      <c r="D41" s="265">
        <f>Data!J343</f>
        <v>0</v>
      </c>
      <c r="E41" s="265">
        <f>Data!K343</f>
        <v>0.27869744219040077</v>
      </c>
      <c r="F41" s="265">
        <f>Data!L343</f>
        <v>0.30170513997667059</v>
      </c>
      <c r="G41" s="265">
        <f>Data!M343</f>
        <v>0.23543060195427082</v>
      </c>
      <c r="H41" s="265">
        <f>Data!N343</f>
        <v>5.4567883754653032E-2</v>
      </c>
      <c r="I41" s="265">
        <f>Data!O343</f>
        <v>0</v>
      </c>
      <c r="J41" s="265">
        <f>Data!P343</f>
        <v>0</v>
      </c>
      <c r="K41" s="265">
        <f>Data!Q343</f>
        <v>0</v>
      </c>
      <c r="L41" s="265">
        <f>Data!R343</f>
        <v>0</v>
      </c>
      <c r="M41" s="260">
        <f>AVERAGE(G41:K41)</f>
        <v>5.7999697141784767E-2</v>
      </c>
      <c r="N41" s="209"/>
      <c r="O41" s="166"/>
      <c r="P41" s="166"/>
      <c r="Q41" s="135"/>
    </row>
    <row r="42" spans="1:17" ht="11" customHeight="1">
      <c r="A42" s="166"/>
      <c r="B42" s="166"/>
      <c r="C42" s="204" t="s">
        <v>61</v>
      </c>
      <c r="D42" s="264"/>
      <c r="E42" s="264"/>
      <c r="F42" s="264"/>
      <c r="G42" s="264"/>
      <c r="H42" s="264"/>
      <c r="I42" s="264"/>
      <c r="J42" s="264"/>
      <c r="K42" s="264"/>
      <c r="L42" s="264"/>
      <c r="M42" s="259"/>
      <c r="N42" s="206"/>
      <c r="O42" s="166"/>
      <c r="P42" s="166"/>
      <c r="Q42" s="135"/>
    </row>
    <row r="43" spans="1:17" ht="11" customHeight="1">
      <c r="A43" s="166"/>
      <c r="B43" s="166"/>
      <c r="C43" s="198" t="s">
        <v>43</v>
      </c>
      <c r="D43" s="264">
        <f>Data!J346</f>
        <v>0</v>
      </c>
      <c r="E43" s="264">
        <f>Data!K346</f>
        <v>451.24210285597206</v>
      </c>
      <c r="F43" s="264">
        <f>Data!L346</f>
        <v>425.46744879097724</v>
      </c>
      <c r="G43" s="264">
        <f>Data!M346</f>
        <v>400.41462917963975</v>
      </c>
      <c r="H43" s="1227" t="s">
        <v>3</v>
      </c>
      <c r="I43" s="1227" t="s">
        <v>3</v>
      </c>
      <c r="J43" s="1227" t="s">
        <v>3</v>
      </c>
      <c r="K43" s="1227" t="s">
        <v>3</v>
      </c>
      <c r="L43" s="1227" t="s">
        <v>3</v>
      </c>
      <c r="M43" s="259">
        <f>AVERAGE(G43:K43)</f>
        <v>400.41462917963975</v>
      </c>
      <c r="N43" s="206"/>
      <c r="O43" s="166"/>
      <c r="P43" s="166"/>
      <c r="Q43" s="135"/>
    </row>
    <row r="44" spans="1:17" ht="11" customHeight="1">
      <c r="A44" s="166"/>
      <c r="B44" s="166"/>
      <c r="C44" s="198" t="s">
        <v>577</v>
      </c>
      <c r="D44" s="1227" t="s">
        <v>3</v>
      </c>
      <c r="E44" s="1227" t="s">
        <v>3</v>
      </c>
      <c r="F44" s="1227" t="s">
        <v>3</v>
      </c>
      <c r="G44" s="1227" t="s">
        <v>3</v>
      </c>
      <c r="H44" s="264">
        <f>Data!N$347</f>
        <v>596.54964919754457</v>
      </c>
      <c r="I44" s="264">
        <f>Data!O$347</f>
        <v>1479.2119430744049</v>
      </c>
      <c r="J44" s="264">
        <f>Data!P$347</f>
        <v>1416.0479737693454</v>
      </c>
      <c r="K44" s="264">
        <f>Data!Q$347</f>
        <v>875.1970948578869</v>
      </c>
      <c r="L44" s="264">
        <f>Data!R$347</f>
        <v>389.91407647979139</v>
      </c>
      <c r="M44" s="259">
        <f>AVERAGE(G44:K44)</f>
        <v>1091.7516652247955</v>
      </c>
      <c r="N44" s="206"/>
      <c r="O44" s="166"/>
      <c r="P44" s="166"/>
      <c r="Q44" s="135"/>
    </row>
    <row r="45" spans="1:17" ht="11" customHeight="1">
      <c r="A45" s="166"/>
      <c r="B45" s="166"/>
      <c r="C45" s="198" t="s">
        <v>1699</v>
      </c>
      <c r="D45" s="253" t="s">
        <v>3</v>
      </c>
      <c r="E45" s="253">
        <f>Data!K$273</f>
        <v>17742.975702920001</v>
      </c>
      <c r="F45" s="253">
        <f>Data!L$273</f>
        <v>15954.03249068</v>
      </c>
      <c r="G45" s="253">
        <f>Data!M$273</f>
        <v>16771.68996286</v>
      </c>
      <c r="H45" s="253">
        <f>Data!N$273</f>
        <v>16035.254570429999</v>
      </c>
      <c r="I45" s="253">
        <f>Data!O$273</f>
        <v>19880.608514920001</v>
      </c>
      <c r="J45" s="253">
        <f>Data!P$273</f>
        <v>19031.684767459999</v>
      </c>
      <c r="K45" s="253">
        <f>Data!Q$273</f>
        <v>11762.648954890001</v>
      </c>
      <c r="L45" s="253">
        <f>Data!R$273</f>
        <v>5233.6216915499999</v>
      </c>
      <c r="M45" s="258">
        <f>AVERAGE(G45:K45)</f>
        <v>16696.377354111999</v>
      </c>
      <c r="N45" s="206"/>
      <c r="O45" s="166"/>
      <c r="P45" s="166"/>
      <c r="Q45" s="135"/>
    </row>
    <row r="46" spans="1:17" ht="11" customHeight="1">
      <c r="A46" s="166"/>
      <c r="B46" s="166"/>
      <c r="C46" s="198" t="s">
        <v>1700</v>
      </c>
      <c r="D46" s="264">
        <f>Data!J368</f>
        <v>534.76737181655517</v>
      </c>
      <c r="E46" s="264">
        <f>Data!K368</f>
        <v>603.33503211192408</v>
      </c>
      <c r="F46" s="264">
        <f>Data!L368</f>
        <v>644.01082120840078</v>
      </c>
      <c r="G46" s="264">
        <f>Data!M368</f>
        <v>736.24297959278351</v>
      </c>
      <c r="H46" s="264">
        <f>Data!N368</f>
        <v>864.3664517080399</v>
      </c>
      <c r="I46" s="264">
        <f>Data!O368</f>
        <v>805.97796626977618</v>
      </c>
      <c r="J46" s="264">
        <f>Data!P368</f>
        <v>885.1258624755618</v>
      </c>
      <c r="K46" s="264">
        <f>Data!Q368</f>
        <v>1019.4541816782124</v>
      </c>
      <c r="L46" s="264">
        <f>Data!R368</f>
        <v>1032.1903331962974</v>
      </c>
      <c r="M46" s="259">
        <f>AVERAGE(G46:K46)</f>
        <v>862.23348834487479</v>
      </c>
      <c r="N46" s="206"/>
      <c r="O46" s="166"/>
      <c r="P46" s="166"/>
      <c r="Q46" s="135"/>
    </row>
    <row r="47" spans="1:17" ht="11" customHeight="1">
      <c r="A47" s="166"/>
      <c r="B47" s="166"/>
      <c r="C47" s="210" t="s">
        <v>1701</v>
      </c>
      <c r="D47" s="265">
        <f>Data!J300</f>
        <v>0</v>
      </c>
      <c r="E47" s="265">
        <f>Data!K300</f>
        <v>11.521110941275211</v>
      </c>
      <c r="F47" s="265">
        <f>Data!L300</f>
        <v>22.971489673304369</v>
      </c>
      <c r="G47" s="265">
        <f>Data!M300</f>
        <v>33.616537797402394</v>
      </c>
      <c r="H47" s="265">
        <f>Data!N300</f>
        <v>32.416473605721926</v>
      </c>
      <c r="I47" s="265">
        <f>Data!O300</f>
        <v>58.266590938394756</v>
      </c>
      <c r="J47" s="265">
        <f>Data!P300</f>
        <v>75.560467018801219</v>
      </c>
      <c r="K47" s="265">
        <f>Data!Q300</f>
        <v>90.541642532799102</v>
      </c>
      <c r="L47" s="265">
        <f>Data!R300</f>
        <v>89.483620718097228</v>
      </c>
      <c r="M47" s="260">
        <f>AVERAGE(G47:K47)</f>
        <v>58.080342378623882</v>
      </c>
      <c r="N47" s="211"/>
      <c r="O47" s="166"/>
      <c r="P47" s="166"/>
      <c r="Q47" s="135"/>
    </row>
    <row r="48" spans="1:17" ht="11" customHeight="1">
      <c r="A48" s="166"/>
      <c r="B48" s="166"/>
      <c r="C48" s="204" t="s">
        <v>62</v>
      </c>
      <c r="D48" s="266"/>
      <c r="E48" s="266"/>
      <c r="F48" s="266"/>
      <c r="G48" s="266"/>
      <c r="H48" s="266"/>
      <c r="I48" s="266"/>
      <c r="J48" s="266"/>
      <c r="K48" s="266"/>
      <c r="L48" s="266"/>
      <c r="M48" s="261"/>
      <c r="N48" s="206"/>
      <c r="O48" s="166"/>
      <c r="P48" s="166"/>
      <c r="Q48" s="135"/>
    </row>
    <row r="49" spans="1:20" ht="11" customHeight="1">
      <c r="A49" s="166"/>
      <c r="B49" s="166"/>
      <c r="C49" s="198" t="s">
        <v>441</v>
      </c>
      <c r="D49" s="266" t="e">
        <f>Data!J348</f>
        <v>#DIV/0!</v>
      </c>
      <c r="E49" s="266">
        <f>Data!K348</f>
        <v>156.24915158594413</v>
      </c>
      <c r="F49" s="266">
        <f>Data!L348</f>
        <v>144.24527687541533</v>
      </c>
      <c r="G49" s="266">
        <f>Data!M348</f>
        <v>131.13026293695475</v>
      </c>
      <c r="H49" s="266">
        <f>Data!N348</f>
        <v>138.79125205067746</v>
      </c>
      <c r="I49" s="266">
        <f>Data!O348</f>
        <v>133.11711922354121</v>
      </c>
      <c r="J49" s="266">
        <f>Data!P348</f>
        <v>129.5881283439667</v>
      </c>
      <c r="K49" s="266">
        <f>Data!Q348</f>
        <v>106.0626874137061</v>
      </c>
      <c r="L49" s="266">
        <f>Data!R348</f>
        <v>110.53114067056103</v>
      </c>
      <c r="M49" s="261">
        <f>AVERAGE(G49:K49)</f>
        <v>127.73788999376924</v>
      </c>
      <c r="N49" s="206"/>
      <c r="O49" s="166"/>
      <c r="P49" s="166"/>
      <c r="Q49" s="135"/>
    </row>
    <row r="50" spans="1:20" ht="11" customHeight="1">
      <c r="A50" s="166"/>
      <c r="B50" s="166"/>
      <c r="C50" s="193" t="s">
        <v>442</v>
      </c>
      <c r="D50" s="267" t="e">
        <f>Data!J349</f>
        <v>#DIV/0!</v>
      </c>
      <c r="E50" s="267">
        <f>Data!K349</f>
        <v>150.00243763778229</v>
      </c>
      <c r="F50" s="267">
        <f>Data!L349</f>
        <v>134.31373754441353</v>
      </c>
      <c r="G50" s="267">
        <f>Data!M349</f>
        <v>119.50901266495286</v>
      </c>
      <c r="H50" s="267">
        <f>Data!N349</f>
        <v>129.46629067439872</v>
      </c>
      <c r="I50" s="267">
        <f>Data!O349</f>
        <v>108.45569461138584</v>
      </c>
      <c r="J50" s="267">
        <f>Data!P349</f>
        <v>105.60164126850913</v>
      </c>
      <c r="K50" s="267">
        <f>Data!Q349</f>
        <v>85.473546186358092</v>
      </c>
      <c r="L50" s="267">
        <f>Data!R349</f>
        <v>90.77608335106116</v>
      </c>
      <c r="M50" s="262">
        <f>AVERAGE(G50:K50)</f>
        <v>109.70123708112092</v>
      </c>
      <c r="N50" s="206"/>
      <c r="O50" s="166"/>
      <c r="P50" s="166"/>
      <c r="Q50" s="135"/>
    </row>
    <row r="51" spans="1:20" ht="11" customHeight="1">
      <c r="A51" s="166"/>
      <c r="B51" s="166"/>
      <c r="C51" s="194" t="s">
        <v>443</v>
      </c>
      <c r="D51" s="268">
        <f>Data!J350</f>
        <v>9.1304676779716605</v>
      </c>
      <c r="E51" s="268">
        <f>Data!K350</f>
        <v>9.2797742169404973</v>
      </c>
      <c r="F51" s="268">
        <f>Data!L350</f>
        <v>7.4063556832647235</v>
      </c>
      <c r="G51" s="268">
        <f>Data!M350</f>
        <v>6.1328173685448073</v>
      </c>
      <c r="H51" s="268">
        <f>Data!N350</f>
        <v>4.9585478294512129</v>
      </c>
      <c r="I51" s="268">
        <f>Data!O350</f>
        <v>4.3853370499978839</v>
      </c>
      <c r="J51" s="268">
        <f>Data!P350</f>
        <v>5.082523801403747</v>
      </c>
      <c r="K51" s="268">
        <f>Data!Q350</f>
        <v>5.9050921372988778</v>
      </c>
      <c r="L51" s="268">
        <f>Data!R350</f>
        <v>6.3748129799812343</v>
      </c>
      <c r="M51" s="263">
        <f>AVERAGE(G51:K51)</f>
        <v>5.2928636373393063</v>
      </c>
      <c r="N51" s="209"/>
      <c r="O51" s="166"/>
      <c r="P51" s="166"/>
      <c r="Q51" s="135"/>
    </row>
    <row r="52" spans="1:20" ht="10.5" customHeight="1">
      <c r="A52" s="166"/>
      <c r="B52" s="166"/>
      <c r="C52" s="206"/>
      <c r="D52" s="207"/>
      <c r="E52" s="207"/>
      <c r="F52" s="207"/>
      <c r="G52" s="207"/>
      <c r="H52" s="208"/>
      <c r="I52" s="208"/>
      <c r="J52" s="208"/>
      <c r="K52" s="208"/>
      <c r="L52" s="208"/>
      <c r="M52" s="207"/>
      <c r="N52" s="136"/>
      <c r="O52" s="166"/>
      <c r="P52" s="166"/>
    </row>
    <row r="53" spans="1:20" ht="11" customHeight="1">
      <c r="A53" s="166"/>
      <c r="B53" s="166"/>
      <c r="C53" s="212"/>
      <c r="D53" s="213"/>
      <c r="E53" s="213"/>
      <c r="F53" s="213"/>
      <c r="G53" s="213"/>
      <c r="H53" s="214"/>
      <c r="I53" s="214"/>
      <c r="J53" s="214"/>
      <c r="K53" s="214"/>
      <c r="L53" s="214"/>
      <c r="M53" s="213"/>
      <c r="N53" s="215"/>
      <c r="O53" s="166"/>
      <c r="P53" s="166"/>
    </row>
    <row r="54" spans="1:20" ht="13.5" customHeight="1">
      <c r="A54" s="166"/>
      <c r="B54" s="166"/>
      <c r="H54" s="216"/>
      <c r="I54" s="216"/>
      <c r="J54" s="216"/>
      <c r="K54" s="216"/>
      <c r="L54" s="216"/>
      <c r="M54" s="217"/>
      <c r="N54" s="218"/>
      <c r="O54" s="166"/>
      <c r="P54" s="166"/>
    </row>
    <row r="55" spans="1:20" ht="13.5" customHeight="1">
      <c r="A55" s="166"/>
      <c r="B55" s="166"/>
      <c r="C55" s="136"/>
      <c r="D55" s="136" t="s">
        <v>574</v>
      </c>
      <c r="E55" s="136"/>
      <c r="F55" s="136"/>
      <c r="G55" s="136"/>
      <c r="H55" s="216"/>
      <c r="I55" s="216"/>
      <c r="J55" s="216"/>
      <c r="K55" s="216"/>
      <c r="L55" s="216"/>
      <c r="M55" s="217"/>
      <c r="N55" s="218"/>
      <c r="O55" s="166"/>
      <c r="P55" s="166"/>
      <c r="Q55" s="219"/>
      <c r="R55" s="136"/>
      <c r="S55" s="136"/>
      <c r="T55" s="136"/>
    </row>
    <row r="56" spans="1:20" ht="16.5" customHeight="1">
      <c r="A56" s="166"/>
      <c r="B56" s="166"/>
      <c r="C56" s="167"/>
      <c r="O56" s="166"/>
      <c r="P56" s="166"/>
    </row>
    <row r="57" spans="1:20" ht="16.5" customHeight="1">
      <c r="A57" s="166"/>
      <c r="B57" s="166"/>
      <c r="C57" s="1809" t="str">
        <f>C2</f>
        <v>한국투자증권</v>
      </c>
      <c r="D57" s="1809"/>
      <c r="E57" s="170"/>
      <c r="F57" s="170"/>
      <c r="G57" s="170"/>
      <c r="H57" s="171"/>
      <c r="I57" s="171"/>
      <c r="J57" s="171"/>
      <c r="K57" s="171"/>
      <c r="L57" s="171"/>
      <c r="M57" s="1811" t="s">
        <v>568</v>
      </c>
      <c r="N57" s="1811"/>
      <c r="O57" s="166"/>
      <c r="P57" s="166"/>
    </row>
    <row r="58" spans="1:20" ht="16.5" customHeight="1" thickBot="1">
      <c r="A58" s="166"/>
      <c r="B58" s="166"/>
      <c r="C58" s="1810"/>
      <c r="D58" s="1810"/>
      <c r="E58" s="172"/>
      <c r="F58" s="172"/>
      <c r="G58" s="172"/>
      <c r="H58" s="172"/>
      <c r="I58" s="172"/>
      <c r="J58" s="172"/>
      <c r="K58" s="172"/>
      <c r="L58" s="172"/>
      <c r="M58" s="1812"/>
      <c r="N58" s="1812"/>
      <c r="O58" s="166"/>
      <c r="P58" s="166"/>
    </row>
    <row r="59" spans="1:20" ht="17.25" customHeight="1" thickTop="1">
      <c r="A59" s="166"/>
      <c r="B59" s="166"/>
      <c r="C59" s="133"/>
      <c r="D59" s="136"/>
      <c r="E59" s="136"/>
      <c r="F59" s="136"/>
      <c r="G59" s="136"/>
      <c r="H59" s="166"/>
      <c r="I59" s="166"/>
      <c r="J59" s="166"/>
      <c r="K59" s="166"/>
      <c r="L59" s="166"/>
      <c r="M59" s="136"/>
      <c r="N59" s="136"/>
      <c r="O59" s="166"/>
      <c r="P59" s="166"/>
    </row>
    <row r="60" spans="1:20" ht="19.5" customHeight="1">
      <c r="A60" s="166"/>
      <c r="B60" s="166"/>
      <c r="C60" s="220" t="s">
        <v>575</v>
      </c>
      <c r="D60" s="221" t="str">
        <f t="shared" ref="D60:K62" si="7">D5</f>
        <v>K-IFRS</v>
      </c>
      <c r="E60" s="221" t="str">
        <f t="shared" si="7"/>
        <v>K-IFRS</v>
      </c>
      <c r="F60" s="221" t="str">
        <f t="shared" si="7"/>
        <v>K-IFRS</v>
      </c>
      <c r="G60" s="221" t="str">
        <f t="shared" si="7"/>
        <v>K-IFRS</v>
      </c>
      <c r="H60" s="270" t="str">
        <f t="shared" si="7"/>
        <v>K-IFRS</v>
      </c>
      <c r="I60" s="270" t="str">
        <f t="shared" si="7"/>
        <v>K-IFRS</v>
      </c>
      <c r="J60" s="270" t="str">
        <f t="shared" si="7"/>
        <v>K-IFRS</v>
      </c>
      <c r="K60" s="270" t="str">
        <f t="shared" si="7"/>
        <v>K-IFRS</v>
      </c>
      <c r="L60" s="270" t="str">
        <f t="shared" ref="L60" si="8">L5</f>
        <v>K-IFRS</v>
      </c>
      <c r="M60" s="221" t="s">
        <v>438</v>
      </c>
      <c r="N60" s="222"/>
      <c r="O60" s="166"/>
      <c r="P60" s="166"/>
    </row>
    <row r="61" spans="1:20" ht="20" customHeight="1">
      <c r="A61" s="195"/>
      <c r="B61" s="195"/>
      <c r="C61" s="223" t="s">
        <v>47</v>
      </c>
      <c r="D61" s="177" t="str">
        <f t="shared" si="7"/>
        <v>별도</v>
      </c>
      <c r="E61" s="177" t="str">
        <f t="shared" si="7"/>
        <v>별도</v>
      </c>
      <c r="F61" s="177" t="str">
        <f t="shared" si="7"/>
        <v>별도</v>
      </c>
      <c r="G61" s="177" t="str">
        <f t="shared" si="7"/>
        <v>별도</v>
      </c>
      <c r="H61" s="177" t="str">
        <f t="shared" si="7"/>
        <v>별도</v>
      </c>
      <c r="I61" s="177" t="str">
        <f t="shared" si="7"/>
        <v>별도</v>
      </c>
      <c r="J61" s="177" t="str">
        <f t="shared" si="7"/>
        <v>별도</v>
      </c>
      <c r="K61" s="177" t="str">
        <f t="shared" si="7"/>
        <v>별도</v>
      </c>
      <c r="L61" s="177" t="str">
        <f t="shared" ref="L61" si="9">L6</f>
        <v>별도</v>
      </c>
      <c r="M61" s="224" t="s">
        <v>438</v>
      </c>
      <c r="N61" s="225"/>
      <c r="O61" s="195"/>
      <c r="P61" s="195"/>
    </row>
    <row r="62" spans="1:20" ht="19.5" customHeight="1">
      <c r="A62" s="195"/>
      <c r="B62" s="195"/>
      <c r="C62" s="226" t="s">
        <v>451</v>
      </c>
      <c r="D62" s="227" t="str">
        <f t="shared" si="7"/>
        <v>'12.03</v>
      </c>
      <c r="E62" s="227" t="str">
        <f t="shared" si="7"/>
        <v>'13.03</v>
      </c>
      <c r="F62" s="227" t="str">
        <f t="shared" si="7"/>
        <v>'13.12</v>
      </c>
      <c r="G62" s="227" t="str">
        <f t="shared" si="7"/>
        <v>'14.12</v>
      </c>
      <c r="H62" s="227" t="str">
        <f t="shared" si="7"/>
        <v>'15.12</v>
      </c>
      <c r="I62" s="227" t="str">
        <f t="shared" si="7"/>
        <v>'16.12</v>
      </c>
      <c r="J62" s="227" t="str">
        <f t="shared" si="7"/>
        <v>'17.12</v>
      </c>
      <c r="K62" s="227" t="str">
        <f t="shared" si="7"/>
        <v>'18.12</v>
      </c>
      <c r="L62" s="227" t="str">
        <f t="shared" ref="L62" si="10">L7</f>
        <v>'19.09</v>
      </c>
      <c r="M62" s="227" t="s">
        <v>449</v>
      </c>
      <c r="N62" s="228"/>
      <c r="O62" s="195"/>
      <c r="P62" s="195"/>
    </row>
    <row r="63" spans="1:20" ht="10.5" customHeight="1">
      <c r="A63" s="195"/>
      <c r="B63" s="195"/>
      <c r="C63" s="183" t="s">
        <v>452</v>
      </c>
      <c r="D63" s="274">
        <f t="shared" ref="D63:I63" si="11">D64-D65</f>
        <v>4625.6841533799998</v>
      </c>
      <c r="E63" s="274">
        <f t="shared" si="11"/>
        <v>3531.5770461900001</v>
      </c>
      <c r="F63" s="274">
        <f t="shared" si="11"/>
        <v>2591.9424192299998</v>
      </c>
      <c r="G63" s="274">
        <f t="shared" si="11"/>
        <v>3607.3577477199997</v>
      </c>
      <c r="H63" s="274">
        <f t="shared" si="11"/>
        <v>4476.7096951500007</v>
      </c>
      <c r="I63" s="274">
        <f t="shared" si="11"/>
        <v>4533.6095828999996</v>
      </c>
      <c r="J63" s="274">
        <f>J64-J65</f>
        <v>5312.7674719099996</v>
      </c>
      <c r="K63" s="274">
        <f>K64-K65</f>
        <v>5782.4410851100001</v>
      </c>
      <c r="L63" s="274">
        <f>L64-L65</f>
        <v>4777.58167099</v>
      </c>
      <c r="M63" s="281">
        <f t="shared" ref="M63:M71" si="12">AVERAGE(G63:K63)</f>
        <v>4742.5771165579999</v>
      </c>
      <c r="N63" s="198"/>
      <c r="O63" s="195"/>
      <c r="P63" s="195"/>
      <c r="Q63" s="134"/>
    </row>
    <row r="64" spans="1:20" ht="10.5" customHeight="1">
      <c r="A64" s="195"/>
      <c r="B64" s="195"/>
      <c r="C64" s="193" t="s">
        <v>25</v>
      </c>
      <c r="D64" s="272">
        <f>Data!J204</f>
        <v>5247.7828826300001</v>
      </c>
      <c r="E64" s="272">
        <f>Data!K204</f>
        <v>4111.0964821600001</v>
      </c>
      <c r="F64" s="272">
        <f>Data!L204</f>
        <v>3077.3541814599998</v>
      </c>
      <c r="G64" s="272">
        <f>Data!M204</f>
        <v>4238.0441763199997</v>
      </c>
      <c r="H64" s="272">
        <f>Data!N204</f>
        <v>5324.3102009900003</v>
      </c>
      <c r="I64" s="272">
        <f>Data!O204</f>
        <v>5509.6572995099996</v>
      </c>
      <c r="J64" s="272">
        <f>Data!P204</f>
        <v>6304.20411453</v>
      </c>
      <c r="K64" s="272">
        <f>Data!Q204</f>
        <v>7000.0835871999998</v>
      </c>
      <c r="L64" s="272">
        <f>Data!R204</f>
        <v>5683.8890893400003</v>
      </c>
      <c r="M64" s="278">
        <f t="shared" si="12"/>
        <v>5675.2598757099995</v>
      </c>
      <c r="N64" s="198"/>
      <c r="O64" s="195"/>
      <c r="P64" s="195"/>
      <c r="Q64" s="134"/>
    </row>
    <row r="65" spans="1:17" ht="10.5" customHeight="1">
      <c r="A65" s="195"/>
      <c r="B65" s="195"/>
      <c r="C65" s="193" t="s">
        <v>63</v>
      </c>
      <c r="D65" s="272">
        <f>Data!J205</f>
        <v>622.09872925000002</v>
      </c>
      <c r="E65" s="272">
        <f>Data!K205</f>
        <v>579.51943597000002</v>
      </c>
      <c r="F65" s="272">
        <f>Data!L205</f>
        <v>485.41176223000002</v>
      </c>
      <c r="G65" s="272">
        <f>Data!M205</f>
        <v>630.6864286</v>
      </c>
      <c r="H65" s="272">
        <f>Data!N205</f>
        <v>847.60050583999998</v>
      </c>
      <c r="I65" s="272">
        <f>Data!O205</f>
        <v>976.04771660999995</v>
      </c>
      <c r="J65" s="272">
        <f>Data!P205</f>
        <v>991.43664262000004</v>
      </c>
      <c r="K65" s="272">
        <f>Data!Q205</f>
        <v>1217.6425020900001</v>
      </c>
      <c r="L65" s="272">
        <f>Data!R205</f>
        <v>906.30741835000003</v>
      </c>
      <c r="M65" s="278">
        <f t="shared" si="12"/>
        <v>932.6827591519999</v>
      </c>
      <c r="N65" s="198"/>
      <c r="O65" s="195"/>
      <c r="P65" s="195"/>
      <c r="Q65" s="134"/>
    </row>
    <row r="66" spans="1:17" ht="10.5" customHeight="1">
      <c r="A66" s="195"/>
      <c r="B66" s="195"/>
      <c r="C66" s="183" t="s">
        <v>453</v>
      </c>
      <c r="D66" s="271">
        <f>Data!J254</f>
        <v>1701.1353888300005</v>
      </c>
      <c r="E66" s="271">
        <f>Data!K254</f>
        <v>3096.6409473299996</v>
      </c>
      <c r="F66" s="271">
        <f>Data!L254</f>
        <v>2010.5248479900001</v>
      </c>
      <c r="G66" s="271">
        <f>Data!M254</f>
        <v>2969.5957150900003</v>
      </c>
      <c r="H66" s="271">
        <f>Data!N254</f>
        <v>3674.2620870399996</v>
      </c>
      <c r="I66" s="271">
        <f>Data!O254</f>
        <v>3401.9415722899998</v>
      </c>
      <c r="J66" s="271">
        <f>Data!P254</f>
        <v>3924.6731644900005</v>
      </c>
      <c r="K66" s="271">
        <f>Data!Q254</f>
        <v>5364.5009627700001</v>
      </c>
      <c r="L66" s="271">
        <f>Data!R254</f>
        <v>4104.6545493900003</v>
      </c>
      <c r="M66" s="281">
        <f t="shared" si="12"/>
        <v>3866.9947003360003</v>
      </c>
      <c r="N66" s="198"/>
      <c r="O66" s="195"/>
      <c r="P66" s="195"/>
      <c r="Q66" s="134"/>
    </row>
    <row r="67" spans="1:17" ht="10.5" customHeight="1">
      <c r="A67" s="195"/>
      <c r="B67" s="195"/>
      <c r="C67" s="193" t="s">
        <v>454</v>
      </c>
      <c r="D67" s="272">
        <f>Data!J255</f>
        <v>5551.2180322100003</v>
      </c>
      <c r="E67" s="272">
        <f>Data!K255</f>
        <v>5864.9333689799996</v>
      </c>
      <c r="F67" s="272">
        <f>Data!L255</f>
        <v>3925.0696974500001</v>
      </c>
      <c r="G67" s="272">
        <f>Data!M255</f>
        <v>5613.6114008900004</v>
      </c>
      <c r="H67" s="272">
        <f>Data!N255</f>
        <v>5759.1469434199998</v>
      </c>
      <c r="I67" s="272">
        <f>Data!O255</f>
        <v>5450.3484079899999</v>
      </c>
      <c r="J67" s="272">
        <f>Data!P255</f>
        <v>6100.1372361800004</v>
      </c>
      <c r="K67" s="272">
        <f>Data!Q255</f>
        <v>8385.5795937500006</v>
      </c>
      <c r="L67" s="272">
        <f>Data!R255</f>
        <v>7004.2469891000001</v>
      </c>
      <c r="M67" s="278">
        <f t="shared" si="12"/>
        <v>6261.7647164460013</v>
      </c>
      <c r="N67" s="198"/>
      <c r="O67" s="195"/>
      <c r="P67" s="195"/>
      <c r="Q67" s="134"/>
    </row>
    <row r="68" spans="1:17" ht="10.5" customHeight="1">
      <c r="A68" s="195"/>
      <c r="B68" s="195"/>
      <c r="C68" s="193" t="s">
        <v>455</v>
      </c>
      <c r="D68" s="272">
        <f>Data!J256</f>
        <v>3850.0826433799998</v>
      </c>
      <c r="E68" s="272">
        <f>Data!K256</f>
        <v>2768.2924216500001</v>
      </c>
      <c r="F68" s="272">
        <f>Data!L256</f>
        <v>1914.54484946</v>
      </c>
      <c r="G68" s="272">
        <f>Data!M256</f>
        <v>2644.0156858</v>
      </c>
      <c r="H68" s="272">
        <f>Data!N256</f>
        <v>2084.8848563800002</v>
      </c>
      <c r="I68" s="272">
        <f>Data!O256</f>
        <v>2048.4068357000001</v>
      </c>
      <c r="J68" s="272">
        <f>Data!P256</f>
        <v>2175.4640716899999</v>
      </c>
      <c r="K68" s="272">
        <f>Data!Q256</f>
        <v>3021.0786309800001</v>
      </c>
      <c r="L68" s="272">
        <f>Data!R256</f>
        <v>2899.5924397099998</v>
      </c>
      <c r="M68" s="278">
        <f t="shared" si="12"/>
        <v>2394.7700161100001</v>
      </c>
      <c r="N68" s="198"/>
      <c r="O68" s="195"/>
      <c r="P68" s="195"/>
      <c r="Q68" s="134"/>
    </row>
    <row r="69" spans="1:17" ht="10.5" customHeight="1">
      <c r="A69" s="195"/>
      <c r="B69" s="195"/>
      <c r="C69" s="183" t="s">
        <v>456</v>
      </c>
      <c r="D69" s="271">
        <f>Data!J217</f>
        <v>247.12555689999999</v>
      </c>
      <c r="E69" s="271">
        <f>Data!K217</f>
        <v>-338.46550351000002</v>
      </c>
      <c r="F69" s="271">
        <f>Data!L217</f>
        <v>-1219.66343338</v>
      </c>
      <c r="G69" s="271">
        <f>Data!M217</f>
        <v>-418.70206307000001</v>
      </c>
      <c r="H69" s="271">
        <f>Data!N217</f>
        <v>-1080.59307812</v>
      </c>
      <c r="I69" s="271">
        <f>Data!O217</f>
        <v>-841.57422439000004</v>
      </c>
      <c r="J69" s="271">
        <f>Data!P217</f>
        <v>814.88747707000005</v>
      </c>
      <c r="K69" s="271">
        <f>Data!Q217</f>
        <v>-217.79837427000001</v>
      </c>
      <c r="L69" s="271">
        <f>Data!R217</f>
        <v>1138.5713694599999</v>
      </c>
      <c r="M69" s="281">
        <f t="shared" si="12"/>
        <v>-348.75605255599999</v>
      </c>
      <c r="N69" s="198"/>
      <c r="O69" s="195"/>
      <c r="P69" s="195"/>
      <c r="Q69" s="134"/>
    </row>
    <row r="70" spans="1:17" ht="10.5" customHeight="1">
      <c r="A70" s="195"/>
      <c r="B70" s="195"/>
      <c r="C70" s="183" t="s">
        <v>457</v>
      </c>
      <c r="D70" s="274">
        <f t="shared" ref="D70:H70" si="13">D71-D63-D66-D69</f>
        <v>955.14125363999938</v>
      </c>
      <c r="E70" s="274">
        <f t="shared" si="13"/>
        <v>512.85810631000004</v>
      </c>
      <c r="F70" s="274">
        <f t="shared" si="13"/>
        <v>691.36708942000018</v>
      </c>
      <c r="G70" s="274">
        <f t="shared" si="13"/>
        <v>998.7114227000003</v>
      </c>
      <c r="H70" s="274">
        <f t="shared" si="13"/>
        <v>898.28233740000132</v>
      </c>
      <c r="I70" s="274">
        <f t="shared" ref="I70:J70" si="14">I71-I63-I66-I69</f>
        <v>564.90597756000091</v>
      </c>
      <c r="J70" s="274">
        <f t="shared" si="14"/>
        <v>1329.25006381</v>
      </c>
      <c r="K70" s="274">
        <f t="shared" ref="K70:L70" si="15">K71-K63-K66-K69</f>
        <v>1883.4771895100005</v>
      </c>
      <c r="L70" s="274">
        <f t="shared" si="15"/>
        <v>2107.1619443399995</v>
      </c>
      <c r="M70" s="281">
        <f t="shared" si="12"/>
        <v>1134.9253981960005</v>
      </c>
      <c r="N70" s="198"/>
      <c r="O70" s="195"/>
      <c r="P70" s="195"/>
      <c r="Q70" s="134"/>
    </row>
    <row r="71" spans="1:17" ht="10.5" customHeight="1">
      <c r="A71" s="195"/>
      <c r="B71" s="195"/>
      <c r="C71" s="188" t="s">
        <v>458</v>
      </c>
      <c r="D71" s="254">
        <f>Data!J222</f>
        <v>7529.0863527499996</v>
      </c>
      <c r="E71" s="254">
        <f>Data!K222</f>
        <v>6802.6105963199998</v>
      </c>
      <c r="F71" s="254">
        <f>Data!L222</f>
        <v>4074.1709232600001</v>
      </c>
      <c r="G71" s="254">
        <f>Data!M222</f>
        <v>7156.9628224400003</v>
      </c>
      <c r="H71" s="254">
        <f>Data!N222</f>
        <v>7968.6610414700017</v>
      </c>
      <c r="I71" s="254">
        <f>Data!O222</f>
        <v>7658.8829083600003</v>
      </c>
      <c r="J71" s="254">
        <f>Data!P222</f>
        <v>11381.57817728</v>
      </c>
      <c r="K71" s="254">
        <f>Data!Q222</f>
        <v>12812.620863120001</v>
      </c>
      <c r="L71" s="254">
        <f>Data!R222</f>
        <v>12127.96953418</v>
      </c>
      <c r="M71" s="256">
        <f t="shared" si="12"/>
        <v>9395.7411625339992</v>
      </c>
      <c r="N71" s="197"/>
      <c r="O71" s="195"/>
      <c r="P71" s="195"/>
      <c r="Q71" s="134"/>
    </row>
    <row r="72" spans="1:17" ht="10.5" customHeight="1">
      <c r="A72" s="195"/>
      <c r="B72" s="195"/>
      <c r="C72" s="193"/>
      <c r="D72" s="229"/>
      <c r="E72" s="229"/>
      <c r="F72" s="229"/>
      <c r="G72" s="229"/>
      <c r="H72" s="230"/>
      <c r="I72" s="230"/>
      <c r="J72" s="230"/>
      <c r="K72" s="230"/>
      <c r="L72" s="230"/>
      <c r="M72" s="278"/>
      <c r="N72" s="198"/>
      <c r="O72" s="195"/>
      <c r="P72" s="195"/>
      <c r="Q72" s="134"/>
    </row>
    <row r="73" spans="1:17" ht="10.5" customHeight="1">
      <c r="A73" s="195"/>
      <c r="B73" s="195"/>
      <c r="C73" s="193" t="s">
        <v>578</v>
      </c>
      <c r="D73" s="272">
        <f>Data!J232</f>
        <v>31.124728269999999</v>
      </c>
      <c r="E73" s="272">
        <f>Data!K232</f>
        <v>-71.522228510000005</v>
      </c>
      <c r="F73" s="272">
        <f>Data!L232</f>
        <v>-161.98782571999999</v>
      </c>
      <c r="G73" s="272">
        <f>Data!M232</f>
        <v>39.585569409999998</v>
      </c>
      <c r="H73" s="272">
        <f>Data!N232</f>
        <v>-18.27776158</v>
      </c>
      <c r="I73" s="272">
        <f>Data!O232</f>
        <v>-6.0240624199999999</v>
      </c>
      <c r="J73" s="272">
        <f>Data!P232</f>
        <v>-22.359034909999998</v>
      </c>
      <c r="K73" s="272">
        <f>Data!Q232</f>
        <v>-134.70097572</v>
      </c>
      <c r="L73" s="272">
        <f>Data!R232</f>
        <v>-113.92603608</v>
      </c>
      <c r="M73" s="278">
        <f>AVERAGE(G73:K73)</f>
        <v>-28.355253044000001</v>
      </c>
      <c r="N73" s="198"/>
      <c r="O73" s="195"/>
      <c r="P73" s="1213"/>
      <c r="Q73" s="134"/>
    </row>
    <row r="74" spans="1:17" ht="10.5" customHeight="1">
      <c r="A74" s="195"/>
      <c r="B74" s="195"/>
      <c r="C74" s="193" t="s">
        <v>24</v>
      </c>
      <c r="D74" s="272">
        <f>Data!J224</f>
        <v>4871.71925904</v>
      </c>
      <c r="E74" s="272">
        <f>Data!K224</f>
        <v>4636.0851017900004</v>
      </c>
      <c r="F74" s="272">
        <f>Data!L224</f>
        <v>2995.7843909100002</v>
      </c>
      <c r="G74" s="272">
        <f>Data!M224</f>
        <v>4233.35168187</v>
      </c>
      <c r="H74" s="272">
        <f>Data!N224</f>
        <v>4805.9484021899998</v>
      </c>
      <c r="I74" s="272">
        <f>Data!O224</f>
        <v>4654.7521734499996</v>
      </c>
      <c r="J74" s="272">
        <f>Data!P224</f>
        <v>5324.6601187799997</v>
      </c>
      <c r="K74" s="272">
        <f>Data!Q224</f>
        <v>5971.4718922100001</v>
      </c>
      <c r="L74" s="272">
        <f>Data!R224</f>
        <v>4967.3284612699999</v>
      </c>
      <c r="M74" s="278">
        <f>AVERAGE(G74:K74)</f>
        <v>4998.0368537000004</v>
      </c>
      <c r="N74" s="198"/>
      <c r="O74" s="195"/>
      <c r="P74" s="195"/>
      <c r="Q74" s="134"/>
    </row>
    <row r="75" spans="1:17" ht="10.5" customHeight="1">
      <c r="A75" s="195"/>
      <c r="B75" s="195"/>
      <c r="C75" s="188" t="s">
        <v>45</v>
      </c>
      <c r="D75" s="273">
        <f>Data!J18</f>
        <v>2688.49</v>
      </c>
      <c r="E75" s="273">
        <f>Data!K18</f>
        <v>2095</v>
      </c>
      <c r="F75" s="273">
        <f>Data!L18</f>
        <v>916.4</v>
      </c>
      <c r="G75" s="273">
        <f>Data!M18</f>
        <v>2963.2</v>
      </c>
      <c r="H75" s="273">
        <f>Data!N18</f>
        <v>3144.43</v>
      </c>
      <c r="I75" s="273">
        <f>Data!O18</f>
        <v>2998.11</v>
      </c>
      <c r="J75" s="273">
        <f>Data!P18</f>
        <v>6034.56</v>
      </c>
      <c r="K75" s="273">
        <f>Data!Q18</f>
        <v>6706.45</v>
      </c>
      <c r="L75" s="273">
        <f>Data!R18</f>
        <v>7046.72</v>
      </c>
      <c r="M75" s="277">
        <f>AVERAGE(G75:K75)</f>
        <v>4369.3500000000004</v>
      </c>
      <c r="N75" s="197"/>
      <c r="O75" s="195"/>
      <c r="P75" s="195"/>
      <c r="Q75" s="134"/>
    </row>
    <row r="76" spans="1:17" ht="10.5" customHeight="1">
      <c r="A76" s="195"/>
      <c r="B76" s="195"/>
      <c r="C76" s="193"/>
      <c r="D76" s="229"/>
      <c r="E76" s="229"/>
      <c r="F76" s="229"/>
      <c r="G76" s="229"/>
      <c r="H76" s="230"/>
      <c r="I76" s="230"/>
      <c r="J76" s="230"/>
      <c r="K76" s="230"/>
      <c r="L76" s="230"/>
      <c r="M76" s="278"/>
      <c r="N76" s="198"/>
      <c r="O76" s="195"/>
      <c r="P76" s="195"/>
      <c r="Q76" s="134"/>
    </row>
    <row r="77" spans="1:17" ht="10.5" customHeight="1">
      <c r="A77" s="195"/>
      <c r="B77" s="195"/>
      <c r="C77" s="193" t="s">
        <v>65</v>
      </c>
      <c r="D77" s="276">
        <f t="shared" ref="D77:G77" si="16">D78-D75</f>
        <v>-26.00371307999967</v>
      </c>
      <c r="E77" s="276">
        <f t="shared" si="16"/>
        <v>-81.236561590000065</v>
      </c>
      <c r="F77" s="276">
        <f t="shared" si="16"/>
        <v>-1.1233949899999516</v>
      </c>
      <c r="G77" s="276">
        <f t="shared" si="16"/>
        <v>-148.91809455999964</v>
      </c>
      <c r="H77" s="276">
        <f>H78-H75</f>
        <v>32.288731569999982</v>
      </c>
      <c r="I77" s="276">
        <f>I78-I75</f>
        <v>65.175898659999802</v>
      </c>
      <c r="J77" s="276">
        <f>J78-J75</f>
        <v>-124.74383478000073</v>
      </c>
      <c r="K77" s="276">
        <f>K78-K75</f>
        <v>-112.0009393499995</v>
      </c>
      <c r="L77" s="276">
        <f>L78-L75</f>
        <v>-8.3163863500003572</v>
      </c>
      <c r="M77" s="278">
        <f>AVERAGE(G77:K77)</f>
        <v>-57.639647692000018</v>
      </c>
      <c r="N77" s="198"/>
      <c r="O77" s="195"/>
      <c r="P77" s="195"/>
      <c r="Q77" s="134"/>
    </row>
    <row r="78" spans="1:17" ht="10.5" customHeight="1">
      <c r="A78" s="195"/>
      <c r="B78" s="195"/>
      <c r="C78" s="231" t="s">
        <v>459</v>
      </c>
      <c r="D78" s="275">
        <f>Data!J252</f>
        <v>2662.4862869200001</v>
      </c>
      <c r="E78" s="275">
        <f>Data!K252</f>
        <v>2013.7634384099999</v>
      </c>
      <c r="F78" s="275">
        <f>Data!L252</f>
        <v>915.27660501000003</v>
      </c>
      <c r="G78" s="275">
        <f>Data!M252</f>
        <v>2814.2819054400002</v>
      </c>
      <c r="H78" s="275">
        <f>Data!N252</f>
        <v>3176.7187315699998</v>
      </c>
      <c r="I78" s="275">
        <f>Data!O252</f>
        <v>3063.2858986599999</v>
      </c>
      <c r="J78" s="275">
        <f>Data!P252</f>
        <v>5909.8161652199997</v>
      </c>
      <c r="K78" s="275">
        <f>Data!Q252</f>
        <v>6594.4490606500003</v>
      </c>
      <c r="L78" s="275">
        <f>Data!R252</f>
        <v>7038.4036136499999</v>
      </c>
      <c r="M78" s="282">
        <f>AVERAGE(G78:K78)</f>
        <v>4311.7103523080004</v>
      </c>
      <c r="N78" s="232"/>
      <c r="O78" s="195"/>
      <c r="P78" s="195"/>
      <c r="Q78" s="134"/>
    </row>
    <row r="79" spans="1:17" ht="10.5" customHeight="1">
      <c r="A79" s="195"/>
      <c r="B79" s="195"/>
      <c r="C79" s="193"/>
      <c r="D79" s="229"/>
      <c r="E79" s="229"/>
      <c r="F79" s="229"/>
      <c r="G79" s="229"/>
      <c r="H79" s="230"/>
      <c r="I79" s="230"/>
      <c r="J79" s="230"/>
      <c r="K79" s="230"/>
      <c r="L79" s="230"/>
      <c r="M79" s="278"/>
      <c r="N79" s="198"/>
      <c r="O79" s="195"/>
      <c r="P79" s="195"/>
      <c r="Q79" s="134"/>
    </row>
    <row r="80" spans="1:17" ht="10.5" customHeight="1">
      <c r="A80" s="195"/>
      <c r="B80" s="195"/>
      <c r="C80" s="193" t="s">
        <v>66</v>
      </c>
      <c r="D80" s="272">
        <v>160</v>
      </c>
      <c r="E80" s="272">
        <v>209</v>
      </c>
      <c r="F80" s="272">
        <v>186</v>
      </c>
      <c r="G80" s="272">
        <v>391</v>
      </c>
      <c r="H80" s="272">
        <f>Data!N253</f>
        <v>616.10909491999996</v>
      </c>
      <c r="I80" s="272">
        <f>Data!O253</f>
        <v>626.11290087999998</v>
      </c>
      <c r="J80" s="272">
        <f>Data!P253</f>
        <v>1187.01657832</v>
      </c>
      <c r="K80" s="272">
        <f>Data!Q253</f>
        <v>1559.34864118</v>
      </c>
      <c r="L80" s="272">
        <f>Data!R253</f>
        <v>1786.83504679</v>
      </c>
      <c r="M80" s="278">
        <f t="shared" ref="M80:M85" si="17">AVERAGE(G80:K80)</f>
        <v>875.91744305999998</v>
      </c>
      <c r="N80" s="198"/>
      <c r="O80" s="195"/>
      <c r="P80" s="195"/>
      <c r="Q80" s="134"/>
    </row>
    <row r="81" spans="1:17" ht="10.5" customHeight="1">
      <c r="A81" s="195"/>
      <c r="B81" s="195"/>
      <c r="C81" s="188" t="s">
        <v>67</v>
      </c>
      <c r="D81" s="279">
        <f>Data!J21</f>
        <v>2146.1999999999998</v>
      </c>
      <c r="E81" s="279">
        <f>Data!K21</f>
        <v>1590.22</v>
      </c>
      <c r="F81" s="279">
        <f>Data!L21</f>
        <v>755.38</v>
      </c>
      <c r="G81" s="279">
        <f>Data!M21</f>
        <v>2200.9299999999998</v>
      </c>
      <c r="H81" s="279">
        <f>Data!N21</f>
        <v>2560.61</v>
      </c>
      <c r="I81" s="279">
        <f>Data!O21</f>
        <v>2437.17</v>
      </c>
      <c r="J81" s="279">
        <f>Data!P21</f>
        <v>4722.8</v>
      </c>
      <c r="K81" s="279">
        <f>Data!Q21</f>
        <v>5035.1000000000004</v>
      </c>
      <c r="L81" s="279">
        <f>Data!R21</f>
        <v>5251.57</v>
      </c>
      <c r="M81" s="277">
        <f t="shared" si="17"/>
        <v>3391.3220000000001</v>
      </c>
      <c r="N81" s="233"/>
      <c r="O81" s="195"/>
      <c r="P81" s="195"/>
      <c r="Q81" s="134"/>
    </row>
    <row r="82" spans="1:17" ht="10.5" customHeight="1">
      <c r="A82" s="195"/>
      <c r="B82" s="195"/>
      <c r="C82" s="193" t="s">
        <v>68</v>
      </c>
      <c r="D82" s="280">
        <f>Data!J20</f>
        <v>0</v>
      </c>
      <c r="E82" s="280">
        <f>Data!K20</f>
        <v>0</v>
      </c>
      <c r="F82" s="280">
        <f>Data!L20</f>
        <v>0</v>
      </c>
      <c r="G82" s="280">
        <f>Data!M20</f>
        <v>0</v>
      </c>
      <c r="H82" s="280">
        <f>Data!N20</f>
        <v>0</v>
      </c>
      <c r="I82" s="280">
        <f>Data!O20</f>
        <v>0</v>
      </c>
      <c r="J82" s="280">
        <f>Data!P20</f>
        <v>0</v>
      </c>
      <c r="K82" s="280">
        <f>Data!Q20</f>
        <v>0</v>
      </c>
      <c r="L82" s="280">
        <f>Data!R20</f>
        <v>0</v>
      </c>
      <c r="M82" s="278">
        <f t="shared" si="17"/>
        <v>0</v>
      </c>
      <c r="N82" s="198"/>
      <c r="O82" s="195"/>
      <c r="P82" s="195"/>
      <c r="Q82" s="134"/>
    </row>
    <row r="83" spans="1:17" ht="10.5" customHeight="1">
      <c r="A83" s="195"/>
      <c r="B83" s="195"/>
      <c r="C83" s="188" t="s">
        <v>69</v>
      </c>
      <c r="D83" s="279">
        <f>Data!J21</f>
        <v>2146.1999999999998</v>
      </c>
      <c r="E83" s="279">
        <f>Data!K21</f>
        <v>1590.22</v>
      </c>
      <c r="F83" s="279">
        <f>Data!L21</f>
        <v>755.38</v>
      </c>
      <c r="G83" s="279">
        <f>Data!M21</f>
        <v>2200.9299999999998</v>
      </c>
      <c r="H83" s="279">
        <f>Data!N21</f>
        <v>2560.61</v>
      </c>
      <c r="I83" s="279">
        <f>Data!O21</f>
        <v>2437.17</v>
      </c>
      <c r="J83" s="279">
        <f>Data!P21</f>
        <v>4722.8</v>
      </c>
      <c r="K83" s="279">
        <f>Data!Q21</f>
        <v>5035.1000000000004</v>
      </c>
      <c r="L83" s="279">
        <f>Data!R21</f>
        <v>5251.57</v>
      </c>
      <c r="M83" s="277">
        <f t="shared" si="17"/>
        <v>3391.3220000000001</v>
      </c>
      <c r="N83" s="233"/>
      <c r="O83" s="195"/>
      <c r="P83" s="195"/>
      <c r="Q83" s="134"/>
    </row>
    <row r="84" spans="1:17" ht="10.5" customHeight="1">
      <c r="A84" s="195"/>
      <c r="B84" s="195"/>
      <c r="C84" s="193" t="s">
        <v>70</v>
      </c>
      <c r="D84" s="280">
        <f>Data!J22</f>
        <v>-166.71</v>
      </c>
      <c r="E84" s="280">
        <f>Data!K22</f>
        <v>-70.42</v>
      </c>
      <c r="F84" s="280">
        <f>Data!L22</f>
        <v>-70.209999999999994</v>
      </c>
      <c r="G84" s="280">
        <f>Data!M22</f>
        <v>-525.41999999999996</v>
      </c>
      <c r="H84" s="280">
        <f>Data!N22</f>
        <v>85.76</v>
      </c>
      <c r="I84" s="280">
        <f>Data!O22</f>
        <v>43.57</v>
      </c>
      <c r="J84" s="280">
        <f>Data!P22</f>
        <v>670.58</v>
      </c>
      <c r="K84" s="280">
        <f>Data!Q22</f>
        <v>0.35999999999967258</v>
      </c>
      <c r="L84" s="280">
        <f>Data!R22</f>
        <v>-510.67000000000007</v>
      </c>
      <c r="M84" s="278">
        <f t="shared" si="17"/>
        <v>54.969999999999949</v>
      </c>
      <c r="N84" s="198"/>
      <c r="O84" s="195"/>
      <c r="P84" s="195"/>
      <c r="Q84" s="134"/>
    </row>
    <row r="85" spans="1:17" ht="10.5" customHeight="1">
      <c r="A85" s="195"/>
      <c r="B85" s="195"/>
      <c r="C85" s="188" t="s">
        <v>23</v>
      </c>
      <c r="D85" s="279">
        <f>Data!J23</f>
        <v>1979.49</v>
      </c>
      <c r="E85" s="279">
        <f>Data!K23</f>
        <v>1519.8</v>
      </c>
      <c r="F85" s="279">
        <f>Data!L23</f>
        <v>685.18</v>
      </c>
      <c r="G85" s="279">
        <f>Data!M23</f>
        <v>1675.51</v>
      </c>
      <c r="H85" s="279">
        <f>Data!N23</f>
        <v>2646.37</v>
      </c>
      <c r="I85" s="279">
        <f>Data!O23</f>
        <v>2480.7399999999998</v>
      </c>
      <c r="J85" s="279">
        <f>Data!P23</f>
        <v>5393.38</v>
      </c>
      <c r="K85" s="279">
        <f>Data!Q23</f>
        <v>5035.46</v>
      </c>
      <c r="L85" s="279">
        <f>Data!R23</f>
        <v>4740.8999999999996</v>
      </c>
      <c r="M85" s="277">
        <f t="shared" si="17"/>
        <v>3446.2919999999999</v>
      </c>
      <c r="N85" s="233"/>
      <c r="O85" s="195"/>
      <c r="P85" s="195"/>
      <c r="Q85" s="134"/>
    </row>
    <row r="86" spans="1:17" ht="10.5" customHeight="1">
      <c r="A86" s="195"/>
      <c r="B86" s="195"/>
      <c r="C86" s="183"/>
      <c r="D86" s="184"/>
      <c r="E86" s="184"/>
      <c r="F86" s="184"/>
      <c r="G86" s="184"/>
      <c r="H86" s="185"/>
      <c r="I86" s="185"/>
      <c r="J86" s="185"/>
      <c r="K86" s="185"/>
      <c r="L86" s="185"/>
      <c r="M86" s="184"/>
      <c r="N86" s="198"/>
      <c r="O86" s="195"/>
      <c r="P86" s="195"/>
      <c r="Q86" s="134"/>
    </row>
    <row r="87" spans="1:17" ht="10.5" customHeight="1">
      <c r="A87" s="195"/>
      <c r="B87" s="195"/>
      <c r="C87" s="183"/>
      <c r="D87" s="184"/>
      <c r="E87" s="184"/>
      <c r="F87" s="184"/>
      <c r="G87" s="184"/>
      <c r="H87" s="185"/>
      <c r="I87" s="185"/>
      <c r="J87" s="185"/>
      <c r="K87" s="185"/>
      <c r="L87" s="185"/>
      <c r="M87" s="184"/>
      <c r="N87" s="198"/>
      <c r="O87" s="195"/>
      <c r="P87" s="195"/>
      <c r="Q87" s="134"/>
    </row>
    <row r="88" spans="1:17" ht="10.5" customHeight="1">
      <c r="A88" s="195"/>
      <c r="B88" s="195"/>
      <c r="C88" s="234"/>
      <c r="D88" s="234"/>
      <c r="E88" s="234"/>
      <c r="F88" s="234"/>
      <c r="G88" s="234"/>
      <c r="H88" s="235"/>
      <c r="I88" s="235"/>
      <c r="J88" s="235"/>
      <c r="K88" s="235"/>
      <c r="L88" s="235"/>
      <c r="M88" s="234"/>
      <c r="N88" s="198"/>
      <c r="O88" s="195"/>
      <c r="P88" s="195"/>
      <c r="Q88" s="134"/>
    </row>
    <row r="89" spans="1:17" ht="10.5" customHeight="1">
      <c r="A89" s="195"/>
      <c r="B89" s="195"/>
      <c r="C89" s="234"/>
      <c r="D89" s="234"/>
      <c r="E89" s="234"/>
      <c r="F89" s="234"/>
      <c r="G89" s="234"/>
      <c r="H89" s="235"/>
      <c r="I89" s="235"/>
      <c r="J89" s="235"/>
      <c r="K89" s="235"/>
      <c r="L89" s="235"/>
      <c r="M89" s="234"/>
      <c r="N89" s="198"/>
      <c r="O89" s="195"/>
      <c r="P89" s="195"/>
      <c r="Q89" s="134"/>
    </row>
    <row r="90" spans="1:17" ht="10.5" customHeight="1">
      <c r="A90" s="195"/>
      <c r="B90" s="195"/>
      <c r="C90" s="234"/>
      <c r="D90" s="234"/>
      <c r="E90" s="234"/>
      <c r="F90" s="234"/>
      <c r="G90" s="234"/>
      <c r="H90" s="235"/>
      <c r="I90" s="235"/>
      <c r="J90" s="235"/>
      <c r="K90" s="235"/>
      <c r="L90" s="235"/>
      <c r="M90" s="234"/>
      <c r="N90" s="198"/>
      <c r="O90" s="195"/>
      <c r="P90" s="195"/>
      <c r="Q90" s="134"/>
    </row>
    <row r="91" spans="1:17" ht="10.5" customHeight="1">
      <c r="A91" s="195"/>
      <c r="B91" s="195"/>
      <c r="C91" s="234"/>
      <c r="D91" s="234"/>
      <c r="E91" s="234"/>
      <c r="F91" s="234"/>
      <c r="G91" s="234"/>
      <c r="H91" s="235"/>
      <c r="I91" s="235"/>
      <c r="J91" s="235"/>
      <c r="K91" s="235"/>
      <c r="L91" s="235"/>
      <c r="M91" s="234"/>
      <c r="N91" s="198"/>
      <c r="O91" s="195"/>
      <c r="P91" s="195"/>
      <c r="Q91" s="134"/>
    </row>
    <row r="92" spans="1:17" ht="10.5" customHeight="1">
      <c r="A92" s="195"/>
      <c r="B92" s="195"/>
      <c r="C92" s="234"/>
      <c r="D92" s="234"/>
      <c r="E92" s="234"/>
      <c r="F92" s="234"/>
      <c r="G92" s="234"/>
      <c r="H92" s="235"/>
      <c r="I92" s="235"/>
      <c r="J92" s="235"/>
      <c r="K92" s="235"/>
      <c r="L92" s="235"/>
      <c r="M92" s="234"/>
      <c r="N92" s="198"/>
      <c r="O92" s="195"/>
      <c r="P92" s="195"/>
      <c r="Q92" s="134"/>
    </row>
    <row r="93" spans="1:17" ht="10.5" customHeight="1">
      <c r="A93" s="166"/>
      <c r="B93" s="166"/>
      <c r="C93" s="236"/>
      <c r="O93" s="166"/>
      <c r="P93" s="166"/>
    </row>
    <row r="94" spans="1:17" ht="9" customHeight="1">
      <c r="A94" s="166"/>
      <c r="B94" s="166"/>
      <c r="C94" s="236"/>
      <c r="O94" s="166"/>
      <c r="P94" s="166"/>
    </row>
    <row r="95" spans="1:17" ht="19.5" customHeight="1">
      <c r="A95" s="166"/>
      <c r="B95" s="166"/>
      <c r="C95" s="201" t="s">
        <v>450</v>
      </c>
      <c r="D95" s="237" t="s">
        <v>1</v>
      </c>
      <c r="E95" s="237" t="s">
        <v>387</v>
      </c>
      <c r="F95" s="237" t="s">
        <v>388</v>
      </c>
      <c r="G95" s="237" t="s">
        <v>389</v>
      </c>
      <c r="H95" s="237" t="s">
        <v>576</v>
      </c>
      <c r="I95" s="526" t="str">
        <f>I62</f>
        <v>'16.12</v>
      </c>
      <c r="J95" s="526" t="str">
        <f>J62</f>
        <v>'17.12</v>
      </c>
      <c r="K95" s="526" t="str">
        <f>K62</f>
        <v>'18.12</v>
      </c>
      <c r="L95" s="526" t="str">
        <f>L62</f>
        <v>'19.09</v>
      </c>
      <c r="M95" s="237" t="s">
        <v>449</v>
      </c>
      <c r="N95" s="237"/>
      <c r="O95" s="166"/>
      <c r="P95" s="166"/>
    </row>
    <row r="96" spans="1:17" ht="11" customHeight="1">
      <c r="A96" s="166"/>
      <c r="B96" s="166"/>
      <c r="C96" s="238" t="s">
        <v>460</v>
      </c>
      <c r="D96" s="239"/>
      <c r="E96" s="239"/>
      <c r="F96" s="239"/>
      <c r="G96" s="239"/>
      <c r="H96" s="239"/>
      <c r="I96" s="239"/>
      <c r="J96" s="239"/>
      <c r="K96" s="239"/>
      <c r="L96" s="239"/>
      <c r="M96" s="240"/>
      <c r="N96" s="136"/>
      <c r="O96" s="166"/>
      <c r="P96" s="166"/>
      <c r="Q96" s="135"/>
    </row>
    <row r="97" spans="1:17" ht="11" customHeight="1">
      <c r="A97" s="241"/>
      <c r="B97" s="241"/>
      <c r="C97" s="197" t="s">
        <v>71</v>
      </c>
      <c r="D97" s="265">
        <f>Data!J351</f>
        <v>36.354325231418137</v>
      </c>
      <c r="E97" s="265">
        <f>Data!K351</f>
        <v>38.969334614795095</v>
      </c>
      <c r="F97" s="265">
        <f>Data!L351</f>
        <v>40.447966746858491</v>
      </c>
      <c r="G97" s="265">
        <f>Data!M351</f>
        <v>45.042905561866483</v>
      </c>
      <c r="H97" s="265">
        <f>Data!N351</f>
        <v>43.984272929187249</v>
      </c>
      <c r="I97" s="265">
        <f>Data!O351</f>
        <v>54.325925632909986</v>
      </c>
      <c r="J97" s="265">
        <f>Data!P351</f>
        <v>58.796391117585877</v>
      </c>
      <c r="K97" s="265">
        <f>Data!Q351</f>
        <v>58.462554707821027</v>
      </c>
      <c r="L97" s="265">
        <f>Data!R351</f>
        <v>68.756187981912063</v>
      </c>
      <c r="M97" s="260">
        <f>AVERAGE(G97:K97)</f>
        <v>52.122409989874122</v>
      </c>
      <c r="N97" s="209"/>
      <c r="O97" s="241"/>
      <c r="P97" s="241"/>
      <c r="Q97" s="135"/>
    </row>
    <row r="98" spans="1:17" ht="11" customHeight="1">
      <c r="A98" s="241"/>
      <c r="B98" s="241"/>
      <c r="C98" s="238" t="s">
        <v>72</v>
      </c>
      <c r="D98" s="283"/>
      <c r="E98" s="283"/>
      <c r="F98" s="283"/>
      <c r="G98" s="283"/>
      <c r="H98" s="283"/>
      <c r="I98" s="283"/>
      <c r="J98" s="283"/>
      <c r="K98" s="283"/>
      <c r="L98" s="283"/>
      <c r="M98" s="259"/>
      <c r="N98" s="206"/>
      <c r="O98" s="241"/>
      <c r="P98" s="241"/>
      <c r="Q98" s="135"/>
    </row>
    <row r="99" spans="1:17" ht="11" customHeight="1">
      <c r="A99" s="241"/>
      <c r="B99" s="241"/>
      <c r="C99" s="242" t="s">
        <v>444</v>
      </c>
      <c r="D99" s="283">
        <f>Data!J352</f>
        <v>0</v>
      </c>
      <c r="E99" s="283">
        <f>Data!K352</f>
        <v>0.88153176026586999</v>
      </c>
      <c r="F99" s="283">
        <f>Data!L352</f>
        <v>0.51482215476503446</v>
      </c>
      <c r="G99" s="283">
        <f>Data!M352</f>
        <v>1.0155999355878853</v>
      </c>
      <c r="H99" s="283">
        <f>Data!N352</f>
        <v>0.98545027227548088</v>
      </c>
      <c r="I99" s="283">
        <f>Data!O352</f>
        <v>0.79510455928738966</v>
      </c>
      <c r="J99" s="283">
        <f>Data!P352</f>
        <v>1.3422790132847369</v>
      </c>
      <c r="K99" s="283">
        <f>Data!Q352</f>
        <v>1.2296256503352065</v>
      </c>
      <c r="L99" s="283">
        <f>Data!R352</f>
        <v>1.5174251502121172</v>
      </c>
      <c r="M99" s="259">
        <f>AVERAGE(G99:K99)</f>
        <v>1.0736118861541399</v>
      </c>
      <c r="N99" s="206"/>
      <c r="O99" s="241"/>
      <c r="P99" s="241"/>
      <c r="Q99" s="135"/>
    </row>
    <row r="100" spans="1:17" ht="11" customHeight="1">
      <c r="A100" s="241"/>
      <c r="B100" s="241"/>
      <c r="C100" s="198" t="s">
        <v>579</v>
      </c>
      <c r="D100" s="264" t="e">
        <f>Data!J367</f>
        <v>#REF!</v>
      </c>
      <c r="E100" s="264">
        <f>Data!K367</f>
        <v>5.0188425152031737</v>
      </c>
      <c r="F100" s="264">
        <f>Data!L367</f>
        <v>2.4067085032116582</v>
      </c>
      <c r="G100" s="264">
        <f>Data!M367</f>
        <v>7.0169548858576762</v>
      </c>
      <c r="H100" s="264">
        <f>Data!N367</f>
        <v>7.8967791437767314</v>
      </c>
      <c r="I100" s="264">
        <f>Data!O367</f>
        <v>6.6159865506945499</v>
      </c>
      <c r="J100" s="264">
        <f>Data!P367</f>
        <v>11.360471006840626</v>
      </c>
      <c r="K100" s="264">
        <f>Data!Q367</f>
        <v>11.720051585824164</v>
      </c>
      <c r="L100" s="264">
        <f>Data!R367</f>
        <v>15.569241027034424</v>
      </c>
      <c r="M100" s="259">
        <f>AVERAGE(G100:K100)</f>
        <v>8.9220486345987489</v>
      </c>
      <c r="N100" s="206"/>
      <c r="O100" s="241"/>
      <c r="P100" s="241"/>
      <c r="Q100" s="135"/>
    </row>
    <row r="101" spans="1:17" ht="11" customHeight="1">
      <c r="A101" s="241"/>
      <c r="B101" s="241"/>
      <c r="C101" s="198" t="s">
        <v>445</v>
      </c>
      <c r="D101" s="264">
        <f>Data!J354</f>
        <v>35.708051070738854</v>
      </c>
      <c r="E101" s="264">
        <f>Data!K354</f>
        <v>30.797000215378045</v>
      </c>
      <c r="F101" s="264">
        <f>Data!L354</f>
        <v>22.492919842124117</v>
      </c>
      <c r="G101" s="264">
        <f>Data!M354</f>
        <v>41.403037482731619</v>
      </c>
      <c r="H101" s="264">
        <f>Data!N354</f>
        <v>39.45995423366557</v>
      </c>
      <c r="I101" s="264">
        <f>Data!O354</f>
        <v>39.145525997367507</v>
      </c>
      <c r="J101" s="264">
        <f>Data!P354</f>
        <v>53.020415148105201</v>
      </c>
      <c r="K101" s="264">
        <f>Data!Q354</f>
        <v>52.342530631683061</v>
      </c>
      <c r="L101" s="264">
        <f>Data!R354</f>
        <v>58.103048330888186</v>
      </c>
      <c r="M101" s="259">
        <f>AVERAGE(G101:K101)</f>
        <v>45.074292698710586</v>
      </c>
      <c r="N101" s="206"/>
      <c r="O101" s="241"/>
      <c r="P101" s="241"/>
      <c r="Q101" s="135"/>
    </row>
    <row r="102" spans="1:17" ht="11" customHeight="1">
      <c r="A102" s="241"/>
      <c r="B102" s="241"/>
      <c r="C102" s="210" t="s">
        <v>1702</v>
      </c>
      <c r="D102" s="284">
        <f>Data!J355</f>
        <v>154.5468027283996</v>
      </c>
      <c r="E102" s="284">
        <f>Data!K355</f>
        <v>146.73178871745688</v>
      </c>
      <c r="F102" s="284">
        <f>Data!L355</f>
        <v>135.99680055821472</v>
      </c>
      <c r="G102" s="284">
        <f>Data!M355</f>
        <v>169.06138115316119</v>
      </c>
      <c r="H102" s="284">
        <f>Data!N355</f>
        <v>165.80829369368178</v>
      </c>
      <c r="I102" s="284">
        <f>Data!O355</f>
        <v>164.53900493446477</v>
      </c>
      <c r="J102" s="284">
        <f>Data!P355</f>
        <v>213.75220057966396</v>
      </c>
      <c r="K102" s="284">
        <f>Data!Q355</f>
        <v>214.56386456134084</v>
      </c>
      <c r="L102" s="284">
        <f>Data!R355</f>
        <v>244.15477310874735</v>
      </c>
      <c r="M102" s="269">
        <f>AVERAGE(G102:K102)</f>
        <v>185.54494898446251</v>
      </c>
      <c r="N102" s="211"/>
      <c r="O102" s="241"/>
      <c r="P102" s="241"/>
      <c r="Q102" s="135"/>
    </row>
    <row r="103" spans="1:17" ht="11" customHeight="1">
      <c r="A103" s="241"/>
      <c r="B103" s="241"/>
      <c r="C103" s="204" t="s">
        <v>73</v>
      </c>
      <c r="D103" s="264"/>
      <c r="E103" s="264"/>
      <c r="F103" s="264"/>
      <c r="G103" s="264"/>
      <c r="H103" s="264"/>
      <c r="I103" s="264"/>
      <c r="J103" s="264"/>
      <c r="K103" s="264"/>
      <c r="L103" s="264"/>
      <c r="M103" s="259"/>
      <c r="N103" s="206"/>
      <c r="O103" s="241"/>
      <c r="P103" s="241"/>
      <c r="Q103" s="135"/>
    </row>
    <row r="104" spans="1:17" ht="11" customHeight="1">
      <c r="A104" s="241"/>
      <c r="B104" s="241"/>
      <c r="C104" s="198" t="s">
        <v>74</v>
      </c>
      <c r="D104" s="264" t="e">
        <f>Data!J361</f>
        <v>#REF!</v>
      </c>
      <c r="E104" s="264">
        <f>Data!K361</f>
        <v>14.685424540663217</v>
      </c>
      <c r="F104" s="264">
        <f>Data!L361</f>
        <v>3.0121700296701359</v>
      </c>
      <c r="G104" s="264">
        <f>Data!M361</f>
        <v>18.308231410313525</v>
      </c>
      <c r="H104" s="264">
        <f>Data!N361</f>
        <v>21.248487204971056</v>
      </c>
      <c r="I104" s="264">
        <f>Data!O361</f>
        <v>15.256779019040835</v>
      </c>
      <c r="J104" s="264">
        <f>Data!P361</f>
        <v>14.380625492986464</v>
      </c>
      <c r="K104" s="264">
        <f>Data!Q361</f>
        <v>18.128041159111461</v>
      </c>
      <c r="L104" s="264">
        <f>Data!R361</f>
        <v>11.732746615708045</v>
      </c>
      <c r="M104" s="259">
        <f>AVERAGE(G104:K104)</f>
        <v>17.46443285728467</v>
      </c>
      <c r="N104" s="206"/>
      <c r="O104" s="241"/>
      <c r="P104" s="241"/>
      <c r="Q104" s="135"/>
    </row>
    <row r="105" spans="1:17" ht="11" customHeight="1">
      <c r="A105" s="241"/>
      <c r="B105" s="241"/>
      <c r="C105" s="198" t="s">
        <v>75</v>
      </c>
      <c r="D105" s="285" t="e">
        <f>Data!J362</f>
        <v>#REF!</v>
      </c>
      <c r="E105" s="285">
        <f>Data!K362</f>
        <v>17.876435415961556</v>
      </c>
      <c r="F105" s="285">
        <f>Data!L362</f>
        <v>14.81437891996833</v>
      </c>
      <c r="G105" s="285">
        <f>Data!M362</f>
        <v>16.708861683965925</v>
      </c>
      <c r="H105" s="285">
        <f>Data!N362</f>
        <v>25.834679025542439</v>
      </c>
      <c r="I105" s="285">
        <f>Data!O362</f>
        <v>15.730266432852048</v>
      </c>
      <c r="J105" s="285">
        <f>Data!P362</f>
        <v>6.8049892105801923</v>
      </c>
      <c r="K105" s="285">
        <f>Data!Q362</f>
        <v>4.914747501808181</v>
      </c>
      <c r="L105" s="285">
        <f>Data!R362</f>
        <v>-1.730856075881182</v>
      </c>
      <c r="M105" s="286">
        <f>AVERAGE(G105:K105)</f>
        <v>13.998708770949756</v>
      </c>
      <c r="N105" s="206"/>
      <c r="O105" s="241"/>
      <c r="P105" s="241"/>
      <c r="Q105" s="135"/>
    </row>
    <row r="106" spans="1:17" ht="11" customHeight="1">
      <c r="A106" s="241"/>
      <c r="B106" s="241"/>
      <c r="C106" s="193" t="s">
        <v>76</v>
      </c>
      <c r="D106" s="264" t="e">
        <f>Data!J363</f>
        <v>#REF!</v>
      </c>
      <c r="E106" s="264">
        <f>Data!K363</f>
        <v>-22.075216943339939</v>
      </c>
      <c r="F106" s="264">
        <f>Data!L363</f>
        <v>-56.257756563245835</v>
      </c>
      <c r="G106" s="264">
        <f>Data!M363</f>
        <v>223.35224792666955</v>
      </c>
      <c r="H106" s="264">
        <f>Data!N363</f>
        <v>6.1160232181425522</v>
      </c>
      <c r="I106" s="264">
        <f>Data!O363</f>
        <v>-4.6533075946991858</v>
      </c>
      <c r="J106" s="264">
        <f>Data!P363</f>
        <v>101.27880564755797</v>
      </c>
      <c r="K106" s="264">
        <f>Data!Q363</f>
        <v>11.134034627213897</v>
      </c>
      <c r="L106" s="264">
        <f>Data!R363</f>
        <v>30.150398297837768</v>
      </c>
      <c r="M106" s="259">
        <f>AVERAGE(G106:K106)</f>
        <v>67.44556076497696</v>
      </c>
      <c r="N106" s="206"/>
      <c r="O106" s="241"/>
      <c r="P106" s="241"/>
      <c r="Q106" s="135"/>
    </row>
    <row r="107" spans="1:17" ht="10.5" customHeight="1">
      <c r="A107" s="241"/>
      <c r="B107" s="241"/>
      <c r="C107" s="194" t="s">
        <v>77</v>
      </c>
      <c r="D107" s="265" t="e">
        <f>Data!J364</f>
        <v>#REF!</v>
      </c>
      <c r="E107" s="265">
        <f>Data!K364</f>
        <v>-25.905321032522586</v>
      </c>
      <c r="F107" s="265">
        <f>Data!L364</f>
        <v>-52.498396448290173</v>
      </c>
      <c r="G107" s="265">
        <f>Data!M364</f>
        <v>191.36725886308875</v>
      </c>
      <c r="H107" s="265">
        <f>Data!N364</f>
        <v>16.342182622800383</v>
      </c>
      <c r="I107" s="265">
        <f>Data!O364</f>
        <v>-4.8207263113086318</v>
      </c>
      <c r="J107" s="265">
        <f>Data!P364</f>
        <v>93.782132555381864</v>
      </c>
      <c r="K107" s="265">
        <f>Data!Q364</f>
        <v>6.6126026933175375</v>
      </c>
      <c r="L107" s="265">
        <f>Data!R364</f>
        <v>26.994302683252403</v>
      </c>
      <c r="M107" s="260">
        <f>AVERAGE(G107:K107)</f>
        <v>60.656690084655978</v>
      </c>
      <c r="N107" s="209"/>
      <c r="O107" s="241"/>
      <c r="P107" s="241"/>
      <c r="Q107" s="135"/>
    </row>
    <row r="108" spans="1:17" ht="10.5" customHeight="1">
      <c r="A108" s="241"/>
      <c r="B108" s="241"/>
      <c r="C108" s="243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6"/>
      <c r="O108" s="241"/>
      <c r="P108" s="241"/>
      <c r="Q108" s="135"/>
    </row>
    <row r="109" spans="1:17" ht="11" customHeight="1">
      <c r="A109" s="166"/>
      <c r="B109" s="166"/>
      <c r="C109" s="215"/>
      <c r="D109" s="215"/>
      <c r="E109" s="215"/>
      <c r="F109" s="215"/>
      <c r="G109" s="215"/>
      <c r="H109" s="244"/>
      <c r="I109" s="244"/>
      <c r="J109" s="244"/>
      <c r="K109" s="244"/>
      <c r="L109" s="244"/>
      <c r="M109" s="215"/>
      <c r="N109" s="215"/>
      <c r="O109" s="166"/>
      <c r="P109" s="166"/>
    </row>
    <row r="110" spans="1:17" ht="13.5" customHeight="1">
      <c r="A110" s="166"/>
      <c r="B110" s="166"/>
      <c r="H110" s="216"/>
      <c r="I110" s="216"/>
      <c r="J110" s="216"/>
      <c r="K110" s="216"/>
      <c r="L110" s="216"/>
      <c r="M110" s="245"/>
      <c r="N110" s="246"/>
      <c r="O110" s="166"/>
      <c r="P110" s="166"/>
    </row>
    <row r="111" spans="1:17" ht="13.5" customHeight="1">
      <c r="A111" s="166"/>
      <c r="B111" s="166"/>
      <c r="C111" s="136"/>
      <c r="D111" s="136"/>
      <c r="E111" s="136"/>
      <c r="F111" s="136"/>
      <c r="G111" s="247"/>
      <c r="H111" s="248"/>
      <c r="I111" s="248"/>
      <c r="J111" s="248"/>
      <c r="K111" s="248"/>
      <c r="L111" s="248"/>
      <c r="M111" s="247"/>
      <c r="N111" s="246"/>
      <c r="O111" s="166"/>
      <c r="P111" s="166"/>
      <c r="Q111" s="219"/>
    </row>
    <row r="112" spans="1:17">
      <c r="A112" s="166"/>
      <c r="B112" s="166"/>
    </row>
    <row r="113" spans="1:13">
      <c r="A113" s="166"/>
      <c r="B113" s="166"/>
      <c r="C113" s="1287" t="s">
        <v>2316</v>
      </c>
      <c r="D113" s="1287"/>
      <c r="E113" s="1288"/>
      <c r="F113" s="1288"/>
      <c r="G113" s="1287"/>
      <c r="H113" s="1287"/>
      <c r="I113" s="1287"/>
      <c r="J113" s="1287"/>
      <c r="K113" s="1287"/>
      <c r="L113" s="1287"/>
      <c r="M113" s="1287"/>
    </row>
    <row r="114" spans="1:13">
      <c r="A114" s="166"/>
      <c r="B114" s="166"/>
      <c r="C114" s="1289" t="s">
        <v>440</v>
      </c>
      <c r="D114" s="1289" t="s">
        <v>2317</v>
      </c>
      <c r="E114" s="1289"/>
      <c r="F114" s="1290"/>
      <c r="G114" s="1289"/>
      <c r="H114" s="1289"/>
      <c r="I114" s="1289"/>
      <c r="J114" s="1289"/>
      <c r="K114" s="1289"/>
      <c r="L114" s="1289"/>
      <c r="M114" s="1289"/>
    </row>
    <row r="115" spans="1:13">
      <c r="A115" s="166"/>
      <c r="B115" s="166"/>
      <c r="C115" s="1291" t="s">
        <v>426</v>
      </c>
      <c r="D115" s="1291" t="s">
        <v>2318</v>
      </c>
      <c r="E115" s="1291"/>
      <c r="F115" s="1292"/>
      <c r="G115" s="1291"/>
      <c r="H115" s="1291"/>
      <c r="I115" s="1291"/>
      <c r="J115" s="1291"/>
      <c r="K115" s="1291"/>
      <c r="L115" s="1291"/>
      <c r="M115" s="1291"/>
    </row>
    <row r="116" spans="1:13">
      <c r="A116" s="166"/>
      <c r="B116" s="166"/>
      <c r="C116" s="1289"/>
      <c r="D116" s="1289"/>
      <c r="E116" s="1289"/>
      <c r="F116" s="1290"/>
      <c r="G116" s="1289"/>
      <c r="H116" s="1289"/>
      <c r="I116" s="1289"/>
      <c r="J116" s="1289"/>
      <c r="K116" s="1289"/>
      <c r="L116" s="1289"/>
      <c r="M116" s="1289"/>
    </row>
    <row r="117" spans="1:13">
      <c r="A117" s="166"/>
      <c r="B117" s="166"/>
      <c r="C117" s="1287" t="s">
        <v>2319</v>
      </c>
      <c r="D117" s="1287"/>
      <c r="E117" s="1287"/>
      <c r="F117" s="1288"/>
      <c r="G117" s="1287"/>
      <c r="H117" s="1287"/>
      <c r="I117" s="1287"/>
      <c r="J117" s="1287"/>
      <c r="K117" s="1287"/>
      <c r="L117" s="1287"/>
      <c r="M117" s="1287"/>
    </row>
    <row r="118" spans="1:13">
      <c r="A118" s="166"/>
      <c r="B118" s="166"/>
      <c r="C118" s="1289" t="s">
        <v>43</v>
      </c>
      <c r="D118" s="1289" t="s">
        <v>2320</v>
      </c>
      <c r="E118" s="1289"/>
      <c r="F118" s="1290"/>
      <c r="G118" s="1289"/>
      <c r="H118" s="1289"/>
      <c r="I118" s="1289"/>
      <c r="J118" s="1289"/>
      <c r="K118" s="1289"/>
      <c r="L118" s="1289"/>
      <c r="M118" s="1289"/>
    </row>
    <row r="119" spans="1:13">
      <c r="A119" s="166"/>
      <c r="B119" s="166"/>
      <c r="C119" s="1293" t="s">
        <v>2321</v>
      </c>
      <c r="D119" s="1293" t="s">
        <v>2322</v>
      </c>
      <c r="E119" s="1293"/>
      <c r="F119" s="1290"/>
      <c r="G119" s="1289"/>
      <c r="H119" s="1289"/>
      <c r="I119" s="1289"/>
      <c r="J119" s="1289"/>
      <c r="K119" s="1289"/>
      <c r="L119" s="1289"/>
      <c r="M119" s="1289"/>
    </row>
    <row r="120" spans="1:13">
      <c r="A120" s="166"/>
      <c r="B120" s="166"/>
      <c r="C120" s="1294" t="s">
        <v>2323</v>
      </c>
      <c r="D120" s="1294" t="s">
        <v>2324</v>
      </c>
      <c r="E120" s="1293"/>
      <c r="F120" s="1290"/>
      <c r="G120" s="1289"/>
      <c r="H120" s="1289"/>
      <c r="I120" s="1289"/>
      <c r="J120" s="1289"/>
      <c r="K120" s="1289"/>
      <c r="L120" s="1289"/>
      <c r="M120" s="1289"/>
    </row>
    <row r="121" spans="1:13">
      <c r="A121" s="166"/>
      <c r="B121" s="166"/>
      <c r="C121" s="1295" t="s">
        <v>2325</v>
      </c>
      <c r="D121" s="1293" t="s">
        <v>2326</v>
      </c>
      <c r="E121" s="1293"/>
      <c r="F121" s="1290"/>
      <c r="G121" s="1289"/>
      <c r="H121" s="1289"/>
      <c r="I121" s="1289"/>
      <c r="J121" s="1289"/>
      <c r="K121" s="1289"/>
      <c r="L121" s="1289"/>
      <c r="M121" s="1289"/>
    </row>
    <row r="122" spans="1:13">
      <c r="A122" s="166"/>
      <c r="B122" s="166"/>
      <c r="C122" s="1296" t="s">
        <v>2327</v>
      </c>
      <c r="D122" s="1296" t="s">
        <v>2328</v>
      </c>
      <c r="E122" s="1291"/>
      <c r="F122" s="1292"/>
      <c r="G122" s="1291"/>
      <c r="H122" s="1291"/>
      <c r="I122" s="1291"/>
      <c r="J122" s="1291"/>
      <c r="K122" s="1291"/>
      <c r="L122" s="1291"/>
      <c r="M122" s="1291"/>
    </row>
    <row r="123" spans="1:13">
      <c r="A123" s="166"/>
      <c r="B123" s="166"/>
      <c r="C123" s="1289"/>
      <c r="D123" s="1289"/>
      <c r="E123" s="1289"/>
      <c r="F123" s="1290"/>
      <c r="G123" s="1289"/>
      <c r="H123" s="1289"/>
      <c r="I123" s="1289"/>
      <c r="J123" s="1289"/>
      <c r="K123" s="1289"/>
      <c r="L123" s="1289"/>
      <c r="M123" s="1289"/>
    </row>
    <row r="124" spans="1:13">
      <c r="A124" s="166"/>
      <c r="B124" s="166"/>
      <c r="C124" s="1287" t="s">
        <v>2329</v>
      </c>
      <c r="D124" s="1287"/>
      <c r="E124" s="1287"/>
      <c r="F124" s="1288"/>
      <c r="G124" s="1287"/>
      <c r="H124" s="1287"/>
      <c r="I124" s="1287"/>
      <c r="J124" s="1287"/>
      <c r="K124" s="1287"/>
      <c r="L124" s="1287"/>
      <c r="M124" s="1287"/>
    </row>
    <row r="125" spans="1:13">
      <c r="A125" s="166"/>
      <c r="B125" s="166"/>
      <c r="C125" s="1289" t="s">
        <v>441</v>
      </c>
      <c r="D125" s="1289" t="s">
        <v>2330</v>
      </c>
      <c r="E125" s="1289"/>
      <c r="F125" s="1290"/>
      <c r="G125" s="1289"/>
      <c r="H125" s="1289"/>
      <c r="I125" s="1289"/>
      <c r="J125" s="1289"/>
      <c r="K125" s="1289"/>
      <c r="L125" s="1289"/>
      <c r="M125" s="1289"/>
    </row>
    <row r="126" spans="1:13">
      <c r="A126" s="166"/>
      <c r="B126" s="166"/>
      <c r="C126" s="1289" t="s">
        <v>442</v>
      </c>
      <c r="D126" s="1289" t="s">
        <v>2331</v>
      </c>
      <c r="E126" s="1289"/>
      <c r="F126" s="1290"/>
      <c r="G126" s="1289"/>
      <c r="H126" s="1289"/>
      <c r="I126" s="1289"/>
      <c r="J126" s="1289"/>
      <c r="K126" s="1289"/>
      <c r="L126" s="1289"/>
      <c r="M126" s="1289"/>
    </row>
    <row r="127" spans="1:13">
      <c r="A127" s="166"/>
      <c r="B127" s="166"/>
      <c r="C127" s="1291" t="s">
        <v>443</v>
      </c>
      <c r="D127" s="1291" t="s">
        <v>2332</v>
      </c>
      <c r="E127" s="1291"/>
      <c r="F127" s="1292"/>
      <c r="G127" s="1291"/>
      <c r="H127" s="1291"/>
      <c r="I127" s="1291"/>
      <c r="J127" s="1291"/>
      <c r="K127" s="1291"/>
      <c r="L127" s="1291"/>
      <c r="M127" s="1291"/>
    </row>
    <row r="128" spans="1:13">
      <c r="A128" s="166"/>
      <c r="B128" s="166"/>
      <c r="C128" s="1289"/>
      <c r="D128" s="1289"/>
      <c r="E128" s="1289"/>
      <c r="F128" s="1290"/>
      <c r="G128" s="1289"/>
      <c r="H128" s="1289"/>
      <c r="I128" s="1289"/>
      <c r="J128" s="1289"/>
      <c r="K128" s="1289"/>
      <c r="L128" s="1289"/>
      <c r="M128" s="1289"/>
    </row>
    <row r="129" spans="1:13">
      <c r="A129" s="166"/>
      <c r="B129" s="166"/>
      <c r="C129" s="1287" t="s">
        <v>2333</v>
      </c>
      <c r="D129" s="1287"/>
      <c r="E129" s="1287"/>
      <c r="F129" s="1288"/>
      <c r="G129" s="1287"/>
      <c r="H129" s="1287"/>
      <c r="I129" s="1287"/>
      <c r="J129" s="1287"/>
      <c r="K129" s="1287"/>
      <c r="L129" s="1287"/>
      <c r="M129" s="1287"/>
    </row>
    <row r="130" spans="1:13">
      <c r="A130" s="166"/>
      <c r="B130" s="166"/>
      <c r="C130" s="1291" t="s">
        <v>2334</v>
      </c>
      <c r="D130" s="1291" t="s">
        <v>2335</v>
      </c>
      <c r="E130" s="1291"/>
      <c r="F130" s="1292"/>
      <c r="G130" s="1291"/>
      <c r="H130" s="1291"/>
      <c r="I130" s="1291"/>
      <c r="J130" s="1291"/>
      <c r="K130" s="1291"/>
      <c r="L130" s="1291"/>
      <c r="M130" s="1291"/>
    </row>
    <row r="131" spans="1:13">
      <c r="A131" s="166"/>
      <c r="B131" s="166"/>
      <c r="C131" s="1289"/>
      <c r="D131" s="1289"/>
      <c r="E131" s="1289"/>
      <c r="F131" s="1290"/>
      <c r="G131" s="1289"/>
      <c r="H131" s="1289"/>
      <c r="I131" s="1289"/>
      <c r="J131" s="1289"/>
      <c r="K131" s="1289"/>
      <c r="L131" s="1289"/>
      <c r="M131" s="1289"/>
    </row>
    <row r="132" spans="1:13">
      <c r="A132" s="166"/>
      <c r="B132" s="166"/>
      <c r="C132" s="1287" t="s">
        <v>2336</v>
      </c>
      <c r="D132" s="1287"/>
      <c r="E132" s="1287"/>
      <c r="F132" s="1288"/>
      <c r="G132" s="1287"/>
      <c r="H132" s="1287"/>
      <c r="I132" s="1287"/>
      <c r="J132" s="1287"/>
      <c r="K132" s="1287"/>
      <c r="L132" s="1287"/>
      <c r="M132" s="1287"/>
    </row>
    <row r="133" spans="1:13">
      <c r="A133" s="166"/>
      <c r="B133" s="166"/>
      <c r="C133" s="1289" t="s">
        <v>444</v>
      </c>
      <c r="D133" s="1289" t="s">
        <v>2337</v>
      </c>
      <c r="E133" s="1289"/>
      <c r="F133" s="1290"/>
      <c r="G133" s="1289"/>
      <c r="H133" s="1289"/>
      <c r="I133" s="1289"/>
      <c r="J133" s="1289"/>
      <c r="K133" s="1289"/>
      <c r="L133" s="1289"/>
      <c r="M133" s="1289"/>
    </row>
    <row r="134" spans="1:13">
      <c r="A134" s="166"/>
      <c r="B134" s="166"/>
      <c r="C134" s="1293" t="s">
        <v>2338</v>
      </c>
      <c r="D134" s="1293" t="s">
        <v>2339</v>
      </c>
      <c r="E134" s="1289"/>
      <c r="F134" s="1290"/>
      <c r="G134" s="1289"/>
      <c r="H134" s="1289"/>
      <c r="I134" s="1289"/>
      <c r="J134" s="1289"/>
      <c r="K134" s="1289"/>
      <c r="L134" s="1289"/>
      <c r="M134" s="1289"/>
    </row>
    <row r="135" spans="1:13">
      <c r="A135" s="166"/>
      <c r="B135" s="166"/>
      <c r="C135" s="1289" t="s">
        <v>445</v>
      </c>
      <c r="D135" s="1289" t="s">
        <v>2340</v>
      </c>
      <c r="E135" s="1289"/>
      <c r="F135" s="1290"/>
      <c r="G135" s="1289"/>
      <c r="H135" s="1289"/>
      <c r="I135" s="1289"/>
      <c r="J135" s="1289"/>
      <c r="K135" s="1289"/>
      <c r="L135" s="1289"/>
      <c r="M135" s="1289"/>
    </row>
    <row r="136" spans="1:13">
      <c r="A136" s="166"/>
      <c r="B136" s="166"/>
      <c r="C136" s="1297" t="s">
        <v>2341</v>
      </c>
      <c r="D136" s="1297" t="s">
        <v>2342</v>
      </c>
      <c r="E136" s="1291"/>
      <c r="F136" s="1292"/>
      <c r="G136" s="1291"/>
      <c r="H136" s="1291"/>
      <c r="I136" s="1291"/>
      <c r="J136" s="1291"/>
      <c r="K136" s="1291"/>
      <c r="L136" s="1291"/>
      <c r="M136" s="1291"/>
    </row>
    <row r="137" spans="1:13">
      <c r="A137" s="166"/>
      <c r="B137" s="166"/>
      <c r="C137" s="1289"/>
      <c r="D137" s="1289"/>
      <c r="E137" s="1289"/>
      <c r="F137" s="1290"/>
      <c r="G137" s="1289"/>
      <c r="H137" s="1289"/>
      <c r="I137" s="1289"/>
      <c r="J137" s="1289"/>
      <c r="K137" s="1289"/>
      <c r="L137" s="1289"/>
      <c r="M137" s="1289"/>
    </row>
    <row r="138" spans="1:13">
      <c r="A138" s="166"/>
      <c r="B138" s="166"/>
      <c r="C138" s="1287" t="s">
        <v>2343</v>
      </c>
      <c r="D138" s="1287"/>
      <c r="E138" s="1287"/>
      <c r="F138" s="1288"/>
      <c r="G138" s="1287"/>
      <c r="H138" s="1287"/>
      <c r="I138" s="1287"/>
      <c r="J138" s="1287"/>
      <c r="K138" s="1287"/>
      <c r="L138" s="1287"/>
      <c r="M138" s="1287"/>
    </row>
    <row r="139" spans="1:13">
      <c r="A139" s="166"/>
      <c r="B139" s="166"/>
      <c r="C139" s="1289" t="s">
        <v>74</v>
      </c>
      <c r="D139" s="1289" t="s">
        <v>2344</v>
      </c>
      <c r="E139" s="1289"/>
      <c r="F139" s="1298"/>
      <c r="G139" s="1289"/>
      <c r="H139" s="1289"/>
      <c r="I139" s="1289"/>
      <c r="J139" s="1289"/>
      <c r="K139" s="1289"/>
      <c r="L139" s="1289"/>
      <c r="M139" s="1289"/>
    </row>
    <row r="140" spans="1:13">
      <c r="A140" s="166"/>
      <c r="B140" s="166"/>
      <c r="C140" s="1289" t="s">
        <v>75</v>
      </c>
      <c r="D140" s="1289" t="s">
        <v>2345</v>
      </c>
      <c r="E140" s="1289"/>
      <c r="F140" s="1290"/>
      <c r="G140" s="1289"/>
      <c r="H140" s="1289"/>
      <c r="I140" s="1289"/>
      <c r="J140" s="1289"/>
      <c r="K140" s="1289"/>
      <c r="L140" s="1289"/>
      <c r="M140" s="1289"/>
    </row>
    <row r="141" spans="1:13">
      <c r="A141" s="166"/>
      <c r="B141" s="166"/>
      <c r="C141" s="1289" t="s">
        <v>76</v>
      </c>
      <c r="D141" s="1289" t="s">
        <v>2346</v>
      </c>
      <c r="E141" s="1289"/>
      <c r="F141" s="1290"/>
      <c r="G141" s="1289"/>
      <c r="H141" s="1289"/>
      <c r="I141" s="1289"/>
      <c r="J141" s="1289"/>
      <c r="K141" s="1289"/>
      <c r="L141" s="1289"/>
      <c r="M141" s="1289"/>
    </row>
    <row r="142" spans="1:13">
      <c r="A142" s="166"/>
      <c r="B142" s="166"/>
      <c r="C142" s="1291" t="s">
        <v>77</v>
      </c>
      <c r="D142" s="1291" t="s">
        <v>2347</v>
      </c>
      <c r="E142" s="1291"/>
      <c r="F142" s="1292"/>
      <c r="G142" s="1291"/>
      <c r="H142" s="1291"/>
      <c r="I142" s="1291"/>
      <c r="J142" s="1291"/>
      <c r="K142" s="1291"/>
      <c r="L142" s="1291"/>
      <c r="M142" s="1291"/>
    </row>
    <row r="143" spans="1:13">
      <c r="A143" s="166"/>
      <c r="B143" s="166"/>
      <c r="C143" s="1289"/>
      <c r="D143" s="1289"/>
      <c r="E143" s="1290"/>
      <c r="F143" s="1290"/>
      <c r="G143" s="1289"/>
      <c r="H143" s="1289"/>
      <c r="I143" s="1289"/>
      <c r="J143" s="1289"/>
      <c r="K143" s="1289"/>
      <c r="L143" s="1289"/>
      <c r="M143" s="1289"/>
    </row>
    <row r="144" spans="1:13">
      <c r="A144" s="166"/>
      <c r="B144" s="166"/>
      <c r="C144" s="1287" t="s">
        <v>2348</v>
      </c>
      <c r="D144" s="1287"/>
      <c r="E144" s="1288"/>
      <c r="F144" s="1288"/>
      <c r="G144" s="1287"/>
      <c r="H144" s="1287"/>
      <c r="I144" s="1287"/>
      <c r="J144" s="1287"/>
      <c r="K144" s="1287"/>
      <c r="L144" s="1287"/>
      <c r="M144" s="1287"/>
    </row>
    <row r="145" spans="1:13">
      <c r="A145" s="166"/>
      <c r="B145" s="166"/>
      <c r="C145" s="1299" t="s">
        <v>2349</v>
      </c>
      <c r="D145" s="1300"/>
      <c r="E145" s="1300"/>
      <c r="F145" s="1300"/>
      <c r="G145" s="1300"/>
      <c r="H145" s="1300"/>
      <c r="I145" s="1300"/>
      <c r="J145" s="1300"/>
      <c r="K145" s="1300"/>
      <c r="L145" s="1300"/>
      <c r="M145" s="1300"/>
    </row>
    <row r="146" spans="1:13">
      <c r="A146" s="166"/>
      <c r="B146" s="166"/>
      <c r="C146" s="1299" t="s">
        <v>2350</v>
      </c>
      <c r="D146" s="1299"/>
      <c r="E146" s="1299"/>
      <c r="F146" s="1299"/>
      <c r="G146" s="1299"/>
      <c r="H146" s="1299"/>
      <c r="I146" s="1299"/>
      <c r="J146" s="1299"/>
      <c r="K146" s="1299"/>
      <c r="L146" s="1299"/>
      <c r="M146" s="1299"/>
    </row>
    <row r="147" spans="1:13">
      <c r="A147" s="166"/>
      <c r="B147" s="166"/>
      <c r="C147" s="1299" t="s">
        <v>2351</v>
      </c>
      <c r="D147" s="1299"/>
      <c r="E147" s="1299"/>
      <c r="F147" s="1299"/>
      <c r="G147" s="1299"/>
      <c r="H147" s="1299"/>
      <c r="I147" s="1299"/>
      <c r="J147" s="1299"/>
      <c r="K147" s="1299"/>
      <c r="L147" s="1299"/>
      <c r="M147" s="1299"/>
    </row>
    <row r="148" spans="1:13">
      <c r="A148" s="166"/>
      <c r="B148" s="166"/>
      <c r="C148" s="1299" t="s">
        <v>2352</v>
      </c>
      <c r="D148" s="1299"/>
      <c r="E148" s="1299"/>
      <c r="F148" s="1299"/>
      <c r="G148" s="1299"/>
      <c r="H148" s="1299"/>
      <c r="I148" s="1299"/>
      <c r="J148" s="1299"/>
      <c r="K148" s="1299"/>
      <c r="L148" s="1299"/>
      <c r="M148" s="1299"/>
    </row>
    <row r="149" spans="1:13">
      <c r="A149" s="166"/>
      <c r="B149" s="166"/>
      <c r="C149" s="1299" t="s">
        <v>2353</v>
      </c>
      <c r="D149" s="1299"/>
      <c r="E149" s="1299"/>
      <c r="F149" s="1299"/>
      <c r="G149" s="1299"/>
      <c r="H149" s="1299"/>
      <c r="I149" s="1299"/>
      <c r="J149" s="1299"/>
      <c r="K149" s="1299"/>
      <c r="L149" s="1299"/>
      <c r="M149" s="1299"/>
    </row>
    <row r="150" spans="1:13">
      <c r="A150" s="166"/>
      <c r="B150" s="166"/>
      <c r="C150" s="1301" t="s">
        <v>2354</v>
      </c>
      <c r="D150" s="1298"/>
      <c r="E150" s="1298"/>
      <c r="F150" s="1298"/>
      <c r="G150" s="1298"/>
      <c r="H150" s="1298"/>
      <c r="I150" s="1298"/>
      <c r="J150" s="1298"/>
      <c r="K150" s="1298"/>
      <c r="L150" s="1298"/>
      <c r="M150" s="1298"/>
    </row>
    <row r="151" spans="1:13">
      <c r="A151" s="166"/>
      <c r="B151" s="166"/>
      <c r="C151" s="1298"/>
      <c r="D151" s="1298"/>
      <c r="E151" s="1298"/>
      <c r="F151" s="1298"/>
      <c r="G151" s="1298"/>
      <c r="H151" s="1298"/>
      <c r="I151" s="1298"/>
      <c r="J151" s="1298"/>
      <c r="K151" s="1298"/>
      <c r="L151" s="1298"/>
      <c r="M151" s="1298"/>
    </row>
    <row r="152" spans="1:13">
      <c r="A152" s="166"/>
      <c r="B152" s="166"/>
      <c r="C152" s="1813" t="s">
        <v>2355</v>
      </c>
      <c r="D152" s="1814"/>
      <c r="E152" s="1814"/>
      <c r="F152" s="1814"/>
      <c r="G152" s="1814"/>
      <c r="H152" s="1814"/>
      <c r="I152" s="1814"/>
      <c r="J152" s="1814"/>
      <c r="K152" s="1814"/>
      <c r="L152" s="1814"/>
      <c r="M152" s="1815"/>
    </row>
    <row r="153" spans="1:13">
      <c r="A153" s="166"/>
      <c r="B153" s="166"/>
      <c r="C153" s="1816"/>
      <c r="D153" s="1817"/>
      <c r="E153" s="1817"/>
      <c r="F153" s="1817"/>
      <c r="G153" s="1817"/>
      <c r="H153" s="1817"/>
      <c r="I153" s="1817"/>
      <c r="J153" s="1817"/>
      <c r="K153" s="1817"/>
      <c r="L153" s="1817"/>
      <c r="M153" s="1818"/>
    </row>
    <row r="154" spans="1:13">
      <c r="A154" s="166"/>
      <c r="B154" s="166"/>
      <c r="C154" s="1816"/>
      <c r="D154" s="1817"/>
      <c r="E154" s="1817"/>
      <c r="F154" s="1817"/>
      <c r="G154" s="1817"/>
      <c r="H154" s="1817"/>
      <c r="I154" s="1817"/>
      <c r="J154" s="1817"/>
      <c r="K154" s="1817"/>
      <c r="L154" s="1817"/>
      <c r="M154" s="1818"/>
    </row>
    <row r="155" spans="1:13">
      <c r="A155" s="166"/>
      <c r="B155" s="166"/>
      <c r="C155" s="1816"/>
      <c r="D155" s="1817"/>
      <c r="E155" s="1817"/>
      <c r="F155" s="1817"/>
      <c r="G155" s="1817"/>
      <c r="H155" s="1817"/>
      <c r="I155" s="1817"/>
      <c r="J155" s="1817"/>
      <c r="K155" s="1817"/>
      <c r="L155" s="1817"/>
      <c r="M155" s="1818"/>
    </row>
    <row r="156" spans="1:13">
      <c r="A156" s="166"/>
      <c r="B156" s="166"/>
      <c r="C156" s="1816"/>
      <c r="D156" s="1817"/>
      <c r="E156" s="1817"/>
      <c r="F156" s="1817"/>
      <c r="G156" s="1817"/>
      <c r="H156" s="1817"/>
      <c r="I156" s="1817"/>
      <c r="J156" s="1817"/>
      <c r="K156" s="1817"/>
      <c r="L156" s="1817"/>
      <c r="M156" s="1818"/>
    </row>
    <row r="157" spans="1:13">
      <c r="A157" s="166"/>
      <c r="B157" s="166"/>
      <c r="C157" s="1819"/>
      <c r="D157" s="1820"/>
      <c r="E157" s="1820"/>
      <c r="F157" s="1820"/>
      <c r="G157" s="1820"/>
      <c r="H157" s="1820"/>
      <c r="I157" s="1820"/>
      <c r="J157" s="1820"/>
      <c r="K157" s="1820"/>
      <c r="L157" s="1820"/>
      <c r="M157" s="1821"/>
    </row>
    <row r="158" spans="1:13">
      <c r="A158" s="166"/>
      <c r="B158" s="166"/>
    </row>
    <row r="159" spans="1:13">
      <c r="A159" s="166"/>
      <c r="B159" s="166"/>
    </row>
    <row r="160" spans="1:13">
      <c r="A160" s="166"/>
      <c r="B160" s="166"/>
    </row>
    <row r="161" spans="1:2">
      <c r="A161" s="166"/>
      <c r="B161" s="166"/>
    </row>
    <row r="162" spans="1:2">
      <c r="A162" s="166"/>
      <c r="B162" s="166"/>
    </row>
    <row r="163" spans="1:2">
      <c r="A163" s="166"/>
      <c r="B163" s="166"/>
    </row>
    <row r="164" spans="1:2">
      <c r="A164" s="166"/>
      <c r="B164" s="166"/>
    </row>
    <row r="165" spans="1:2">
      <c r="A165" s="166"/>
      <c r="B165" s="166"/>
    </row>
    <row r="166" spans="1:2">
      <c r="A166" s="166"/>
      <c r="B166" s="166"/>
    </row>
    <row r="167" spans="1:2">
      <c r="A167" s="166"/>
      <c r="B167" s="166"/>
    </row>
    <row r="168" spans="1:2">
      <c r="A168" s="166"/>
      <c r="B168" s="166"/>
    </row>
    <row r="169" spans="1:2">
      <c r="A169" s="166"/>
      <c r="B169" s="166"/>
    </row>
    <row r="170" spans="1:2">
      <c r="A170" s="166"/>
      <c r="B170" s="166"/>
    </row>
    <row r="171" spans="1:2">
      <c r="A171" s="166"/>
      <c r="B171" s="166"/>
    </row>
    <row r="172" spans="1:2">
      <c r="A172" s="166"/>
      <c r="B172" s="166"/>
    </row>
    <row r="173" spans="1:2">
      <c r="A173" s="166"/>
      <c r="B173" s="166"/>
    </row>
    <row r="174" spans="1:2">
      <c r="A174" s="166"/>
      <c r="B174" s="166"/>
    </row>
    <row r="175" spans="1:2">
      <c r="A175" s="166"/>
      <c r="B175" s="166"/>
    </row>
    <row r="176" spans="1:2">
      <c r="A176" s="166"/>
      <c r="B176" s="166"/>
    </row>
    <row r="177" spans="1:2">
      <c r="A177" s="166"/>
      <c r="B177" s="166"/>
    </row>
    <row r="178" spans="1:2">
      <c r="A178" s="166"/>
      <c r="B178" s="166"/>
    </row>
    <row r="179" spans="1:2">
      <c r="A179" s="166"/>
      <c r="B179" s="166"/>
    </row>
    <row r="180" spans="1:2">
      <c r="A180" s="166"/>
      <c r="B180" s="166"/>
    </row>
    <row r="181" spans="1:2">
      <c r="A181" s="166"/>
      <c r="B181" s="166"/>
    </row>
    <row r="182" spans="1:2">
      <c r="A182" s="166"/>
      <c r="B182" s="166"/>
    </row>
    <row r="183" spans="1:2">
      <c r="A183" s="166"/>
      <c r="B183" s="166"/>
    </row>
    <row r="184" spans="1:2">
      <c r="A184" s="166"/>
      <c r="B184" s="166"/>
    </row>
  </sheetData>
  <mergeCells count="5">
    <mergeCell ref="C2:D3"/>
    <mergeCell ref="M2:N3"/>
    <mergeCell ref="C57:D58"/>
    <mergeCell ref="M57:N58"/>
    <mergeCell ref="C152:M157"/>
  </mergeCells>
  <phoneticPr fontId="73" type="noConversion"/>
  <printOptions horizontalCentered="1"/>
  <pageMargins left="0" right="0" top="0.19685039370078741" bottom="0.19685039370078741" header="0" footer="0"/>
  <pageSetup paperSize="9" scale="80" orientation="portrait" horizontalDpi="300" verticalDpi="300" r:id="rId1"/>
  <headerFooter alignWithMargins="0"/>
  <rowBreaks count="1" manualBreakCount="1">
    <brk id="5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C00000"/>
  </sheetPr>
  <dimension ref="A1:M243"/>
  <sheetViews>
    <sheetView view="pageBreakPreview" zoomScaleNormal="100" zoomScaleSheetLayoutView="100" workbookViewId="0">
      <selection activeCell="C24" sqref="C24"/>
    </sheetView>
  </sheetViews>
  <sheetFormatPr baseColWidth="10" defaultColWidth="9.1640625" defaultRowHeight="14"/>
  <cols>
    <col min="1" max="2" width="1.5" style="287" customWidth="1"/>
    <col min="3" max="3" width="21.1640625" style="287" customWidth="1"/>
    <col min="4" max="10" width="10.1640625" style="287" customWidth="1"/>
    <col min="11" max="11" width="11.83203125" style="287" customWidth="1"/>
    <col min="12" max="16384" width="9.1640625" style="287"/>
  </cols>
  <sheetData>
    <row r="1" spans="1:11" s="291" customFormat="1">
      <c r="A1" s="288" t="str">
        <f>Data!A1</f>
        <v>한국투자증권</v>
      </c>
      <c r="B1" s="288"/>
      <c r="C1" s="289"/>
      <c r="D1" s="290"/>
      <c r="E1" s="290"/>
      <c r="F1" s="290"/>
      <c r="G1" s="290"/>
      <c r="H1" s="290"/>
      <c r="I1" s="290"/>
      <c r="J1" s="290"/>
      <c r="K1" s="290"/>
    </row>
    <row r="2" spans="1:11">
      <c r="D2" s="292"/>
      <c r="E2" s="292"/>
      <c r="F2" s="292"/>
      <c r="G2" s="292"/>
      <c r="H2" s="292"/>
      <c r="I2" s="292"/>
      <c r="J2" s="292"/>
      <c r="K2" s="292"/>
    </row>
    <row r="3" spans="1:11">
      <c r="A3" s="293" t="s">
        <v>581</v>
      </c>
      <c r="D3" s="292"/>
      <c r="E3" s="292"/>
      <c r="F3" s="292"/>
      <c r="G3" s="292"/>
      <c r="H3" s="292"/>
      <c r="I3" s="292"/>
      <c r="J3" s="292"/>
      <c r="K3" s="292"/>
    </row>
    <row r="4" spans="1:11">
      <c r="A4" s="293"/>
      <c r="C4" s="363" t="s">
        <v>582</v>
      </c>
      <c r="D4" s="1822" t="s">
        <v>583</v>
      </c>
      <c r="E4" s="1823"/>
      <c r="F4" s="1823"/>
      <c r="G4" s="1824"/>
      <c r="H4" s="292"/>
      <c r="I4" s="292"/>
      <c r="J4" s="292"/>
      <c r="K4" s="292"/>
    </row>
    <row r="5" spans="1:11">
      <c r="C5" s="294" t="s">
        <v>584</v>
      </c>
      <c r="D5" s="1354" t="s">
        <v>2446</v>
      </c>
      <c r="E5" s="295"/>
      <c r="F5" s="295"/>
      <c r="G5" s="296"/>
      <c r="H5" s="292"/>
      <c r="I5" s="292"/>
      <c r="J5" s="292"/>
      <c r="K5" s="292"/>
    </row>
    <row r="6" spans="1:11">
      <c r="C6" s="297" t="s">
        <v>585</v>
      </c>
      <c r="D6" s="1355" t="s">
        <v>2265</v>
      </c>
      <c r="E6" s="298"/>
      <c r="F6" s="298"/>
      <c r="G6" s="299"/>
      <c r="H6" s="292"/>
      <c r="I6" s="292"/>
      <c r="J6" s="292"/>
      <c r="K6" s="292"/>
    </row>
    <row r="7" spans="1:11">
      <c r="D7" s="292"/>
      <c r="E7" s="292"/>
      <c r="F7" s="292"/>
      <c r="G7" s="292"/>
      <c r="H7" s="292"/>
      <c r="I7" s="292"/>
      <c r="J7" s="292"/>
      <c r="K7" s="292"/>
    </row>
    <row r="8" spans="1:11">
      <c r="D8" s="292"/>
      <c r="E8" s="292"/>
      <c r="F8" s="292"/>
      <c r="G8" s="292"/>
      <c r="H8" s="292"/>
      <c r="I8" s="292"/>
      <c r="J8" s="292"/>
      <c r="K8" s="292"/>
    </row>
    <row r="9" spans="1:11">
      <c r="D9" s="292"/>
      <c r="E9" s="292"/>
      <c r="F9" s="292"/>
      <c r="G9" s="292"/>
      <c r="H9" s="292"/>
      <c r="I9" s="292"/>
      <c r="J9" s="292"/>
      <c r="K9" s="292"/>
    </row>
    <row r="10" spans="1:11">
      <c r="A10" s="293" t="s">
        <v>586</v>
      </c>
      <c r="D10" s="292"/>
      <c r="E10" s="292"/>
      <c r="F10" s="292"/>
      <c r="G10" s="292"/>
      <c r="H10" s="292"/>
      <c r="I10" s="292"/>
      <c r="J10" s="292"/>
      <c r="K10" s="292"/>
    </row>
    <row r="11" spans="1:11">
      <c r="C11" s="1825" t="s">
        <v>587</v>
      </c>
      <c r="D11" s="1822" t="s">
        <v>588</v>
      </c>
      <c r="E11" s="1827"/>
      <c r="F11" s="1828" t="s">
        <v>589</v>
      </c>
      <c r="G11" s="1827"/>
      <c r="H11" s="1828" t="s">
        <v>590</v>
      </c>
      <c r="I11" s="1824"/>
      <c r="J11" s="292"/>
      <c r="K11" s="292"/>
    </row>
    <row r="12" spans="1:11">
      <c r="C12" s="1826"/>
      <c r="D12" s="300" t="s">
        <v>591</v>
      </c>
      <c r="E12" s="300" t="s">
        <v>582</v>
      </c>
      <c r="F12" s="300" t="s">
        <v>591</v>
      </c>
      <c r="G12" s="300" t="s">
        <v>582</v>
      </c>
      <c r="H12" s="300" t="s">
        <v>592</v>
      </c>
      <c r="I12" s="301" t="s">
        <v>79</v>
      </c>
      <c r="J12" s="292"/>
      <c r="K12" s="292"/>
    </row>
    <row r="13" spans="1:11">
      <c r="C13" s="302">
        <v>2017</v>
      </c>
      <c r="D13" s="1356" t="s">
        <v>2447</v>
      </c>
      <c r="E13" s="303" t="s">
        <v>2432</v>
      </c>
      <c r="F13" s="303" t="s">
        <v>2447</v>
      </c>
      <c r="G13" s="303" t="s">
        <v>2432</v>
      </c>
      <c r="H13" s="303" t="s">
        <v>2447</v>
      </c>
      <c r="I13" s="303" t="s">
        <v>2432</v>
      </c>
      <c r="J13" s="292"/>
      <c r="K13" s="292"/>
    </row>
    <row r="14" spans="1:11">
      <c r="C14" s="302">
        <v>2018</v>
      </c>
      <c r="D14" s="1356" t="s">
        <v>2447</v>
      </c>
      <c r="E14" s="303" t="s">
        <v>2432</v>
      </c>
      <c r="F14" s="303" t="s">
        <v>2447</v>
      </c>
      <c r="G14" s="303" t="s">
        <v>2432</v>
      </c>
      <c r="H14" s="303" t="s">
        <v>2447</v>
      </c>
      <c r="I14" s="303" t="s">
        <v>2432</v>
      </c>
      <c r="J14" s="292"/>
      <c r="K14" s="292"/>
    </row>
    <row r="15" spans="1:11">
      <c r="C15" s="305">
        <v>2019</v>
      </c>
      <c r="D15" s="1357" t="s">
        <v>2447</v>
      </c>
      <c r="E15" s="306" t="s">
        <v>2432</v>
      </c>
      <c r="F15" s="306" t="s">
        <v>2447</v>
      </c>
      <c r="G15" s="306" t="s">
        <v>2432</v>
      </c>
      <c r="H15" s="1357" t="s">
        <v>2447</v>
      </c>
      <c r="I15" s="307" t="s">
        <v>2432</v>
      </c>
      <c r="J15" s="292"/>
      <c r="K15" s="292"/>
    </row>
    <row r="16" spans="1:11">
      <c r="C16" s="308"/>
      <c r="D16" s="309"/>
      <c r="E16" s="309"/>
      <c r="F16" s="309"/>
      <c r="G16" s="309"/>
      <c r="H16" s="309"/>
      <c r="I16" s="309"/>
      <c r="J16" s="292"/>
      <c r="K16" s="292"/>
    </row>
    <row r="17" spans="1:12">
      <c r="C17" s="308"/>
      <c r="D17" s="309"/>
      <c r="E17" s="309"/>
      <c r="F17" s="309"/>
      <c r="G17" s="309"/>
      <c r="H17" s="309"/>
      <c r="I17" s="309"/>
      <c r="J17" s="292"/>
      <c r="K17" s="292"/>
    </row>
    <row r="18" spans="1:12">
      <c r="C18" s="308"/>
      <c r="D18" s="309"/>
      <c r="E18" s="309"/>
      <c r="F18" s="309"/>
      <c r="G18" s="309"/>
      <c r="H18" s="309"/>
      <c r="I18" s="309"/>
      <c r="J18" s="292"/>
      <c r="K18" s="292"/>
    </row>
    <row r="19" spans="1:12">
      <c r="A19" s="293" t="s">
        <v>623</v>
      </c>
      <c r="C19" s="308"/>
      <c r="D19" s="309"/>
      <c r="E19" s="309"/>
      <c r="F19" s="309"/>
      <c r="G19" s="309"/>
      <c r="H19" s="309"/>
      <c r="I19" s="309"/>
      <c r="J19" s="292"/>
      <c r="K19" s="292"/>
    </row>
    <row r="20" spans="1:12">
      <c r="B20" s="354" t="s">
        <v>622</v>
      </c>
      <c r="C20" s="1358" t="s">
        <v>2462</v>
      </c>
      <c r="D20" s="309"/>
      <c r="E20" s="309"/>
      <c r="F20" s="309"/>
      <c r="G20" s="309"/>
      <c r="H20" s="309"/>
      <c r="I20" s="309"/>
      <c r="J20" s="292"/>
      <c r="K20" s="292"/>
    </row>
    <row r="21" spans="1:12">
      <c r="B21" s="354" t="s">
        <v>622</v>
      </c>
      <c r="C21" s="1358" t="s">
        <v>2461</v>
      </c>
      <c r="D21" s="309"/>
      <c r="E21" s="309"/>
      <c r="F21" s="309"/>
      <c r="G21" s="309"/>
      <c r="H21" s="309"/>
      <c r="I21" s="309"/>
      <c r="J21" s="292"/>
      <c r="K21" s="292"/>
    </row>
    <row r="22" spans="1:12">
      <c r="B22" s="354"/>
      <c r="C22" s="1358"/>
      <c r="D22" s="309"/>
      <c r="E22" s="309"/>
      <c r="F22" s="309"/>
      <c r="G22" s="309"/>
      <c r="H22" s="309"/>
      <c r="I22" s="309"/>
      <c r="J22" s="292"/>
      <c r="K22" s="292"/>
    </row>
    <row r="23" spans="1:12">
      <c r="B23" s="354"/>
      <c r="C23" s="1358"/>
      <c r="D23" s="309"/>
      <c r="E23" s="309"/>
      <c r="F23" s="309"/>
      <c r="G23" s="309"/>
      <c r="H23" s="309"/>
      <c r="I23" s="309"/>
      <c r="J23" s="292"/>
      <c r="K23" s="292"/>
    </row>
    <row r="24" spans="1:12">
      <c r="B24" s="354"/>
      <c r="C24" s="304"/>
      <c r="D24" s="309"/>
      <c r="E24" s="309"/>
      <c r="F24" s="309"/>
      <c r="G24" s="309"/>
      <c r="H24" s="309"/>
      <c r="I24" s="309"/>
      <c r="J24" s="292"/>
      <c r="K24" s="292"/>
    </row>
    <row r="25" spans="1:12">
      <c r="A25" s="293" t="s">
        <v>621</v>
      </c>
      <c r="D25" s="292"/>
      <c r="E25" s="292"/>
      <c r="F25" s="292"/>
      <c r="G25" s="292"/>
      <c r="H25" s="292"/>
      <c r="I25" s="292"/>
      <c r="J25" s="292"/>
      <c r="K25" s="292"/>
    </row>
    <row r="26" spans="1:12">
      <c r="C26" s="363" t="s">
        <v>582</v>
      </c>
      <c r="D26" s="1359" t="s">
        <v>1327</v>
      </c>
      <c r="E26" s="1360" t="s">
        <v>1686</v>
      </c>
      <c r="G26" s="292"/>
      <c r="H26" s="292"/>
      <c r="I26" s="292"/>
      <c r="J26" s="292"/>
      <c r="K26" s="292"/>
    </row>
    <row r="27" spans="1:12">
      <c r="C27" s="1361" t="s">
        <v>2142</v>
      </c>
      <c r="D27" s="1362">
        <f>Data!P39</f>
        <v>100</v>
      </c>
      <c r="E27" s="1363">
        <f>Data!Q39</f>
        <v>100</v>
      </c>
      <c r="G27" s="292"/>
      <c r="H27" s="292"/>
      <c r="I27" s="292"/>
      <c r="J27" s="292"/>
      <c r="K27" s="292"/>
      <c r="L27" s="1364"/>
    </row>
    <row r="28" spans="1:12">
      <c r="C28" s="1367" t="s">
        <v>218</v>
      </c>
      <c r="D28" s="1368">
        <f>100-SUM(D27:D27)</f>
        <v>0</v>
      </c>
      <c r="E28" s="1369">
        <f>100-SUM(E27:E27)</f>
        <v>0</v>
      </c>
      <c r="G28" s="292"/>
      <c r="H28" s="292"/>
      <c r="I28" s="292"/>
      <c r="J28" s="292"/>
      <c r="K28" s="292"/>
    </row>
    <row r="29" spans="1:12">
      <c r="D29" s="292"/>
      <c r="E29" s="292"/>
      <c r="F29" s="292"/>
      <c r="G29" s="292"/>
      <c r="H29" s="292"/>
      <c r="I29" s="292"/>
      <c r="J29" s="292"/>
      <c r="K29" s="292"/>
    </row>
    <row r="30" spans="1:12">
      <c r="D30" s="292"/>
      <c r="E30" s="292"/>
      <c r="F30" s="292"/>
      <c r="G30" s="292"/>
      <c r="H30" s="292"/>
      <c r="I30" s="292"/>
      <c r="J30" s="292"/>
      <c r="K30" s="292"/>
    </row>
    <row r="31" spans="1:12">
      <c r="D31" s="292"/>
      <c r="E31" s="292"/>
      <c r="F31" s="292"/>
      <c r="G31" s="292"/>
      <c r="H31" s="292"/>
      <c r="I31" s="292"/>
      <c r="J31" s="292"/>
      <c r="K31" s="292"/>
    </row>
    <row r="32" spans="1:12">
      <c r="A32" s="293" t="s">
        <v>634</v>
      </c>
      <c r="D32" s="292"/>
      <c r="E32" s="292"/>
      <c r="F32" s="292"/>
      <c r="G32" s="292"/>
      <c r="H32" s="292"/>
      <c r="I32" s="292"/>
      <c r="J32" s="292"/>
      <c r="K32" s="292"/>
    </row>
    <row r="33" spans="1:13">
      <c r="C33" s="363" t="s">
        <v>582</v>
      </c>
      <c r="D33" s="1359" t="s">
        <v>245</v>
      </c>
      <c r="E33" s="1370" t="s">
        <v>255</v>
      </c>
      <c r="F33" s="1370" t="s">
        <v>497</v>
      </c>
      <c r="G33" s="1370" t="s">
        <v>1325</v>
      </c>
      <c r="H33" s="1370" t="s">
        <v>1327</v>
      </c>
      <c r="I33" s="1360" t="str">
        <f>$E$26</f>
        <v>'18.12</v>
      </c>
      <c r="J33" s="292"/>
      <c r="K33" s="292"/>
    </row>
    <row r="34" spans="1:13">
      <c r="C34" s="294" t="s">
        <v>593</v>
      </c>
      <c r="D34" s="1371">
        <f>Data!L$262</f>
        <v>2597</v>
      </c>
      <c r="E34" s="1372">
        <f>Data!M$262</f>
        <v>2506</v>
      </c>
      <c r="F34" s="1373">
        <f>Data!N$262</f>
        <v>2489</v>
      </c>
      <c r="G34" s="1373">
        <f>Data!O$262</f>
        <v>2502</v>
      </c>
      <c r="H34" s="1373">
        <f>Data!P$262</f>
        <v>2580</v>
      </c>
      <c r="I34" s="1374">
        <f>Data!Q$262</f>
        <v>2699</v>
      </c>
      <c r="J34" s="292"/>
      <c r="K34" s="292"/>
      <c r="M34" s="1375"/>
    </row>
    <row r="35" spans="1:13">
      <c r="C35" s="1367" t="s">
        <v>1273</v>
      </c>
      <c r="D35" s="1376">
        <f>Data!L$263</f>
        <v>109</v>
      </c>
      <c r="E35" s="1377">
        <f>Data!M$263</f>
        <v>103</v>
      </c>
      <c r="F35" s="1378">
        <f>Data!N$263</f>
        <v>93</v>
      </c>
      <c r="G35" s="1378">
        <f>Data!O$263</f>
        <v>88</v>
      </c>
      <c r="H35" s="1378">
        <f>Data!P$263</f>
        <v>78</v>
      </c>
      <c r="I35" s="1379">
        <f>Data!Q$263</f>
        <v>78</v>
      </c>
      <c r="J35" s="292"/>
      <c r="K35" s="292"/>
      <c r="M35" s="1375"/>
    </row>
    <row r="36" spans="1:13">
      <c r="D36" s="292"/>
      <c r="E36" s="292"/>
      <c r="F36" s="292"/>
      <c r="G36" s="292"/>
      <c r="H36" s="292"/>
      <c r="I36" s="292"/>
      <c r="J36" s="292"/>
      <c r="K36" s="292"/>
    </row>
    <row r="37" spans="1:13">
      <c r="D37" s="292"/>
      <c r="E37" s="292"/>
      <c r="F37" s="292"/>
      <c r="G37" s="292"/>
      <c r="H37" s="292"/>
      <c r="I37" s="292"/>
      <c r="J37" s="292"/>
      <c r="K37" s="292"/>
    </row>
    <row r="38" spans="1:13">
      <c r="D38" s="292"/>
      <c r="E38" s="292"/>
      <c r="F38" s="292"/>
      <c r="G38" s="292"/>
      <c r="H38" s="292"/>
      <c r="I38" s="292"/>
      <c r="J38" s="292"/>
      <c r="K38" s="292"/>
    </row>
    <row r="39" spans="1:13">
      <c r="A39" s="293" t="s">
        <v>624</v>
      </c>
      <c r="D39" s="292"/>
      <c r="E39" s="292"/>
      <c r="F39" s="292"/>
      <c r="G39" s="292"/>
      <c r="H39" s="1380"/>
      <c r="I39" s="1380" t="s">
        <v>2433</v>
      </c>
      <c r="J39" s="1380"/>
      <c r="K39" s="292"/>
    </row>
    <row r="40" spans="1:13">
      <c r="C40" s="363" t="s">
        <v>582</v>
      </c>
      <c r="D40" s="1359" t="s">
        <v>380</v>
      </c>
      <c r="E40" s="1370" t="s">
        <v>381</v>
      </c>
      <c r="F40" s="1370" t="s">
        <v>2434</v>
      </c>
      <c r="G40" s="1370" t="s">
        <v>1324</v>
      </c>
      <c r="H40" s="1370" t="s">
        <v>1326</v>
      </c>
      <c r="I40" s="1360" t="s">
        <v>2402</v>
      </c>
      <c r="J40" s="1364"/>
      <c r="K40" s="292"/>
    </row>
    <row r="41" spans="1:13">
      <c r="C41" s="1361" t="s">
        <v>2463</v>
      </c>
      <c r="D41" s="1371">
        <f>Data!L15</f>
        <v>198537.91</v>
      </c>
      <c r="E41" s="1372">
        <f>Data!M15</f>
        <v>234886.69</v>
      </c>
      <c r="F41" s="1372">
        <f>Data!N15</f>
        <v>284796.56</v>
      </c>
      <c r="G41" s="1372">
        <f>Data!O15</f>
        <v>328247.34000000003</v>
      </c>
      <c r="H41" s="1372">
        <f>Data!P15</f>
        <v>375451.36</v>
      </c>
      <c r="I41" s="1381">
        <f>Data!Q15</f>
        <v>443513.34</v>
      </c>
      <c r="J41" s="1364"/>
      <c r="K41" s="292"/>
    </row>
    <row r="42" spans="1:13">
      <c r="C42" s="1361" t="s">
        <v>615</v>
      </c>
      <c r="D42" s="1371">
        <f>Data!L17</f>
        <v>30828.35</v>
      </c>
      <c r="E42" s="1372">
        <f>Data!M17</f>
        <v>31903.42</v>
      </c>
      <c r="F42" s="1372">
        <f>Data!N17</f>
        <v>32948.589999999997</v>
      </c>
      <c r="G42" s="1372">
        <f>Data!O17</f>
        <v>40726.589999999997</v>
      </c>
      <c r="H42" s="1372">
        <f>Data!P17</f>
        <v>42417.85</v>
      </c>
      <c r="I42" s="1381">
        <f>Data!Q17</f>
        <v>43504.98</v>
      </c>
      <c r="J42" s="1364"/>
      <c r="K42" s="292"/>
    </row>
    <row r="43" spans="1:13">
      <c r="C43" s="1361" t="s">
        <v>625</v>
      </c>
      <c r="D43" s="1371">
        <f>Data!L222</f>
        <v>4074.1709232600001</v>
      </c>
      <c r="E43" s="1372">
        <f>Data!M222</f>
        <v>7156.9628224400003</v>
      </c>
      <c r="F43" s="1372">
        <f>Data!N222</f>
        <v>7968.6610414700017</v>
      </c>
      <c r="G43" s="1372">
        <f>Data!O222</f>
        <v>7658.8829083600003</v>
      </c>
      <c r="H43" s="1372">
        <f>Data!P222</f>
        <v>11381.57817728</v>
      </c>
      <c r="I43" s="1381">
        <f>Data!Q222</f>
        <v>12812.620863120001</v>
      </c>
      <c r="K43" s="292"/>
    </row>
    <row r="44" spans="1:13">
      <c r="C44" s="1365" t="s">
        <v>626</v>
      </c>
      <c r="D44" s="1382">
        <f>Data!L$192</f>
        <v>1832.62698546</v>
      </c>
      <c r="E44" s="1383">
        <f>Data!M$192</f>
        <v>2329.1059403099998</v>
      </c>
      <c r="F44" s="1383">
        <f>Data!N$192</f>
        <v>2982.4510705900002</v>
      </c>
      <c r="G44" s="1383">
        <f>Data!O$192</f>
        <v>2516.4849723500001</v>
      </c>
      <c r="H44" s="1383">
        <f>Data!P$192</f>
        <v>2597.5596065</v>
      </c>
      <c r="I44" s="1381">
        <f>Data!Q$192</f>
        <v>2907.6558904399999</v>
      </c>
      <c r="K44" s="292"/>
    </row>
    <row r="45" spans="1:13">
      <c r="C45" s="1365" t="s">
        <v>627</v>
      </c>
      <c r="D45" s="1382">
        <f>Data!L$198</f>
        <v>402.63586871000001</v>
      </c>
      <c r="E45" s="1383">
        <f>Data!M$198</f>
        <v>697.57222471</v>
      </c>
      <c r="F45" s="1383">
        <f>Data!N$198</f>
        <v>867.94531057999995</v>
      </c>
      <c r="G45" s="1383">
        <f>Data!O$198</f>
        <v>1406.1302848</v>
      </c>
      <c r="H45" s="1383">
        <f>Data!P$198</f>
        <v>1741.6171613500001</v>
      </c>
      <c r="I45" s="1381">
        <f>Data!Q$198</f>
        <v>2035.68619304</v>
      </c>
      <c r="K45" s="292"/>
    </row>
    <row r="46" spans="1:13">
      <c r="C46" s="1367" t="s">
        <v>17</v>
      </c>
      <c r="D46" s="1384">
        <f>Data!L$193</f>
        <v>645.21910138999999</v>
      </c>
      <c r="E46" s="1378">
        <f>Data!M$193</f>
        <v>830.56379491000007</v>
      </c>
      <c r="F46" s="1378">
        <f>Data!N$193</f>
        <v>1010.2729842700001</v>
      </c>
      <c r="G46" s="1378">
        <f>Data!O$193</f>
        <v>1031.5412439900001</v>
      </c>
      <c r="H46" s="1378">
        <f>Data!P$193</f>
        <v>1199.69167595</v>
      </c>
      <c r="I46" s="1385">
        <f>Data!Q$193</f>
        <v>1285.02129752</v>
      </c>
      <c r="K46" s="292"/>
    </row>
    <row r="47" spans="1:13">
      <c r="B47" s="354"/>
      <c r="D47" s="292"/>
      <c r="E47" s="292"/>
      <c r="F47" s="292"/>
      <c r="G47" s="292"/>
      <c r="H47" s="292"/>
      <c r="I47" s="292"/>
      <c r="J47" s="292"/>
      <c r="K47" s="292"/>
    </row>
    <row r="48" spans="1:13">
      <c r="D48" s="292"/>
      <c r="E48" s="292"/>
      <c r="F48" s="292"/>
      <c r="G48" s="292"/>
      <c r="H48" s="292"/>
      <c r="I48" s="292"/>
      <c r="J48" s="320"/>
      <c r="K48" s="292"/>
    </row>
    <row r="49" spans="1:11">
      <c r="D49" s="292"/>
      <c r="E49" s="292"/>
      <c r="F49" s="292"/>
      <c r="G49" s="292"/>
      <c r="H49" s="292"/>
      <c r="I49" s="292"/>
      <c r="J49" s="320"/>
      <c r="K49" s="292"/>
    </row>
    <row r="50" spans="1:11">
      <c r="A50" s="293" t="s">
        <v>629</v>
      </c>
      <c r="D50" s="1386"/>
      <c r="E50" s="292"/>
      <c r="G50" s="292"/>
      <c r="H50" s="292"/>
      <c r="I50" s="292" t="s">
        <v>633</v>
      </c>
      <c r="J50" s="292"/>
      <c r="K50" s="292"/>
    </row>
    <row r="51" spans="1:11">
      <c r="A51" s="293"/>
      <c r="C51" s="363" t="s">
        <v>582</v>
      </c>
      <c r="D51" s="1359" t="str">
        <f>E$40</f>
        <v>FY14</v>
      </c>
      <c r="E51" s="1370" t="str">
        <f>F$40</f>
        <v>FY15</v>
      </c>
      <c r="F51" s="1370" t="str">
        <f>G$40</f>
        <v>FY16</v>
      </c>
      <c r="G51" s="1370" t="str">
        <f>H$40</f>
        <v>FY17</v>
      </c>
      <c r="H51" s="1360" t="s">
        <v>2402</v>
      </c>
      <c r="I51" s="357" t="str">
        <f>F51</f>
        <v>FY16</v>
      </c>
      <c r="J51" s="357" t="str">
        <f>G51</f>
        <v>FY17</v>
      </c>
      <c r="K51" s="357" t="str">
        <f>H51</f>
        <v>FY18</v>
      </c>
    </row>
    <row r="52" spans="1:11">
      <c r="A52" s="293"/>
      <c r="C52" s="1361" t="s">
        <v>26</v>
      </c>
      <c r="D52" s="1371">
        <f>Data!M211</f>
        <v>2254.4752445700001</v>
      </c>
      <c r="E52" s="1372">
        <f>Data!N211</f>
        <v>2804.3513719699999</v>
      </c>
      <c r="F52" s="1372">
        <f>Data!O211</f>
        <v>2288.01161146</v>
      </c>
      <c r="G52" s="1372">
        <f>Data!P211</f>
        <v>2355.3938719299999</v>
      </c>
      <c r="H52" s="1381">
        <f>Data!Q211</f>
        <v>2566.9765906600001</v>
      </c>
      <c r="I52" s="359">
        <f t="shared" ref="I52:K60" si="0">F52/F$60*100</f>
        <v>29.87395993432067</v>
      </c>
      <c r="J52" s="359">
        <f t="shared" si="0"/>
        <v>20.694791488862734</v>
      </c>
      <c r="K52" s="359">
        <f t="shared" si="0"/>
        <v>20.034750251986427</v>
      </c>
    </row>
    <row r="53" spans="1:11">
      <c r="A53" s="293"/>
      <c r="C53" s="1365" t="s">
        <v>492</v>
      </c>
      <c r="D53" s="1382">
        <f>Data!M212</f>
        <v>3781.7952330200001</v>
      </c>
      <c r="E53" s="1383">
        <f>Data!N212</f>
        <v>4383.1420143100004</v>
      </c>
      <c r="F53" s="1387">
        <f>Data!O212</f>
        <v>4134.2741015299998</v>
      </c>
      <c r="G53" s="1373">
        <f>Data!P212</f>
        <v>5048.5961801900003</v>
      </c>
      <c r="H53" s="1374">
        <f>Data!Q212</f>
        <v>6994.99408141</v>
      </c>
      <c r="I53" s="359">
        <f t="shared" si="0"/>
        <v>53.98011891547867</v>
      </c>
      <c r="J53" s="359">
        <f t="shared" si="0"/>
        <v>44.357611058438714</v>
      </c>
      <c r="K53" s="359">
        <f t="shared" si="0"/>
        <v>54.594560754891873</v>
      </c>
    </row>
    <row r="54" spans="1:11">
      <c r="A54" s="293"/>
      <c r="C54" s="1365" t="s">
        <v>631</v>
      </c>
      <c r="D54" s="1382">
        <f>Data!M213</f>
        <v>3773.95255064</v>
      </c>
      <c r="E54" s="1383">
        <f>Data!N213</f>
        <v>3808.97517887</v>
      </c>
      <c r="F54" s="1383">
        <f>Data!O213</f>
        <v>3400.5819105800001</v>
      </c>
      <c r="G54" s="1372">
        <f>Data!P213</f>
        <v>3680.3910383100001</v>
      </c>
      <c r="H54" s="1381">
        <f>Data!Q213</f>
        <v>4749.4908974800001</v>
      </c>
      <c r="I54" s="359">
        <f t="shared" si="0"/>
        <v>44.40049484067864</v>
      </c>
      <c r="J54" s="359">
        <f t="shared" si="0"/>
        <v>32.336385877108206</v>
      </c>
      <c r="K54" s="359">
        <f t="shared" si="0"/>
        <v>37.068847570062665</v>
      </c>
    </row>
    <row r="55" spans="1:11">
      <c r="C55" s="1365" t="s">
        <v>632</v>
      </c>
      <c r="D55" s="1382">
        <f>Data!M214</f>
        <v>44.560344000000001</v>
      </c>
      <c r="E55" s="1383">
        <f>Data!N214</f>
        <v>39.035917640000001</v>
      </c>
      <c r="F55" s="1387">
        <f>Data!O214</f>
        <v>143.41138878000001</v>
      </c>
      <c r="G55" s="1373">
        <f>Data!P214</f>
        <v>289.77328939</v>
      </c>
      <c r="H55" s="1374">
        <f>Data!Q214</f>
        <v>414.97908136000001</v>
      </c>
      <c r="I55" s="511">
        <f t="shared" si="0"/>
        <v>1.8724844144497927</v>
      </c>
      <c r="J55" s="511">
        <f t="shared" si="0"/>
        <v>2.5459851426267743</v>
      </c>
      <c r="K55" s="511">
        <f t="shared" si="0"/>
        <v>3.2388305702112881</v>
      </c>
    </row>
    <row r="56" spans="1:11">
      <c r="A56" s="293"/>
      <c r="C56" s="1365" t="s">
        <v>27</v>
      </c>
      <c r="D56" s="1382">
        <f>Data!M215</f>
        <v>830.56379490999996</v>
      </c>
      <c r="E56" s="1383">
        <f>Data!N215</f>
        <v>1010.2729842700001</v>
      </c>
      <c r="F56" s="1387">
        <f>Data!O215</f>
        <v>1031.5412439900001</v>
      </c>
      <c r="G56" s="1373">
        <f>Data!P215</f>
        <v>1199.69167595</v>
      </c>
      <c r="H56" s="1374">
        <f>Data!Q215</f>
        <v>1285.02129752</v>
      </c>
      <c r="I56" s="511">
        <f t="shared" si="0"/>
        <v>13.468560054156573</v>
      </c>
      <c r="J56" s="511">
        <f t="shared" si="0"/>
        <v>10.54064434003392</v>
      </c>
      <c r="K56" s="511">
        <f t="shared" si="0"/>
        <v>10.029339908268264</v>
      </c>
    </row>
    <row r="57" spans="1:11">
      <c r="A57" s="293"/>
      <c r="C57" s="1365" t="s">
        <v>28</v>
      </c>
      <c r="D57" s="1382">
        <f>Data!M216</f>
        <v>697.69222471</v>
      </c>
      <c r="E57" s="1383">
        <f>Data!N216</f>
        <v>867.94531057999995</v>
      </c>
      <c r="F57" s="1387">
        <f>Data!O216</f>
        <v>1406.1302848</v>
      </c>
      <c r="G57" s="1373">
        <f>Data!P216</f>
        <v>1741.6171613500001</v>
      </c>
      <c r="H57" s="1374">
        <f>Data!Q216</f>
        <v>2035.68619304</v>
      </c>
      <c r="I57" s="511">
        <f t="shared" si="0"/>
        <v>18.35946967233496</v>
      </c>
      <c r="J57" s="511">
        <f t="shared" si="0"/>
        <v>15.302070892300602</v>
      </c>
      <c r="K57" s="511">
        <f t="shared" si="0"/>
        <v>15.888132606027103</v>
      </c>
    </row>
    <row r="58" spans="1:11">
      <c r="A58" s="293"/>
      <c r="C58" s="1365" t="s">
        <v>29</v>
      </c>
      <c r="D58" s="1382">
        <f>Data!M217</f>
        <v>-418.70206307000001</v>
      </c>
      <c r="E58" s="1383">
        <f>Data!N217</f>
        <v>-1080.59307812</v>
      </c>
      <c r="F58" s="1387">
        <f>Data!O217</f>
        <v>-841.57422439000004</v>
      </c>
      <c r="G58" s="1373">
        <f>Data!P217</f>
        <v>814.88747707000005</v>
      </c>
      <c r="H58" s="1374">
        <f>Data!Q217</f>
        <v>-217.79837427000001</v>
      </c>
      <c r="I58" s="511">
        <f t="shared" si="0"/>
        <v>-10.988211132871422</v>
      </c>
      <c r="J58" s="511">
        <f t="shared" si="0"/>
        <v>7.1597054852787032</v>
      </c>
      <c r="K58" s="511">
        <f t="shared" si="0"/>
        <v>-1.6998737151187655</v>
      </c>
    </row>
    <row r="59" spans="1:11">
      <c r="A59" s="293"/>
      <c r="C59" s="1365" t="s">
        <v>630</v>
      </c>
      <c r="D59" s="1382">
        <f>Data!M221</f>
        <v>11.138388300000001</v>
      </c>
      <c r="E59" s="1383">
        <f>Data!N221</f>
        <v>-16.45756154</v>
      </c>
      <c r="F59" s="1383">
        <f>Data!O221</f>
        <v>-359.50010902999998</v>
      </c>
      <c r="G59" s="1372">
        <f>Data!P221</f>
        <v>221.39181078999999</v>
      </c>
      <c r="H59" s="1381">
        <f>Data!Q221</f>
        <v>147.74107476</v>
      </c>
      <c r="I59" s="359">
        <f t="shared" si="0"/>
        <v>-4.6938974434194591</v>
      </c>
      <c r="J59" s="359">
        <f t="shared" si="0"/>
        <v>1.9451767350853342</v>
      </c>
      <c r="K59" s="359">
        <f t="shared" si="0"/>
        <v>1.1530901939450939</v>
      </c>
    </row>
    <row r="60" spans="1:11">
      <c r="A60" s="293"/>
      <c r="C60" s="1388" t="s">
        <v>64</v>
      </c>
      <c r="D60" s="1389">
        <f>Data!M222</f>
        <v>7156.9628224400003</v>
      </c>
      <c r="E60" s="1390">
        <f>Data!N222</f>
        <v>7968.6610414700017</v>
      </c>
      <c r="F60" s="1390">
        <f>Data!O222</f>
        <v>7658.8829083600003</v>
      </c>
      <c r="G60" s="1390">
        <f>Data!P222</f>
        <v>11381.57817728</v>
      </c>
      <c r="H60" s="1391">
        <f>Data!Q222</f>
        <v>12812.620863120001</v>
      </c>
      <c r="I60" s="1392">
        <f t="shared" si="0"/>
        <v>100</v>
      </c>
      <c r="J60" s="1392">
        <f t="shared" si="0"/>
        <v>100</v>
      </c>
      <c r="K60" s="1392">
        <f t="shared" si="0"/>
        <v>100</v>
      </c>
    </row>
    <row r="61" spans="1:11">
      <c r="A61" s="293"/>
      <c r="B61" s="354"/>
      <c r="D61" s="292"/>
      <c r="E61" s="292"/>
      <c r="G61" s="292"/>
      <c r="H61" s="292"/>
      <c r="I61" s="292"/>
      <c r="J61" s="292"/>
      <c r="K61" s="292"/>
    </row>
    <row r="62" spans="1:11">
      <c r="A62" s="293"/>
      <c r="B62" s="354"/>
      <c r="D62" s="292"/>
      <c r="E62" s="292"/>
      <c r="G62" s="292"/>
      <c r="H62" s="292"/>
      <c r="I62" s="292"/>
      <c r="J62" s="292"/>
      <c r="K62" s="292"/>
    </row>
    <row r="63" spans="1:11">
      <c r="A63" s="293"/>
      <c r="B63" s="354"/>
      <c r="D63" s="292"/>
      <c r="E63" s="292"/>
      <c r="G63" s="292"/>
      <c r="H63" s="292"/>
      <c r="I63" s="292"/>
      <c r="J63" s="292"/>
      <c r="K63" s="292"/>
    </row>
    <row r="64" spans="1:11">
      <c r="A64" s="293"/>
      <c r="B64" s="354"/>
      <c r="D64" s="292"/>
      <c r="E64" s="292"/>
      <c r="G64" s="292"/>
      <c r="H64" s="292"/>
      <c r="I64" s="292"/>
      <c r="J64" s="292"/>
      <c r="K64" s="292"/>
    </row>
    <row r="65" spans="1:12">
      <c r="A65" s="293"/>
      <c r="B65" s="354"/>
      <c r="D65" s="292"/>
      <c r="E65" s="292"/>
      <c r="G65" s="292"/>
      <c r="H65" s="292"/>
      <c r="I65" s="292"/>
      <c r="J65" s="292"/>
      <c r="K65" s="292"/>
    </row>
    <row r="66" spans="1:12">
      <c r="A66" s="293"/>
      <c r="B66" s="354"/>
      <c r="D66" s="292"/>
      <c r="E66" s="292"/>
      <c r="G66" s="292"/>
      <c r="H66" s="292"/>
      <c r="I66" s="292"/>
      <c r="J66" s="292"/>
      <c r="K66" s="292"/>
    </row>
    <row r="67" spans="1:12">
      <c r="A67" s="293"/>
      <c r="B67" s="354"/>
      <c r="D67" s="292"/>
      <c r="E67" s="292"/>
      <c r="G67" s="292"/>
      <c r="H67" s="292"/>
      <c r="I67" s="292"/>
      <c r="J67" s="292"/>
      <c r="K67" s="292"/>
    </row>
    <row r="68" spans="1:12">
      <c r="A68" s="293"/>
      <c r="B68" s="354"/>
      <c r="D68" s="292"/>
      <c r="E68" s="292"/>
      <c r="G68" s="292"/>
      <c r="H68" s="292"/>
      <c r="I68" s="292"/>
      <c r="J68" s="292"/>
      <c r="K68" s="292"/>
    </row>
    <row r="69" spans="1:12">
      <c r="A69" s="293"/>
      <c r="B69" s="354"/>
      <c r="D69" s="292"/>
      <c r="E69" s="292"/>
      <c r="G69" s="292"/>
      <c r="H69" s="292"/>
      <c r="I69" s="292"/>
      <c r="J69" s="292"/>
      <c r="K69" s="292"/>
    </row>
    <row r="70" spans="1:12">
      <c r="A70" s="293" t="s">
        <v>596</v>
      </c>
      <c r="C70" s="292"/>
      <c r="D70" s="292"/>
      <c r="E70" s="292"/>
      <c r="F70" s="292"/>
      <c r="G70" s="292"/>
      <c r="H70" s="292"/>
      <c r="J70" s="292"/>
    </row>
    <row r="71" spans="1:12">
      <c r="C71" s="363" t="s">
        <v>582</v>
      </c>
      <c r="D71" s="1359" t="str">
        <f t="shared" ref="D71:H71" si="1">D$40</f>
        <v>FY13</v>
      </c>
      <c r="E71" s="1370" t="str">
        <f t="shared" si="1"/>
        <v>FY14</v>
      </c>
      <c r="F71" s="1370" t="str">
        <f t="shared" si="1"/>
        <v>FY15</v>
      </c>
      <c r="G71" s="1370" t="str">
        <f t="shared" si="1"/>
        <v>FY16</v>
      </c>
      <c r="H71" s="1370" t="str">
        <f t="shared" si="1"/>
        <v>FY17</v>
      </c>
      <c r="I71" s="1360" t="str">
        <f>H$51</f>
        <v>FY18</v>
      </c>
      <c r="J71" s="357" t="str">
        <f>H71</f>
        <v>FY17</v>
      </c>
      <c r="K71" s="357" t="str">
        <f>I71</f>
        <v>FY18</v>
      </c>
    </row>
    <row r="72" spans="1:12">
      <c r="C72" s="1393" t="s">
        <v>643</v>
      </c>
      <c r="D72" s="1394">
        <f>Data!L206</f>
        <v>2591.9424192299998</v>
      </c>
      <c r="E72" s="1395">
        <f>Data!M206</f>
        <v>3607.3577477199997</v>
      </c>
      <c r="F72" s="1395">
        <f>Data!N206</f>
        <v>4476.7096951500007</v>
      </c>
      <c r="G72" s="1395">
        <f>Data!O206</f>
        <v>4533.6095828999996</v>
      </c>
      <c r="H72" s="1395">
        <f>Data!P206</f>
        <v>5312.7674719099996</v>
      </c>
      <c r="I72" s="1396">
        <f>Data!Q206</f>
        <v>5782.4410851100001</v>
      </c>
      <c r="J72" s="512">
        <f t="shared" ref="J72:K84" si="2">H72/H$78*100</f>
        <v>46.678653778571672</v>
      </c>
      <c r="K72" s="512">
        <f t="shared" si="2"/>
        <v>45.130821764610602</v>
      </c>
    </row>
    <row r="73" spans="1:12">
      <c r="C73" s="1397" t="s">
        <v>642</v>
      </c>
      <c r="D73" s="1398">
        <f>Data!L254</f>
        <v>2010.5248479900001</v>
      </c>
      <c r="E73" s="1390">
        <f>Data!M254</f>
        <v>2969.5957150900003</v>
      </c>
      <c r="F73" s="1390">
        <f>Data!N254</f>
        <v>3674.2620870399996</v>
      </c>
      <c r="G73" s="1390">
        <f>Data!O254</f>
        <v>3401.9415722899998</v>
      </c>
      <c r="H73" s="1390">
        <f>Data!P254</f>
        <v>3924.6731644900005</v>
      </c>
      <c r="I73" s="1391">
        <f>Data!Q254</f>
        <v>5364.5009627700001</v>
      </c>
      <c r="J73" s="1392">
        <f t="shared" si="2"/>
        <v>34.482679847725031</v>
      </c>
      <c r="K73" s="1392">
        <f t="shared" si="2"/>
        <v>41.86888084865793</v>
      </c>
    </row>
    <row r="74" spans="1:12">
      <c r="C74" s="1393" t="s">
        <v>545</v>
      </c>
      <c r="D74" s="1394">
        <f>Data!L217</f>
        <v>-1219.66343338</v>
      </c>
      <c r="E74" s="1395">
        <f>Data!M217</f>
        <v>-418.70206307000001</v>
      </c>
      <c r="F74" s="1395">
        <f>Data!N217</f>
        <v>-1080.59307812</v>
      </c>
      <c r="G74" s="1395">
        <f>Data!O217</f>
        <v>-841.57422439000004</v>
      </c>
      <c r="H74" s="1395">
        <f>Data!P217</f>
        <v>814.88747707000005</v>
      </c>
      <c r="I74" s="1396">
        <f>Data!Q217</f>
        <v>-217.79837427000001</v>
      </c>
      <c r="J74" s="512">
        <f t="shared" si="2"/>
        <v>7.1597054852787032</v>
      </c>
      <c r="K74" s="512">
        <f t="shared" si="2"/>
        <v>-1.6998737151187655</v>
      </c>
    </row>
    <row r="75" spans="1:12">
      <c r="C75" s="1393" t="s">
        <v>866</v>
      </c>
      <c r="D75" s="1394">
        <f>Data!L218</f>
        <v>-386.13984418000001</v>
      </c>
      <c r="E75" s="1395">
        <f>Data!M218</f>
        <v>-828.56104039000002</v>
      </c>
      <c r="F75" s="1395">
        <f>Data!N218</f>
        <v>-51.07380526</v>
      </c>
      <c r="G75" s="1395">
        <f>Data!O218</f>
        <v>453.44688348</v>
      </c>
      <c r="H75" s="1395">
        <f>Data!P218</f>
        <v>1760.95910237</v>
      </c>
      <c r="I75" s="1396">
        <f>Data!Q218</f>
        <v>-1546.7856026899999</v>
      </c>
      <c r="J75" s="512">
        <f t="shared" si="2"/>
        <v>15.472011657269471</v>
      </c>
      <c r="K75" s="512">
        <f t="shared" si="2"/>
        <v>-12.072359115396022</v>
      </c>
    </row>
    <row r="76" spans="1:12">
      <c r="C76" s="1393" t="s">
        <v>867</v>
      </c>
      <c r="D76" s="1394">
        <f>Data!L219</f>
        <v>-1514.6533087299999</v>
      </c>
      <c r="E76" s="1395">
        <f>Data!M219</f>
        <v>629.46637457999998</v>
      </c>
      <c r="F76" s="1395">
        <f>Data!N219</f>
        <v>-197.82821204000001</v>
      </c>
      <c r="G76" s="1395">
        <f>Data!O219</f>
        <v>-483.26819590000002</v>
      </c>
      <c r="H76" s="1395">
        <f>Data!P219</f>
        <v>-1630.40466788</v>
      </c>
      <c r="I76" s="1396">
        <f>Data!Q219</f>
        <v>2234.0578824999998</v>
      </c>
      <c r="J76" s="512">
        <f t="shared" si="2"/>
        <v>-14.324943715930601</v>
      </c>
      <c r="K76" s="512">
        <f t="shared" si="2"/>
        <v>17.436384845590322</v>
      </c>
    </row>
    <row r="77" spans="1:12">
      <c r="C77" s="1397" t="s">
        <v>868</v>
      </c>
      <c r="D77" s="1398">
        <f>Data!L220</f>
        <v>711.16426347000004</v>
      </c>
      <c r="E77" s="1390">
        <f>Data!M220</f>
        <v>139.3061932</v>
      </c>
      <c r="F77" s="1390">
        <f>Data!N220</f>
        <v>-3925.9539900999998</v>
      </c>
      <c r="G77" s="1390">
        <f>Data!O220</f>
        <v>2809.7415915000001</v>
      </c>
      <c r="H77" s="1390">
        <f>Data!P220</f>
        <v>9349.7933939100003</v>
      </c>
      <c r="I77" s="1391">
        <f>Data!Q220</f>
        <v>-1744.98027185</v>
      </c>
      <c r="J77" s="1392">
        <f t="shared" si="2"/>
        <v>82.148479308204685</v>
      </c>
      <c r="K77" s="1392">
        <f t="shared" si="2"/>
        <v>-13.619229746138606</v>
      </c>
    </row>
    <row r="78" spans="1:12">
      <c r="C78" s="332" t="s">
        <v>222</v>
      </c>
      <c r="D78" s="1399">
        <f>Data!L222</f>
        <v>4074.1709232600001</v>
      </c>
      <c r="E78" s="1400">
        <f>Data!M222</f>
        <v>7156.9628224400003</v>
      </c>
      <c r="F78" s="1400">
        <f>Data!N222</f>
        <v>7968.6610414700017</v>
      </c>
      <c r="G78" s="1400">
        <f>Data!O222</f>
        <v>7658.8829083600003</v>
      </c>
      <c r="H78" s="1400">
        <f>Data!P222</f>
        <v>11381.57817728</v>
      </c>
      <c r="I78" s="1401">
        <f>Data!Q222</f>
        <v>12812.620863120001</v>
      </c>
      <c r="J78" s="514">
        <f t="shared" si="2"/>
        <v>100</v>
      </c>
      <c r="K78" s="514">
        <f t="shared" si="2"/>
        <v>100</v>
      </c>
      <c r="L78" s="292"/>
    </row>
    <row r="79" spans="1:12">
      <c r="C79" s="361" t="s">
        <v>641</v>
      </c>
      <c r="D79" s="1402">
        <f>Data!L224</f>
        <v>2995.7843909100002</v>
      </c>
      <c r="E79" s="1403">
        <f>Data!M224</f>
        <v>4233.35168187</v>
      </c>
      <c r="F79" s="1403">
        <f>Data!N224</f>
        <v>4805.9484021899998</v>
      </c>
      <c r="G79" s="1403">
        <f>Data!O224</f>
        <v>4654.7521734499996</v>
      </c>
      <c r="H79" s="1403">
        <f>Data!P224</f>
        <v>5324.6601187799997</v>
      </c>
      <c r="I79" s="1404">
        <f>Data!Q224</f>
        <v>5971.4718922100001</v>
      </c>
      <c r="J79" s="513">
        <f t="shared" si="2"/>
        <v>46.783144093401127</v>
      </c>
      <c r="K79" s="513">
        <f t="shared" si="2"/>
        <v>46.606170244203163</v>
      </c>
    </row>
    <row r="80" spans="1:12">
      <c r="C80" s="1397" t="s">
        <v>221</v>
      </c>
      <c r="D80" s="1398">
        <f>Data!L238</f>
        <v>-161.98782571999999</v>
      </c>
      <c r="E80" s="1390">
        <f>Data!M238</f>
        <v>39.585569409999998</v>
      </c>
      <c r="F80" s="1390">
        <f>Data!N238</f>
        <v>-18.277761580000004</v>
      </c>
      <c r="G80" s="1390">
        <f>Data!O238</f>
        <v>-6.0240624199999999</v>
      </c>
      <c r="H80" s="1390">
        <f>Data!P238</f>
        <v>-22.359034909999998</v>
      </c>
      <c r="I80" s="1391">
        <f>Data!Q238</f>
        <v>-134.70097572</v>
      </c>
      <c r="J80" s="1392">
        <f t="shared" si="2"/>
        <v>-0.19644933735668826</v>
      </c>
      <c r="K80" s="1392">
        <f t="shared" si="2"/>
        <v>-1.0513147712637381</v>
      </c>
    </row>
    <row r="81" spans="1:11">
      <c r="C81" s="1405" t="s">
        <v>597</v>
      </c>
      <c r="D81" s="1406">
        <f>Data!L18</f>
        <v>916.4</v>
      </c>
      <c r="E81" s="1407">
        <f>Data!M18</f>
        <v>2963.2</v>
      </c>
      <c r="F81" s="1407">
        <f>Data!N18</f>
        <v>3144.43</v>
      </c>
      <c r="G81" s="1407">
        <f>Data!O18</f>
        <v>2998.11</v>
      </c>
      <c r="H81" s="1407">
        <f>Data!P18</f>
        <v>6034.56</v>
      </c>
      <c r="I81" s="1408">
        <f>Data!Q18</f>
        <v>6706.45</v>
      </c>
      <c r="J81" s="1409">
        <f t="shared" si="2"/>
        <v>53.020415148105194</v>
      </c>
      <c r="K81" s="1409">
        <f t="shared" si="2"/>
        <v>52.342530631683047</v>
      </c>
    </row>
    <row r="82" spans="1:11">
      <c r="C82" s="1410" t="s">
        <v>598</v>
      </c>
      <c r="D82" s="1411">
        <f t="shared" ref="D82:H82" si="3">D83-D81</f>
        <v>-1.1233949899999516</v>
      </c>
      <c r="E82" s="1412">
        <f t="shared" si="3"/>
        <v>-148.91809455999964</v>
      </c>
      <c r="F82" s="1412">
        <f t="shared" si="3"/>
        <v>32.288731569999982</v>
      </c>
      <c r="G82" s="1412">
        <f t="shared" si="3"/>
        <v>65.175898659999802</v>
      </c>
      <c r="H82" s="1412">
        <f t="shared" si="3"/>
        <v>-124.74383478000073</v>
      </c>
      <c r="I82" s="1413">
        <f>I83-I81</f>
        <v>-112.0009393499995</v>
      </c>
      <c r="J82" s="1409">
        <f t="shared" si="2"/>
        <v>-1.0960152699123518</v>
      </c>
      <c r="K82" s="1409">
        <f t="shared" si="2"/>
        <v>-0.87414542697024866</v>
      </c>
    </row>
    <row r="83" spans="1:11">
      <c r="C83" s="1410" t="s">
        <v>645</v>
      </c>
      <c r="D83" s="1411">
        <f>Data!L252</f>
        <v>915.27660501000003</v>
      </c>
      <c r="E83" s="1412">
        <f>Data!M252</f>
        <v>2814.2819054400002</v>
      </c>
      <c r="F83" s="1412">
        <f>Data!N252</f>
        <v>3176.7187315699998</v>
      </c>
      <c r="G83" s="1412">
        <f>Data!O252</f>
        <v>3063.2858986599999</v>
      </c>
      <c r="H83" s="1412">
        <f>Data!P252</f>
        <v>5909.8161652199997</v>
      </c>
      <c r="I83" s="1413">
        <f>Data!Q252</f>
        <v>6594.4490606500003</v>
      </c>
      <c r="J83" s="1409">
        <f t="shared" si="2"/>
        <v>51.924399878192837</v>
      </c>
      <c r="K83" s="1409">
        <f t="shared" si="2"/>
        <v>51.46838520471281</v>
      </c>
    </row>
    <row r="84" spans="1:11">
      <c r="C84" s="1405" t="s">
        <v>599</v>
      </c>
      <c r="D84" s="1406">
        <f>Data!L21</f>
        <v>755.38</v>
      </c>
      <c r="E84" s="1407">
        <f>Data!M21</f>
        <v>2200.9299999999998</v>
      </c>
      <c r="F84" s="1407">
        <f>Data!N21</f>
        <v>2560.61</v>
      </c>
      <c r="G84" s="1407">
        <f>Data!O21</f>
        <v>2437.17</v>
      </c>
      <c r="H84" s="1407">
        <f>Data!P21</f>
        <v>4722.8</v>
      </c>
      <c r="I84" s="1408">
        <f>Data!Q21</f>
        <v>5035.1000000000004</v>
      </c>
      <c r="J84" s="1409">
        <f t="shared" si="2"/>
        <v>41.495124194882678</v>
      </c>
      <c r="K84" s="1409">
        <f t="shared" si="2"/>
        <v>39.297970757045434</v>
      </c>
    </row>
    <row r="85" spans="1:11">
      <c r="C85" s="1405" t="s">
        <v>602</v>
      </c>
      <c r="D85" s="1414">
        <f>Data!L352</f>
        <v>0.51482215476503446</v>
      </c>
      <c r="E85" s="1415">
        <f>Data!M352</f>
        <v>1.0155999355878853</v>
      </c>
      <c r="F85" s="1415">
        <f>Data!N352</f>
        <v>0.98545027227548088</v>
      </c>
      <c r="G85" s="1415">
        <f>Data!O352</f>
        <v>0.79510455928738966</v>
      </c>
      <c r="H85" s="1415">
        <f>Data!P352</f>
        <v>1.3422790132847369</v>
      </c>
      <c r="I85" s="1416">
        <f>Data!Q352</f>
        <v>1.2296256503352065</v>
      </c>
      <c r="K85" s="292"/>
    </row>
    <row r="86" spans="1:11">
      <c r="C86" s="1405" t="s">
        <v>655</v>
      </c>
      <c r="D86" s="1414">
        <f>Data!L353</f>
        <v>3.2089539166717262</v>
      </c>
      <c r="E86" s="1415">
        <f>Data!M353</f>
        <v>7.0169477145336927</v>
      </c>
      <c r="F86" s="1415">
        <f>Data!N353</f>
        <v>7.8967777953109719</v>
      </c>
      <c r="G86" s="1415">
        <f>Data!O353</f>
        <v>6.6159939020548659</v>
      </c>
      <c r="H86" s="1415">
        <f>Data!P353</f>
        <v>11.360468829431163</v>
      </c>
      <c r="I86" s="1416">
        <f>Data!Q353</f>
        <v>11.720051652172799</v>
      </c>
      <c r="K86" s="292"/>
    </row>
    <row r="87" spans="1:11">
      <c r="C87" s="333"/>
      <c r="D87" s="334"/>
      <c r="E87" s="334"/>
      <c r="F87" s="334"/>
      <c r="G87" s="334"/>
      <c r="H87" s="334"/>
      <c r="K87" s="292"/>
    </row>
    <row r="88" spans="1:11">
      <c r="C88" s="336"/>
      <c r="D88" s="292"/>
      <c r="E88" s="336"/>
      <c r="F88" s="292"/>
      <c r="G88" s="292"/>
      <c r="H88" s="292"/>
      <c r="J88" s="292"/>
    </row>
    <row r="89" spans="1:11">
      <c r="A89" s="293" t="s">
        <v>600</v>
      </c>
      <c r="C89" s="335"/>
      <c r="D89" s="336"/>
      <c r="E89" s="336"/>
      <c r="F89" s="336"/>
      <c r="G89" s="336"/>
      <c r="H89" s="336"/>
      <c r="I89" s="336"/>
      <c r="J89" s="336"/>
    </row>
    <row r="90" spans="1:11">
      <c r="A90" s="293"/>
      <c r="C90" s="363" t="s">
        <v>582</v>
      </c>
      <c r="D90" s="355" t="str">
        <f t="shared" ref="D90:G90" si="4">D$40</f>
        <v>FY13</v>
      </c>
      <c r="E90" s="355" t="str">
        <f t="shared" si="4"/>
        <v>FY14</v>
      </c>
      <c r="F90" s="355" t="str">
        <f t="shared" si="4"/>
        <v>FY15</v>
      </c>
      <c r="G90" s="355" t="str">
        <f t="shared" si="4"/>
        <v>FY16</v>
      </c>
      <c r="H90" s="355" t="str">
        <f>H$40</f>
        <v>FY17</v>
      </c>
      <c r="I90" s="356" t="str">
        <f>H$51</f>
        <v>FY18</v>
      </c>
      <c r="J90" s="357" t="s">
        <v>469</v>
      </c>
    </row>
    <row r="91" spans="1:11">
      <c r="A91" s="293"/>
      <c r="C91" s="1361" t="s">
        <v>650</v>
      </c>
      <c r="D91" s="310">
        <f>Data!L225</f>
        <v>1682.1903052599998</v>
      </c>
      <c r="E91" s="310">
        <f>Data!M225</f>
        <v>2587.83077753</v>
      </c>
      <c r="F91" s="310">
        <f>Data!N225</f>
        <v>3054.1487946699999</v>
      </c>
      <c r="G91" s="310">
        <f>Data!O225</f>
        <v>2941.5982815299999</v>
      </c>
      <c r="H91" s="310">
        <f>Data!P225</f>
        <v>3565.2855624399999</v>
      </c>
      <c r="I91" s="311">
        <f>Data!Q225</f>
        <v>4004.40355344</v>
      </c>
      <c r="J91" s="337">
        <f>I91/$I$95*100</f>
        <v>67.058903160272564</v>
      </c>
    </row>
    <row r="92" spans="1:11">
      <c r="A92" s="293"/>
      <c r="C92" s="1366" t="s">
        <v>651</v>
      </c>
      <c r="D92" s="316">
        <f>Data!L229</f>
        <v>251.21617788</v>
      </c>
      <c r="E92" s="316">
        <f>Data!M229</f>
        <v>312.30863717</v>
      </c>
      <c r="F92" s="316">
        <f>Data!N229</f>
        <v>310.10921654999999</v>
      </c>
      <c r="G92" s="316">
        <f>Data!O229</f>
        <v>323.31756281999998</v>
      </c>
      <c r="H92" s="316">
        <f>Data!P229</f>
        <v>325.12003984</v>
      </c>
      <c r="I92" s="317">
        <f>Data!Q229</f>
        <v>335.00911675999998</v>
      </c>
      <c r="J92" s="338">
        <f>I92/$I$95*100</f>
        <v>5.6101598200107317</v>
      </c>
    </row>
    <row r="93" spans="1:11">
      <c r="A93" s="293"/>
      <c r="C93" s="1366" t="s">
        <v>654</v>
      </c>
      <c r="D93" s="316">
        <f>Data!L230</f>
        <v>54.257283149999999</v>
      </c>
      <c r="E93" s="316">
        <f>Data!M230</f>
        <v>84.043321919999997</v>
      </c>
      <c r="F93" s="316">
        <f>Data!N230</f>
        <v>107.42123435000001</v>
      </c>
      <c r="G93" s="316">
        <f>Data!O230</f>
        <v>110.76344917999999</v>
      </c>
      <c r="H93" s="316">
        <f>Data!P230</f>
        <v>138.3766751</v>
      </c>
      <c r="I93" s="317">
        <f>Data!Q230</f>
        <v>181.03645974</v>
      </c>
      <c r="J93" s="338">
        <f>I93/$I$95*100</f>
        <v>3.0316890543547323</v>
      </c>
    </row>
    <row r="94" spans="1:11">
      <c r="A94" s="293"/>
      <c r="C94" s="1366" t="s">
        <v>218</v>
      </c>
      <c r="D94" s="316">
        <f t="shared" ref="D94:H94" si="5">D95-D91-D92-D93</f>
        <v>1008.1206246200003</v>
      </c>
      <c r="E94" s="316">
        <f t="shared" si="5"/>
        <v>1249.16894525</v>
      </c>
      <c r="F94" s="316">
        <f t="shared" si="5"/>
        <v>1334.2691566199999</v>
      </c>
      <c r="G94" s="316">
        <f t="shared" si="5"/>
        <v>1279.0728799199999</v>
      </c>
      <c r="H94" s="316">
        <f t="shared" si="5"/>
        <v>1295.8778413999996</v>
      </c>
      <c r="I94" s="317">
        <f>I95-I91-I92-I93</f>
        <v>1451.0227622700002</v>
      </c>
      <c r="J94" s="337">
        <f>I94/$I$95*100</f>
        <v>24.299247965361968</v>
      </c>
    </row>
    <row r="95" spans="1:11">
      <c r="A95" s="293"/>
      <c r="C95" s="1417" t="s">
        <v>601</v>
      </c>
      <c r="D95" s="377">
        <f>Data!L224</f>
        <v>2995.7843909100002</v>
      </c>
      <c r="E95" s="377">
        <f>Data!M224</f>
        <v>4233.35168187</v>
      </c>
      <c r="F95" s="377">
        <f>Data!N224</f>
        <v>4805.9484021899998</v>
      </c>
      <c r="G95" s="377">
        <f>Data!O224</f>
        <v>4654.7521734499996</v>
      </c>
      <c r="H95" s="377">
        <f>Data!P224</f>
        <v>5324.6601187799997</v>
      </c>
      <c r="I95" s="378">
        <f>Data!Q224</f>
        <v>5971.4718922100001</v>
      </c>
      <c r="J95" s="1418">
        <f>I95/$I$95*100</f>
        <v>100</v>
      </c>
    </row>
    <row r="96" spans="1:11">
      <c r="C96" s="330" t="s">
        <v>1298</v>
      </c>
      <c r="D96" s="339">
        <f>Data!L$355</f>
        <v>135.99680055821472</v>
      </c>
      <c r="E96" s="339">
        <f>Data!M$355</f>
        <v>169.06138115316119</v>
      </c>
      <c r="F96" s="339">
        <f>Data!N$355</f>
        <v>165.80829369368178</v>
      </c>
      <c r="G96" s="339">
        <f>Data!O$355</f>
        <v>164.53900493446477</v>
      </c>
      <c r="H96" s="339">
        <f>Data!P$355</f>
        <v>213.75220057966396</v>
      </c>
      <c r="I96" s="340">
        <f>Data!Q$355</f>
        <v>214.56386456134084</v>
      </c>
      <c r="J96" s="341"/>
    </row>
    <row r="97" spans="1:11">
      <c r="C97" s="292"/>
      <c r="D97" s="292"/>
      <c r="E97" s="292"/>
      <c r="F97" s="292"/>
      <c r="G97" s="292"/>
      <c r="I97" s="292"/>
    </row>
    <row r="98" spans="1:11">
      <c r="C98" s="335"/>
      <c r="D98" s="336"/>
      <c r="E98" s="336"/>
      <c r="F98" s="336"/>
      <c r="G98" s="336"/>
      <c r="H98" s="336"/>
      <c r="I98" s="336"/>
      <c r="J98" s="336"/>
    </row>
    <row r="99" spans="1:11">
      <c r="C99" s="363" t="s">
        <v>603</v>
      </c>
      <c r="D99" s="1419" t="s">
        <v>231</v>
      </c>
      <c r="E99" s="1420" t="s">
        <v>232</v>
      </c>
      <c r="F99" s="1420" t="s">
        <v>233</v>
      </c>
      <c r="G99" s="1420" t="s">
        <v>234</v>
      </c>
      <c r="H99" s="1421" t="s">
        <v>235</v>
      </c>
      <c r="I99" s="1421" t="s">
        <v>594</v>
      </c>
      <c r="J99" s="336"/>
    </row>
    <row r="100" spans="1:11">
      <c r="C100" s="1422" t="s">
        <v>595</v>
      </c>
      <c r="D100" s="323" t="s">
        <v>324</v>
      </c>
      <c r="E100" s="323" t="s">
        <v>325</v>
      </c>
      <c r="F100" s="323" t="s">
        <v>326</v>
      </c>
      <c r="G100" s="323" t="s">
        <v>256</v>
      </c>
      <c r="H100" s="324" t="s">
        <v>327</v>
      </c>
      <c r="I100" s="327" t="s">
        <v>219</v>
      </c>
      <c r="J100" s="292"/>
      <c r="K100" s="292"/>
    </row>
    <row r="101" spans="1:11">
      <c r="C101" s="360" t="s">
        <v>635</v>
      </c>
      <c r="D101" s="309" t="s">
        <v>636</v>
      </c>
      <c r="E101" s="309" t="s">
        <v>637</v>
      </c>
      <c r="F101" s="309" t="s">
        <v>638</v>
      </c>
      <c r="G101" s="309" t="s">
        <v>639</v>
      </c>
      <c r="H101" s="1423" t="s">
        <v>640</v>
      </c>
      <c r="I101" s="1424" t="s">
        <v>637</v>
      </c>
      <c r="J101" s="292"/>
      <c r="K101" s="292"/>
    </row>
    <row r="102" spans="1:11">
      <c r="C102" s="1425"/>
      <c r="D102" s="326"/>
      <c r="E102" s="326" t="s">
        <v>237</v>
      </c>
      <c r="F102" s="326"/>
      <c r="G102" s="326"/>
      <c r="H102" s="1426"/>
      <c r="I102" s="1427"/>
      <c r="J102" s="292"/>
      <c r="K102" s="292"/>
    </row>
    <row r="103" spans="1:11">
      <c r="C103" s="1422" t="s">
        <v>604</v>
      </c>
      <c r="D103" s="323" t="s">
        <v>329</v>
      </c>
      <c r="E103" s="323" t="s">
        <v>330</v>
      </c>
      <c r="F103" s="323" t="s">
        <v>331</v>
      </c>
      <c r="G103" s="323" t="s">
        <v>332</v>
      </c>
      <c r="H103" s="324" t="s">
        <v>333</v>
      </c>
      <c r="I103" s="325" t="s">
        <v>220</v>
      </c>
      <c r="J103" s="336"/>
    </row>
    <row r="104" spans="1:11">
      <c r="C104" s="1428"/>
      <c r="D104" s="326"/>
      <c r="E104" s="326" t="s">
        <v>237</v>
      </c>
      <c r="F104" s="326"/>
      <c r="G104" s="326"/>
      <c r="H104" s="1426"/>
      <c r="I104" s="1467" t="s">
        <v>2435</v>
      </c>
      <c r="J104" s="336"/>
    </row>
    <row r="105" spans="1:11">
      <c r="C105" s="1422" t="s">
        <v>1312</v>
      </c>
      <c r="D105" s="323" t="s">
        <v>324</v>
      </c>
      <c r="E105" s="323" t="s">
        <v>325</v>
      </c>
      <c r="F105" s="323" t="s">
        <v>326</v>
      </c>
      <c r="G105" s="323" t="s">
        <v>256</v>
      </c>
      <c r="H105" s="324" t="s">
        <v>327</v>
      </c>
      <c r="I105" s="327" t="s">
        <v>219</v>
      </c>
      <c r="J105" s="336"/>
    </row>
    <row r="106" spans="1:11">
      <c r="C106" s="1428"/>
      <c r="D106" s="326"/>
      <c r="E106" s="326" t="s">
        <v>237</v>
      </c>
      <c r="F106" s="326"/>
      <c r="G106" s="326"/>
      <c r="H106" s="1426"/>
      <c r="I106" s="328" t="s">
        <v>1308</v>
      </c>
      <c r="J106" s="336"/>
    </row>
    <row r="107" spans="1:11">
      <c r="C107" s="345" t="s">
        <v>656</v>
      </c>
      <c r="D107" s="346" t="s">
        <v>1296</v>
      </c>
      <c r="E107" s="346" t="s">
        <v>1293</v>
      </c>
      <c r="F107" s="346" t="s">
        <v>1294</v>
      </c>
      <c r="G107" s="346" t="s">
        <v>1295</v>
      </c>
      <c r="H107" s="347" t="s">
        <v>1297</v>
      </c>
      <c r="I107" s="362" t="s">
        <v>251</v>
      </c>
      <c r="J107" s="336"/>
    </row>
    <row r="108" spans="1:11">
      <c r="C108" s="1428"/>
      <c r="D108" s="326" t="s">
        <v>237</v>
      </c>
      <c r="E108" s="326"/>
      <c r="F108" s="326"/>
      <c r="G108" s="326"/>
      <c r="H108" s="1426"/>
      <c r="I108" s="328" t="s">
        <v>1296</v>
      </c>
    </row>
    <row r="109" spans="1:11">
      <c r="C109" s="335"/>
      <c r="D109" s="336"/>
      <c r="E109" s="336"/>
      <c r="F109" s="336"/>
      <c r="G109" s="336"/>
      <c r="H109" s="336"/>
      <c r="I109" s="336"/>
    </row>
    <row r="110" spans="1:11">
      <c r="C110" s="335"/>
      <c r="D110" s="336"/>
      <c r="E110" s="336"/>
      <c r="F110" s="336"/>
      <c r="G110" s="336"/>
      <c r="H110" s="336"/>
      <c r="I110" s="336"/>
    </row>
    <row r="111" spans="1:11">
      <c r="A111" s="293" t="s">
        <v>605</v>
      </c>
    </row>
    <row r="112" spans="1:11">
      <c r="C112" s="363" t="s">
        <v>582</v>
      </c>
      <c r="D112" s="355" t="str">
        <f t="shared" ref="D112:G112" si="6">D$33</f>
        <v>'13.12</v>
      </c>
      <c r="E112" s="355" t="str">
        <f t="shared" si="6"/>
        <v>'14.12</v>
      </c>
      <c r="F112" s="355" t="str">
        <f t="shared" si="6"/>
        <v>'15.12</v>
      </c>
      <c r="G112" s="355" t="str">
        <f t="shared" si="6"/>
        <v>'16.12</v>
      </c>
      <c r="H112" s="355" t="str">
        <f>H$33</f>
        <v>'17.12</v>
      </c>
      <c r="I112" s="356" t="str">
        <f>I$33</f>
        <v>'18.12</v>
      </c>
      <c r="J112" s="357" t="s">
        <v>469</v>
      </c>
    </row>
    <row r="113" spans="1:10">
      <c r="C113" s="1429" t="s">
        <v>606</v>
      </c>
      <c r="D113" s="1430">
        <f>Data!L60</f>
        <v>28803.621683000001</v>
      </c>
      <c r="E113" s="1431">
        <f>Data!M60</f>
        <v>54949.72964189</v>
      </c>
      <c r="F113" s="1431">
        <f>Data!N60</f>
        <v>71525.409081530001</v>
      </c>
      <c r="G113" s="1431">
        <f>Data!O60</f>
        <v>79920.55563612</v>
      </c>
      <c r="H113" s="1431">
        <f>Data!P60</f>
        <v>66740.875042920001</v>
      </c>
      <c r="I113" s="1432">
        <f>Data!Q60</f>
        <v>86841.800944770002</v>
      </c>
      <c r="J113" s="1433">
        <f t="shared" ref="J113:J123" si="7">I113/$I$123*100</f>
        <v>19.580425911150723</v>
      </c>
    </row>
    <row r="114" spans="1:10">
      <c r="C114" s="1365" t="s">
        <v>657</v>
      </c>
      <c r="D114" s="1434">
        <f>Data!L85</f>
        <v>136967.49490324999</v>
      </c>
      <c r="E114" s="1435">
        <f>Data!M85</f>
        <v>145479.28302325998</v>
      </c>
      <c r="F114" s="1435">
        <f>Data!N85</f>
        <v>175630.16143712</v>
      </c>
      <c r="G114" s="1435">
        <f>Data!O85</f>
        <v>207506.39159386</v>
      </c>
      <c r="H114" s="1435">
        <f>Data!P85</f>
        <v>255765.67062868</v>
      </c>
      <c r="I114" s="1436">
        <f>Data!Q85</f>
        <v>293398.73485904996</v>
      </c>
      <c r="J114" s="348">
        <f t="shared" si="7"/>
        <v>66.153305526063761</v>
      </c>
    </row>
    <row r="115" spans="1:10">
      <c r="C115" s="1365" t="s">
        <v>658</v>
      </c>
      <c r="D115" s="1434">
        <f>Data!L86</f>
        <v>75900.998141299991</v>
      </c>
      <c r="E115" s="1435">
        <f>Data!M86</f>
        <v>74648.21986107</v>
      </c>
      <c r="F115" s="1435">
        <f>Data!N86</f>
        <v>96644.599331699996</v>
      </c>
      <c r="G115" s="1435">
        <f>Data!O86</f>
        <v>117758.73625013999</v>
      </c>
      <c r="H115" s="1435">
        <f>Data!P86</f>
        <v>121089.75469137001</v>
      </c>
      <c r="I115" s="1436">
        <f>Data!Q86</f>
        <v>114103.81581357999</v>
      </c>
      <c r="J115" s="348">
        <f t="shared" si="7"/>
        <v>25.727256775090456</v>
      </c>
    </row>
    <row r="116" spans="1:10">
      <c r="C116" s="1365" t="s">
        <v>659</v>
      </c>
      <c r="D116" s="1434">
        <f>Data!L87</f>
        <v>11322.814006269999</v>
      </c>
      <c r="E116" s="1435">
        <f>Data!M87</f>
        <v>8292.78932317</v>
      </c>
      <c r="F116" s="1435">
        <f>Data!N87</f>
        <v>8231.5084349600002</v>
      </c>
      <c r="G116" s="1435">
        <f>Data!O87</f>
        <v>15484.251934370001</v>
      </c>
      <c r="H116" s="1435">
        <f>Data!P87</f>
        <v>27143.255864540002</v>
      </c>
      <c r="I116" s="1436">
        <f>Data!Q87</f>
        <v>26464.605493169998</v>
      </c>
      <c r="J116" s="348">
        <f t="shared" si="7"/>
        <v>5.9670370891594819</v>
      </c>
    </row>
    <row r="117" spans="1:10">
      <c r="C117" s="1365" t="s">
        <v>660</v>
      </c>
      <c r="D117" s="1434">
        <f>Data!L117</f>
        <v>2942.3866242099998</v>
      </c>
      <c r="E117" s="1435">
        <f>Data!M117</f>
        <v>3744.6156286099999</v>
      </c>
      <c r="F117" s="1435">
        <f>Data!N117</f>
        <v>2774.1192185899999</v>
      </c>
      <c r="G117" s="1435">
        <f>Data!O117</f>
        <v>3106.6062681799999</v>
      </c>
      <c r="H117" s="1435">
        <f>Data!P117</f>
        <v>2470.30883356</v>
      </c>
      <c r="I117" s="1436">
        <f>Data!Q117</f>
        <v>4048.4596534799998</v>
      </c>
      <c r="J117" s="348">
        <f t="shared" si="7"/>
        <v>0.91281575735241682</v>
      </c>
    </row>
    <row r="118" spans="1:10">
      <c r="C118" s="1366" t="s">
        <v>661</v>
      </c>
      <c r="D118" s="1437">
        <f>Data!L118</f>
        <v>14787.290585070001</v>
      </c>
      <c r="E118" s="1438">
        <f>Data!M118</f>
        <v>13957.09317111</v>
      </c>
      <c r="F118" s="1438">
        <f>Data!N118</f>
        <v>17554.358424450002</v>
      </c>
      <c r="G118" s="1438">
        <f>Data!O118</f>
        <v>19972.17555177</v>
      </c>
      <c r="H118" s="1438">
        <f>Data!P118</f>
        <v>33520.247614970001</v>
      </c>
      <c r="I118" s="1439">
        <f>Data!Q118</f>
        <v>39926.181118230001</v>
      </c>
      <c r="J118" s="349">
        <f t="shared" si="7"/>
        <v>9.0022503310114637</v>
      </c>
    </row>
    <row r="119" spans="1:10">
      <c r="C119" s="1366" t="s">
        <v>675</v>
      </c>
      <c r="D119" s="1437">
        <f>Data!L120</f>
        <v>11138.05259431</v>
      </c>
      <c r="E119" s="1438">
        <f>Data!M120</f>
        <v>11678.840748029999</v>
      </c>
      <c r="F119" s="1438">
        <f>Data!N120</f>
        <v>14954.27698343</v>
      </c>
      <c r="G119" s="1438">
        <f>Data!O120</f>
        <v>16848.82255855</v>
      </c>
      <c r="H119" s="1438">
        <f>Data!P120</f>
        <v>23498.01027613</v>
      </c>
      <c r="I119" s="1439">
        <f>Data!Q120</f>
        <v>22740.419572819999</v>
      </c>
      <c r="J119" s="349">
        <f t="shared" si="7"/>
        <v>5.127336096095779</v>
      </c>
    </row>
    <row r="120" spans="1:10">
      <c r="C120" s="1366" t="s">
        <v>2449</v>
      </c>
      <c r="D120" s="1437">
        <f>Data!L122</f>
        <v>894.58333332999996</v>
      </c>
      <c r="E120" s="1438">
        <f>Data!M122</f>
        <v>2077.9268023099999</v>
      </c>
      <c r="F120" s="1438">
        <f>Data!N122</f>
        <v>2574.23691822</v>
      </c>
      <c r="G120" s="1438">
        <f>Data!O122</f>
        <v>2694.8872352100002</v>
      </c>
      <c r="H120" s="1438">
        <f>Data!P122</f>
        <v>7458.2436587000002</v>
      </c>
      <c r="I120" s="1439">
        <f>Data!Q122</f>
        <v>12483.53078592</v>
      </c>
      <c r="J120" s="349">
        <f t="shared" si="7"/>
        <v>2.8146911625972737</v>
      </c>
    </row>
    <row r="121" spans="1:10">
      <c r="C121" s="1366" t="s">
        <v>662</v>
      </c>
      <c r="D121" s="1437">
        <f>Data!L133</f>
        <v>2741.3500789</v>
      </c>
      <c r="E121" s="1438">
        <f>Data!M133</f>
        <v>2646.9825513300002</v>
      </c>
      <c r="F121" s="1438">
        <f>Data!N133</f>
        <v>2588.5248929099998</v>
      </c>
      <c r="G121" s="1438">
        <f>Data!O133</f>
        <v>2497.3745008199999</v>
      </c>
      <c r="H121" s="1438">
        <f>Data!P133</f>
        <v>2481.7738018099999</v>
      </c>
      <c r="I121" s="1439">
        <f>Data!Q133</f>
        <v>2531.9634832299998</v>
      </c>
      <c r="J121" s="349">
        <f t="shared" si="7"/>
        <v>0.5708877850731614</v>
      </c>
    </row>
    <row r="122" spans="1:10">
      <c r="C122" s="1366" t="s">
        <v>663</v>
      </c>
      <c r="D122" s="1437">
        <f t="shared" ref="D122:H122" si="8">D123-D113-D114-D117-D118-D121</f>
        <v>12295.766125570011</v>
      </c>
      <c r="E122" s="1438">
        <f t="shared" si="8"/>
        <v>14108.985983800014</v>
      </c>
      <c r="F122" s="1438">
        <f t="shared" si="8"/>
        <v>14723.986945399998</v>
      </c>
      <c r="G122" s="1438">
        <f t="shared" si="8"/>
        <v>15244.236449250026</v>
      </c>
      <c r="H122" s="1438">
        <f t="shared" si="8"/>
        <v>14472.484078059984</v>
      </c>
      <c r="I122" s="1439">
        <f>I123-I113-I114-I117-I118-I121</f>
        <v>16766.199941240076</v>
      </c>
      <c r="J122" s="349">
        <f t="shared" si="7"/>
        <v>3.7803146893484816</v>
      </c>
    </row>
    <row r="123" spans="1:10">
      <c r="C123" s="1440" t="s">
        <v>78</v>
      </c>
      <c r="D123" s="1441">
        <f>Data!L15</f>
        <v>198537.91</v>
      </c>
      <c r="E123" s="1442">
        <f>Data!M15</f>
        <v>234886.69</v>
      </c>
      <c r="F123" s="1442">
        <f>Data!N15</f>
        <v>284796.56</v>
      </c>
      <c r="G123" s="1442">
        <f>Data!O15</f>
        <v>328247.34000000003</v>
      </c>
      <c r="H123" s="1442">
        <f>Data!P15</f>
        <v>375451.36</v>
      </c>
      <c r="I123" s="1443">
        <f>Data!Q15</f>
        <v>443513.34</v>
      </c>
      <c r="J123" s="517">
        <f t="shared" si="7"/>
        <v>100</v>
      </c>
    </row>
    <row r="126" spans="1:10">
      <c r="A126" s="293" t="s">
        <v>608</v>
      </c>
    </row>
    <row r="127" spans="1:10">
      <c r="A127" s="293"/>
      <c r="C127" s="363" t="s">
        <v>582</v>
      </c>
      <c r="D127" s="355" t="str">
        <f t="shared" ref="D127:G127" si="9">D$33</f>
        <v>'13.12</v>
      </c>
      <c r="E127" s="355" t="str">
        <f t="shared" si="9"/>
        <v>'14.12</v>
      </c>
      <c r="F127" s="355" t="str">
        <f t="shared" si="9"/>
        <v>'15.12</v>
      </c>
      <c r="G127" s="355" t="str">
        <f t="shared" si="9"/>
        <v>'16.12</v>
      </c>
      <c r="H127" s="355" t="str">
        <f>H$33</f>
        <v>'17.12</v>
      </c>
      <c r="I127" s="356" t="str">
        <f>I$33</f>
        <v>'18.12</v>
      </c>
      <c r="J127" s="357" t="s">
        <v>469</v>
      </c>
    </row>
    <row r="128" spans="1:10">
      <c r="A128" s="293"/>
      <c r="C128" s="1429" t="s">
        <v>674</v>
      </c>
      <c r="D128" s="1444">
        <f>Data!L86</f>
        <v>75900.998141299991</v>
      </c>
      <c r="E128" s="1445">
        <f>Data!M86</f>
        <v>74648.21986107</v>
      </c>
      <c r="F128" s="1445">
        <f>Data!N86</f>
        <v>96644.599331699996</v>
      </c>
      <c r="G128" s="1445">
        <f>Data!O86</f>
        <v>117758.73625013999</v>
      </c>
      <c r="H128" s="1445">
        <f>Data!P86</f>
        <v>121089.75469137001</v>
      </c>
      <c r="I128" s="1446">
        <f>Data!Q86</f>
        <v>114103.81581357999</v>
      </c>
      <c r="J128" s="1433">
        <f t="shared" ref="J128:J135" si="10">I128/$I$135*100</f>
        <v>38.890357134087836</v>
      </c>
    </row>
    <row r="129" spans="1:10">
      <c r="A129" s="293"/>
      <c r="C129" s="1365" t="s">
        <v>671</v>
      </c>
      <c r="D129" s="1447">
        <f>Data!L88</f>
        <v>38356.321998489999</v>
      </c>
      <c r="E129" s="1435">
        <f>Data!M88</f>
        <v>42828.928302230001</v>
      </c>
      <c r="F129" s="1435">
        <f>Data!N88</f>
        <v>52007.043772139994</v>
      </c>
      <c r="G129" s="1435">
        <f>Data!O88</f>
        <v>52619.848694090004</v>
      </c>
      <c r="H129" s="1435">
        <f>Data!P88</f>
        <v>73064.226804440012</v>
      </c>
      <c r="I129" s="1436">
        <f>Data!Q88</f>
        <v>94518.738588210006</v>
      </c>
      <c r="J129" s="348">
        <f t="shared" si="10"/>
        <v>32.215114572193784</v>
      </c>
    </row>
    <row r="130" spans="1:10">
      <c r="A130" s="293"/>
      <c r="C130" s="1365" t="s">
        <v>5</v>
      </c>
      <c r="D130" s="1447">
        <f>Data!L87</f>
        <v>11322.814006269999</v>
      </c>
      <c r="E130" s="1435">
        <f>Data!M87</f>
        <v>8292.78932317</v>
      </c>
      <c r="F130" s="1435">
        <f>Data!N87</f>
        <v>8231.5084349600002</v>
      </c>
      <c r="G130" s="1435">
        <f>Data!O87</f>
        <v>15484.251934370001</v>
      </c>
      <c r="H130" s="1435">
        <f>Data!P87</f>
        <v>27143.255864540002</v>
      </c>
      <c r="I130" s="1436">
        <f>Data!Q87</f>
        <v>26464.605493169998</v>
      </c>
      <c r="J130" s="348">
        <f t="shared" si="10"/>
        <v>9.0200135000185693</v>
      </c>
    </row>
    <row r="131" spans="1:10">
      <c r="A131" s="293"/>
      <c r="C131" s="1366" t="s">
        <v>609</v>
      </c>
      <c r="D131" s="1448">
        <f>Data!L115</f>
        <v>4577.35865233</v>
      </c>
      <c r="E131" s="1438">
        <f>Data!M115</f>
        <v>5935.2910772300002</v>
      </c>
      <c r="F131" s="1438">
        <f>Data!N115</f>
        <v>6906.80568881</v>
      </c>
      <c r="G131" s="1438">
        <f>Data!O115</f>
        <v>7611.50325342</v>
      </c>
      <c r="H131" s="1438">
        <f>Data!P115</f>
        <v>8117.4936839600005</v>
      </c>
      <c r="I131" s="1439">
        <f>Data!Q115</f>
        <v>18164.449087659999</v>
      </c>
      <c r="J131" s="349">
        <f t="shared" si="10"/>
        <v>6.1910454714081435</v>
      </c>
    </row>
    <row r="132" spans="1:10">
      <c r="A132" s="293"/>
      <c r="C132" s="1366" t="s">
        <v>672</v>
      </c>
      <c r="D132" s="1448">
        <f>Data!L89</f>
        <v>3046.6593204300002</v>
      </c>
      <c r="E132" s="1438">
        <f>Data!M89</f>
        <v>4599.2447164599998</v>
      </c>
      <c r="F132" s="1438">
        <f>Data!N89</f>
        <v>4528.0506034700002</v>
      </c>
      <c r="G132" s="1438">
        <f>Data!O89</f>
        <v>4624.4748117700001</v>
      </c>
      <c r="H132" s="1438">
        <f>Data!P89</f>
        <v>6660.6259803200001</v>
      </c>
      <c r="I132" s="1439">
        <f>Data!Q89</f>
        <v>4128.8031887400002</v>
      </c>
      <c r="J132" s="349">
        <f t="shared" si="10"/>
        <v>1.4072327853504534</v>
      </c>
    </row>
    <row r="133" spans="1:10">
      <c r="A133" s="293"/>
      <c r="C133" s="1366" t="s">
        <v>673</v>
      </c>
      <c r="D133" s="1448">
        <f>Data!L90</f>
        <v>1780.35516379</v>
      </c>
      <c r="E133" s="1438">
        <f>Data!M90</f>
        <v>6096.1577878099997</v>
      </c>
      <c r="F133" s="1438">
        <f>Data!N90</f>
        <v>3520.8962621999999</v>
      </c>
      <c r="G133" s="1438">
        <f>Data!O90</f>
        <v>4535.2114165100002</v>
      </c>
      <c r="H133" s="1438">
        <f>Data!P90</f>
        <v>7681.0428739199997</v>
      </c>
      <c r="I133" s="1439">
        <f>Data!Q90</f>
        <v>21703.189120399999</v>
      </c>
      <c r="J133" s="349">
        <f t="shared" si="10"/>
        <v>7.3971652027832722</v>
      </c>
    </row>
    <row r="134" spans="1:10">
      <c r="A134" s="293"/>
      <c r="C134" s="1366" t="s">
        <v>4</v>
      </c>
      <c r="D134" s="1448">
        <f t="shared" ref="D134:H134" si="11">D135-D128-D129-D130-D131-D132-D133</f>
        <v>1982.9876206399972</v>
      </c>
      <c r="E134" s="1438">
        <f t="shared" si="11"/>
        <v>3078.6519552899808</v>
      </c>
      <c r="F134" s="1438">
        <f t="shared" si="11"/>
        <v>3791.2573438400077</v>
      </c>
      <c r="G134" s="1438">
        <f t="shared" si="11"/>
        <v>4872.3652335600009</v>
      </c>
      <c r="H134" s="1438">
        <f t="shared" si="11"/>
        <v>12009.270730129985</v>
      </c>
      <c r="I134" s="1439">
        <f t="shared" ref="I134" si="12">I135-I128-I129-I130-I131-I132-I133</f>
        <v>14315.133567289959</v>
      </c>
      <c r="J134" s="349">
        <f t="shared" si="10"/>
        <v>4.8790713341579375</v>
      </c>
    </row>
    <row r="135" spans="1:10">
      <c r="A135" s="293"/>
      <c r="C135" s="1449" t="s">
        <v>610</v>
      </c>
      <c r="D135" s="1450">
        <f>Data!L85</f>
        <v>136967.49490324999</v>
      </c>
      <c r="E135" s="1442">
        <f>Data!M85</f>
        <v>145479.28302325998</v>
      </c>
      <c r="F135" s="1442">
        <f>Data!N85</f>
        <v>175630.16143712</v>
      </c>
      <c r="G135" s="1442">
        <f>Data!O85</f>
        <v>207506.39159386</v>
      </c>
      <c r="H135" s="1442">
        <f>Data!P85</f>
        <v>255765.67062868</v>
      </c>
      <c r="I135" s="1443">
        <f>Data!Q85</f>
        <v>293398.73485904996</v>
      </c>
      <c r="J135" s="517">
        <f t="shared" si="10"/>
        <v>100</v>
      </c>
    </row>
    <row r="136" spans="1:10">
      <c r="A136" s="293"/>
      <c r="B136" s="354"/>
      <c r="D136" s="1451"/>
      <c r="E136" s="1452"/>
      <c r="F136" s="1452"/>
      <c r="G136" s="1452"/>
      <c r="H136" s="1452"/>
      <c r="I136" s="1453"/>
    </row>
    <row r="137" spans="1:10">
      <c r="A137" s="293"/>
      <c r="B137" s="354"/>
      <c r="D137" s="1451"/>
      <c r="E137" s="1452"/>
      <c r="F137" s="1452"/>
      <c r="G137" s="1452"/>
      <c r="H137" s="1452"/>
      <c r="I137" s="1453"/>
    </row>
    <row r="138" spans="1:10">
      <c r="A138" s="293"/>
      <c r="B138" s="354"/>
      <c r="D138" s="1451"/>
      <c r="E138" s="1452"/>
      <c r="F138" s="1452"/>
      <c r="G138" s="1452"/>
      <c r="H138" s="1452"/>
      <c r="I138" s="1453"/>
    </row>
    <row r="139" spans="1:10">
      <c r="A139" s="293" t="s">
        <v>664</v>
      </c>
      <c r="D139" s="1451"/>
      <c r="E139" s="1452"/>
      <c r="F139" s="1452"/>
      <c r="G139" s="1452"/>
      <c r="H139" s="1452"/>
      <c r="I139" s="1453"/>
    </row>
    <row r="140" spans="1:10">
      <c r="A140" s="293"/>
      <c r="C140" s="363" t="s">
        <v>582</v>
      </c>
      <c r="D140" s="1454" t="str">
        <f t="shared" ref="D140:G140" si="13">D$33</f>
        <v>'13.12</v>
      </c>
      <c r="E140" s="1370" t="str">
        <f t="shared" si="13"/>
        <v>'14.12</v>
      </c>
      <c r="F140" s="1370" t="str">
        <f t="shared" si="13"/>
        <v>'15.12</v>
      </c>
      <c r="G140" s="1370" t="str">
        <f t="shared" si="13"/>
        <v>'16.12</v>
      </c>
      <c r="H140" s="1370" t="str">
        <f>H$33</f>
        <v>'17.12</v>
      </c>
      <c r="I140" s="1360" t="str">
        <f>I$33</f>
        <v>'18.12</v>
      </c>
      <c r="J140" s="357" t="s">
        <v>469</v>
      </c>
    </row>
    <row r="141" spans="1:10">
      <c r="A141" s="293"/>
      <c r="C141" s="1365" t="s">
        <v>669</v>
      </c>
      <c r="D141" s="1447">
        <f>Data!M120</f>
        <v>11678.840748029999</v>
      </c>
      <c r="E141" s="1435">
        <f>Data!N120</f>
        <v>14954.27698343</v>
      </c>
      <c r="F141" s="1435">
        <f>Data!O120</f>
        <v>16848.82255855</v>
      </c>
      <c r="G141" s="1435">
        <f>Data!P120</f>
        <v>23498.01027613</v>
      </c>
      <c r="H141" s="1435">
        <f>Data!Q120</f>
        <v>22740.419572819999</v>
      </c>
      <c r="I141" s="1436">
        <f>Data!Q120</f>
        <v>22740.419572819999</v>
      </c>
      <c r="J141" s="348">
        <f>I141/$I$144*100</f>
        <v>56.956159932954101</v>
      </c>
    </row>
    <row r="142" spans="1:10">
      <c r="A142" s="293"/>
      <c r="C142" s="1366" t="s">
        <v>2436</v>
      </c>
      <c r="D142" s="1448">
        <f>Data!M122</f>
        <v>2077.9268023099999</v>
      </c>
      <c r="E142" s="1438">
        <f>Data!N122</f>
        <v>2574.23691822</v>
      </c>
      <c r="F142" s="1438">
        <f>Data!O122</f>
        <v>2694.8872352100002</v>
      </c>
      <c r="G142" s="1438">
        <f>Data!P122</f>
        <v>7458.2436587000002</v>
      </c>
      <c r="H142" s="1438">
        <f>Data!Q122</f>
        <v>12483.53078592</v>
      </c>
      <c r="I142" s="1439">
        <f>Data!Q122</f>
        <v>12483.53078592</v>
      </c>
      <c r="J142" s="349">
        <f>I142/$I$144*100</f>
        <v>31.266528469010307</v>
      </c>
    </row>
    <row r="143" spans="1:10">
      <c r="A143" s="293"/>
      <c r="C143" s="1366" t="s">
        <v>670</v>
      </c>
      <c r="D143" s="1448">
        <f t="shared" ref="D143:I143" si="14">D144-D141-D142</f>
        <v>200.32562077000102</v>
      </c>
      <c r="E143" s="1438">
        <f t="shared" si="14"/>
        <v>25.844522800001869</v>
      </c>
      <c r="F143" s="1438">
        <f t="shared" si="14"/>
        <v>428.46575800999972</v>
      </c>
      <c r="G143" s="1438">
        <f t="shared" si="14"/>
        <v>2563.9936801400008</v>
      </c>
      <c r="H143" s="1438">
        <f t="shared" si="14"/>
        <v>4702.2307594900012</v>
      </c>
      <c r="I143" s="1439">
        <f t="shared" si="14"/>
        <v>4702.2307594900012</v>
      </c>
      <c r="J143" s="349">
        <f>I143/$I$144*100</f>
        <v>11.777311598035599</v>
      </c>
    </row>
    <row r="144" spans="1:10">
      <c r="A144" s="293"/>
      <c r="C144" s="1449" t="s">
        <v>607</v>
      </c>
      <c r="D144" s="1450">
        <f>Data!M118</f>
        <v>13957.09317111</v>
      </c>
      <c r="E144" s="1442">
        <f>Data!N118</f>
        <v>17554.358424450002</v>
      </c>
      <c r="F144" s="1442">
        <f>Data!O118</f>
        <v>19972.17555177</v>
      </c>
      <c r="G144" s="1442">
        <f>Data!P118</f>
        <v>33520.247614970001</v>
      </c>
      <c r="H144" s="1442">
        <f>Data!Q118</f>
        <v>39926.181118230001</v>
      </c>
      <c r="I144" s="1443">
        <f>Data!Q118</f>
        <v>39926.181118230001</v>
      </c>
      <c r="J144" s="517">
        <f>I144/$I$144*100</f>
        <v>100</v>
      </c>
    </row>
    <row r="145" spans="1:11">
      <c r="A145" s="293"/>
      <c r="D145" s="1451"/>
      <c r="E145" s="1452"/>
      <c r="F145" s="1452"/>
      <c r="G145" s="1452"/>
      <c r="H145" s="1452"/>
      <c r="I145" s="1453"/>
    </row>
    <row r="146" spans="1:11">
      <c r="A146" s="293"/>
      <c r="D146" s="1451"/>
      <c r="E146" s="1452"/>
      <c r="F146" s="1452"/>
      <c r="G146" s="1452"/>
      <c r="H146" s="1452"/>
      <c r="I146" s="1453"/>
    </row>
    <row r="147" spans="1:11">
      <c r="A147" s="293" t="s">
        <v>611</v>
      </c>
      <c r="D147" s="1451"/>
      <c r="E147" s="1452"/>
      <c r="F147" s="1452"/>
      <c r="G147" s="1452"/>
      <c r="H147" s="1452"/>
      <c r="I147" s="1453"/>
    </row>
    <row r="148" spans="1:11">
      <c r="A148" s="293"/>
      <c r="C148" s="363" t="s">
        <v>582</v>
      </c>
      <c r="D148" s="1454" t="str">
        <f t="shared" ref="D148:G148" si="15">D$33</f>
        <v>'13.12</v>
      </c>
      <c r="E148" s="1370" t="str">
        <f t="shared" si="15"/>
        <v>'14.12</v>
      </c>
      <c r="F148" s="1370" t="str">
        <f t="shared" si="15"/>
        <v>'15.12</v>
      </c>
      <c r="G148" s="1370" t="str">
        <f t="shared" si="15"/>
        <v>'16.12</v>
      </c>
      <c r="H148" s="1370" t="str">
        <f>H$33</f>
        <v>'17.12</v>
      </c>
      <c r="I148" s="1360" t="str">
        <f>I$33</f>
        <v>'18.12</v>
      </c>
    </row>
    <row r="149" spans="1:11">
      <c r="A149" s="293"/>
      <c r="C149" s="516" t="s">
        <v>676</v>
      </c>
      <c r="D149" s="1455">
        <f>Data!L269</f>
        <v>23411.490108689999</v>
      </c>
      <c r="E149" s="1456">
        <f>Data!M269</f>
        <v>26212.96630624</v>
      </c>
      <c r="F149" s="1456">
        <f>Data!N269</f>
        <v>30311.469786779999</v>
      </c>
      <c r="G149" s="1456">
        <f>Data!O269</f>
        <v>45243.082949379997</v>
      </c>
      <c r="H149" s="1456">
        <f>Data!P269</f>
        <v>67418.260616130006</v>
      </c>
      <c r="I149" s="1457">
        <f>Data!Q269</f>
        <v>82989.910953230006</v>
      </c>
    </row>
    <row r="150" spans="1:11">
      <c r="A150" s="293"/>
      <c r="C150" s="350" t="s">
        <v>487</v>
      </c>
      <c r="D150" s="1458">
        <f>Data!L293</f>
        <v>854.46845082999994</v>
      </c>
      <c r="E150" s="1459">
        <f>Data!M293</f>
        <v>654.35612863000006</v>
      </c>
      <c r="F150" s="1459">
        <f>Data!N293</f>
        <v>673.5864646</v>
      </c>
      <c r="G150" s="1459">
        <f>Data!O293</f>
        <v>422.07300823000003</v>
      </c>
      <c r="H150" s="1459">
        <f>Data!P293</f>
        <v>371.11319686000002</v>
      </c>
      <c r="I150" s="1460">
        <f>Data!Q293</f>
        <v>467.06464231999996</v>
      </c>
    </row>
    <row r="151" spans="1:11">
      <c r="A151" s="293"/>
      <c r="C151" s="350" t="s">
        <v>418</v>
      </c>
      <c r="D151" s="1458">
        <f>Data!L292</f>
        <v>769.13248494999993</v>
      </c>
      <c r="E151" s="1459">
        <f>Data!M292</f>
        <v>609.73959902000001</v>
      </c>
      <c r="F151" s="1459">
        <f>Data!N292</f>
        <v>646.04203123000002</v>
      </c>
      <c r="G151" s="1459">
        <f>Data!O292</f>
        <v>373.69789374000004</v>
      </c>
      <c r="H151" s="1459">
        <f>Data!P292</f>
        <v>371.11319571000001</v>
      </c>
      <c r="I151" s="1460">
        <f>Data!Q292</f>
        <v>467.06464231999996</v>
      </c>
      <c r="K151" s="515"/>
    </row>
    <row r="152" spans="1:11">
      <c r="A152" s="293"/>
      <c r="C152" s="1393" t="s">
        <v>679</v>
      </c>
      <c r="D152" s="1461">
        <f>Data!L343</f>
        <v>0.30170513997667059</v>
      </c>
      <c r="E152" s="1462">
        <f>Data!M343</f>
        <v>0.23543060195427082</v>
      </c>
      <c r="F152" s="1462">
        <f>Data!N343</f>
        <v>5.4567883754653032E-2</v>
      </c>
      <c r="G152" s="1462">
        <f>Data!O343</f>
        <v>0</v>
      </c>
      <c r="H152" s="1462">
        <f>Data!P343</f>
        <v>0</v>
      </c>
      <c r="I152" s="1463">
        <f>Data!Q343</f>
        <v>0</v>
      </c>
    </row>
    <row r="153" spans="1:11">
      <c r="A153" s="293"/>
      <c r="C153" s="1417" t="s">
        <v>612</v>
      </c>
      <c r="D153" s="1464">
        <f>Data!L340</f>
        <v>99.002154922568522</v>
      </c>
      <c r="E153" s="1465">
        <f>Data!M340</f>
        <v>94.998867682366182</v>
      </c>
      <c r="F153" s="1465">
        <f>Data!N340</f>
        <v>101.48056699372781</v>
      </c>
      <c r="G153" s="1465">
        <f>Data!O340</f>
        <v>123.80934901171914</v>
      </c>
      <c r="H153" s="1465">
        <f>Data!P340</f>
        <v>289.0339069506432</v>
      </c>
      <c r="I153" s="1466">
        <f>Data!Q340</f>
        <v>280.74806847648432</v>
      </c>
      <c r="K153" s="515"/>
    </row>
    <row r="154" spans="1:11">
      <c r="A154" s="293"/>
      <c r="B154" s="354"/>
    </row>
    <row r="155" spans="1:11">
      <c r="A155" s="293"/>
    </row>
    <row r="156" spans="1:11">
      <c r="A156" s="293"/>
      <c r="C156" s="363" t="s">
        <v>603</v>
      </c>
      <c r="D156" s="1419" t="s">
        <v>231</v>
      </c>
      <c r="E156" s="1420" t="s">
        <v>232</v>
      </c>
      <c r="F156" s="1420" t="s">
        <v>233</v>
      </c>
      <c r="G156" s="1420" t="s">
        <v>234</v>
      </c>
      <c r="H156" s="1421" t="s">
        <v>235</v>
      </c>
      <c r="I156" s="1421" t="s">
        <v>594</v>
      </c>
    </row>
    <row r="157" spans="1:11">
      <c r="A157" s="293"/>
      <c r="C157" s="1422" t="s">
        <v>681</v>
      </c>
      <c r="D157" s="323" t="s">
        <v>339</v>
      </c>
      <c r="E157" s="323" t="s">
        <v>683</v>
      </c>
      <c r="F157" s="323" t="s">
        <v>684</v>
      </c>
      <c r="G157" s="323" t="s">
        <v>685</v>
      </c>
      <c r="H157" s="324" t="s">
        <v>343</v>
      </c>
      <c r="I157" s="327" t="s">
        <v>251</v>
      </c>
    </row>
    <row r="158" spans="1:11">
      <c r="A158" s="293"/>
      <c r="C158" s="1428"/>
      <c r="D158" s="326" t="s">
        <v>237</v>
      </c>
      <c r="E158" s="326"/>
      <c r="F158" s="326"/>
      <c r="G158" s="326"/>
      <c r="H158" s="1426"/>
      <c r="I158" s="328" t="s">
        <v>1296</v>
      </c>
    </row>
    <row r="159" spans="1:11">
      <c r="A159" s="293"/>
      <c r="C159" s="342" t="s">
        <v>682</v>
      </c>
      <c r="D159" s="343" t="s">
        <v>345</v>
      </c>
      <c r="E159" s="343" t="s">
        <v>346</v>
      </c>
      <c r="F159" s="343" t="s">
        <v>347</v>
      </c>
      <c r="G159" s="343" t="s">
        <v>348</v>
      </c>
      <c r="H159" s="344" t="s">
        <v>349</v>
      </c>
      <c r="I159" s="1468" t="s">
        <v>251</v>
      </c>
    </row>
    <row r="160" spans="1:11">
      <c r="A160" s="293"/>
      <c r="C160" s="1428"/>
      <c r="D160" s="326" t="s">
        <v>237</v>
      </c>
      <c r="E160" s="326"/>
      <c r="F160" s="326"/>
      <c r="G160" s="326"/>
      <c r="H160" s="1426"/>
      <c r="I160" s="328" t="s">
        <v>2437</v>
      </c>
    </row>
    <row r="161" spans="1:11">
      <c r="A161" s="293"/>
    </row>
    <row r="162" spans="1:11">
      <c r="A162" s="293"/>
    </row>
    <row r="163" spans="1:11">
      <c r="A163" s="293" t="s">
        <v>693</v>
      </c>
      <c r="D163" s="292"/>
      <c r="E163" s="292"/>
      <c r="F163" s="292"/>
      <c r="G163" s="292"/>
      <c r="H163" s="292"/>
      <c r="I163" s="292"/>
      <c r="J163" s="292"/>
      <c r="K163" s="292"/>
    </row>
    <row r="164" spans="1:11">
      <c r="A164" s="293"/>
      <c r="C164" s="363" t="s">
        <v>582</v>
      </c>
      <c r="D164" s="355" t="str">
        <f t="shared" ref="D164:G164" si="16">D$33</f>
        <v>'13.12</v>
      </c>
      <c r="E164" s="355" t="str">
        <f t="shared" si="16"/>
        <v>'14.12</v>
      </c>
      <c r="F164" s="355" t="str">
        <f t="shared" si="16"/>
        <v>'15.12</v>
      </c>
      <c r="G164" s="355" t="str">
        <f t="shared" si="16"/>
        <v>'16.12</v>
      </c>
      <c r="H164" s="355" t="str">
        <f>H$33</f>
        <v>'17.12</v>
      </c>
      <c r="I164" s="356" t="str">
        <f>I$33</f>
        <v>'18.12</v>
      </c>
      <c r="K164" s="292"/>
    </row>
    <row r="165" spans="1:11">
      <c r="A165" s="293"/>
      <c r="C165" s="1367" t="s">
        <v>694</v>
      </c>
      <c r="D165" s="321">
        <f>Data!L179+Data!L180</f>
        <v>15364.34630797</v>
      </c>
      <c r="E165" s="321">
        <f>Data!M179+Data!M180</f>
        <v>15364.34630797</v>
      </c>
      <c r="F165" s="321">
        <f>Data!N179+Data!N180</f>
        <v>15364.34630797</v>
      </c>
      <c r="G165" s="321">
        <f>Data!O179+Data!O180</f>
        <v>32284.328716370001</v>
      </c>
      <c r="H165" s="321">
        <f>Data!P179+Data!P180</f>
        <v>32284.328716370001</v>
      </c>
      <c r="I165" s="322">
        <f>Data!Q179+Data!Q180</f>
        <v>32284.328716370001</v>
      </c>
      <c r="K165" s="292"/>
    </row>
    <row r="166" spans="1:11">
      <c r="C166" s="1469" t="s">
        <v>614</v>
      </c>
      <c r="D166" s="331">
        <f>Data!L182</f>
        <v>13763.724601010001</v>
      </c>
      <c r="E166" s="331">
        <f>Data!M182</f>
        <v>15364.203727280001</v>
      </c>
      <c r="F166" s="331">
        <f>Data!N182</f>
        <v>16323.616787929999</v>
      </c>
      <c r="G166" s="331">
        <f>Data!O182</f>
        <v>7138.0690257099996</v>
      </c>
      <c r="H166" s="331">
        <f>Data!P182</f>
        <v>8158.7508386099998</v>
      </c>
      <c r="I166" s="366">
        <f>Data!Q182</f>
        <v>9502.8758399599992</v>
      </c>
      <c r="K166" s="292"/>
    </row>
    <row r="167" spans="1:11">
      <c r="C167" s="1367" t="s">
        <v>615</v>
      </c>
      <c r="D167" s="321">
        <f>Data!L17</f>
        <v>30828.35</v>
      </c>
      <c r="E167" s="321">
        <f>Data!M17</f>
        <v>31903.42</v>
      </c>
      <c r="F167" s="321">
        <f>Data!N17</f>
        <v>32948.589999999997</v>
      </c>
      <c r="G167" s="321">
        <f>Data!O17</f>
        <v>40726.589999999997</v>
      </c>
      <c r="H167" s="321">
        <f>Data!P17</f>
        <v>42417.85</v>
      </c>
      <c r="I167" s="322">
        <f>Data!Q17</f>
        <v>43504.98</v>
      </c>
      <c r="K167" s="292"/>
    </row>
    <row r="168" spans="1:11">
      <c r="C168" s="1429" t="s">
        <v>599</v>
      </c>
      <c r="D168" s="331">
        <f>Data!L21</f>
        <v>755.38</v>
      </c>
      <c r="E168" s="331">
        <f>Data!M21</f>
        <v>2200.9299999999998</v>
      </c>
      <c r="F168" s="331">
        <f>Data!N21</f>
        <v>2560.61</v>
      </c>
      <c r="G168" s="331">
        <f>Data!O21</f>
        <v>2437.17</v>
      </c>
      <c r="H168" s="331">
        <f>Data!P21</f>
        <v>4722.8</v>
      </c>
      <c r="I168" s="366">
        <f>Data!Q21</f>
        <v>5035.1000000000004</v>
      </c>
      <c r="K168" s="292"/>
    </row>
    <row r="169" spans="1:11">
      <c r="C169" s="1367" t="s">
        <v>616</v>
      </c>
      <c r="D169" s="321">
        <f>Data!L34</f>
        <v>1801.35</v>
      </c>
      <c r="E169" s="321">
        <f>Data!M34</f>
        <v>600.45000000000005</v>
      </c>
      <c r="F169" s="321">
        <f>Data!N34</f>
        <v>1601.2</v>
      </c>
      <c r="G169" s="321">
        <f>Data!O34</f>
        <v>2001.5</v>
      </c>
      <c r="H169" s="321">
        <f>Data!P34</f>
        <v>10823</v>
      </c>
      <c r="I169" s="322">
        <f>Data!Q34</f>
        <v>3902.46</v>
      </c>
      <c r="K169" s="292"/>
    </row>
    <row r="170" spans="1:11">
      <c r="C170" s="1367" t="s">
        <v>617</v>
      </c>
      <c r="D170" s="318"/>
      <c r="E170" s="318">
        <f t="shared" ref="E170:H170" si="17">E169/D168*100</f>
        <v>79.48979321665918</v>
      </c>
      <c r="F170" s="318">
        <f t="shared" si="17"/>
        <v>72.751064322809</v>
      </c>
      <c r="G170" s="318">
        <f t="shared" si="17"/>
        <v>78.164968503598757</v>
      </c>
      <c r="H170" s="318">
        <f t="shared" si="17"/>
        <v>444.08063450641515</v>
      </c>
      <c r="I170" s="319">
        <f>I169/H168*100</f>
        <v>82.630219361395788</v>
      </c>
      <c r="K170" s="292"/>
    </row>
    <row r="171" spans="1:11">
      <c r="A171" s="293"/>
    </row>
    <row r="172" spans="1:11">
      <c r="A172" s="293"/>
    </row>
    <row r="173" spans="1:11">
      <c r="A173" s="293" t="s">
        <v>613</v>
      </c>
      <c r="D173" s="292"/>
      <c r="E173" s="292"/>
      <c r="F173" s="292"/>
      <c r="G173" s="292"/>
      <c r="H173" s="292"/>
      <c r="J173" s="292"/>
      <c r="K173" s="292"/>
    </row>
    <row r="174" spans="1:11">
      <c r="A174" s="293"/>
      <c r="C174" s="363" t="s">
        <v>582</v>
      </c>
      <c r="D174" s="355" t="str">
        <f t="shared" ref="D174:G174" si="18">D$33</f>
        <v>'13.12</v>
      </c>
      <c r="E174" s="355" t="str">
        <f t="shared" si="18"/>
        <v>'14.12</v>
      </c>
      <c r="F174" s="355" t="str">
        <f t="shared" si="18"/>
        <v>'15.12</v>
      </c>
      <c r="G174" s="355" t="str">
        <f t="shared" si="18"/>
        <v>'16.12</v>
      </c>
      <c r="H174" s="355" t="str">
        <f>H$33</f>
        <v>'17.12</v>
      </c>
      <c r="I174" s="356" t="str">
        <f>I$33</f>
        <v>'18.12</v>
      </c>
    </row>
    <row r="175" spans="1:11">
      <c r="A175" s="293"/>
      <c r="C175" s="1361" t="s">
        <v>687</v>
      </c>
      <c r="D175" s="310">
        <f>Data!L271</f>
        <v>20855.915167409999</v>
      </c>
      <c r="E175" s="310">
        <f>Data!M271</f>
        <v>22354.537245849999</v>
      </c>
      <c r="F175" s="310">
        <f>Data!N271</f>
        <v>23319.710716400001</v>
      </c>
      <c r="G175" s="310">
        <f>Data!O271</f>
        <v>28375.460349509998</v>
      </c>
      <c r="H175" s="310">
        <f>Data!P271</f>
        <v>32236.587257679999</v>
      </c>
      <c r="I175" s="311">
        <f>Data!Q271</f>
        <v>29935.513599779999</v>
      </c>
    </row>
    <row r="176" spans="1:11">
      <c r="C176" s="1365" t="s">
        <v>688</v>
      </c>
      <c r="D176" s="312">
        <f>Data!L272</f>
        <v>4901.8826767299997</v>
      </c>
      <c r="E176" s="312">
        <f>Data!M272</f>
        <v>5582.8472829900002</v>
      </c>
      <c r="F176" s="312">
        <f>Data!N272</f>
        <v>7284.4561459799997</v>
      </c>
      <c r="G176" s="312">
        <f>Data!O272</f>
        <v>8494.8518345899993</v>
      </c>
      <c r="H176" s="312">
        <f>Data!P272</f>
        <v>13204.90249022</v>
      </c>
      <c r="I176" s="313">
        <f>Data!Q272</f>
        <v>18172.86464489</v>
      </c>
    </row>
    <row r="177" spans="1:11">
      <c r="C177" s="1470" t="s">
        <v>1301</v>
      </c>
      <c r="D177" s="367">
        <f>Data!L273</f>
        <v>15954.03249068</v>
      </c>
      <c r="E177" s="367">
        <f>Data!M273</f>
        <v>16771.68996286</v>
      </c>
      <c r="F177" s="367">
        <f>Data!N273</f>
        <v>16035.254570429999</v>
      </c>
      <c r="G177" s="367">
        <f>Data!O273</f>
        <v>19880.608514920001</v>
      </c>
      <c r="H177" s="367">
        <f>Data!P273</f>
        <v>19031.684767459999</v>
      </c>
      <c r="I177" s="368">
        <f>Data!Q273</f>
        <v>11762.648954890001</v>
      </c>
    </row>
    <row r="178" spans="1:11">
      <c r="C178" s="329" t="s">
        <v>689</v>
      </c>
      <c r="D178" s="351">
        <f>Data!L$346</f>
        <v>425.46744879097724</v>
      </c>
      <c r="E178" s="351">
        <f>Data!M$346</f>
        <v>400.41462917963975</v>
      </c>
      <c r="F178" s="351">
        <f>Data!N$346</f>
        <v>320.12974268874166</v>
      </c>
      <c r="G178" s="351">
        <f>Data!O$346</f>
        <v>334.0312568368596</v>
      </c>
      <c r="H178" s="351">
        <f>Data!P$346</f>
        <v>244.12590158507808</v>
      </c>
      <c r="I178" s="352">
        <f>Data!Q$346</f>
        <v>164.72644343497888</v>
      </c>
    </row>
    <row r="179" spans="1:11">
      <c r="C179" s="1366" t="s">
        <v>2438</v>
      </c>
      <c r="D179" s="314">
        <f>Data!L$275</f>
        <v>425.46744879097724</v>
      </c>
      <c r="E179" s="314">
        <f>Data!M$275</f>
        <v>0</v>
      </c>
      <c r="F179" s="314">
        <f>Data!N$275</f>
        <v>0</v>
      </c>
      <c r="G179" s="314">
        <f>Data!O$275</f>
        <v>1479.2</v>
      </c>
      <c r="H179" s="314">
        <f>Data!P$275</f>
        <v>1416.048</v>
      </c>
      <c r="I179" s="315">
        <f>Data!Q$275</f>
        <v>875.2</v>
      </c>
    </row>
    <row r="180" spans="1:11">
      <c r="C180" s="1367" t="s">
        <v>2439</v>
      </c>
      <c r="D180" s="318">
        <f>Data!L$281</f>
        <v>0</v>
      </c>
      <c r="E180" s="318">
        <f>Data!M$281</f>
        <v>0</v>
      </c>
      <c r="F180" s="318">
        <f>Data!N$281</f>
        <v>0</v>
      </c>
      <c r="G180" s="318">
        <f>Data!O$281</f>
        <v>1602.6</v>
      </c>
      <c r="H180" s="318">
        <f>Data!P$281</f>
        <v>1469.9</v>
      </c>
      <c r="I180" s="319">
        <f>Data!Q$281</f>
        <v>1016.9</v>
      </c>
    </row>
    <row r="181" spans="1:11">
      <c r="C181" s="1397" t="s">
        <v>1302</v>
      </c>
      <c r="D181" s="1487">
        <f>Data!L$368</f>
        <v>644.01082120840078</v>
      </c>
      <c r="E181" s="1487">
        <f>Data!M$368</f>
        <v>736.24297959278351</v>
      </c>
      <c r="F181" s="1487">
        <f>Data!N$368</f>
        <v>864.3664517080399</v>
      </c>
      <c r="G181" s="1487">
        <f>Data!O$368</f>
        <v>805.97796626977618</v>
      </c>
      <c r="H181" s="1487">
        <f>Data!P$368</f>
        <v>885.1258624755618</v>
      </c>
      <c r="I181" s="1488">
        <f>Data!Q$368</f>
        <v>1019.4541816782124</v>
      </c>
    </row>
    <row r="184" spans="1:11">
      <c r="C184" s="363" t="s">
        <v>603</v>
      </c>
      <c r="D184" s="1419" t="s">
        <v>231</v>
      </c>
      <c r="E184" s="1420" t="s">
        <v>232</v>
      </c>
      <c r="F184" s="1420" t="s">
        <v>233</v>
      </c>
      <c r="G184" s="1420" t="s">
        <v>234</v>
      </c>
      <c r="H184" s="1421" t="s">
        <v>235</v>
      </c>
      <c r="I184" s="1421" t="s">
        <v>594</v>
      </c>
    </row>
    <row r="185" spans="1:11">
      <c r="C185" s="1422" t="s">
        <v>1303</v>
      </c>
      <c r="D185" s="323" t="s">
        <v>352</v>
      </c>
      <c r="E185" s="323" t="s">
        <v>695</v>
      </c>
      <c r="F185" s="323" t="s">
        <v>696</v>
      </c>
      <c r="G185" s="323" t="s">
        <v>697</v>
      </c>
      <c r="H185" s="324" t="s">
        <v>353</v>
      </c>
      <c r="I185" s="327" t="s">
        <v>251</v>
      </c>
    </row>
    <row r="186" spans="1:11">
      <c r="C186" s="1428"/>
      <c r="D186" s="326" t="s">
        <v>237</v>
      </c>
      <c r="E186" s="326"/>
      <c r="F186" s="326"/>
      <c r="G186" s="326"/>
      <c r="H186" s="1426"/>
      <c r="I186" s="328" t="s">
        <v>352</v>
      </c>
    </row>
    <row r="187" spans="1:11">
      <c r="C187" s="342" t="s">
        <v>1304</v>
      </c>
      <c r="D187" s="343" t="s">
        <v>1306</v>
      </c>
      <c r="E187" s="343" t="s">
        <v>820</v>
      </c>
      <c r="F187" s="343" t="s">
        <v>821</v>
      </c>
      <c r="G187" s="343" t="s">
        <v>822</v>
      </c>
      <c r="H187" s="344" t="s">
        <v>1305</v>
      </c>
      <c r="I187" s="325" t="s">
        <v>252</v>
      </c>
    </row>
    <row r="188" spans="1:11">
      <c r="C188" s="1428"/>
      <c r="D188" s="326"/>
      <c r="E188" s="326"/>
      <c r="F188" s="326" t="s">
        <v>237</v>
      </c>
      <c r="G188" s="326"/>
      <c r="H188" s="1426"/>
      <c r="I188" s="1467" t="s">
        <v>2440</v>
      </c>
    </row>
    <row r="189" spans="1:11">
      <c r="C189" s="1471"/>
      <c r="D189" s="309"/>
      <c r="E189" s="309"/>
      <c r="F189" s="309"/>
      <c r="G189" s="309"/>
      <c r="H189" s="1472"/>
      <c r="I189" s="1473"/>
    </row>
    <row r="190" spans="1:11">
      <c r="C190" s="1471"/>
      <c r="D190" s="309"/>
      <c r="E190" s="309"/>
      <c r="F190" s="309"/>
      <c r="G190" s="309"/>
      <c r="H190" s="1472"/>
      <c r="I190" s="1473"/>
    </row>
    <row r="191" spans="1:11">
      <c r="A191" s="293" t="s">
        <v>618</v>
      </c>
    </row>
    <row r="192" spans="1:11">
      <c r="C192" s="363" t="s">
        <v>582</v>
      </c>
      <c r="D192" s="355" t="str">
        <f>E$33</f>
        <v>'14.12</v>
      </c>
      <c r="E192" s="355" t="str">
        <f>F$33</f>
        <v>'15.12</v>
      </c>
      <c r="F192" s="355" t="str">
        <f>G$33</f>
        <v>'16.12</v>
      </c>
      <c r="G192" s="355" t="str">
        <f>H$33</f>
        <v>'17.12</v>
      </c>
      <c r="H192" s="356" t="str">
        <f>I$33</f>
        <v>'18.12</v>
      </c>
      <c r="I192" s="1474" t="str">
        <f>F192</f>
        <v>'16.12</v>
      </c>
      <c r="J192" s="357" t="str">
        <f>G192</f>
        <v>'17.12</v>
      </c>
      <c r="K192" s="357" t="str">
        <f>H192</f>
        <v>'18.12</v>
      </c>
    </row>
    <row r="193" spans="3:11">
      <c r="C193" s="1469" t="s">
        <v>422</v>
      </c>
      <c r="D193" s="331">
        <f>Data!M142</f>
        <v>162729.95110902999</v>
      </c>
      <c r="E193" s="331">
        <f>Data!N142</f>
        <v>204770.71165647003</v>
      </c>
      <c r="F193" s="331">
        <f>Data!O142</f>
        <v>236981.69017647998</v>
      </c>
      <c r="G193" s="331">
        <f>Data!P142</f>
        <v>261635.20874783001</v>
      </c>
      <c r="H193" s="366">
        <f>Data!Q142</f>
        <v>307902.52161469997</v>
      </c>
      <c r="I193" s="371">
        <f t="shared" ref="I193:I207" si="19">F193/F$207*100</f>
        <v>72.19607396173889</v>
      </c>
      <c r="J193" s="372">
        <f t="shared" ref="J193:J207" si="20">G193/G$207*100</f>
        <v>69.685514244241986</v>
      </c>
      <c r="K193" s="372">
        <f t="shared" ref="K193:K207" si="21">H193/H$207*100</f>
        <v>69.423509355525269</v>
      </c>
    </row>
    <row r="194" spans="3:11">
      <c r="C194" s="1365" t="s">
        <v>703</v>
      </c>
      <c r="D194" s="312">
        <f>Data!M143</f>
        <v>22277.056166419999</v>
      </c>
      <c r="E194" s="312">
        <f>Data!N143</f>
        <v>34794.073786790002</v>
      </c>
      <c r="F194" s="312">
        <f>Data!O143</f>
        <v>36609.749452199998</v>
      </c>
      <c r="G194" s="312">
        <f>Data!P143</f>
        <v>33424.893275609997</v>
      </c>
      <c r="H194" s="313">
        <f>Data!Q143</f>
        <v>38973.322408139997</v>
      </c>
      <c r="I194" s="518">
        <f t="shared" si="19"/>
        <v>11.153098693841969</v>
      </c>
      <c r="J194" s="519">
        <f t="shared" si="20"/>
        <v>8.9025895544309339</v>
      </c>
      <c r="K194" s="519">
        <f t="shared" si="21"/>
        <v>8.787407126867242</v>
      </c>
    </row>
    <row r="195" spans="3:11">
      <c r="C195" s="1365" t="s">
        <v>704</v>
      </c>
      <c r="D195" s="312">
        <f>Data!M150</f>
        <v>83128.050130660005</v>
      </c>
      <c r="E195" s="312">
        <f>Data!N150</f>
        <v>102435.54906067</v>
      </c>
      <c r="F195" s="312">
        <f>Data!O150</f>
        <v>116124.37310368</v>
      </c>
      <c r="G195" s="312">
        <f>Data!P150</f>
        <v>129935.32550214999</v>
      </c>
      <c r="H195" s="313">
        <f>Data!Q150</f>
        <v>103006.16178676</v>
      </c>
      <c r="I195" s="518">
        <f t="shared" si="19"/>
        <v>35.377095264661563</v>
      </c>
      <c r="J195" s="519">
        <f t="shared" si="20"/>
        <v>34.607765596400796</v>
      </c>
      <c r="K195" s="519">
        <f t="shared" si="21"/>
        <v>23.225042779703152</v>
      </c>
    </row>
    <row r="196" spans="3:11">
      <c r="C196" s="1365" t="s">
        <v>705</v>
      </c>
      <c r="D196" s="312">
        <f>Data!M152</f>
        <v>57324.844811950003</v>
      </c>
      <c r="E196" s="312">
        <f>Data!N152</f>
        <v>67541.088809010005</v>
      </c>
      <c r="F196" s="312">
        <f>Data!O152</f>
        <v>84247.567620600006</v>
      </c>
      <c r="G196" s="312">
        <f>Data!P152</f>
        <v>89748.049846280002</v>
      </c>
      <c r="H196" s="313">
        <f>Data!Q152</f>
        <v>123568.41673821</v>
      </c>
      <c r="I196" s="518">
        <f t="shared" si="19"/>
        <v>25.665880003235365</v>
      </c>
      <c r="J196" s="519">
        <f t="shared" si="20"/>
        <v>23.904041951722814</v>
      </c>
      <c r="K196" s="519">
        <f t="shared" si="21"/>
        <v>27.861263007801906</v>
      </c>
    </row>
    <row r="197" spans="3:11">
      <c r="C197" s="1367" t="s">
        <v>2091</v>
      </c>
      <c r="D197" s="321">
        <f>Data!M158</f>
        <v>0</v>
      </c>
      <c r="E197" s="321">
        <f>Data!N158</f>
        <v>0</v>
      </c>
      <c r="F197" s="321">
        <f>Data!O158</f>
        <v>0</v>
      </c>
      <c r="G197" s="321">
        <f>Data!P158</f>
        <v>8526.9401237900001</v>
      </c>
      <c r="H197" s="322">
        <f>Data!Q158</f>
        <v>42354.62068159</v>
      </c>
      <c r="I197" s="369">
        <f t="shared" si="19"/>
        <v>0</v>
      </c>
      <c r="J197" s="370">
        <f t="shared" si="20"/>
        <v>2.2711171416874327</v>
      </c>
      <c r="K197" s="370">
        <f t="shared" si="21"/>
        <v>9.5497964411529708</v>
      </c>
    </row>
    <row r="198" spans="3:11">
      <c r="C198" s="1361" t="s">
        <v>423</v>
      </c>
      <c r="D198" s="310">
        <f>Data!M146</f>
        <v>14405.17172072</v>
      </c>
      <c r="E198" s="310">
        <f>Data!N146</f>
        <v>14121.77355849</v>
      </c>
      <c r="F198" s="310">
        <f>Data!O146</f>
        <v>14394.752296160001</v>
      </c>
      <c r="G198" s="310">
        <f>Data!P146</f>
        <v>19082.40476804</v>
      </c>
      <c r="H198" s="311">
        <f>Data!Q146</f>
        <v>26189.871241150002</v>
      </c>
      <c r="I198" s="376">
        <f t="shared" si="19"/>
        <v>4.3853371146967257</v>
      </c>
      <c r="J198" s="359">
        <f t="shared" si="20"/>
        <v>5.082523853122928</v>
      </c>
      <c r="K198" s="359">
        <f t="shared" si="21"/>
        <v>5.9050921752606218</v>
      </c>
    </row>
    <row r="199" spans="3:11">
      <c r="C199" s="375" t="s">
        <v>706</v>
      </c>
      <c r="D199" s="312">
        <f>Data!M148</f>
        <v>4000</v>
      </c>
      <c r="E199" s="312">
        <f>Data!N148</f>
        <v>2387</v>
      </c>
      <c r="F199" s="312">
        <f>Data!O148</f>
        <v>400</v>
      </c>
      <c r="G199" s="312">
        <f>Data!P148</f>
        <v>2028</v>
      </c>
      <c r="H199" s="313">
        <f>Data!Q148</f>
        <v>6300</v>
      </c>
      <c r="I199" s="373">
        <f t="shared" si="19"/>
        <v>0.12185932830164992</v>
      </c>
      <c r="J199" s="374">
        <f t="shared" si="20"/>
        <v>0.54014986577564317</v>
      </c>
      <c r="K199" s="374">
        <f t="shared" si="21"/>
        <v>1.4204758916756082</v>
      </c>
    </row>
    <row r="200" spans="3:11">
      <c r="C200" s="375" t="s">
        <v>707</v>
      </c>
      <c r="D200" s="312">
        <f>Data!M149</f>
        <v>7705.1717207199999</v>
      </c>
      <c r="E200" s="312">
        <f>Data!N149</f>
        <v>5934.7735584900001</v>
      </c>
      <c r="F200" s="312">
        <f>Data!O149</f>
        <v>6194.7522961599998</v>
      </c>
      <c r="G200" s="312">
        <f>Data!P149</f>
        <v>2704.4047680399999</v>
      </c>
      <c r="H200" s="313">
        <f>Data!Q149</f>
        <v>3700</v>
      </c>
      <c r="I200" s="373">
        <f t="shared" si="19"/>
        <v>1.8872208845129024</v>
      </c>
      <c r="J200" s="374">
        <f t="shared" si="20"/>
        <v>0.72030762941805482</v>
      </c>
      <c r="K200" s="374">
        <f t="shared" si="21"/>
        <v>0.83424774590472228</v>
      </c>
    </row>
    <row r="201" spans="3:11">
      <c r="C201" s="1366" t="s">
        <v>2441</v>
      </c>
      <c r="D201" s="316">
        <f>Data!M153</f>
        <v>0</v>
      </c>
      <c r="E201" s="316">
        <f>Data!N153</f>
        <v>0</v>
      </c>
      <c r="F201" s="316">
        <f>Data!O153</f>
        <v>0</v>
      </c>
      <c r="G201" s="316">
        <f>Data!P153</f>
        <v>7350</v>
      </c>
      <c r="H201" s="317">
        <f>Data!Q153</f>
        <v>8200</v>
      </c>
      <c r="I201" s="373">
        <f t="shared" si="19"/>
        <v>0</v>
      </c>
      <c r="J201" s="374">
        <f t="shared" si="20"/>
        <v>1.9576437443052153</v>
      </c>
      <c r="K201" s="374">
        <f t="shared" si="21"/>
        <v>1.8488733828158708</v>
      </c>
    </row>
    <row r="202" spans="3:11">
      <c r="C202" s="1367" t="s">
        <v>708</v>
      </c>
      <c r="D202" s="321">
        <f>Data!M159</f>
        <v>2700</v>
      </c>
      <c r="E202" s="321">
        <f>Data!N159</f>
        <v>5800</v>
      </c>
      <c r="F202" s="321">
        <f>Data!O159</f>
        <v>7800</v>
      </c>
      <c r="G202" s="321">
        <f>Data!P159</f>
        <v>7000</v>
      </c>
      <c r="H202" s="322">
        <f>Data!Q159</f>
        <v>7989.8712411500001</v>
      </c>
      <c r="I202" s="369">
        <f t="shared" si="19"/>
        <v>2.3762569018821731</v>
      </c>
      <c r="J202" s="370">
        <f t="shared" si="20"/>
        <v>1.8644226136240147</v>
      </c>
      <c r="K202" s="370">
        <f t="shared" si="21"/>
        <v>1.8014951548644198</v>
      </c>
    </row>
    <row r="203" spans="3:11">
      <c r="C203" s="1361" t="s">
        <v>699</v>
      </c>
      <c r="D203" s="310">
        <f>Data!M151</f>
        <v>15451.80700424</v>
      </c>
      <c r="E203" s="310">
        <f>Data!N151</f>
        <v>17308.524039290001</v>
      </c>
      <c r="F203" s="310">
        <f>Data!O151</f>
        <v>19699.945620819999</v>
      </c>
      <c r="G203" s="310">
        <f>Data!P151</f>
        <v>30911.1443808</v>
      </c>
      <c r="H203" s="311">
        <f>Data!Q151</f>
        <v>28677.68763031</v>
      </c>
      <c r="I203" s="376">
        <f t="shared" si="19"/>
        <v>6.0015553523303868</v>
      </c>
      <c r="J203" s="359">
        <f t="shared" si="20"/>
        <v>8.2330623709372013</v>
      </c>
      <c r="K203" s="359">
        <f t="shared" si="21"/>
        <v>6.4660260171205008</v>
      </c>
    </row>
    <row r="204" spans="3:11">
      <c r="C204" s="1365" t="s">
        <v>700</v>
      </c>
      <c r="D204" s="312">
        <f>Data!M161</f>
        <v>4993.5799707100005</v>
      </c>
      <c r="E204" s="312">
        <f>Data!N161</f>
        <v>9072.2901196500006</v>
      </c>
      <c r="F204" s="312">
        <f>Data!O161</f>
        <v>7481.4707727100003</v>
      </c>
      <c r="G204" s="312">
        <f>Data!P161</f>
        <v>4534.4872354899999</v>
      </c>
      <c r="H204" s="313">
        <f>Data!Q161</f>
        <v>11949.816464240001</v>
      </c>
      <c r="I204" s="373">
        <f t="shared" si="19"/>
        <v>2.2792175076771661</v>
      </c>
      <c r="J204" s="374">
        <f t="shared" si="20"/>
        <v>1.2077429347195712</v>
      </c>
      <c r="K204" s="374">
        <f t="shared" si="21"/>
        <v>2.6943533646668536</v>
      </c>
    </row>
    <row r="205" spans="3:11">
      <c r="C205" s="1367" t="s">
        <v>701</v>
      </c>
      <c r="D205" s="321">
        <f>Data!M164</f>
        <v>5402.7637554000003</v>
      </c>
      <c r="E205" s="321">
        <f>Data!N164</f>
        <v>6574.6649816600002</v>
      </c>
      <c r="F205" s="321">
        <f>Data!O164</f>
        <v>8962.8881040800006</v>
      </c>
      <c r="G205" s="321">
        <f>Data!P164</f>
        <v>16870.261703380002</v>
      </c>
      <c r="H205" s="322">
        <f>Data!Q164</f>
        <v>25288.45804668</v>
      </c>
      <c r="I205" s="369">
        <f t="shared" si="19"/>
        <v>2.7305288100150933</v>
      </c>
      <c r="J205" s="370">
        <f t="shared" si="20"/>
        <v>4.4933282025052659</v>
      </c>
      <c r="K205" s="370">
        <f t="shared" si="21"/>
        <v>5.7018484115807908</v>
      </c>
    </row>
    <row r="206" spans="3:11">
      <c r="C206" s="1417" t="s">
        <v>702</v>
      </c>
      <c r="D206" s="377">
        <f>Data!M17</f>
        <v>31903.42</v>
      </c>
      <c r="E206" s="377">
        <f>Data!N17</f>
        <v>32948.589999999997</v>
      </c>
      <c r="F206" s="377">
        <f>Data!O17</f>
        <v>40726.589999999997</v>
      </c>
      <c r="G206" s="377">
        <f>Data!P17</f>
        <v>42417.85</v>
      </c>
      <c r="H206" s="378">
        <f>Data!Q17</f>
        <v>43504.98</v>
      </c>
      <c r="I206" s="379">
        <f t="shared" si="19"/>
        <v>12.40728725354173</v>
      </c>
      <c r="J206" s="380">
        <f t="shared" si="20"/>
        <v>11.297828394473058</v>
      </c>
      <c r="K206" s="380">
        <f t="shared" si="21"/>
        <v>9.8091706758459534</v>
      </c>
    </row>
    <row r="207" spans="3:11">
      <c r="C207" s="1397" t="s">
        <v>619</v>
      </c>
      <c r="D207" s="1475">
        <f t="shared" ref="D207:G207" si="22">D193+D198+D203+D204+D205+D206</f>
        <v>234886.69356009999</v>
      </c>
      <c r="E207" s="1475">
        <f t="shared" si="22"/>
        <v>284796.55435555999</v>
      </c>
      <c r="F207" s="1475">
        <f t="shared" si="22"/>
        <v>328247.33697025001</v>
      </c>
      <c r="G207" s="1475">
        <f t="shared" si="22"/>
        <v>375451.35683553998</v>
      </c>
      <c r="H207" s="1476">
        <f>H193+H198+H203+H204+H205+H206</f>
        <v>443513.33499708003</v>
      </c>
      <c r="I207" s="1477">
        <f t="shared" si="19"/>
        <v>100</v>
      </c>
      <c r="J207" s="1392">
        <f t="shared" si="20"/>
        <v>100</v>
      </c>
      <c r="K207" s="1392">
        <f t="shared" si="21"/>
        <v>100</v>
      </c>
    </row>
    <row r="209" spans="1:13">
      <c r="A209" s="293" t="s">
        <v>620</v>
      </c>
    </row>
    <row r="210" spans="1:13">
      <c r="C210" s="363" t="s">
        <v>582</v>
      </c>
      <c r="D210" s="355" t="str">
        <f t="shared" ref="D210:I210" si="23">D$33</f>
        <v>'13.12</v>
      </c>
      <c r="E210" s="355" t="str">
        <f t="shared" si="23"/>
        <v>'14.12</v>
      </c>
      <c r="F210" s="355" t="str">
        <f t="shared" si="23"/>
        <v>'15.12</v>
      </c>
      <c r="G210" s="355" t="str">
        <f t="shared" si="23"/>
        <v>'16.12</v>
      </c>
      <c r="H210" s="355" t="str">
        <f t="shared" si="23"/>
        <v>'17.12</v>
      </c>
      <c r="I210" s="356" t="str">
        <f t="shared" si="23"/>
        <v>'18.12</v>
      </c>
    </row>
    <row r="211" spans="1:13">
      <c r="C211" s="1469" t="s">
        <v>709</v>
      </c>
      <c r="D211" s="353">
        <f>Data!L348</f>
        <v>144.24527687541533</v>
      </c>
      <c r="E211" s="353">
        <f>Data!M348</f>
        <v>131.13026293695475</v>
      </c>
      <c r="F211" s="353">
        <f>Data!N348</f>
        <v>138.79125205067746</v>
      </c>
      <c r="G211" s="353">
        <f>Data!O348</f>
        <v>133.11711922354121</v>
      </c>
      <c r="H211" s="353">
        <f>Data!P348</f>
        <v>129.5881283439667</v>
      </c>
      <c r="I211" s="1478">
        <f>Data!Q348</f>
        <v>106.0626874137061</v>
      </c>
    </row>
    <row r="212" spans="1:13">
      <c r="C212" s="1393" t="s">
        <v>710</v>
      </c>
      <c r="D212" s="364">
        <f>Data!L349</f>
        <v>134.31373754441353</v>
      </c>
      <c r="E212" s="364">
        <f>Data!M349</f>
        <v>119.50901266495286</v>
      </c>
      <c r="F212" s="364">
        <f>Data!N349</f>
        <v>129.46629067439872</v>
      </c>
      <c r="G212" s="364">
        <f>Data!O349</f>
        <v>108.45569461138584</v>
      </c>
      <c r="H212" s="364">
        <f>Data!P349</f>
        <v>105.60164126850913</v>
      </c>
      <c r="I212" s="365">
        <f>Data!Q349</f>
        <v>85.473546186358092</v>
      </c>
    </row>
    <row r="213" spans="1:13">
      <c r="C213" s="1393" t="s">
        <v>711</v>
      </c>
      <c r="D213" s="381">
        <f>Data!L299</f>
        <v>7081.7323059999999</v>
      </c>
      <c r="E213" s="381">
        <f>Data!M299</f>
        <v>10724.824556</v>
      </c>
      <c r="F213" s="381">
        <f>Data!N299</f>
        <v>10680.77225</v>
      </c>
      <c r="G213" s="381">
        <f>Data!O299</f>
        <v>23729.99842018</v>
      </c>
      <c r="H213" s="381">
        <f>Data!P299</f>
        <v>32051.128446160001</v>
      </c>
      <c r="I213" s="382">
        <f>Data!Q299</f>
        <v>39390.12605708</v>
      </c>
    </row>
    <row r="214" spans="1:13">
      <c r="C214" s="1469" t="s">
        <v>713</v>
      </c>
      <c r="D214" s="520">
        <f>Data!L174</f>
        <v>25452.911310630006</v>
      </c>
      <c r="E214" s="520">
        <f>Data!M174</f>
        <v>26850.037184999994</v>
      </c>
      <c r="F214" s="520">
        <f>Data!N174</f>
        <v>28895.187318729993</v>
      </c>
      <c r="G214" s="520">
        <f>Data!O174</f>
        <v>39790.803961780039</v>
      </c>
      <c r="H214" s="520">
        <f>Data!P174</f>
        <v>45322.058444759983</v>
      </c>
      <c r="I214" s="521">
        <f>Data!Q174</f>
        <v>53936.615996590001</v>
      </c>
    </row>
    <row r="215" spans="1:13">
      <c r="C215" s="1365" t="s">
        <v>712</v>
      </c>
      <c r="D215" s="522">
        <f>Data!L175</f>
        <v>191547.47735597001</v>
      </c>
      <c r="E215" s="522">
        <f>Data!M175</f>
        <v>227757.28866304</v>
      </c>
      <c r="F215" s="522">
        <f>Data!N175</f>
        <v>278338.47236232</v>
      </c>
      <c r="G215" s="522">
        <f>Data!O175</f>
        <v>321968.91208480002</v>
      </c>
      <c r="H215" s="522">
        <f>Data!P175</f>
        <v>369438.68593345</v>
      </c>
      <c r="I215" s="358">
        <f>Data!Q175</f>
        <v>437306.88206430001</v>
      </c>
    </row>
    <row r="216" spans="1:13">
      <c r="C216" s="1367" t="s">
        <v>714</v>
      </c>
      <c r="D216" s="383">
        <f>Data!L176</f>
        <v>166094.56604534001</v>
      </c>
      <c r="E216" s="383">
        <f>Data!M176</f>
        <v>200907.25147804001</v>
      </c>
      <c r="F216" s="383">
        <f>Data!N176</f>
        <v>249443.28504359</v>
      </c>
      <c r="G216" s="383">
        <f>Data!O176</f>
        <v>282178.10812301998</v>
      </c>
      <c r="H216" s="383">
        <f>Data!P176</f>
        <v>324116.62748869002</v>
      </c>
      <c r="I216" s="384">
        <f>Data!Q176</f>
        <v>383370.26606771001</v>
      </c>
    </row>
    <row r="217" spans="1:13">
      <c r="C217" s="1479"/>
      <c r="D217" s="1480"/>
      <c r="E217" s="1481"/>
      <c r="F217" s="1481"/>
      <c r="G217" s="1481"/>
      <c r="H217" s="1481"/>
      <c r="I217" s="1481"/>
      <c r="J217" s="1481"/>
    </row>
    <row r="219" spans="1:13">
      <c r="C219" s="363" t="s">
        <v>603</v>
      </c>
      <c r="D219" s="1419" t="s">
        <v>231</v>
      </c>
      <c r="E219" s="1420" t="s">
        <v>232</v>
      </c>
      <c r="F219" s="1420" t="s">
        <v>233</v>
      </c>
      <c r="G219" s="1420" t="s">
        <v>234</v>
      </c>
      <c r="H219" s="1421" t="s">
        <v>235</v>
      </c>
      <c r="I219" s="1421" t="s">
        <v>594</v>
      </c>
    </row>
    <row r="220" spans="1:13">
      <c r="C220" s="1422" t="s">
        <v>428</v>
      </c>
      <c r="D220" s="323" t="s">
        <v>339</v>
      </c>
      <c r="E220" s="323" t="s">
        <v>716</v>
      </c>
      <c r="F220" s="323" t="s">
        <v>717</v>
      </c>
      <c r="G220" s="323" t="s">
        <v>718</v>
      </c>
      <c r="H220" s="324" t="s">
        <v>353</v>
      </c>
      <c r="I220" s="325" t="s">
        <v>252</v>
      </c>
      <c r="M220" s="1364" t="s">
        <v>2450</v>
      </c>
    </row>
    <row r="221" spans="1:13">
      <c r="C221" s="1428"/>
      <c r="D221" s="326"/>
      <c r="E221" s="326"/>
      <c r="F221" s="326" t="s">
        <v>237</v>
      </c>
      <c r="G221" s="326"/>
      <c r="H221" s="1426"/>
      <c r="I221" s="1467" t="s">
        <v>718</v>
      </c>
    </row>
    <row r="222" spans="1:13">
      <c r="C222" s="1422" t="s">
        <v>461</v>
      </c>
      <c r="D222" s="323" t="s">
        <v>361</v>
      </c>
      <c r="E222" s="323" t="s">
        <v>719</v>
      </c>
      <c r="F222" s="323" t="s">
        <v>720</v>
      </c>
      <c r="G222" s="323" t="s">
        <v>721</v>
      </c>
      <c r="H222" s="324" t="s">
        <v>365</v>
      </c>
      <c r="I222" s="327" t="s">
        <v>252</v>
      </c>
      <c r="M222" s="1364" t="s">
        <v>2451</v>
      </c>
    </row>
    <row r="223" spans="1:13">
      <c r="C223" s="1428"/>
      <c r="D223" s="326"/>
      <c r="E223" s="326"/>
      <c r="F223" s="326"/>
      <c r="G223" s="326" t="s">
        <v>237</v>
      </c>
      <c r="H223" s="1426"/>
      <c r="I223" s="328" t="s">
        <v>721</v>
      </c>
    </row>
    <row r="224" spans="1:13">
      <c r="C224" s="342" t="s">
        <v>715</v>
      </c>
      <c r="D224" s="343" t="s">
        <v>1307</v>
      </c>
      <c r="E224" s="343" t="s">
        <v>1308</v>
      </c>
      <c r="F224" s="343" t="s">
        <v>1309</v>
      </c>
      <c r="G224" s="343" t="s">
        <v>1310</v>
      </c>
      <c r="H224" s="344" t="s">
        <v>1311</v>
      </c>
      <c r="I224" s="327" t="s">
        <v>251</v>
      </c>
    </row>
    <row r="225" spans="1:11">
      <c r="C225" s="1428"/>
      <c r="D225" s="326" t="s">
        <v>237</v>
      </c>
      <c r="E225" s="326"/>
      <c r="F225" s="326"/>
      <c r="G225" s="326"/>
      <c r="H225" s="1426"/>
      <c r="I225" s="328" t="s">
        <v>1307</v>
      </c>
    </row>
    <row r="227" spans="1:11">
      <c r="A227" s="523"/>
      <c r="B227" s="1482"/>
      <c r="C227" s="1482"/>
      <c r="D227" s="1482"/>
      <c r="E227" s="1482"/>
      <c r="F227" s="1482"/>
      <c r="G227" s="1482"/>
      <c r="H227" s="1483"/>
      <c r="I227" s="1483"/>
      <c r="J227" s="1483"/>
      <c r="K227" s="1483"/>
    </row>
    <row r="228" spans="1:11">
      <c r="A228" s="1482"/>
      <c r="B228" s="523" t="s">
        <v>2442</v>
      </c>
      <c r="C228" s="1482"/>
      <c r="D228" s="1482"/>
      <c r="E228" s="1482"/>
      <c r="F228" s="1482"/>
      <c r="G228" s="1482"/>
      <c r="H228" s="1482"/>
      <c r="I228" s="1482"/>
      <c r="J228" s="1484"/>
      <c r="K228" s="1483"/>
    </row>
    <row r="229" spans="1:11">
      <c r="A229" s="1482"/>
      <c r="B229" s="1485" t="s">
        <v>622</v>
      </c>
      <c r="C229" s="1482" t="s">
        <v>2453</v>
      </c>
      <c r="D229" s="1482"/>
      <c r="E229" s="1482"/>
      <c r="F229" s="1482"/>
      <c r="G229" s="1482"/>
      <c r="H229" s="1482"/>
      <c r="I229" s="1482"/>
      <c r="J229" s="1484"/>
      <c r="K229" s="1483"/>
    </row>
    <row r="230" spans="1:11">
      <c r="A230" s="1482"/>
      <c r="B230" s="1485" t="s">
        <v>622</v>
      </c>
      <c r="C230" s="1482" t="s">
        <v>2454</v>
      </c>
      <c r="D230" s="1482"/>
      <c r="E230" s="1482"/>
      <c r="F230" s="1482"/>
      <c r="G230" s="1482"/>
      <c r="H230" s="1482"/>
      <c r="I230" s="1482"/>
      <c r="J230" s="1484"/>
      <c r="K230" s="1483"/>
    </row>
    <row r="231" spans="1:11">
      <c r="A231" s="1482"/>
      <c r="B231" s="1485" t="s">
        <v>622</v>
      </c>
      <c r="C231" s="1482" t="s">
        <v>2455</v>
      </c>
      <c r="D231" s="1482"/>
      <c r="E231" s="1482"/>
      <c r="F231" s="1482"/>
      <c r="G231" s="1482"/>
      <c r="H231" s="1482"/>
      <c r="I231" s="1482"/>
      <c r="J231" s="1484"/>
      <c r="K231" s="1483"/>
    </row>
    <row r="232" spans="1:11">
      <c r="A232" s="1482"/>
      <c r="B232" s="1485" t="s">
        <v>622</v>
      </c>
      <c r="C232" s="1482" t="s">
        <v>2456</v>
      </c>
      <c r="D232" s="1482"/>
      <c r="E232" s="1482"/>
      <c r="F232" s="1482"/>
      <c r="G232" s="1482"/>
      <c r="H232" s="1482"/>
      <c r="I232" s="1482"/>
      <c r="J232" s="1484"/>
      <c r="K232" s="1483"/>
    </row>
    <row r="233" spans="1:11">
      <c r="B233" s="1485" t="s">
        <v>622</v>
      </c>
      <c r="C233" s="1482" t="s">
        <v>2452</v>
      </c>
    </row>
    <row r="235" spans="1:11">
      <c r="D235" s="1375"/>
      <c r="E235" s="1375"/>
      <c r="F235" s="1375"/>
      <c r="G235" s="1375"/>
    </row>
    <row r="236" spans="1:11" ht="15">
      <c r="A236" s="523" t="s">
        <v>2443</v>
      </c>
      <c r="B236" s="524"/>
      <c r="C236" s="524"/>
      <c r="D236" s="524"/>
      <c r="E236" s="524"/>
      <c r="F236" s="524"/>
      <c r="G236" s="524"/>
      <c r="H236" s="524"/>
      <c r="I236" s="524"/>
      <c r="J236" s="525"/>
    </row>
    <row r="237" spans="1:11" ht="15">
      <c r="A237" s="1482"/>
      <c r="B237" s="523" t="s">
        <v>2444</v>
      </c>
      <c r="C237" s="1482"/>
      <c r="D237" s="1482"/>
      <c r="E237" s="1482"/>
      <c r="F237" s="1482"/>
      <c r="G237" s="1482"/>
      <c r="H237" s="524"/>
      <c r="I237" s="524"/>
      <c r="J237" s="525"/>
    </row>
    <row r="238" spans="1:11">
      <c r="A238" s="1482"/>
      <c r="B238" s="1485" t="s">
        <v>622</v>
      </c>
      <c r="C238" s="1482" t="s">
        <v>2458</v>
      </c>
      <c r="D238" s="1482"/>
      <c r="E238" s="1482"/>
      <c r="F238" s="1482"/>
      <c r="G238" s="1482"/>
      <c r="H238" s="1482"/>
      <c r="I238" s="1482"/>
      <c r="J238" s="1484"/>
      <c r="K238" s="1483"/>
    </row>
    <row r="239" spans="1:11">
      <c r="A239" s="523"/>
      <c r="B239" s="1485" t="s">
        <v>622</v>
      </c>
      <c r="C239" s="1482" t="s">
        <v>2457</v>
      </c>
      <c r="D239" s="1482"/>
      <c r="E239" s="1482"/>
      <c r="F239" s="1482"/>
      <c r="G239" s="1482"/>
      <c r="H239" s="1482"/>
      <c r="I239" s="1482"/>
      <c r="J239" s="1484"/>
      <c r="K239" s="1483"/>
    </row>
    <row r="240" spans="1:11">
      <c r="A240" s="523"/>
      <c r="B240" s="1485"/>
      <c r="C240" s="1482"/>
      <c r="D240" s="1482"/>
      <c r="E240" s="1482"/>
      <c r="F240" s="1482"/>
      <c r="G240" s="1482"/>
      <c r="H240" s="1482"/>
      <c r="I240" s="1482"/>
      <c r="J240" s="1484"/>
      <c r="K240" s="1483"/>
    </row>
    <row r="241" spans="1:11">
      <c r="A241" s="523"/>
      <c r="B241" s="523" t="s">
        <v>2445</v>
      </c>
      <c r="C241" s="1482"/>
      <c r="D241" s="1482"/>
      <c r="E241" s="1482"/>
      <c r="F241" s="1482"/>
      <c r="G241" s="1482"/>
      <c r="H241" s="1482"/>
      <c r="I241" s="1482"/>
      <c r="J241" s="1484"/>
      <c r="K241" s="1483"/>
    </row>
    <row r="242" spans="1:11">
      <c r="A242" s="523"/>
      <c r="B242" s="1485" t="s">
        <v>622</v>
      </c>
      <c r="C242" s="1482" t="s">
        <v>2460</v>
      </c>
      <c r="D242" s="1482"/>
      <c r="E242" s="1482"/>
      <c r="F242" s="1482"/>
      <c r="G242" s="1482"/>
      <c r="H242" s="1482"/>
      <c r="I242" s="1482"/>
      <c r="J242" s="1484"/>
      <c r="K242" s="1483"/>
    </row>
    <row r="243" spans="1:11">
      <c r="A243" s="523"/>
      <c r="B243" s="1485" t="s">
        <v>622</v>
      </c>
      <c r="C243" s="1482" t="s">
        <v>2459</v>
      </c>
      <c r="D243" s="1482"/>
      <c r="E243" s="1482"/>
      <c r="F243" s="1482"/>
      <c r="G243" s="1482"/>
      <c r="H243" s="1482"/>
      <c r="I243" s="1482"/>
      <c r="J243" s="1484"/>
      <c r="K243" s="1483"/>
    </row>
  </sheetData>
  <mergeCells count="5">
    <mergeCell ref="D4:G4"/>
    <mergeCell ref="C11:C12"/>
    <mergeCell ref="D11:E11"/>
    <mergeCell ref="F11:G11"/>
    <mergeCell ref="H11:I11"/>
  </mergeCells>
  <phoneticPr fontId="73" type="noConversion"/>
  <pageMargins left="0.70866141732283472" right="0.70866141732283472" top="0.39370078740157483" bottom="0.74803149606299213" header="0.31496062992125984" footer="0.31496062992125984"/>
  <pageSetup paperSize="9"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H526"/>
  <sheetViews>
    <sheetView showGridLines="0" zoomScaleNormal="100" workbookViewId="0">
      <pane xSplit="2" ySplit="16" topLeftCell="S17" activePane="bottomRight" state="frozen"/>
      <selection activeCell="Y53" sqref="Y53 Y39 Y62:Y64 Y171 Y174:Y175 Y180:Y182 Y192:Y193 Y195 Y198 Y201 Y205"/>
      <selection pane="topRight" activeCell="Y53" sqref="Y53 Y39 Y62:Y64 Y171 Y174:Y175 Y180:Y182 Y192:Y193 Y195 Y198 Y201 Y205"/>
      <selection pane="bottomLeft" activeCell="Y53" sqref="Y53 Y39 Y62:Y64 Y171 Y174:Y175 Y180:Y182 Y192:Y193 Y195 Y198 Y201 Y205"/>
      <selection pane="bottomRight" activeCell="AH17" sqref="AH17:AH462"/>
    </sheetView>
  </sheetViews>
  <sheetFormatPr baseColWidth="10" defaultColWidth="9.1640625" defaultRowHeight="14" outlineLevelRow="1" outlineLevelCol="1"/>
  <cols>
    <col min="1" max="1" width="2.6640625" style="34" customWidth="1"/>
    <col min="2" max="2" width="42.83203125" style="34" hidden="1" customWidth="1" outlineLevel="1"/>
    <col min="3" max="3" width="42.83203125" style="34" customWidth="1" collapsed="1"/>
    <col min="4" max="4" width="20.6640625" style="2" customWidth="1"/>
    <col min="5" max="5" width="20.6640625" style="2" hidden="1" customWidth="1" outlineLevel="1" collapsed="1"/>
    <col min="6" max="7" width="20.6640625" style="24" hidden="1" customWidth="1" outlineLevel="1" collapsed="1"/>
    <col min="8" max="8" width="20.6640625" style="24" customWidth="1" collapsed="1"/>
    <col min="9" max="9" width="20.6640625" style="70" hidden="1" customWidth="1" outlineLevel="1"/>
    <col min="10" max="10" width="20.6640625" style="24" hidden="1" customWidth="1" outlineLevel="1"/>
    <col min="11" max="11" width="20.6640625" style="24" customWidth="1" collapsed="1"/>
    <col min="12" max="14" width="20.6640625" style="70" hidden="1" customWidth="1" outlineLevel="1"/>
    <col min="15" max="15" width="20.6640625" style="70" customWidth="1" collapsed="1"/>
    <col min="16" max="18" width="20.6640625" style="70" hidden="1" customWidth="1" outlineLevel="1"/>
    <col min="19" max="19" width="20.6640625" style="70" customWidth="1" collapsed="1"/>
    <col min="20" max="22" width="20.6640625" style="70" hidden="1" customWidth="1" outlineLevel="1" collapsed="1"/>
    <col min="23" max="23" width="20.6640625" style="70" customWidth="1" collapsed="1"/>
    <col min="24" max="26" width="20.6640625" style="70" hidden="1" customWidth="1" outlineLevel="1" collapsed="1"/>
    <col min="27" max="34" width="20.6640625" style="70" customWidth="1" collapsed="1"/>
    <col min="35" max="53" width="20.6640625" style="3" customWidth="1"/>
    <col min="54" max="16384" width="9.1640625" style="3"/>
  </cols>
  <sheetData>
    <row r="1" spans="1:34">
      <c r="B1" s="33" t="str">
        <f>Data!$A$1</f>
        <v>한국투자증권</v>
      </c>
      <c r="C1" s="33" t="str">
        <f>Data!$A$1</f>
        <v>한국투자증권</v>
      </c>
    </row>
    <row r="2" spans="1:34">
      <c r="B2" s="34" t="s">
        <v>1314</v>
      </c>
      <c r="C2" s="34" t="s">
        <v>1314</v>
      </c>
    </row>
    <row r="3" spans="1:34" s="5" customFormat="1">
      <c r="A3" s="48"/>
      <c r="B3" s="35" t="s">
        <v>0</v>
      </c>
      <c r="C3" s="35" t="s">
        <v>0</v>
      </c>
      <c r="D3" s="4">
        <f t="shared" ref="D3:E3" si="0">IF(D16="(원)",100000000,IF(D16="(천원)",100000,100))</f>
        <v>100000000</v>
      </c>
      <c r="E3" s="4">
        <f t="shared" si="0"/>
        <v>100000000</v>
      </c>
      <c r="F3" s="25">
        <f t="shared" ref="F3:P3" si="1">IF(F16="(원)",100000000,IF(F16="(천원)",100000,100))</f>
        <v>100000000</v>
      </c>
      <c r="G3" s="25">
        <f t="shared" si="1"/>
        <v>100000000</v>
      </c>
      <c r="H3" s="25">
        <f t="shared" si="1"/>
        <v>100000000</v>
      </c>
      <c r="I3" s="71">
        <f t="shared" si="1"/>
        <v>100000000</v>
      </c>
      <c r="J3" s="25">
        <f t="shared" si="1"/>
        <v>100000000</v>
      </c>
      <c r="K3" s="25">
        <f t="shared" si="1"/>
        <v>100000000</v>
      </c>
      <c r="L3" s="71">
        <f t="shared" si="1"/>
        <v>100000000</v>
      </c>
      <c r="M3" s="71">
        <f t="shared" si="1"/>
        <v>100000000</v>
      </c>
      <c r="N3" s="71">
        <f t="shared" si="1"/>
        <v>100000000</v>
      </c>
      <c r="O3" s="71">
        <f t="shared" si="1"/>
        <v>100000000</v>
      </c>
      <c r="P3" s="71">
        <f t="shared" si="1"/>
        <v>100000000</v>
      </c>
      <c r="Q3" s="71">
        <f t="shared" ref="Q3:R3" si="2">IF(Q16="(원)",100000000,IF(Q16="(천원)",100000,100))</f>
        <v>100000000</v>
      </c>
      <c r="R3" s="71">
        <f t="shared" si="2"/>
        <v>100000000</v>
      </c>
      <c r="S3" s="71">
        <f t="shared" ref="S3:T3" si="3">IF(S16="(원)",100000000,IF(S16="(천원)",100000,100))</f>
        <v>100000000</v>
      </c>
      <c r="T3" s="71">
        <f t="shared" si="3"/>
        <v>100000000</v>
      </c>
      <c r="U3" s="71">
        <f t="shared" ref="U3:V3" si="4">IF(U16="(원)",100000000,IF(U16="(천원)",100000,100))</f>
        <v>100000000</v>
      </c>
      <c r="V3" s="71">
        <f t="shared" si="4"/>
        <v>100000000</v>
      </c>
      <c r="W3" s="71">
        <f t="shared" ref="W3" si="5">IF(W16="(원)",100000000,IF(W16="(천원)",100000,100))</f>
        <v>100000000</v>
      </c>
      <c r="X3" s="71">
        <f t="shared" ref="X3:AA3" si="6">IF(X16="(원)",100000000,IF(X16="(천원)",100000,100))</f>
        <v>100000000</v>
      </c>
      <c r="Y3" s="71">
        <f t="shared" si="6"/>
        <v>100000000</v>
      </c>
      <c r="Z3" s="71">
        <f t="shared" si="6"/>
        <v>100000000</v>
      </c>
      <c r="AA3" s="71">
        <f t="shared" si="6"/>
        <v>100000000</v>
      </c>
      <c r="AB3" s="71">
        <f t="shared" ref="AB3:AC3" si="7">IF(AB16="(원)",100000000,IF(AB16="(천원)",100000,100))</f>
        <v>100000000</v>
      </c>
      <c r="AC3" s="71">
        <f t="shared" si="7"/>
        <v>100000000</v>
      </c>
      <c r="AD3" s="71">
        <f t="shared" ref="AD3:AE3" si="8">IF(AD16="(원)",100000000,IF(AD16="(천원)",100000,100))</f>
        <v>100000000</v>
      </c>
      <c r="AE3" s="71">
        <f t="shared" si="8"/>
        <v>100000000</v>
      </c>
      <c r="AF3" s="71">
        <f t="shared" ref="AF3:AG3" si="9">IF(AF16="(원)",100000000,IF(AF16="(천원)",100000,100))</f>
        <v>100000000</v>
      </c>
      <c r="AG3" s="71">
        <f t="shared" si="9"/>
        <v>100000000</v>
      </c>
      <c r="AH3" s="71">
        <f t="shared" ref="AH3" si="10">IF(AH16="(원)",100000000,IF(AH16="(천원)",100000,100))</f>
        <v>100000000</v>
      </c>
    </row>
    <row r="4" spans="1:34" s="7" customFormat="1">
      <c r="A4" s="16"/>
      <c r="B4" s="14" t="s">
        <v>173</v>
      </c>
      <c r="C4" s="14" t="s">
        <v>173</v>
      </c>
      <c r="D4" s="6" t="str">
        <f t="shared" ref="D4:J4" si="11">IF(ROUND((D7-D10)/100,0)=0,"OK","확인")</f>
        <v>OK</v>
      </c>
      <c r="E4" s="6" t="str">
        <f t="shared" si="11"/>
        <v>OK</v>
      </c>
      <c r="F4" s="15" t="str">
        <f t="shared" si="11"/>
        <v>OK</v>
      </c>
      <c r="G4" s="15" t="str">
        <f t="shared" si="11"/>
        <v>OK</v>
      </c>
      <c r="H4" s="15" t="str">
        <f t="shared" si="11"/>
        <v>OK</v>
      </c>
      <c r="I4" s="66" t="str">
        <f>IF(ROUND((I7-I10)/100,0)=0,"OK","확인")</f>
        <v>OK</v>
      </c>
      <c r="J4" s="15" t="str">
        <f t="shared" si="11"/>
        <v>OK</v>
      </c>
      <c r="K4" s="15" t="str">
        <f t="shared" ref="K4:P4" si="12">IF(ROUND((K7-K10)/100,0)=0,"OK","확인")</f>
        <v>OK</v>
      </c>
      <c r="L4" s="66" t="str">
        <f t="shared" si="12"/>
        <v>OK</v>
      </c>
      <c r="M4" s="66" t="str">
        <f t="shared" si="12"/>
        <v>OK</v>
      </c>
      <c r="N4" s="66" t="str">
        <f t="shared" si="12"/>
        <v>OK</v>
      </c>
      <c r="O4" s="66" t="str">
        <f t="shared" si="12"/>
        <v>OK</v>
      </c>
      <c r="P4" s="66" t="str">
        <f t="shared" si="12"/>
        <v>OK</v>
      </c>
      <c r="Q4" s="66" t="str">
        <f t="shared" ref="Q4:R4" si="13">IF(ROUND((Q7-Q10)/100,0)=0,"OK","확인")</f>
        <v>OK</v>
      </c>
      <c r="R4" s="66" t="str">
        <f t="shared" si="13"/>
        <v>OK</v>
      </c>
      <c r="S4" s="66" t="str">
        <f t="shared" ref="S4:T4" si="14">IF(ROUND((S7-S10)/100,0)=0,"OK","확인")</f>
        <v>OK</v>
      </c>
      <c r="T4" s="66" t="str">
        <f t="shared" si="14"/>
        <v>OK</v>
      </c>
      <c r="U4" s="66" t="str">
        <f t="shared" ref="U4:V4" si="15">IF(ROUND((U7-U10)/100,0)=0,"OK","확인")</f>
        <v>OK</v>
      </c>
      <c r="V4" s="66" t="str">
        <f t="shared" si="15"/>
        <v>OK</v>
      </c>
      <c r="W4" s="66" t="str">
        <f t="shared" ref="W4" si="16">IF(ROUND((W7-W10)/100,0)=0,"OK","확인")</f>
        <v>OK</v>
      </c>
      <c r="X4" s="66" t="str">
        <f t="shared" ref="X4:AA4" si="17">IF(ROUND((X7-X10)/100,0)=0,"OK","확인")</f>
        <v>OK</v>
      </c>
      <c r="Y4" s="66" t="str">
        <f t="shared" si="17"/>
        <v>OK</v>
      </c>
      <c r="Z4" s="66" t="str">
        <f t="shared" si="17"/>
        <v>OK</v>
      </c>
      <c r="AA4" s="66" t="str">
        <f t="shared" si="17"/>
        <v>OK</v>
      </c>
      <c r="AB4" s="66" t="str">
        <f t="shared" ref="AB4:AC4" si="18">IF(ROUND((AB7-AB10)/100,0)=0,"OK","확인")</f>
        <v>OK</v>
      </c>
      <c r="AC4" s="66" t="str">
        <f t="shared" si="18"/>
        <v>OK</v>
      </c>
      <c r="AD4" s="66" t="str">
        <f t="shared" ref="AD4:AE4" si="19">IF(ROUND((AD7-AD10)/100,0)=0,"OK","확인")</f>
        <v>OK</v>
      </c>
      <c r="AE4" s="66" t="str">
        <f t="shared" si="19"/>
        <v>OK</v>
      </c>
      <c r="AF4" s="66" t="str">
        <f t="shared" ref="AF4:AG4" si="20">IF(ROUND((AF7-AF10)/100,0)=0,"OK","확인")</f>
        <v>OK</v>
      </c>
      <c r="AG4" s="66" t="str">
        <f t="shared" si="20"/>
        <v>OK</v>
      </c>
      <c r="AH4" s="66" t="str">
        <f t="shared" ref="AH4" si="21">IF(ROUND((AH7-AH10)/100,0)=0,"OK","확인")</f>
        <v>OK</v>
      </c>
    </row>
    <row r="5" spans="1:34" s="7" customFormat="1">
      <c r="A5" s="16"/>
      <c r="B5" s="17" t="s">
        <v>174</v>
      </c>
      <c r="C5" s="17" t="s">
        <v>174</v>
      </c>
      <c r="D5" s="8" t="str">
        <f t="shared" ref="D5:J5" si="22">IF(SUM(D464:D484)=0,"OK","확인")</f>
        <v>OK</v>
      </c>
      <c r="E5" s="8" t="str">
        <f t="shared" si="22"/>
        <v>OK</v>
      </c>
      <c r="F5" s="18" t="str">
        <f t="shared" si="22"/>
        <v>OK</v>
      </c>
      <c r="G5" s="18" t="str">
        <f t="shared" si="22"/>
        <v>OK</v>
      </c>
      <c r="H5" s="18" t="str">
        <f t="shared" si="22"/>
        <v>확인</v>
      </c>
      <c r="I5" s="67" t="str">
        <f>IF(SUM(I464:I484)=0,"OK","확인")</f>
        <v>OK</v>
      </c>
      <c r="J5" s="18" t="str">
        <f t="shared" si="22"/>
        <v>OK</v>
      </c>
      <c r="K5" s="18" t="str">
        <f t="shared" ref="K5:P5" si="23">IF(SUM(K464:K484)=0,"OK","확인")</f>
        <v>확인</v>
      </c>
      <c r="L5" s="67" t="str">
        <f t="shared" si="23"/>
        <v>OK</v>
      </c>
      <c r="M5" s="67" t="str">
        <f t="shared" si="23"/>
        <v>OK</v>
      </c>
      <c r="N5" s="67" t="str">
        <f t="shared" si="23"/>
        <v>OK</v>
      </c>
      <c r="O5" s="67" t="str">
        <f t="shared" si="23"/>
        <v>OK</v>
      </c>
      <c r="P5" s="67" t="str">
        <f t="shared" si="23"/>
        <v>OK</v>
      </c>
      <c r="Q5" s="67" t="str">
        <f t="shared" ref="Q5:R5" si="24">IF(SUM(Q464:Q484)=0,"OK","확인")</f>
        <v>OK</v>
      </c>
      <c r="R5" s="67" t="str">
        <f t="shared" si="24"/>
        <v>OK</v>
      </c>
      <c r="S5" s="67" t="str">
        <f t="shared" ref="S5:AA5" si="25">IF(SUM(S464:S484)=0,"OK","확인")</f>
        <v>OK</v>
      </c>
      <c r="T5" s="67" t="str">
        <f t="shared" si="25"/>
        <v>OK</v>
      </c>
      <c r="U5" s="67" t="str">
        <f t="shared" si="25"/>
        <v>OK</v>
      </c>
      <c r="V5" s="67" t="str">
        <f t="shared" si="25"/>
        <v>OK</v>
      </c>
      <c r="W5" s="67" t="str">
        <f t="shared" si="25"/>
        <v>OK</v>
      </c>
      <c r="X5" s="67" t="str">
        <f t="shared" si="25"/>
        <v>OK</v>
      </c>
      <c r="Y5" s="67" t="str">
        <f t="shared" si="25"/>
        <v>OK</v>
      </c>
      <c r="Z5" s="67" t="str">
        <f t="shared" si="25"/>
        <v>OK</v>
      </c>
      <c r="AA5" s="67" t="str">
        <f t="shared" si="25"/>
        <v>OK</v>
      </c>
      <c r="AB5" s="67" t="str">
        <f t="shared" ref="AB5:AC5" si="26">IF(SUM(AB464:AB484)=0,"OK","확인")</f>
        <v>OK</v>
      </c>
      <c r="AC5" s="67" t="str">
        <f t="shared" si="26"/>
        <v>OK</v>
      </c>
      <c r="AD5" s="67" t="str">
        <f t="shared" ref="AD5:AE5" si="27">IF(SUM(AD464:AD484)=0,"OK","확인")</f>
        <v>OK</v>
      </c>
      <c r="AE5" s="67" t="str">
        <f t="shared" si="27"/>
        <v>OK</v>
      </c>
      <c r="AF5" s="67" t="str">
        <f t="shared" ref="AF5:AG5" si="28">IF(SUM(AF464:AF484)=0,"OK","확인")</f>
        <v>OK</v>
      </c>
      <c r="AG5" s="67" t="str">
        <f t="shared" si="28"/>
        <v>OK</v>
      </c>
      <c r="AH5" s="67" t="str">
        <f t="shared" ref="AH5" si="29">IF(SUM(AH464:AH484)=0,"OK","확인")</f>
        <v>OK</v>
      </c>
    </row>
    <row r="6" spans="1:34" s="10" customFormat="1">
      <c r="A6" s="21"/>
      <c r="B6" s="19"/>
      <c r="C6" s="19"/>
      <c r="D6" s="9"/>
      <c r="E6" s="9"/>
      <c r="F6" s="20"/>
      <c r="G6" s="20"/>
      <c r="H6" s="20"/>
      <c r="I6" s="68"/>
      <c r="J6" s="20"/>
      <c r="K6" s="20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</row>
    <row r="7" spans="1:34" s="7" customFormat="1">
      <c r="A7" s="16"/>
      <c r="B7" s="22" t="s">
        <v>169</v>
      </c>
      <c r="C7" s="22" t="s">
        <v>169</v>
      </c>
      <c r="D7" s="11">
        <f t="shared" ref="D7:J7" si="30">ROUND(D17/D3*100,0)</f>
        <v>16805316</v>
      </c>
      <c r="E7" s="11">
        <f t="shared" si="30"/>
        <v>18514174</v>
      </c>
      <c r="F7" s="23">
        <f t="shared" si="30"/>
        <v>0</v>
      </c>
      <c r="G7" s="23">
        <f t="shared" si="30"/>
        <v>19579311</v>
      </c>
      <c r="H7" s="23">
        <f t="shared" si="30"/>
        <v>19273248</v>
      </c>
      <c r="I7" s="69">
        <f>ROUND(I17/I3*100,0)</f>
        <v>19555834</v>
      </c>
      <c r="J7" s="23">
        <f t="shared" si="30"/>
        <v>20422712</v>
      </c>
      <c r="K7" s="23">
        <f t="shared" ref="K7:P7" si="31">ROUND(K17/K3*100,0)</f>
        <v>19853791</v>
      </c>
      <c r="L7" s="69">
        <f t="shared" si="31"/>
        <v>21567141</v>
      </c>
      <c r="M7" s="69">
        <f t="shared" si="31"/>
        <v>21844024</v>
      </c>
      <c r="N7" s="69">
        <f t="shared" si="31"/>
        <v>23063959</v>
      </c>
      <c r="O7" s="69">
        <f t="shared" si="31"/>
        <v>23488669</v>
      </c>
      <c r="P7" s="69">
        <f t="shared" si="31"/>
        <v>26156797</v>
      </c>
      <c r="Q7" s="69">
        <f t="shared" ref="Q7:R7" si="32">ROUND(Q17/Q3*100,0)</f>
        <v>26435527</v>
      </c>
      <c r="R7" s="69">
        <f t="shared" si="32"/>
        <v>27545848</v>
      </c>
      <c r="S7" s="69">
        <f t="shared" ref="S7:T7" si="33">ROUND(S17/S3*100,0)</f>
        <v>28479656</v>
      </c>
      <c r="T7" s="69">
        <f t="shared" si="33"/>
        <v>31430509</v>
      </c>
      <c r="U7" s="69">
        <f t="shared" ref="U7:V7" si="34">ROUND(U17/U3*100,0)</f>
        <v>31967611</v>
      </c>
      <c r="V7" s="69">
        <f t="shared" si="34"/>
        <v>32570200</v>
      </c>
      <c r="W7" s="69">
        <f t="shared" ref="W7" si="35">ROUND(W17/W3*100,0)</f>
        <v>32824734</v>
      </c>
      <c r="X7" s="69">
        <f t="shared" ref="X7:AA7" si="36">ROUND(X17/X3*100,0)</f>
        <v>35175314</v>
      </c>
      <c r="Y7" s="69">
        <f t="shared" si="36"/>
        <v>35902777</v>
      </c>
      <c r="Z7" s="69">
        <f t="shared" si="36"/>
        <v>36780419</v>
      </c>
      <c r="AA7" s="69">
        <f t="shared" si="36"/>
        <v>37545136</v>
      </c>
      <c r="AB7" s="69">
        <f t="shared" ref="AB7:AC7" si="37">ROUND(AB17/AB3*100,0)</f>
        <v>39997984</v>
      </c>
      <c r="AC7" s="69">
        <f t="shared" si="37"/>
        <v>41267800</v>
      </c>
      <c r="AD7" s="69">
        <f t="shared" ref="AD7:AE7" si="38">ROUND(AD17/AD3*100,0)</f>
        <v>42903992</v>
      </c>
      <c r="AE7" s="69">
        <f t="shared" si="38"/>
        <v>44351334</v>
      </c>
      <c r="AF7" s="69">
        <f t="shared" ref="AF7:AG7" si="39">ROUND(AF17/AF3*100,0)</f>
        <v>47161066</v>
      </c>
      <c r="AG7" s="69">
        <f t="shared" si="39"/>
        <v>49695829</v>
      </c>
      <c r="AH7" s="69">
        <f t="shared" ref="AH7" si="40">ROUND(AH17/AH3*100,0)</f>
        <v>47937809</v>
      </c>
    </row>
    <row r="8" spans="1:34" s="7" customFormat="1">
      <c r="A8" s="16"/>
      <c r="B8" s="22" t="s">
        <v>170</v>
      </c>
      <c r="C8" s="22" t="s">
        <v>170</v>
      </c>
      <c r="D8" s="11">
        <f t="shared" ref="D8:J8" si="41">ROUND(D302/D3*100,0)</f>
        <v>13662769</v>
      </c>
      <c r="E8" s="11">
        <f t="shared" si="41"/>
        <v>15467041</v>
      </c>
      <c r="F8" s="23">
        <f t="shared" si="41"/>
        <v>0</v>
      </c>
      <c r="G8" s="23">
        <f t="shared" si="41"/>
        <v>16468924</v>
      </c>
      <c r="H8" s="23">
        <f t="shared" si="41"/>
        <v>16078796</v>
      </c>
      <c r="I8" s="69">
        <f>ROUND(I302/I3*100,0)</f>
        <v>16514768</v>
      </c>
      <c r="J8" s="23">
        <f t="shared" si="41"/>
        <v>17366148</v>
      </c>
      <c r="K8" s="23">
        <f t="shared" ref="K8:P8" si="42">ROUND(K302/K3*100,0)</f>
        <v>16770956</v>
      </c>
      <c r="L8" s="69">
        <f t="shared" si="42"/>
        <v>18517778</v>
      </c>
      <c r="M8" s="69">
        <f t="shared" si="42"/>
        <v>18746350</v>
      </c>
      <c r="N8" s="69">
        <f t="shared" si="42"/>
        <v>19891109</v>
      </c>
      <c r="O8" s="69">
        <f t="shared" si="42"/>
        <v>20298327</v>
      </c>
      <c r="P8" s="69">
        <f t="shared" si="42"/>
        <v>23002351</v>
      </c>
      <c r="Q8" s="69">
        <f t="shared" ref="Q8:R8" si="43">ROUND(Q302/Q3*100,0)</f>
        <v>23177429</v>
      </c>
      <c r="R8" s="69">
        <f t="shared" si="43"/>
        <v>24243188</v>
      </c>
      <c r="S8" s="69">
        <f t="shared" ref="S8:T8" si="44">ROUND(S302/S3*100,0)</f>
        <v>25184796</v>
      </c>
      <c r="T8" s="69">
        <f t="shared" si="44"/>
        <v>28259182</v>
      </c>
      <c r="U8" s="69">
        <f t="shared" ref="U8:V8" si="45">ROUND(U302/U3*100,0)</f>
        <v>28746669</v>
      </c>
      <c r="V8" s="69">
        <f t="shared" si="45"/>
        <v>29307853</v>
      </c>
      <c r="W8" s="69">
        <f t="shared" ref="W8" si="46">ROUND(W302/W3*100,0)</f>
        <v>28752075</v>
      </c>
      <c r="X8" s="69">
        <f t="shared" ref="X8:AA8" si="47">ROUND(X302/X3*100,0)</f>
        <v>31070386</v>
      </c>
      <c r="Y8" s="69">
        <f t="shared" si="47"/>
        <v>31557789</v>
      </c>
      <c r="Z8" s="69">
        <f t="shared" si="47"/>
        <v>32589647</v>
      </c>
      <c r="AA8" s="69">
        <f t="shared" si="47"/>
        <v>33303351</v>
      </c>
      <c r="AB8" s="69">
        <f t="shared" ref="AB8:AC8" si="48">ROUND(AB302/AB3*100,0)</f>
        <v>35852467</v>
      </c>
      <c r="AC8" s="69">
        <f t="shared" si="48"/>
        <v>36957425</v>
      </c>
      <c r="AD8" s="69">
        <f t="shared" ref="AD8:AE8" si="49">ROUND(AD302/AD3*100,0)</f>
        <v>38460078</v>
      </c>
      <c r="AE8" s="69">
        <f t="shared" si="49"/>
        <v>40000835</v>
      </c>
      <c r="AF8" s="69">
        <f t="shared" ref="AF8:AG8" si="50">ROUND(AF302/AF3*100,0)</f>
        <v>42792898</v>
      </c>
      <c r="AG8" s="69">
        <f t="shared" si="50"/>
        <v>45132965</v>
      </c>
      <c r="AH8" s="69">
        <f t="shared" ref="AH8" si="51">ROUND(AH302/AH3*100,0)</f>
        <v>43293530</v>
      </c>
    </row>
    <row r="9" spans="1:34" s="7" customFormat="1">
      <c r="A9" s="16"/>
      <c r="B9" s="22" t="s">
        <v>171</v>
      </c>
      <c r="C9" s="22" t="s">
        <v>171</v>
      </c>
      <c r="D9" s="11">
        <f t="shared" ref="D9:J9" si="52">ROUND(D414/D3*100,0)</f>
        <v>3142547</v>
      </c>
      <c r="E9" s="11">
        <f t="shared" si="52"/>
        <v>3047133</v>
      </c>
      <c r="F9" s="23">
        <f t="shared" si="52"/>
        <v>0</v>
      </c>
      <c r="G9" s="23">
        <f t="shared" si="52"/>
        <v>3110387</v>
      </c>
      <c r="H9" s="23">
        <f t="shared" si="52"/>
        <v>3194452</v>
      </c>
      <c r="I9" s="69">
        <f>ROUND(I414/I3*100,0)</f>
        <v>3041066</v>
      </c>
      <c r="J9" s="23">
        <f t="shared" si="52"/>
        <v>3056564</v>
      </c>
      <c r="K9" s="23">
        <f t="shared" ref="K9:P9" si="53">ROUND(K414/K3*100,0)</f>
        <v>3082835</v>
      </c>
      <c r="L9" s="69">
        <f t="shared" si="53"/>
        <v>3049363</v>
      </c>
      <c r="M9" s="69">
        <f t="shared" si="53"/>
        <v>3097674</v>
      </c>
      <c r="N9" s="69">
        <f t="shared" si="53"/>
        <v>3172850</v>
      </c>
      <c r="O9" s="69">
        <f t="shared" si="53"/>
        <v>3190342</v>
      </c>
      <c r="P9" s="69">
        <f t="shared" si="53"/>
        <v>3154446</v>
      </c>
      <c r="Q9" s="69">
        <f t="shared" ref="Q9:R9" si="54">ROUND(Q414/Q3*100,0)</f>
        <v>3258098</v>
      </c>
      <c r="R9" s="69">
        <f t="shared" si="54"/>
        <v>3302660</v>
      </c>
      <c r="S9" s="69">
        <f t="shared" ref="S9:T9" si="55">ROUND(S414/S3*100,0)</f>
        <v>3294859</v>
      </c>
      <c r="T9" s="69">
        <f t="shared" si="55"/>
        <v>3171327</v>
      </c>
      <c r="U9" s="69">
        <f t="shared" ref="U9:V9" si="56">ROUND(U414/U3*100,0)</f>
        <v>3220942</v>
      </c>
      <c r="V9" s="69">
        <f t="shared" si="56"/>
        <v>3262347</v>
      </c>
      <c r="W9" s="69">
        <f>ROUND(W414/W3*100,0)</f>
        <v>4072659</v>
      </c>
      <c r="X9" s="69">
        <f t="shared" ref="X9:AA9" si="57">ROUND(X414/X3*100,0)</f>
        <v>4104928</v>
      </c>
      <c r="Y9" s="69">
        <f t="shared" si="57"/>
        <v>4344988</v>
      </c>
      <c r="Z9" s="69">
        <f t="shared" si="57"/>
        <v>4190771</v>
      </c>
      <c r="AA9" s="69">
        <f t="shared" si="57"/>
        <v>4241785</v>
      </c>
      <c r="AB9" s="69">
        <f t="shared" ref="AB9:AC9" si="58">ROUND(AB414/AB3*100,0)</f>
        <v>4145517</v>
      </c>
      <c r="AC9" s="69">
        <f t="shared" si="58"/>
        <v>4310375</v>
      </c>
      <c r="AD9" s="69">
        <f t="shared" ref="AD9:AE9" si="59">ROUND(AD414/AD3*100,0)</f>
        <v>4443914</v>
      </c>
      <c r="AE9" s="69">
        <f t="shared" si="59"/>
        <v>4350498</v>
      </c>
      <c r="AF9" s="69">
        <f t="shared" ref="AF9:AG9" si="60">ROUND(AF414/AF3*100,0)</f>
        <v>4368167</v>
      </c>
      <c r="AG9" s="69">
        <f t="shared" si="60"/>
        <v>4562864</v>
      </c>
      <c r="AH9" s="69">
        <f t="shared" ref="AH9" si="61">ROUND(AH414/AH3*100,0)</f>
        <v>4644280</v>
      </c>
    </row>
    <row r="10" spans="1:34" s="7" customFormat="1">
      <c r="A10" s="16"/>
      <c r="B10" s="22" t="s">
        <v>172</v>
      </c>
      <c r="C10" s="22" t="s">
        <v>172</v>
      </c>
      <c r="D10" s="11">
        <f t="shared" ref="D10:J10" si="62">D8+D9</f>
        <v>16805316</v>
      </c>
      <c r="E10" s="11">
        <f t="shared" si="62"/>
        <v>18514174</v>
      </c>
      <c r="F10" s="23">
        <f t="shared" si="62"/>
        <v>0</v>
      </c>
      <c r="G10" s="23">
        <f t="shared" si="62"/>
        <v>19579311</v>
      </c>
      <c r="H10" s="23">
        <f t="shared" si="62"/>
        <v>19273248</v>
      </c>
      <c r="I10" s="69">
        <f>I8+I9</f>
        <v>19555834</v>
      </c>
      <c r="J10" s="23">
        <f t="shared" si="62"/>
        <v>20422712</v>
      </c>
      <c r="K10" s="23">
        <f t="shared" ref="K10:P10" si="63">K8+K9</f>
        <v>19853791</v>
      </c>
      <c r="L10" s="69">
        <f t="shared" si="63"/>
        <v>21567141</v>
      </c>
      <c r="M10" s="69">
        <f t="shared" si="63"/>
        <v>21844024</v>
      </c>
      <c r="N10" s="69">
        <f t="shared" si="63"/>
        <v>23063959</v>
      </c>
      <c r="O10" s="69">
        <f t="shared" si="63"/>
        <v>23488669</v>
      </c>
      <c r="P10" s="69">
        <f t="shared" si="63"/>
        <v>26156797</v>
      </c>
      <c r="Q10" s="69">
        <f t="shared" ref="Q10:R10" si="64">Q8+Q9</f>
        <v>26435527</v>
      </c>
      <c r="R10" s="69">
        <f t="shared" si="64"/>
        <v>27545848</v>
      </c>
      <c r="S10" s="69">
        <f t="shared" ref="S10:T10" si="65">S8+S9</f>
        <v>28479655</v>
      </c>
      <c r="T10" s="69">
        <f t="shared" si="65"/>
        <v>31430509</v>
      </c>
      <c r="U10" s="69">
        <f t="shared" ref="U10:V10" si="66">U8+U9</f>
        <v>31967611</v>
      </c>
      <c r="V10" s="69">
        <f t="shared" si="66"/>
        <v>32570200</v>
      </c>
      <c r="W10" s="69">
        <f t="shared" ref="W10" si="67">W8+W9</f>
        <v>32824734</v>
      </c>
      <c r="X10" s="69">
        <f t="shared" ref="X10:AA10" si="68">X8+X9</f>
        <v>35175314</v>
      </c>
      <c r="Y10" s="69">
        <f t="shared" si="68"/>
        <v>35902777</v>
      </c>
      <c r="Z10" s="69">
        <f t="shared" si="68"/>
        <v>36780418</v>
      </c>
      <c r="AA10" s="69">
        <f t="shared" si="68"/>
        <v>37545136</v>
      </c>
      <c r="AB10" s="69">
        <f t="shared" ref="AB10:AC10" si="69">AB8+AB9</f>
        <v>39997984</v>
      </c>
      <c r="AC10" s="69">
        <f t="shared" si="69"/>
        <v>41267800</v>
      </c>
      <c r="AD10" s="69">
        <f t="shared" ref="AD10:AE10" si="70">AD8+AD9</f>
        <v>42903992</v>
      </c>
      <c r="AE10" s="69">
        <f t="shared" si="70"/>
        <v>44351333</v>
      </c>
      <c r="AF10" s="69">
        <f t="shared" ref="AF10:AG10" si="71">AF8+AF9</f>
        <v>47161065</v>
      </c>
      <c r="AG10" s="69">
        <f t="shared" si="71"/>
        <v>49695829</v>
      </c>
      <c r="AH10" s="69">
        <f t="shared" ref="AH10" si="72">AH8+AH9</f>
        <v>47937810</v>
      </c>
    </row>
    <row r="11" spans="1:34" s="10" customFormat="1" hidden="1" outlineLevel="1">
      <c r="A11" s="21"/>
      <c r="B11" s="52"/>
      <c r="C11" s="52"/>
      <c r="D11" s="53"/>
      <c r="E11" s="53"/>
      <c r="F11" s="54"/>
      <c r="G11" s="54"/>
      <c r="H11" s="54"/>
      <c r="I11" s="79"/>
      <c r="J11" s="54"/>
      <c r="K11" s="54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</row>
    <row r="12" spans="1:34" s="10" customFormat="1" hidden="1" outlineLevel="1">
      <c r="A12" s="21"/>
      <c r="B12" s="52"/>
      <c r="C12" s="52"/>
      <c r="D12" s="53"/>
      <c r="E12" s="53"/>
      <c r="F12" s="54"/>
      <c r="G12" s="54"/>
      <c r="H12" s="54"/>
      <c r="I12" s="79"/>
      <c r="J12" s="54"/>
      <c r="K12" s="54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</row>
    <row r="13" spans="1:34" s="10" customFormat="1" hidden="1" outlineLevel="1">
      <c r="A13" s="21"/>
      <c r="B13" s="52"/>
      <c r="C13" s="52"/>
      <c r="D13" s="53"/>
      <c r="E13" s="53"/>
      <c r="F13" s="54"/>
      <c r="G13" s="54"/>
      <c r="H13" s="54"/>
      <c r="I13" s="79"/>
      <c r="J13" s="54"/>
      <c r="K13" s="54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</row>
    <row r="14" spans="1:34" s="7" customFormat="1" collapsed="1">
      <c r="A14" s="16"/>
      <c r="B14" s="36"/>
      <c r="C14" s="36"/>
      <c r="D14" s="12"/>
      <c r="E14" s="12"/>
      <c r="F14" s="26"/>
      <c r="G14" s="26"/>
      <c r="H14" s="26"/>
      <c r="I14" s="72"/>
      <c r="J14" s="26"/>
      <c r="K14" s="26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</row>
    <row r="15" spans="1:34">
      <c r="B15" s="37" t="s">
        <v>2266</v>
      </c>
      <c r="C15" s="1274" t="s">
        <v>2267</v>
      </c>
      <c r="D15" s="55" t="s">
        <v>217</v>
      </c>
      <c r="E15" s="55" t="s">
        <v>224</v>
      </c>
      <c r="F15" s="27" t="s">
        <v>241</v>
      </c>
      <c r="G15" s="27" t="s">
        <v>240</v>
      </c>
      <c r="H15" s="57" t="s">
        <v>243</v>
      </c>
      <c r="I15" s="80" t="s">
        <v>246</v>
      </c>
      <c r="J15" s="57" t="s">
        <v>244</v>
      </c>
      <c r="K15" s="57" t="s">
        <v>245</v>
      </c>
      <c r="L15" s="80" t="s">
        <v>249</v>
      </c>
      <c r="M15" s="80" t="s">
        <v>253</v>
      </c>
      <c r="N15" s="80" t="s">
        <v>254</v>
      </c>
      <c r="O15" s="80" t="s">
        <v>255</v>
      </c>
      <c r="P15" s="80" t="s">
        <v>257</v>
      </c>
      <c r="Q15" s="80" t="s">
        <v>370</v>
      </c>
      <c r="R15" s="80" t="s">
        <v>371</v>
      </c>
      <c r="S15" s="80" t="s">
        <v>497</v>
      </c>
      <c r="T15" s="80" t="s">
        <v>1268</v>
      </c>
      <c r="U15" s="80" t="s">
        <v>1313</v>
      </c>
      <c r="V15" s="80" t="s">
        <v>1317</v>
      </c>
      <c r="W15" s="80" t="s">
        <v>1329</v>
      </c>
      <c r="X15" s="80" t="s">
        <v>1330</v>
      </c>
      <c r="Y15" s="80" t="s">
        <v>1331</v>
      </c>
      <c r="Z15" s="80" t="s">
        <v>1332</v>
      </c>
      <c r="AA15" s="80" t="s">
        <v>1333</v>
      </c>
      <c r="AB15" s="80" t="s">
        <v>2315</v>
      </c>
      <c r="AC15" s="80" t="s">
        <v>2390</v>
      </c>
      <c r="AD15" s="80" t="s">
        <v>2399</v>
      </c>
      <c r="AE15" s="80" t="s">
        <v>1686</v>
      </c>
      <c r="AF15" s="80" t="s">
        <v>2472</v>
      </c>
      <c r="AG15" s="80" t="s">
        <v>2478</v>
      </c>
      <c r="AH15" s="80" t="s">
        <v>2644</v>
      </c>
    </row>
    <row r="16" spans="1:34">
      <c r="B16" s="38"/>
      <c r="C16" s="38"/>
      <c r="D16" s="13" t="s">
        <v>168</v>
      </c>
      <c r="E16" s="13" t="s">
        <v>168</v>
      </c>
      <c r="F16" s="27" t="s">
        <v>168</v>
      </c>
      <c r="G16" s="27" t="s">
        <v>168</v>
      </c>
      <c r="H16" s="27" t="s">
        <v>168</v>
      </c>
      <c r="I16" s="73" t="s">
        <v>168</v>
      </c>
      <c r="J16" s="27" t="s">
        <v>168</v>
      </c>
      <c r="K16" s="27" t="s">
        <v>168</v>
      </c>
      <c r="L16" s="73" t="s">
        <v>168</v>
      </c>
      <c r="M16" s="73" t="s">
        <v>168</v>
      </c>
      <c r="N16" s="73" t="s">
        <v>168</v>
      </c>
      <c r="O16" s="73" t="s">
        <v>168</v>
      </c>
      <c r="P16" s="73" t="s">
        <v>168</v>
      </c>
      <c r="Q16" s="73" t="s">
        <v>168</v>
      </c>
      <c r="R16" s="73" t="s">
        <v>168</v>
      </c>
      <c r="S16" s="73" t="s">
        <v>168</v>
      </c>
      <c r="T16" s="73" t="s">
        <v>168</v>
      </c>
      <c r="U16" s="73" t="s">
        <v>168</v>
      </c>
      <c r="V16" s="73" t="s">
        <v>168</v>
      </c>
      <c r="W16" s="73" t="s">
        <v>168</v>
      </c>
      <c r="X16" s="73" t="s">
        <v>168</v>
      </c>
      <c r="Y16" s="73" t="s">
        <v>168</v>
      </c>
      <c r="Z16" s="73" t="s">
        <v>168</v>
      </c>
      <c r="AA16" s="73" t="s">
        <v>168</v>
      </c>
      <c r="AB16" s="73" t="s">
        <v>168</v>
      </c>
      <c r="AC16" s="73" t="s">
        <v>168</v>
      </c>
      <c r="AD16" s="73" t="s">
        <v>168</v>
      </c>
      <c r="AE16" s="73" t="s">
        <v>168</v>
      </c>
      <c r="AF16" s="73" t="s">
        <v>168</v>
      </c>
      <c r="AG16" s="73" t="s">
        <v>168</v>
      </c>
      <c r="AH16" s="73" t="s">
        <v>168</v>
      </c>
    </row>
    <row r="17" spans="2:34" ht="15">
      <c r="B17" s="39" t="s">
        <v>51</v>
      </c>
      <c r="C17" s="39" t="s">
        <v>51</v>
      </c>
      <c r="D17" s="83">
        <v>16805315952602</v>
      </c>
      <c r="E17" s="83">
        <v>18514173810524</v>
      </c>
      <c r="F17" s="83"/>
      <c r="G17" s="83">
        <v>19579310999139</v>
      </c>
      <c r="H17" s="83">
        <v>19273248012476</v>
      </c>
      <c r="I17" s="83">
        <v>19555834133992</v>
      </c>
      <c r="J17" s="83">
        <v>20422712410454</v>
      </c>
      <c r="K17" s="83">
        <v>19853791257736</v>
      </c>
      <c r="L17" s="83">
        <v>21567140929005</v>
      </c>
      <c r="M17" s="83">
        <v>21844023553652</v>
      </c>
      <c r="N17" s="83">
        <v>23063958852530</v>
      </c>
      <c r="O17" s="83">
        <v>23488669151657</v>
      </c>
      <c r="P17" s="83">
        <v>26156796626631</v>
      </c>
      <c r="Q17" s="83">
        <v>26435527266376</v>
      </c>
      <c r="R17" s="83">
        <v>27545848284854</v>
      </c>
      <c r="S17" s="83">
        <v>28479655827083</v>
      </c>
      <c r="T17" s="83">
        <v>31430508517575</v>
      </c>
      <c r="U17" s="83">
        <v>31967611140822</v>
      </c>
      <c r="V17" s="83">
        <v>32570200180240</v>
      </c>
      <c r="W17" s="83">
        <v>32824734181303</v>
      </c>
      <c r="X17" s="83">
        <v>35175314025300</v>
      </c>
      <c r="Y17" s="83">
        <v>35902776705794</v>
      </c>
      <c r="Z17" s="83">
        <v>36780418752774</v>
      </c>
      <c r="AA17" s="83">
        <v>37545136065609</v>
      </c>
      <c r="AB17" s="83">
        <v>39997984129550</v>
      </c>
      <c r="AC17" s="83">
        <v>41267799658287</v>
      </c>
      <c r="AD17" s="83">
        <v>42903992480777</v>
      </c>
      <c r="AE17" s="83">
        <v>44351333784827</v>
      </c>
      <c r="AF17" s="83">
        <v>47161065740421</v>
      </c>
      <c r="AG17" s="83">
        <v>49695828974213</v>
      </c>
      <c r="AH17" s="83">
        <v>47937809206569</v>
      </c>
    </row>
    <row r="18" spans="2:34" ht="15">
      <c r="B18" s="43" t="s">
        <v>1730</v>
      </c>
      <c r="C18" s="43" t="s">
        <v>1730</v>
      </c>
      <c r="D18" s="84">
        <v>2914829246878</v>
      </c>
      <c r="E18" s="84">
        <v>2878166428612</v>
      </c>
      <c r="F18" s="84"/>
      <c r="G18" s="84">
        <v>3377818574099</v>
      </c>
      <c r="H18" s="84">
        <v>2645191828217</v>
      </c>
      <c r="I18" s="84">
        <v>3265319302887</v>
      </c>
      <c r="J18" s="84">
        <v>2956424980218</v>
      </c>
      <c r="K18" s="84">
        <v>2880362168300</v>
      </c>
      <c r="L18" s="84">
        <v>3736842531424</v>
      </c>
      <c r="M18" s="84">
        <v>4161166819214</v>
      </c>
      <c r="N18" s="84">
        <v>4672332465960</v>
      </c>
      <c r="O18" s="84">
        <v>5494972964189</v>
      </c>
      <c r="P18" s="84">
        <v>6057946277394</v>
      </c>
      <c r="Q18" s="84">
        <v>5850747262407</v>
      </c>
      <c r="R18" s="84">
        <v>6617852356182</v>
      </c>
      <c r="S18" s="84">
        <v>7152540908153</v>
      </c>
      <c r="T18" s="84">
        <v>8341369180726</v>
      </c>
      <c r="U18" s="84">
        <v>8464817181762</v>
      </c>
      <c r="V18" s="84">
        <v>8632362904153</v>
      </c>
      <c r="W18" s="84">
        <v>7992055563612</v>
      </c>
      <c r="X18" s="84">
        <v>7686153354537</v>
      </c>
      <c r="Y18" s="84">
        <v>8086875052962</v>
      </c>
      <c r="Z18" s="84">
        <v>7369295008896</v>
      </c>
      <c r="AA18" s="84">
        <v>6674087504292</v>
      </c>
      <c r="AB18" s="84">
        <v>6541858202309</v>
      </c>
      <c r="AC18" s="84">
        <v>7519842255275</v>
      </c>
      <c r="AD18" s="84">
        <v>8151712860996</v>
      </c>
      <c r="AE18" s="84">
        <v>8684180094477</v>
      </c>
      <c r="AF18" s="84">
        <v>8197975847303</v>
      </c>
      <c r="AG18" s="84">
        <v>7007068318817</v>
      </c>
      <c r="AH18" s="84">
        <v>7113558365409</v>
      </c>
    </row>
    <row r="19" spans="2:34" ht="15">
      <c r="B19" s="49" t="s">
        <v>1731</v>
      </c>
      <c r="C19" s="1275" t="s">
        <v>1731</v>
      </c>
      <c r="D19" s="85">
        <v>66664128779</v>
      </c>
      <c r="E19" s="85">
        <v>79892968630</v>
      </c>
      <c r="F19" s="85"/>
      <c r="G19" s="85">
        <v>99734679091</v>
      </c>
      <c r="H19" s="85">
        <v>51094093145</v>
      </c>
      <c r="I19" s="85">
        <v>433072691859</v>
      </c>
      <c r="J19" s="85">
        <v>236554563633</v>
      </c>
      <c r="K19" s="85">
        <v>305755309656</v>
      </c>
      <c r="L19" s="85">
        <v>266228008532</v>
      </c>
      <c r="M19" s="85">
        <v>290176883563</v>
      </c>
      <c r="N19" s="85">
        <v>391339083180</v>
      </c>
      <c r="O19" s="85">
        <v>157607558375</v>
      </c>
      <c r="P19" s="85">
        <v>602060941308</v>
      </c>
      <c r="Q19" s="85">
        <v>288804083691</v>
      </c>
      <c r="R19" s="85">
        <v>292403949204</v>
      </c>
      <c r="S19" s="85">
        <v>431493205674</v>
      </c>
      <c r="T19" s="85">
        <v>444130220002</v>
      </c>
      <c r="U19" s="85">
        <v>454530014986</v>
      </c>
      <c r="V19" s="85">
        <v>460755502661</v>
      </c>
      <c r="W19" s="85">
        <v>820297100022</v>
      </c>
      <c r="X19" s="85">
        <v>765129234870</v>
      </c>
      <c r="Y19" s="85">
        <v>789448951653</v>
      </c>
      <c r="Z19" s="85">
        <v>615884162892</v>
      </c>
      <c r="AA19" s="85">
        <v>675624539545</v>
      </c>
      <c r="AB19" s="85">
        <v>377119500328</v>
      </c>
      <c r="AC19" s="85">
        <v>787901996491</v>
      </c>
      <c r="AD19" s="85">
        <v>1044154816588</v>
      </c>
      <c r="AE19" s="85">
        <v>788187205206</v>
      </c>
      <c r="AF19" s="85">
        <v>792699139803</v>
      </c>
      <c r="AG19" s="85">
        <v>708707511532</v>
      </c>
      <c r="AH19" s="85">
        <v>713731955117</v>
      </c>
    </row>
    <row r="20" spans="2:34" ht="15">
      <c r="B20" s="50" t="s">
        <v>1732</v>
      </c>
      <c r="C20" s="1275" t="s">
        <v>1732</v>
      </c>
      <c r="D20" s="85">
        <v>294570447</v>
      </c>
      <c r="E20" s="85">
        <v>294587756</v>
      </c>
      <c r="F20" s="85"/>
      <c r="G20" s="85">
        <v>303795544</v>
      </c>
      <c r="H20" s="85">
        <v>280093735</v>
      </c>
      <c r="I20" s="85">
        <v>276487317</v>
      </c>
      <c r="J20" s="85">
        <v>262046838</v>
      </c>
      <c r="K20" s="85">
        <v>271300562</v>
      </c>
      <c r="L20" s="85">
        <v>239954469</v>
      </c>
      <c r="M20" s="85">
        <v>226044244</v>
      </c>
      <c r="N20" s="85">
        <v>238207312</v>
      </c>
      <c r="O20" s="85">
        <v>230904244</v>
      </c>
      <c r="P20" s="85">
        <v>220127030</v>
      </c>
      <c r="Q20" s="85">
        <v>206476528</v>
      </c>
      <c r="R20" s="85">
        <v>216672445</v>
      </c>
      <c r="S20" s="85">
        <v>197916671</v>
      </c>
      <c r="T20" s="85">
        <v>184103530</v>
      </c>
      <c r="U20" s="85">
        <v>206957472</v>
      </c>
      <c r="V20" s="85">
        <v>203019039</v>
      </c>
      <c r="W20" s="85">
        <v>180450411</v>
      </c>
      <c r="X20" s="85">
        <v>150945312</v>
      </c>
      <c r="Y20" s="85">
        <v>154247238</v>
      </c>
      <c r="Z20" s="85">
        <v>159198436</v>
      </c>
      <c r="AA20" s="85">
        <v>159171775</v>
      </c>
      <c r="AB20" s="85">
        <v>171936192</v>
      </c>
      <c r="AC20" s="85">
        <v>156552828</v>
      </c>
      <c r="AD20" s="85">
        <v>148125499</v>
      </c>
      <c r="AE20" s="85">
        <v>146473918</v>
      </c>
      <c r="AF20" s="85">
        <v>138736699</v>
      </c>
      <c r="AG20" s="85">
        <v>128245014</v>
      </c>
      <c r="AH20" s="85">
        <v>138692693</v>
      </c>
    </row>
    <row r="21" spans="2:34" ht="15">
      <c r="B21" s="50" t="s">
        <v>1733</v>
      </c>
      <c r="C21" s="1275" t="s">
        <v>1733</v>
      </c>
      <c r="D21" s="85">
        <v>0</v>
      </c>
      <c r="E21" s="85">
        <v>0</v>
      </c>
      <c r="F21" s="85"/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40000000000</v>
      </c>
      <c r="Q21" s="85">
        <v>60000000000</v>
      </c>
      <c r="R21" s="85">
        <v>40000000000</v>
      </c>
      <c r="S21" s="85">
        <v>100000000000</v>
      </c>
      <c r="T21" s="85">
        <v>42000000000</v>
      </c>
      <c r="U21" s="85">
        <v>38000000000</v>
      </c>
      <c r="V21" s="85">
        <v>49000000000</v>
      </c>
      <c r="W21" s="85">
        <v>40000000000</v>
      </c>
      <c r="X21" s="85">
        <v>45000000000</v>
      </c>
      <c r="Y21" s="85">
        <v>55000000000</v>
      </c>
      <c r="Z21" s="85">
        <v>105000000000</v>
      </c>
      <c r="AA21" s="85">
        <v>31000000000</v>
      </c>
      <c r="AB21" s="85">
        <v>21000000000</v>
      </c>
      <c r="AC21" s="85">
        <v>20000000000</v>
      </c>
      <c r="AD21" s="85">
        <v>70000000000</v>
      </c>
      <c r="AE21" s="85">
        <v>20000000000</v>
      </c>
      <c r="AF21" s="85">
        <v>88268000000</v>
      </c>
      <c r="AG21" s="85">
        <v>20000000000</v>
      </c>
      <c r="AH21" s="85">
        <v>20000000000</v>
      </c>
    </row>
    <row r="22" spans="2:34" ht="15">
      <c r="B22" s="50" t="s">
        <v>1734</v>
      </c>
      <c r="C22" s="1275" t="s">
        <v>1734</v>
      </c>
      <c r="D22" s="85">
        <v>27492647744</v>
      </c>
      <c r="E22" s="85">
        <v>29654291727</v>
      </c>
      <c r="F22" s="85"/>
      <c r="G22" s="85">
        <v>26759075939</v>
      </c>
      <c r="H22" s="85">
        <v>28436851570</v>
      </c>
      <c r="I22" s="85">
        <v>29596687963</v>
      </c>
      <c r="J22" s="85">
        <v>27473990933</v>
      </c>
      <c r="K22" s="85">
        <v>26550093712</v>
      </c>
      <c r="L22" s="85">
        <v>26668774670</v>
      </c>
      <c r="M22" s="85">
        <v>28368960286</v>
      </c>
      <c r="N22" s="85">
        <v>27827569423</v>
      </c>
      <c r="O22" s="85">
        <v>25379929801</v>
      </c>
      <c r="P22" s="85">
        <v>28171952879</v>
      </c>
      <c r="Q22" s="85">
        <v>28820750447</v>
      </c>
      <c r="R22" s="85">
        <v>27673704977</v>
      </c>
      <c r="S22" s="85">
        <v>23175979827</v>
      </c>
      <c r="T22" s="85">
        <v>29976024243</v>
      </c>
      <c r="U22" s="85">
        <v>25794640607</v>
      </c>
      <c r="V22" s="85">
        <v>26947471354</v>
      </c>
      <c r="W22" s="85">
        <v>30670752777</v>
      </c>
      <c r="X22" s="85">
        <v>25716148798</v>
      </c>
      <c r="Y22" s="85">
        <v>28630853290</v>
      </c>
      <c r="Z22" s="85">
        <v>75857663250</v>
      </c>
      <c r="AA22" s="85">
        <v>29349025865</v>
      </c>
      <c r="AB22" s="85">
        <v>28498540649</v>
      </c>
      <c r="AC22" s="85">
        <v>29258708080</v>
      </c>
      <c r="AD22" s="85">
        <v>41513840289</v>
      </c>
      <c r="AE22" s="85">
        <v>27663994467</v>
      </c>
      <c r="AF22" s="85">
        <v>30647913301</v>
      </c>
      <c r="AG22" s="85">
        <v>30359065445</v>
      </c>
      <c r="AH22" s="85">
        <v>28945989430</v>
      </c>
    </row>
    <row r="23" spans="2:34" ht="15">
      <c r="B23" s="50" t="s">
        <v>1735</v>
      </c>
      <c r="C23" s="1275" t="s">
        <v>1735</v>
      </c>
      <c r="D23" s="85">
        <v>448099626</v>
      </c>
      <c r="E23" s="85">
        <v>288203969</v>
      </c>
      <c r="F23" s="85"/>
      <c r="G23" s="85">
        <v>292307713</v>
      </c>
      <c r="H23" s="85">
        <v>486176943</v>
      </c>
      <c r="I23" s="85">
        <v>653200008</v>
      </c>
      <c r="J23" s="85">
        <v>255988231</v>
      </c>
      <c r="K23" s="85">
        <v>205535206</v>
      </c>
      <c r="L23" s="85">
        <v>448276690</v>
      </c>
      <c r="M23" s="85">
        <v>338975297</v>
      </c>
      <c r="N23" s="85">
        <v>422070775</v>
      </c>
      <c r="O23" s="85">
        <v>139468416</v>
      </c>
      <c r="P23" s="85">
        <v>564621488</v>
      </c>
      <c r="Q23" s="85">
        <v>323205215</v>
      </c>
      <c r="R23" s="85">
        <v>479653666</v>
      </c>
      <c r="S23" s="85">
        <v>295884161</v>
      </c>
      <c r="T23" s="85">
        <v>588100196</v>
      </c>
      <c r="U23" s="85">
        <v>263602306</v>
      </c>
      <c r="V23" s="85">
        <v>728278853</v>
      </c>
      <c r="W23" s="85">
        <v>417274796</v>
      </c>
      <c r="X23" s="85">
        <v>251622357</v>
      </c>
      <c r="Y23" s="85">
        <v>185007089</v>
      </c>
      <c r="Z23" s="85">
        <v>3645259903</v>
      </c>
      <c r="AA23" s="85">
        <v>332168614</v>
      </c>
      <c r="AB23" s="85">
        <v>382423145</v>
      </c>
      <c r="AC23" s="85">
        <v>660315827</v>
      </c>
      <c r="AD23" s="85">
        <v>1479872034</v>
      </c>
      <c r="AE23" s="85">
        <v>218846621</v>
      </c>
      <c r="AF23" s="85">
        <v>863927749</v>
      </c>
      <c r="AG23" s="85">
        <v>556945546</v>
      </c>
      <c r="AH23" s="85">
        <v>482203511</v>
      </c>
    </row>
    <row r="24" spans="2:34">
      <c r="B24" s="50" t="s">
        <v>1736</v>
      </c>
      <c r="C24" s="1275" t="s">
        <v>1736</v>
      </c>
      <c r="D24" s="86">
        <v>269153722</v>
      </c>
      <c r="E24" s="86">
        <v>1367310386</v>
      </c>
      <c r="F24" s="86"/>
      <c r="G24" s="86">
        <v>1315209904</v>
      </c>
      <c r="H24" s="86">
        <v>9076853999</v>
      </c>
      <c r="I24" s="86">
        <v>20304131065</v>
      </c>
      <c r="J24" s="86">
        <v>13921363608</v>
      </c>
      <c r="K24" s="86">
        <v>9019188609</v>
      </c>
      <c r="L24" s="86">
        <v>10550427300</v>
      </c>
      <c r="M24" s="86">
        <v>12494035040</v>
      </c>
      <c r="N24" s="86">
        <v>21673857527</v>
      </c>
      <c r="O24" s="86">
        <v>31464877516</v>
      </c>
      <c r="P24" s="86">
        <v>25190190057</v>
      </c>
      <c r="Q24" s="86">
        <v>42840964117</v>
      </c>
      <c r="R24" s="86">
        <v>33106123901</v>
      </c>
      <c r="S24" s="86">
        <v>114511970803</v>
      </c>
      <c r="T24" s="86">
        <v>184189343604</v>
      </c>
      <c r="U24" s="86">
        <v>210452490148</v>
      </c>
      <c r="V24" s="86">
        <v>204595901388</v>
      </c>
      <c r="W24" s="86">
        <v>235442761848</v>
      </c>
      <c r="X24" s="86">
        <v>163232711581</v>
      </c>
      <c r="Y24" s="86">
        <v>195946595021</v>
      </c>
      <c r="Z24" s="86">
        <v>109058238839</v>
      </c>
      <c r="AA24" s="86">
        <v>209669464934</v>
      </c>
      <c r="AB24" s="86">
        <v>119584029106</v>
      </c>
      <c r="AC24" s="86">
        <v>207649240590</v>
      </c>
      <c r="AD24" s="86">
        <v>327891864768</v>
      </c>
      <c r="AE24" s="86">
        <v>180943094221</v>
      </c>
      <c r="AF24" s="86">
        <v>128741902492</v>
      </c>
      <c r="AG24" s="86">
        <v>121880609026</v>
      </c>
      <c r="AH24" s="86">
        <v>119733835962</v>
      </c>
    </row>
    <row r="25" spans="2:34" ht="15">
      <c r="B25" s="50" t="s">
        <v>1737</v>
      </c>
      <c r="C25" s="1275" t="s">
        <v>1737</v>
      </c>
      <c r="D25" s="86">
        <v>0</v>
      </c>
      <c r="E25" s="86">
        <v>0</v>
      </c>
      <c r="F25" s="86"/>
      <c r="G25" s="86">
        <v>0</v>
      </c>
      <c r="H25" s="86">
        <v>0</v>
      </c>
      <c r="I25" s="86">
        <v>0</v>
      </c>
      <c r="J25" s="86">
        <v>0</v>
      </c>
      <c r="K25" s="86">
        <v>0</v>
      </c>
      <c r="L25" s="86">
        <v>0</v>
      </c>
      <c r="M25" s="85">
        <v>0</v>
      </c>
      <c r="N25" s="85">
        <v>0</v>
      </c>
      <c r="O25" s="85">
        <v>0</v>
      </c>
      <c r="P25" s="85">
        <v>29860471303</v>
      </c>
      <c r="Q25" s="85">
        <v>0</v>
      </c>
      <c r="R25" s="85">
        <v>0</v>
      </c>
      <c r="S25" s="85">
        <v>20000337810</v>
      </c>
      <c r="T25" s="85">
        <v>0</v>
      </c>
      <c r="U25" s="85">
        <v>0</v>
      </c>
      <c r="V25" s="85">
        <v>0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 s="85">
        <v>0</v>
      </c>
      <c r="AC25" s="85">
        <v>0</v>
      </c>
      <c r="AD25" s="85">
        <v>0</v>
      </c>
      <c r="AE25" s="85">
        <v>49275432192</v>
      </c>
      <c r="AF25" s="85">
        <v>0</v>
      </c>
      <c r="AG25" s="85">
        <v>0</v>
      </c>
      <c r="AH25" s="85">
        <v>0</v>
      </c>
    </row>
    <row r="26" spans="2:34" ht="15">
      <c r="B26" s="50" t="s">
        <v>1738</v>
      </c>
      <c r="C26" s="1275" t="s">
        <v>1738</v>
      </c>
      <c r="D26" s="86">
        <v>3100000000</v>
      </c>
      <c r="E26" s="86">
        <v>2200000000</v>
      </c>
      <c r="F26" s="86"/>
      <c r="G26" s="86">
        <v>1000000000</v>
      </c>
      <c r="H26" s="86">
        <v>2600000000</v>
      </c>
      <c r="I26" s="86">
        <v>22000000000</v>
      </c>
      <c r="J26" s="86">
        <v>14300000000</v>
      </c>
      <c r="K26" s="86">
        <v>47200000000</v>
      </c>
      <c r="L26" s="86">
        <v>18200000000</v>
      </c>
      <c r="M26" s="85">
        <v>13500000000</v>
      </c>
      <c r="N26" s="85">
        <v>50700000000</v>
      </c>
      <c r="O26" s="85">
        <v>100000000000</v>
      </c>
      <c r="P26" s="85">
        <v>37100000000</v>
      </c>
      <c r="Q26" s="85">
        <v>5300000000</v>
      </c>
      <c r="R26" s="85">
        <v>40400000000</v>
      </c>
      <c r="S26" s="85">
        <v>22900000000</v>
      </c>
      <c r="T26" s="85">
        <v>36400000000</v>
      </c>
      <c r="U26" s="85">
        <v>28300000000</v>
      </c>
      <c r="V26" s="85">
        <v>27500000000</v>
      </c>
      <c r="W26" s="85">
        <v>10800000000</v>
      </c>
      <c r="X26" s="85">
        <v>29500000000</v>
      </c>
      <c r="Y26" s="85">
        <v>6700000000</v>
      </c>
      <c r="Z26" s="85">
        <v>69000000000</v>
      </c>
      <c r="AA26" s="85">
        <v>500000000</v>
      </c>
      <c r="AB26" s="85">
        <v>5300000000</v>
      </c>
      <c r="AC26" s="85">
        <v>24800000000</v>
      </c>
      <c r="AD26" s="85">
        <v>97000000000</v>
      </c>
      <c r="AE26" s="85">
        <v>6500000000</v>
      </c>
      <c r="AF26" s="85">
        <v>17400000000</v>
      </c>
      <c r="AG26" s="85">
        <v>10000000000</v>
      </c>
      <c r="AH26" s="85">
        <v>14500000000</v>
      </c>
    </row>
    <row r="27" spans="2:34" ht="15">
      <c r="B27" s="50" t="s">
        <v>1739</v>
      </c>
      <c r="C27" s="1275" t="s">
        <v>1739</v>
      </c>
      <c r="D27" s="86">
        <v>0</v>
      </c>
      <c r="E27" s="86">
        <v>0</v>
      </c>
      <c r="F27" s="86"/>
      <c r="G27" s="86">
        <v>0</v>
      </c>
      <c r="H27" s="86">
        <v>0</v>
      </c>
      <c r="I27" s="86">
        <v>0</v>
      </c>
      <c r="J27" s="86">
        <v>120000000000</v>
      </c>
      <c r="K27" s="86">
        <v>140000000000</v>
      </c>
      <c r="L27" s="86">
        <v>160000000000</v>
      </c>
      <c r="M27" s="85">
        <v>200000000000</v>
      </c>
      <c r="N27" s="85">
        <v>250000000000</v>
      </c>
      <c r="O27" s="85">
        <v>0</v>
      </c>
      <c r="P27" s="85">
        <v>440809544909</v>
      </c>
      <c r="Q27" s="85">
        <v>150140459166</v>
      </c>
      <c r="R27" s="85">
        <v>150138825990</v>
      </c>
      <c r="S27" s="85">
        <v>150242990283</v>
      </c>
      <c r="T27" s="85">
        <v>150458756706</v>
      </c>
      <c r="U27" s="85">
        <v>151058629059</v>
      </c>
      <c r="V27" s="85">
        <v>150139256511</v>
      </c>
      <c r="W27" s="85">
        <v>500445801288</v>
      </c>
      <c r="X27" s="85">
        <v>501008564808</v>
      </c>
      <c r="Y27" s="85">
        <v>501769859761</v>
      </c>
      <c r="Z27" s="85">
        <v>251435630370</v>
      </c>
      <c r="AA27" s="85">
        <v>400491695484</v>
      </c>
      <c r="AB27" s="85">
        <v>200653073223</v>
      </c>
      <c r="AC27" s="85">
        <v>502743631402</v>
      </c>
      <c r="AD27" s="85">
        <v>502575314551</v>
      </c>
      <c r="AE27" s="85">
        <v>501905066220</v>
      </c>
      <c r="AF27" s="85">
        <v>502606255448</v>
      </c>
      <c r="AG27" s="85">
        <v>504976204482</v>
      </c>
      <c r="AH27" s="85">
        <v>507174528845</v>
      </c>
    </row>
    <row r="28" spans="2:34" ht="15">
      <c r="B28" s="50" t="s">
        <v>1740</v>
      </c>
      <c r="C28" s="1275" t="s">
        <v>1740</v>
      </c>
      <c r="D28" s="86">
        <v>0</v>
      </c>
      <c r="E28" s="86">
        <v>0</v>
      </c>
      <c r="F28" s="86"/>
      <c r="G28" s="86">
        <v>0</v>
      </c>
      <c r="H28" s="86">
        <v>0</v>
      </c>
      <c r="I28" s="86">
        <v>0</v>
      </c>
      <c r="J28" s="86">
        <v>0</v>
      </c>
      <c r="K28" s="86">
        <v>0</v>
      </c>
      <c r="L28" s="86">
        <v>0</v>
      </c>
      <c r="M28" s="85">
        <v>0</v>
      </c>
      <c r="N28" s="85">
        <v>0</v>
      </c>
      <c r="O28" s="85">
        <v>0</v>
      </c>
      <c r="P28" s="85">
        <v>0</v>
      </c>
      <c r="Q28" s="85">
        <v>0</v>
      </c>
      <c r="R28" s="85">
        <v>0</v>
      </c>
      <c r="S28" s="85">
        <v>0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 s="85">
        <v>0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</row>
    <row r="29" spans="2:34">
      <c r="B29" s="50" t="s">
        <v>1741</v>
      </c>
      <c r="C29" s="1275" t="s">
        <v>1741</v>
      </c>
      <c r="D29" s="86">
        <v>35059657240</v>
      </c>
      <c r="E29" s="86">
        <v>46088574792</v>
      </c>
      <c r="F29" s="86"/>
      <c r="G29" s="86">
        <v>70064289991</v>
      </c>
      <c r="H29" s="86">
        <v>10214116898</v>
      </c>
      <c r="I29" s="86">
        <v>360242185506</v>
      </c>
      <c r="J29" s="86">
        <v>60341174023</v>
      </c>
      <c r="K29" s="86">
        <v>82509191567</v>
      </c>
      <c r="L29" s="86">
        <v>50120575403</v>
      </c>
      <c r="M29" s="86">
        <v>35248868696</v>
      </c>
      <c r="N29" s="86">
        <v>40477378143</v>
      </c>
      <c r="O29" s="86">
        <v>392378398</v>
      </c>
      <c r="P29" s="86">
        <v>144033642</v>
      </c>
      <c r="Q29" s="86">
        <v>1172228218</v>
      </c>
      <c r="R29" s="86">
        <v>388968225</v>
      </c>
      <c r="S29" s="86">
        <v>168126119</v>
      </c>
      <c r="T29" s="86">
        <v>333891723</v>
      </c>
      <c r="U29" s="86">
        <v>453695394</v>
      </c>
      <c r="V29" s="86">
        <v>1641575516</v>
      </c>
      <c r="W29" s="86">
        <v>2340058902</v>
      </c>
      <c r="X29" s="86">
        <v>269242014</v>
      </c>
      <c r="Y29" s="86">
        <v>1062389254</v>
      </c>
      <c r="Z29" s="86">
        <v>1728172094</v>
      </c>
      <c r="AA29" s="86">
        <v>4123012873</v>
      </c>
      <c r="AB29" s="86">
        <v>1529498013</v>
      </c>
      <c r="AC29" s="86">
        <v>2633547764</v>
      </c>
      <c r="AD29" s="86">
        <v>3545799447</v>
      </c>
      <c r="AE29" s="86">
        <v>1534297567</v>
      </c>
      <c r="AF29" s="86">
        <v>24032404114</v>
      </c>
      <c r="AG29" s="86">
        <v>20806442019</v>
      </c>
      <c r="AH29" s="86">
        <v>22756704676</v>
      </c>
    </row>
    <row r="30" spans="2:34">
      <c r="B30" s="49" t="s">
        <v>1742</v>
      </c>
      <c r="C30" s="1275" t="s">
        <v>1742</v>
      </c>
      <c r="D30" s="86">
        <v>2848165118099</v>
      </c>
      <c r="E30" s="86">
        <v>2798273459982</v>
      </c>
      <c r="F30" s="86"/>
      <c r="G30" s="86">
        <v>3278083895008</v>
      </c>
      <c r="H30" s="86">
        <v>2594097735072</v>
      </c>
      <c r="I30" s="86">
        <v>2832246611028</v>
      </c>
      <c r="J30" s="86">
        <v>2719870416585</v>
      </c>
      <c r="K30" s="86">
        <v>2574606858644</v>
      </c>
      <c r="L30" s="86">
        <v>3470614522892</v>
      </c>
      <c r="M30" s="86">
        <v>3870989935651</v>
      </c>
      <c r="N30" s="86">
        <v>4280993382780</v>
      </c>
      <c r="O30" s="86">
        <v>5337365405814</v>
      </c>
      <c r="P30" s="86">
        <v>5455885336086</v>
      </c>
      <c r="Q30" s="86">
        <v>5561943178716</v>
      </c>
      <c r="R30" s="86">
        <v>6325448406978</v>
      </c>
      <c r="S30" s="86">
        <v>6721047702479</v>
      </c>
      <c r="T30" s="86">
        <v>7897238960724</v>
      </c>
      <c r="U30" s="86">
        <v>8010287166776</v>
      </c>
      <c r="V30" s="86">
        <v>8171607401492</v>
      </c>
      <c r="W30" s="86">
        <v>7171758463590</v>
      </c>
      <c r="X30" s="86">
        <v>6921024119667</v>
      </c>
      <c r="Y30" s="86">
        <v>7297426101309</v>
      </c>
      <c r="Z30" s="86">
        <v>6753410846004</v>
      </c>
      <c r="AA30" s="86">
        <v>5998462964747</v>
      </c>
      <c r="AB30" s="86">
        <v>6164738701981</v>
      </c>
      <c r="AC30" s="86">
        <v>6731940258784</v>
      </c>
      <c r="AD30" s="86">
        <v>7107558044408</v>
      </c>
      <c r="AE30" s="86">
        <v>7895992889271</v>
      </c>
      <c r="AF30" s="86">
        <v>7405276707500</v>
      </c>
      <c r="AG30" s="86">
        <v>6298360807285</v>
      </c>
      <c r="AH30" s="86">
        <v>6399826410292</v>
      </c>
    </row>
    <row r="31" spans="2:34">
      <c r="B31" s="50" t="s">
        <v>1743</v>
      </c>
      <c r="C31" s="1275" t="s">
        <v>1743</v>
      </c>
      <c r="D31" s="86">
        <v>0</v>
      </c>
      <c r="E31" s="86">
        <v>0</v>
      </c>
      <c r="F31" s="86"/>
      <c r="G31" s="86">
        <v>0</v>
      </c>
      <c r="H31" s="86">
        <v>0</v>
      </c>
      <c r="I31" s="86">
        <v>0</v>
      </c>
      <c r="J31" s="86">
        <v>0</v>
      </c>
      <c r="K31" s="86">
        <v>0</v>
      </c>
      <c r="L31" s="86">
        <v>0</v>
      </c>
      <c r="M31" s="86">
        <v>133200000</v>
      </c>
      <c r="N31" s="86">
        <v>0</v>
      </c>
      <c r="O31" s="86">
        <v>0</v>
      </c>
      <c r="P31" s="86">
        <v>0</v>
      </c>
      <c r="Q31" s="86">
        <v>0</v>
      </c>
      <c r="R31" s="86">
        <v>0</v>
      </c>
      <c r="S31" s="86">
        <v>0</v>
      </c>
      <c r="T31" s="86">
        <v>0</v>
      </c>
      <c r="U31" s="86">
        <v>0</v>
      </c>
      <c r="V31" s="86">
        <v>346003553000</v>
      </c>
      <c r="W31" s="86">
        <v>0</v>
      </c>
      <c r="X31" s="86">
        <v>0</v>
      </c>
      <c r="Y31" s="86">
        <v>0</v>
      </c>
      <c r="Z31" s="86">
        <v>0</v>
      </c>
      <c r="AA31" s="86">
        <v>0</v>
      </c>
      <c r="AB31" s="86">
        <v>0</v>
      </c>
      <c r="AC31" s="86">
        <v>46439760</v>
      </c>
      <c r="AD31" s="86">
        <v>0</v>
      </c>
      <c r="AE31" s="86">
        <v>0</v>
      </c>
      <c r="AF31" s="86">
        <v>0</v>
      </c>
      <c r="AG31" s="86">
        <v>49764385000</v>
      </c>
      <c r="AH31" s="86">
        <v>0</v>
      </c>
    </row>
    <row r="32" spans="2:34" ht="15">
      <c r="B32" s="51" t="s">
        <v>1744</v>
      </c>
      <c r="C32" s="1275" t="s">
        <v>1744</v>
      </c>
      <c r="D32" s="86">
        <v>0</v>
      </c>
      <c r="E32" s="86">
        <v>0</v>
      </c>
      <c r="F32" s="86"/>
      <c r="G32" s="86">
        <v>0</v>
      </c>
      <c r="H32" s="86">
        <v>0</v>
      </c>
      <c r="I32" s="86">
        <v>0</v>
      </c>
      <c r="J32" s="86">
        <v>0</v>
      </c>
      <c r="K32" s="86">
        <v>0</v>
      </c>
      <c r="L32" s="86">
        <v>0</v>
      </c>
      <c r="M32" s="86">
        <v>133200000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3553000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46439760</v>
      </c>
      <c r="AD32" s="85">
        <v>0</v>
      </c>
      <c r="AE32" s="85">
        <v>0</v>
      </c>
      <c r="AF32" s="85">
        <v>0</v>
      </c>
      <c r="AG32" s="85">
        <v>64385000</v>
      </c>
      <c r="AH32" s="85">
        <v>0</v>
      </c>
    </row>
    <row r="33" spans="2:34" ht="15">
      <c r="B33" s="51" t="s">
        <v>1745</v>
      </c>
      <c r="C33" s="1275" t="s">
        <v>1745</v>
      </c>
      <c r="D33" s="86">
        <v>0</v>
      </c>
      <c r="E33" s="86">
        <v>0</v>
      </c>
      <c r="F33" s="86"/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v>0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346000000000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49700000000</v>
      </c>
      <c r="AH33" s="85">
        <v>0</v>
      </c>
    </row>
    <row r="34" spans="2:34">
      <c r="B34" s="50" t="s">
        <v>1746</v>
      </c>
      <c r="C34" s="1275" t="s">
        <v>1746</v>
      </c>
      <c r="D34" s="86">
        <v>74600000000</v>
      </c>
      <c r="E34" s="86">
        <v>65000000000</v>
      </c>
      <c r="F34" s="86"/>
      <c r="G34" s="86">
        <v>289200000000</v>
      </c>
      <c r="H34" s="86">
        <v>73400000000</v>
      </c>
      <c r="I34" s="86">
        <v>191000000000</v>
      </c>
      <c r="J34" s="86">
        <v>71900000000</v>
      </c>
      <c r="K34" s="86">
        <v>124900000000</v>
      </c>
      <c r="L34" s="86">
        <v>109300000000</v>
      </c>
      <c r="M34" s="86">
        <v>130500000000</v>
      </c>
      <c r="N34" s="86">
        <v>442700000000</v>
      </c>
      <c r="O34" s="86">
        <v>85800000000</v>
      </c>
      <c r="P34" s="86">
        <v>158600000000</v>
      </c>
      <c r="Q34" s="86">
        <v>59400000000</v>
      </c>
      <c r="R34" s="86">
        <v>261400000000</v>
      </c>
      <c r="S34" s="86">
        <v>94400000000</v>
      </c>
      <c r="T34" s="86">
        <v>153600000000</v>
      </c>
      <c r="U34" s="86">
        <v>286000000000</v>
      </c>
      <c r="V34" s="86">
        <v>98100000000</v>
      </c>
      <c r="W34" s="86">
        <v>157700000000</v>
      </c>
      <c r="X34" s="86">
        <v>166700000000</v>
      </c>
      <c r="Y34" s="86">
        <v>264900000000</v>
      </c>
      <c r="Z34" s="86">
        <v>344500000000</v>
      </c>
      <c r="AA34" s="86">
        <v>142900000000</v>
      </c>
      <c r="AB34" s="86">
        <v>151401430726</v>
      </c>
      <c r="AC34" s="86">
        <v>672328212445</v>
      </c>
      <c r="AD34" s="86">
        <v>487823050188</v>
      </c>
      <c r="AE34" s="86">
        <v>227381373911</v>
      </c>
      <c r="AF34" s="86">
        <v>455511350029</v>
      </c>
      <c r="AG34" s="86">
        <v>320017656539</v>
      </c>
      <c r="AH34" s="86">
        <v>325786188724</v>
      </c>
    </row>
    <row r="35" spans="2:34">
      <c r="B35" s="51" t="s">
        <v>1747</v>
      </c>
      <c r="C35" s="1275" t="s">
        <v>1747</v>
      </c>
      <c r="D35" s="86">
        <v>0</v>
      </c>
      <c r="E35" s="86">
        <v>0</v>
      </c>
      <c r="F35" s="86"/>
      <c r="G35" s="86">
        <v>0</v>
      </c>
      <c r="H35" s="86">
        <v>0</v>
      </c>
      <c r="I35" s="86">
        <v>0</v>
      </c>
      <c r="J35" s="86">
        <v>0</v>
      </c>
      <c r="K35" s="86">
        <v>0</v>
      </c>
      <c r="L35" s="86">
        <v>0</v>
      </c>
      <c r="M35" s="86">
        <v>0</v>
      </c>
      <c r="N35" s="86">
        <v>0</v>
      </c>
      <c r="O35" s="86">
        <v>0</v>
      </c>
      <c r="P35" s="86">
        <v>0</v>
      </c>
      <c r="Q35" s="86">
        <v>0</v>
      </c>
      <c r="R35" s="86">
        <v>0</v>
      </c>
      <c r="S35" s="86">
        <v>0</v>
      </c>
      <c r="T35" s="86">
        <v>0</v>
      </c>
      <c r="U35" s="86">
        <v>0</v>
      </c>
      <c r="V35" s="86">
        <v>0</v>
      </c>
      <c r="W35" s="86">
        <v>0</v>
      </c>
      <c r="X35" s="86">
        <v>0</v>
      </c>
      <c r="Y35" s="86">
        <v>0</v>
      </c>
      <c r="Z35" s="86">
        <v>0</v>
      </c>
      <c r="AA35" s="86">
        <v>0</v>
      </c>
      <c r="AB35" s="86">
        <v>0</v>
      </c>
      <c r="AC35" s="86">
        <v>81584152473</v>
      </c>
      <c r="AD35" s="86">
        <v>64667447124</v>
      </c>
      <c r="AE35" s="86">
        <v>84919427565</v>
      </c>
      <c r="AF35" s="86">
        <v>92460189886</v>
      </c>
      <c r="AG35" s="86">
        <v>112657554889</v>
      </c>
      <c r="AH35" s="86">
        <v>134982895787</v>
      </c>
    </row>
    <row r="36" spans="2:34">
      <c r="B36" s="51" t="s">
        <v>1748</v>
      </c>
      <c r="C36" s="1275" t="s">
        <v>1748</v>
      </c>
      <c r="D36" s="86">
        <v>0</v>
      </c>
      <c r="E36" s="86">
        <v>0</v>
      </c>
      <c r="F36" s="86"/>
      <c r="G36" s="86">
        <v>0</v>
      </c>
      <c r="H36" s="86">
        <v>0</v>
      </c>
      <c r="I36" s="86">
        <v>0</v>
      </c>
      <c r="J36" s="86">
        <v>0</v>
      </c>
      <c r="K36" s="86">
        <v>0</v>
      </c>
      <c r="L36" s="86">
        <v>0</v>
      </c>
      <c r="M36" s="86">
        <v>0</v>
      </c>
      <c r="N36" s="86">
        <v>0</v>
      </c>
      <c r="O36" s="86">
        <v>0</v>
      </c>
      <c r="P36" s="86">
        <v>0</v>
      </c>
      <c r="Q36" s="86">
        <v>0</v>
      </c>
      <c r="R36" s="86">
        <v>0</v>
      </c>
      <c r="S36" s="86">
        <v>0</v>
      </c>
      <c r="T36" s="86">
        <v>0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6">
        <v>0</v>
      </c>
      <c r="AA36" s="86">
        <v>0</v>
      </c>
      <c r="AB36" s="86">
        <v>0</v>
      </c>
      <c r="AC36" s="86">
        <v>24298432087</v>
      </c>
      <c r="AD36" s="86">
        <v>17421697158</v>
      </c>
      <c r="AE36" s="86">
        <v>24093700211</v>
      </c>
      <c r="AF36" s="86">
        <v>26295203673</v>
      </c>
      <c r="AG36" s="86">
        <v>33563835636</v>
      </c>
      <c r="AH36" s="86">
        <v>41624822827</v>
      </c>
    </row>
    <row r="37" spans="2:34">
      <c r="B37" s="51" t="s">
        <v>1749</v>
      </c>
      <c r="C37" s="1275" t="s">
        <v>1749</v>
      </c>
      <c r="D37" s="86">
        <v>74600000000</v>
      </c>
      <c r="E37" s="86">
        <v>65000000000</v>
      </c>
      <c r="F37" s="86"/>
      <c r="G37" s="86">
        <v>289200000000</v>
      </c>
      <c r="H37" s="86">
        <v>73400000000</v>
      </c>
      <c r="I37" s="86">
        <v>191000000000</v>
      </c>
      <c r="J37" s="86">
        <v>71900000000</v>
      </c>
      <c r="K37" s="86">
        <v>124900000000</v>
      </c>
      <c r="L37" s="86">
        <v>109300000000</v>
      </c>
      <c r="M37" s="86">
        <v>130500000000</v>
      </c>
      <c r="N37" s="86">
        <v>442700000000</v>
      </c>
      <c r="O37" s="86">
        <v>85800000000</v>
      </c>
      <c r="P37" s="86">
        <v>158600000000</v>
      </c>
      <c r="Q37" s="86">
        <v>59400000000</v>
      </c>
      <c r="R37" s="86">
        <v>261400000000</v>
      </c>
      <c r="S37" s="86">
        <v>94400000000</v>
      </c>
      <c r="T37" s="86">
        <v>153600000000</v>
      </c>
      <c r="U37" s="86">
        <v>286000000000</v>
      </c>
      <c r="V37" s="86">
        <v>98100000000</v>
      </c>
      <c r="W37" s="86">
        <v>157700000000</v>
      </c>
      <c r="X37" s="86">
        <v>166700000000</v>
      </c>
      <c r="Y37" s="86">
        <v>264900000000</v>
      </c>
      <c r="Z37" s="86">
        <v>344500000000</v>
      </c>
      <c r="AA37" s="86">
        <v>142900000000</v>
      </c>
      <c r="AB37" s="86">
        <v>151401430726</v>
      </c>
      <c r="AC37" s="86">
        <v>566445627885</v>
      </c>
      <c r="AD37" s="86">
        <v>405733905906</v>
      </c>
      <c r="AE37" s="86">
        <v>118368246135</v>
      </c>
      <c r="AF37" s="86">
        <v>336755956470</v>
      </c>
      <c r="AG37" s="86">
        <v>173796266014</v>
      </c>
      <c r="AH37" s="86">
        <v>149178470110</v>
      </c>
    </row>
    <row r="38" spans="2:34">
      <c r="B38" s="50" t="s">
        <v>1750</v>
      </c>
      <c r="C38" s="1275" t="s">
        <v>1750</v>
      </c>
      <c r="D38" s="86">
        <v>1195116317098</v>
      </c>
      <c r="E38" s="86">
        <v>1199959541691</v>
      </c>
      <c r="F38" s="86"/>
      <c r="G38" s="86">
        <v>1167374525408</v>
      </c>
      <c r="H38" s="86">
        <v>1146886595106</v>
      </c>
      <c r="I38" s="86">
        <v>1271714646102</v>
      </c>
      <c r="J38" s="86">
        <v>1261872700628</v>
      </c>
      <c r="K38" s="86">
        <v>1120484958389</v>
      </c>
      <c r="L38" s="86">
        <v>1276986673586</v>
      </c>
      <c r="M38" s="86">
        <v>1280902952516</v>
      </c>
      <c r="N38" s="86">
        <v>1186680647008</v>
      </c>
      <c r="O38" s="86">
        <v>1268793632259</v>
      </c>
      <c r="P38" s="86">
        <v>1437665457163</v>
      </c>
      <c r="Q38" s="86">
        <v>1624832464880</v>
      </c>
      <c r="R38" s="86">
        <v>1810750804501</v>
      </c>
      <c r="S38" s="86">
        <v>1593314976632</v>
      </c>
      <c r="T38" s="86">
        <v>1815223958038</v>
      </c>
      <c r="U38" s="86">
        <v>1775234533831</v>
      </c>
      <c r="V38" s="86">
        <v>1981124422359</v>
      </c>
      <c r="W38" s="86">
        <v>1876549565016</v>
      </c>
      <c r="X38" s="86">
        <v>1891783432790</v>
      </c>
      <c r="Y38" s="86">
        <v>1991459810485</v>
      </c>
      <c r="Z38" s="86">
        <v>1991245622216</v>
      </c>
      <c r="AA38" s="86">
        <v>2049005663004</v>
      </c>
      <c r="AB38" s="86">
        <v>2140336399448</v>
      </c>
      <c r="AC38" s="86">
        <v>2020922088899</v>
      </c>
      <c r="AD38" s="86">
        <v>1936649876002</v>
      </c>
      <c r="AE38" s="86">
        <v>1751033119074</v>
      </c>
      <c r="AF38" s="86">
        <v>2145354405835</v>
      </c>
      <c r="AG38" s="86">
        <v>1917857589306</v>
      </c>
      <c r="AH38" s="86">
        <v>1765810622080</v>
      </c>
    </row>
    <row r="39" spans="2:34">
      <c r="B39" s="51" t="s">
        <v>1747</v>
      </c>
      <c r="C39" s="1275" t="s">
        <v>1747</v>
      </c>
      <c r="D39" s="86">
        <v>999839827162</v>
      </c>
      <c r="E39" s="86">
        <v>994243587830</v>
      </c>
      <c r="F39" s="86"/>
      <c r="G39" s="86">
        <v>939483102415</v>
      </c>
      <c r="H39" s="86">
        <v>960560569798</v>
      </c>
      <c r="I39" s="86">
        <v>1067988628259</v>
      </c>
      <c r="J39" s="86">
        <v>1061095063080</v>
      </c>
      <c r="K39" s="86">
        <v>911800926487</v>
      </c>
      <c r="L39" s="86">
        <v>871519343354</v>
      </c>
      <c r="M39" s="86">
        <v>920865097711</v>
      </c>
      <c r="N39" s="86">
        <v>930969402778</v>
      </c>
      <c r="O39" s="86">
        <v>1022193475534</v>
      </c>
      <c r="P39" s="86">
        <v>1187541030298</v>
      </c>
      <c r="Q39" s="86">
        <v>1388751911971</v>
      </c>
      <c r="R39" s="86">
        <v>1341749661837</v>
      </c>
      <c r="S39" s="86">
        <v>1330332444922</v>
      </c>
      <c r="T39" s="86">
        <v>1570122855979</v>
      </c>
      <c r="U39" s="86">
        <v>1515505956277</v>
      </c>
      <c r="V39" s="86">
        <v>1494085959112</v>
      </c>
      <c r="W39" s="86">
        <v>1525381494155</v>
      </c>
      <c r="X39" s="86">
        <v>1400637059098</v>
      </c>
      <c r="Y39" s="86">
        <v>1530161184018</v>
      </c>
      <c r="Z39" s="86">
        <v>1568949472627</v>
      </c>
      <c r="AA39" s="86">
        <v>1671685573234</v>
      </c>
      <c r="AB39" s="86">
        <v>1716603665438</v>
      </c>
      <c r="AC39" s="86">
        <v>1651389545405</v>
      </c>
      <c r="AD39" s="86">
        <v>1550980003380</v>
      </c>
      <c r="AE39" s="86">
        <v>1408739928775</v>
      </c>
      <c r="AF39" s="86">
        <v>1755532524538</v>
      </c>
      <c r="AG39" s="86">
        <v>1589523420539</v>
      </c>
      <c r="AH39" s="86">
        <v>1439743842448</v>
      </c>
    </row>
    <row r="40" spans="2:34">
      <c r="B40" s="51" t="s">
        <v>1748</v>
      </c>
      <c r="C40" s="1275" t="s">
        <v>1748</v>
      </c>
      <c r="D40" s="86">
        <v>195276489936</v>
      </c>
      <c r="E40" s="86">
        <v>205715953861</v>
      </c>
      <c r="F40" s="86"/>
      <c r="G40" s="86">
        <v>227891422993</v>
      </c>
      <c r="H40" s="86">
        <v>186326025308</v>
      </c>
      <c r="I40" s="86">
        <v>203726017843</v>
      </c>
      <c r="J40" s="86">
        <v>200777637548</v>
      </c>
      <c r="K40" s="86">
        <v>208684031902</v>
      </c>
      <c r="L40" s="86">
        <v>405467330232</v>
      </c>
      <c r="M40" s="86">
        <v>360037854805</v>
      </c>
      <c r="N40" s="86">
        <v>255711244230</v>
      </c>
      <c r="O40" s="86">
        <v>246600156725</v>
      </c>
      <c r="P40" s="86">
        <v>250124426865</v>
      </c>
      <c r="Q40" s="86">
        <v>236080552909</v>
      </c>
      <c r="R40" s="86">
        <v>469001142664</v>
      </c>
      <c r="S40" s="86">
        <v>262982531710</v>
      </c>
      <c r="T40" s="86">
        <v>245101102059</v>
      </c>
      <c r="U40" s="86">
        <v>259728577554</v>
      </c>
      <c r="V40" s="86">
        <v>487038463247</v>
      </c>
      <c r="W40" s="86">
        <v>351168070861</v>
      </c>
      <c r="X40" s="86">
        <v>491146373692</v>
      </c>
      <c r="Y40" s="86">
        <v>461298626467</v>
      </c>
      <c r="Z40" s="86">
        <v>422296149589</v>
      </c>
      <c r="AA40" s="86">
        <v>377320089770</v>
      </c>
      <c r="AB40" s="86">
        <v>423732734010</v>
      </c>
      <c r="AC40" s="86">
        <v>369532543494</v>
      </c>
      <c r="AD40" s="86">
        <v>385669872622</v>
      </c>
      <c r="AE40" s="86">
        <v>342293190299</v>
      </c>
      <c r="AF40" s="86">
        <v>389821881297</v>
      </c>
      <c r="AG40" s="86">
        <v>328334168767</v>
      </c>
      <c r="AH40" s="86">
        <v>326066779632</v>
      </c>
    </row>
    <row r="41" spans="2:34" ht="15">
      <c r="B41" s="51" t="s">
        <v>1749</v>
      </c>
      <c r="C41" s="1275" t="s">
        <v>1749</v>
      </c>
      <c r="D41" s="86">
        <v>0</v>
      </c>
      <c r="E41" s="86">
        <v>0</v>
      </c>
      <c r="F41" s="86"/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 s="85">
        <v>0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</row>
    <row r="42" spans="2:34" ht="15">
      <c r="B42" s="50" t="s">
        <v>1751</v>
      </c>
      <c r="C42" s="1275" t="s">
        <v>1751</v>
      </c>
      <c r="D42" s="86">
        <v>0</v>
      </c>
      <c r="E42" s="86">
        <v>0</v>
      </c>
      <c r="F42" s="86"/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0</v>
      </c>
      <c r="M42" s="85">
        <v>0</v>
      </c>
      <c r="N42" s="85">
        <v>0</v>
      </c>
      <c r="O42" s="85">
        <v>0</v>
      </c>
      <c r="P42" s="85">
        <v>0</v>
      </c>
      <c r="Q42" s="85">
        <v>0</v>
      </c>
      <c r="R42" s="85">
        <v>0</v>
      </c>
      <c r="S42" s="85">
        <v>0</v>
      </c>
      <c r="T42" s="85">
        <v>0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 s="85">
        <v>0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</row>
    <row r="43" spans="2:34" ht="15">
      <c r="B43" s="50" t="s">
        <v>1752</v>
      </c>
      <c r="C43" s="1275" t="s">
        <v>1752</v>
      </c>
      <c r="D43" s="86">
        <v>0</v>
      </c>
      <c r="E43" s="86">
        <v>0</v>
      </c>
      <c r="F43" s="86"/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v>0</v>
      </c>
      <c r="M43" s="85">
        <v>0</v>
      </c>
      <c r="N43" s="85">
        <v>0</v>
      </c>
      <c r="O43" s="85">
        <v>0</v>
      </c>
      <c r="P43" s="85">
        <v>0</v>
      </c>
      <c r="Q43" s="85">
        <v>0</v>
      </c>
      <c r="R43" s="85">
        <v>0</v>
      </c>
      <c r="S43" s="85">
        <v>0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 s="85">
        <v>0</v>
      </c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</row>
    <row r="44" spans="2:34">
      <c r="B44" s="50" t="s">
        <v>1753</v>
      </c>
      <c r="C44" s="1275" t="s">
        <v>1753</v>
      </c>
      <c r="D44" s="86">
        <v>21190109481</v>
      </c>
      <c r="E44" s="86">
        <v>31757964822</v>
      </c>
      <c r="F44" s="86"/>
      <c r="G44" s="86">
        <v>67831045825</v>
      </c>
      <c r="H44" s="86">
        <v>162251353929</v>
      </c>
      <c r="I44" s="86">
        <v>444727560881</v>
      </c>
      <c r="J44" s="86">
        <v>348461841328</v>
      </c>
      <c r="K44" s="86">
        <v>325509651496</v>
      </c>
      <c r="L44" s="86">
        <v>493453970114</v>
      </c>
      <c r="M44" s="86">
        <v>633089048478</v>
      </c>
      <c r="N44" s="86">
        <v>839500718730</v>
      </c>
      <c r="O44" s="86">
        <v>1208723834240</v>
      </c>
      <c r="P44" s="86">
        <v>1056361748183</v>
      </c>
      <c r="Q44" s="86">
        <v>1129642129299</v>
      </c>
      <c r="R44" s="86">
        <v>2422889842933</v>
      </c>
      <c r="S44" s="86">
        <v>2457539207262</v>
      </c>
      <c r="T44" s="86">
        <v>3258729736558</v>
      </c>
      <c r="U44" s="86">
        <v>3184599383829</v>
      </c>
      <c r="V44" s="86">
        <v>2600486914661</v>
      </c>
      <c r="W44" s="86">
        <v>2306304255154</v>
      </c>
      <c r="X44" s="86">
        <v>1761555992364</v>
      </c>
      <c r="Y44" s="86">
        <v>1662308698981</v>
      </c>
      <c r="Z44" s="86">
        <v>1744530448624</v>
      </c>
      <c r="AA44" s="86">
        <v>1509789216061</v>
      </c>
      <c r="AB44" s="86">
        <v>2243272472436</v>
      </c>
      <c r="AC44" s="86">
        <v>1985955082769</v>
      </c>
      <c r="AD44" s="86">
        <v>2005682370725</v>
      </c>
      <c r="AE44" s="86">
        <v>2756373246235</v>
      </c>
      <c r="AF44" s="86">
        <v>2211905725862</v>
      </c>
      <c r="AG44" s="86">
        <v>2277148707231</v>
      </c>
      <c r="AH44" s="86">
        <v>2340602260128</v>
      </c>
    </row>
    <row r="45" spans="2:34" ht="15">
      <c r="B45" s="51" t="s">
        <v>1754</v>
      </c>
      <c r="C45" s="1275" t="s">
        <v>1754</v>
      </c>
      <c r="D45" s="86">
        <v>0</v>
      </c>
      <c r="E45" s="86">
        <v>0</v>
      </c>
      <c r="F45" s="86"/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R45" s="85">
        <v>0</v>
      </c>
      <c r="S45" s="85">
        <v>0</v>
      </c>
      <c r="T45" s="85">
        <v>0</v>
      </c>
      <c r="U45" s="85">
        <v>0</v>
      </c>
      <c r="V45" s="85">
        <v>0</v>
      </c>
      <c r="W45" s="85">
        <v>0</v>
      </c>
      <c r="X45" s="85">
        <v>0</v>
      </c>
      <c r="Y45" s="85">
        <v>0</v>
      </c>
      <c r="Z45" s="85">
        <v>0</v>
      </c>
      <c r="AA45" s="85">
        <v>0</v>
      </c>
      <c r="AB45" s="85">
        <v>0</v>
      </c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</row>
    <row r="46" spans="2:34">
      <c r="B46" s="51" t="s">
        <v>1755</v>
      </c>
      <c r="C46" s="1275" t="s">
        <v>1755</v>
      </c>
      <c r="D46" s="86">
        <v>8296739633</v>
      </c>
      <c r="E46" s="86">
        <v>19148078977</v>
      </c>
      <c r="F46" s="86"/>
      <c r="G46" s="86">
        <v>47525231759</v>
      </c>
      <c r="H46" s="86">
        <v>129116552850</v>
      </c>
      <c r="I46" s="86">
        <v>405552776406</v>
      </c>
      <c r="J46" s="86">
        <v>281793705575</v>
      </c>
      <c r="K46" s="86">
        <v>237351234164</v>
      </c>
      <c r="L46" s="86">
        <v>335362802772</v>
      </c>
      <c r="M46" s="86">
        <v>322514595965</v>
      </c>
      <c r="N46" s="86">
        <v>332523225567</v>
      </c>
      <c r="O46" s="86">
        <v>432529602692</v>
      </c>
      <c r="P46" s="86">
        <v>393673021908</v>
      </c>
      <c r="Q46" s="86">
        <v>408404018815</v>
      </c>
      <c r="R46" s="86">
        <v>968974494227</v>
      </c>
      <c r="S46" s="86">
        <v>852597972770</v>
      </c>
      <c r="T46" s="86">
        <v>1046245643294</v>
      </c>
      <c r="U46" s="86">
        <v>1129418247428</v>
      </c>
      <c r="V46" s="86">
        <v>946179693808</v>
      </c>
      <c r="W46" s="86">
        <v>758938743300</v>
      </c>
      <c r="X46" s="86">
        <v>490062361574</v>
      </c>
      <c r="Y46" s="86">
        <v>398305350154</v>
      </c>
      <c r="Z46" s="86">
        <v>474999215128</v>
      </c>
      <c r="AA46" s="86">
        <v>428719359508</v>
      </c>
      <c r="AB46" s="86">
        <v>697808964697</v>
      </c>
      <c r="AC46" s="86">
        <v>637415848725</v>
      </c>
      <c r="AD46" s="86">
        <v>573516563370</v>
      </c>
      <c r="AE46" s="86">
        <v>936032254805</v>
      </c>
      <c r="AF46" s="86">
        <v>768916057959</v>
      </c>
      <c r="AG46" s="86">
        <v>754910253174</v>
      </c>
      <c r="AH46" s="86">
        <v>674719845342</v>
      </c>
    </row>
    <row r="47" spans="2:34" ht="15">
      <c r="B47" s="51" t="s">
        <v>1756</v>
      </c>
      <c r="C47" s="1275" t="s">
        <v>1756</v>
      </c>
      <c r="D47" s="86">
        <v>0</v>
      </c>
      <c r="E47" s="86">
        <v>0</v>
      </c>
      <c r="F47" s="86"/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5">
        <v>0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 s="85">
        <v>0</v>
      </c>
      <c r="U47" s="85">
        <v>0</v>
      </c>
      <c r="V47" s="85">
        <v>0</v>
      </c>
      <c r="W47" s="85">
        <v>0</v>
      </c>
      <c r="X47" s="85">
        <v>0</v>
      </c>
      <c r="Y47" s="85">
        <v>0</v>
      </c>
      <c r="Z47" s="85">
        <v>0</v>
      </c>
      <c r="AA47" s="85">
        <v>0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 s="85">
        <v>0</v>
      </c>
      <c r="AH47" s="85">
        <v>0</v>
      </c>
    </row>
    <row r="48" spans="2:34" ht="15">
      <c r="B48" s="51" t="s">
        <v>1757</v>
      </c>
      <c r="C48" s="1275" t="s">
        <v>1757</v>
      </c>
      <c r="D48" s="86">
        <v>12893369848</v>
      </c>
      <c r="E48" s="86">
        <v>12609885845</v>
      </c>
      <c r="F48" s="86"/>
      <c r="G48" s="86">
        <v>20305814066</v>
      </c>
      <c r="H48" s="86">
        <v>33134801079</v>
      </c>
      <c r="I48" s="86">
        <v>39174784475</v>
      </c>
      <c r="J48" s="86">
        <v>66668135753</v>
      </c>
      <c r="K48" s="86">
        <v>88158417332</v>
      </c>
      <c r="L48" s="86">
        <v>158091167342</v>
      </c>
      <c r="M48" s="85">
        <v>310574452513</v>
      </c>
      <c r="N48" s="85">
        <v>506977493163</v>
      </c>
      <c r="O48" s="85">
        <v>776194231548</v>
      </c>
      <c r="P48" s="85">
        <v>662688726275</v>
      </c>
      <c r="Q48" s="85">
        <v>721238110484</v>
      </c>
      <c r="R48" s="85">
        <v>1453915348706</v>
      </c>
      <c r="S48" s="85">
        <v>1604941234492</v>
      </c>
      <c r="T48" s="85">
        <v>2212484093264</v>
      </c>
      <c r="U48" s="85">
        <v>2055181136401</v>
      </c>
      <c r="V48" s="85">
        <v>1654307220853</v>
      </c>
      <c r="W48" s="85">
        <v>1547365511854</v>
      </c>
      <c r="X48" s="85">
        <v>1271493630790</v>
      </c>
      <c r="Y48" s="85">
        <v>1264003348827</v>
      </c>
      <c r="Z48" s="85">
        <v>1269531233496</v>
      </c>
      <c r="AA48" s="85">
        <v>1081069856553</v>
      </c>
      <c r="AB48" s="85">
        <v>1545463507739</v>
      </c>
      <c r="AC48" s="85">
        <v>1348539234044</v>
      </c>
      <c r="AD48" s="85">
        <v>1432165807355</v>
      </c>
      <c r="AE48" s="85">
        <v>1820340991430</v>
      </c>
      <c r="AF48" s="85">
        <v>1442989667903</v>
      </c>
      <c r="AG48" s="85">
        <v>1522238454057</v>
      </c>
      <c r="AH48" s="85">
        <v>1665882414786</v>
      </c>
    </row>
    <row r="49" spans="2:34">
      <c r="B49" s="50" t="s">
        <v>1758</v>
      </c>
      <c r="C49" s="1275" t="s">
        <v>1758</v>
      </c>
      <c r="D49" s="86">
        <v>0</v>
      </c>
      <c r="E49" s="86">
        <v>0</v>
      </c>
      <c r="F49" s="86"/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v>0</v>
      </c>
      <c r="M49" s="86">
        <v>0</v>
      </c>
      <c r="N49" s="86">
        <v>0</v>
      </c>
      <c r="O49" s="86">
        <v>0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6">
        <v>0</v>
      </c>
      <c r="AA49" s="86">
        <v>0</v>
      </c>
      <c r="AB49" s="86">
        <v>0</v>
      </c>
      <c r="AC49" s="86">
        <v>0</v>
      </c>
      <c r="AD49" s="86">
        <v>0</v>
      </c>
      <c r="AE49" s="86">
        <v>0</v>
      </c>
      <c r="AF49" s="86">
        <v>0</v>
      </c>
      <c r="AG49" s="86">
        <v>0</v>
      </c>
      <c r="AH49" s="86">
        <v>0</v>
      </c>
    </row>
    <row r="50" spans="2:34" ht="15">
      <c r="B50" s="51" t="s">
        <v>1754</v>
      </c>
      <c r="C50" s="1275" t="s">
        <v>1754</v>
      </c>
      <c r="D50" s="86">
        <v>0</v>
      </c>
      <c r="E50" s="86">
        <v>0</v>
      </c>
      <c r="F50" s="86"/>
      <c r="G50" s="86">
        <v>0</v>
      </c>
      <c r="H50" s="86">
        <v>0</v>
      </c>
      <c r="I50" s="86">
        <v>0</v>
      </c>
      <c r="J50" s="86">
        <v>0</v>
      </c>
      <c r="K50" s="86">
        <v>0</v>
      </c>
      <c r="L50" s="86">
        <v>0</v>
      </c>
      <c r="M50" s="85">
        <v>0</v>
      </c>
      <c r="N50" s="85">
        <v>0</v>
      </c>
      <c r="O50" s="86">
        <v>0</v>
      </c>
      <c r="P50" s="86">
        <v>0</v>
      </c>
      <c r="Q50" s="86">
        <v>0</v>
      </c>
      <c r="R50" s="86">
        <v>0</v>
      </c>
      <c r="S50" s="86">
        <v>0</v>
      </c>
      <c r="T50" s="86">
        <v>0</v>
      </c>
      <c r="U50" s="86">
        <v>0</v>
      </c>
      <c r="V50" s="86">
        <v>0</v>
      </c>
      <c r="W50" s="86">
        <v>0</v>
      </c>
      <c r="X50" s="86">
        <v>0</v>
      </c>
      <c r="Y50" s="86">
        <v>0</v>
      </c>
      <c r="Z50" s="86">
        <v>0</v>
      </c>
      <c r="AA50" s="86">
        <v>0</v>
      </c>
      <c r="AB50" s="86">
        <v>0</v>
      </c>
      <c r="AC50" s="86">
        <v>0</v>
      </c>
      <c r="AD50" s="86">
        <v>0</v>
      </c>
      <c r="AE50" s="86">
        <v>0</v>
      </c>
      <c r="AF50" s="86">
        <v>0</v>
      </c>
      <c r="AG50" s="86">
        <v>0</v>
      </c>
      <c r="AH50" s="86">
        <v>0</v>
      </c>
    </row>
    <row r="51" spans="2:34" ht="15">
      <c r="B51" s="51" t="s">
        <v>1755</v>
      </c>
      <c r="C51" s="1275" t="s">
        <v>1755</v>
      </c>
      <c r="D51" s="86">
        <v>0</v>
      </c>
      <c r="E51" s="86">
        <v>0</v>
      </c>
      <c r="F51" s="86"/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86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</row>
    <row r="52" spans="2:34" ht="15">
      <c r="B52" s="51" t="s">
        <v>1756</v>
      </c>
      <c r="C52" s="1275" t="s">
        <v>1756</v>
      </c>
      <c r="D52" s="86">
        <v>0</v>
      </c>
      <c r="E52" s="86">
        <v>0</v>
      </c>
      <c r="F52" s="86"/>
      <c r="G52" s="86">
        <v>0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 s="85">
        <v>0</v>
      </c>
    </row>
    <row r="53" spans="2:34" ht="15">
      <c r="B53" s="51" t="s">
        <v>1757</v>
      </c>
      <c r="C53" s="1275" t="s">
        <v>1757</v>
      </c>
      <c r="D53" s="86">
        <v>0</v>
      </c>
      <c r="E53" s="86">
        <v>0</v>
      </c>
      <c r="F53" s="86"/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 s="85">
        <v>0</v>
      </c>
    </row>
    <row r="54" spans="2:34">
      <c r="B54" s="50" t="s">
        <v>1759</v>
      </c>
      <c r="C54" s="1275" t="s">
        <v>1759</v>
      </c>
      <c r="D54" s="86">
        <v>0</v>
      </c>
      <c r="E54" s="86">
        <v>0</v>
      </c>
      <c r="F54" s="86"/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  <c r="O54" s="86">
        <v>0</v>
      </c>
      <c r="P54" s="86">
        <v>0</v>
      </c>
      <c r="Q54" s="86">
        <v>0</v>
      </c>
      <c r="R54" s="86">
        <v>0</v>
      </c>
      <c r="S54" s="86">
        <v>0</v>
      </c>
      <c r="T54" s="86">
        <v>0</v>
      </c>
      <c r="U54" s="86">
        <v>0</v>
      </c>
      <c r="V54" s="86">
        <v>0</v>
      </c>
      <c r="W54" s="86">
        <v>0</v>
      </c>
      <c r="X54" s="86">
        <v>0</v>
      </c>
      <c r="Y54" s="86">
        <v>0</v>
      </c>
      <c r="Z54" s="86">
        <v>0</v>
      </c>
      <c r="AA54" s="86">
        <v>0</v>
      </c>
      <c r="AB54" s="86">
        <v>0</v>
      </c>
      <c r="AC54" s="86">
        <v>0</v>
      </c>
      <c r="AD54" s="86">
        <v>0</v>
      </c>
      <c r="AE54" s="86">
        <v>0</v>
      </c>
      <c r="AF54" s="86">
        <v>0</v>
      </c>
      <c r="AG54" s="86">
        <v>0</v>
      </c>
      <c r="AH54" s="86">
        <v>0</v>
      </c>
    </row>
    <row r="55" spans="2:34" ht="15">
      <c r="B55" s="50" t="s">
        <v>1760</v>
      </c>
      <c r="C55" s="1275" t="s">
        <v>1760</v>
      </c>
      <c r="D55" s="86">
        <v>0</v>
      </c>
      <c r="E55" s="86">
        <v>0</v>
      </c>
      <c r="F55" s="86"/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 s="85">
        <v>0</v>
      </c>
    </row>
    <row r="56" spans="2:34" ht="15">
      <c r="B56" s="50" t="s">
        <v>1761</v>
      </c>
      <c r="C56" s="1275" t="s">
        <v>1761</v>
      </c>
      <c r="D56" s="86">
        <v>1029000000000</v>
      </c>
      <c r="E56" s="86">
        <v>1121000000000</v>
      </c>
      <c r="F56" s="86"/>
      <c r="G56" s="86">
        <v>1344775000000</v>
      </c>
      <c r="H56" s="86">
        <v>730000000000</v>
      </c>
      <c r="I56" s="86">
        <v>450000000000</v>
      </c>
      <c r="J56" s="86">
        <v>485000000000</v>
      </c>
      <c r="K56" s="86">
        <v>569858912620</v>
      </c>
      <c r="L56" s="86">
        <v>1095528159484</v>
      </c>
      <c r="M56" s="85">
        <v>1332717326411</v>
      </c>
      <c r="N56" s="85">
        <v>1277673652476</v>
      </c>
      <c r="O56" s="85">
        <v>2320601872490</v>
      </c>
      <c r="P56" s="85">
        <v>2193131696437</v>
      </c>
      <c r="Q56" s="85">
        <v>2031099580000</v>
      </c>
      <c r="R56" s="85">
        <v>1224645100000</v>
      </c>
      <c r="S56" s="85">
        <v>1945000000000</v>
      </c>
      <c r="T56" s="85">
        <v>2005000000000</v>
      </c>
      <c r="U56" s="85">
        <v>2064864102562</v>
      </c>
      <c r="V56" s="85">
        <v>2383110256409</v>
      </c>
      <c r="W56" s="85">
        <v>2155000000000</v>
      </c>
      <c r="X56" s="85">
        <v>2375000000000</v>
      </c>
      <c r="Y56" s="85">
        <v>2515000000000</v>
      </c>
      <c r="Z56" s="85">
        <v>2275000000000</v>
      </c>
      <c r="AA56" s="85">
        <v>2160132500000</v>
      </c>
      <c r="AB56" s="85">
        <v>1515000000000</v>
      </c>
      <c r="AC56" s="85">
        <v>2035000000000</v>
      </c>
      <c r="AD56" s="85">
        <v>2655000000000</v>
      </c>
      <c r="AE56" s="85">
        <v>3135000000000</v>
      </c>
      <c r="AF56" s="85">
        <v>2565000000000</v>
      </c>
      <c r="AG56" s="85">
        <v>1705000000000</v>
      </c>
      <c r="AH56" s="85">
        <v>1933961200000</v>
      </c>
    </row>
    <row r="57" spans="2:34">
      <c r="B57" s="50" t="s">
        <v>1762</v>
      </c>
      <c r="C57" s="1275" t="s">
        <v>1762</v>
      </c>
      <c r="D57" s="86">
        <v>43000000</v>
      </c>
      <c r="E57" s="86">
        <v>37500000</v>
      </c>
      <c r="F57" s="86"/>
      <c r="G57" s="86">
        <v>37500000</v>
      </c>
      <c r="H57" s="86">
        <v>37500000</v>
      </c>
      <c r="I57" s="86">
        <v>37500000</v>
      </c>
      <c r="J57" s="86">
        <v>37500000</v>
      </c>
      <c r="K57" s="86">
        <v>37500000</v>
      </c>
      <c r="L57" s="86">
        <v>37500000</v>
      </c>
      <c r="M57" s="86">
        <v>37500000</v>
      </c>
      <c r="N57" s="86">
        <v>37500000</v>
      </c>
      <c r="O57" s="86">
        <v>37500000</v>
      </c>
      <c r="P57" s="86">
        <v>37500000</v>
      </c>
      <c r="Q57" s="86">
        <v>37500000</v>
      </c>
      <c r="R57" s="86">
        <v>37500000</v>
      </c>
      <c r="S57" s="86">
        <v>37500000</v>
      </c>
      <c r="T57" s="86">
        <v>37500000</v>
      </c>
      <c r="U57" s="86">
        <v>37500000</v>
      </c>
      <c r="V57" s="86">
        <v>37500000</v>
      </c>
      <c r="W57" s="86">
        <v>37500000</v>
      </c>
      <c r="X57" s="86">
        <v>37500000</v>
      </c>
      <c r="Y57" s="86">
        <v>34500000</v>
      </c>
      <c r="Z57" s="86">
        <v>34500000</v>
      </c>
      <c r="AA57" s="86">
        <v>34500000</v>
      </c>
      <c r="AB57" s="86">
        <v>34500000</v>
      </c>
      <c r="AC57" s="86">
        <v>34500000</v>
      </c>
      <c r="AD57" s="86">
        <v>34500000</v>
      </c>
      <c r="AE57" s="86">
        <v>34500000</v>
      </c>
      <c r="AF57" s="86">
        <v>34500000</v>
      </c>
      <c r="AG57" s="86">
        <v>34500000</v>
      </c>
      <c r="AH57" s="86">
        <v>34500000</v>
      </c>
    </row>
    <row r="58" spans="2:34" ht="15">
      <c r="B58" s="50" t="s">
        <v>1763</v>
      </c>
      <c r="C58" s="1275" t="s">
        <v>1763</v>
      </c>
      <c r="D58" s="86">
        <v>0</v>
      </c>
      <c r="E58" s="86">
        <v>0</v>
      </c>
      <c r="F58" s="86"/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5">
        <v>0</v>
      </c>
      <c r="N58" s="85">
        <v>0</v>
      </c>
      <c r="O58" s="85">
        <v>0</v>
      </c>
      <c r="P58" s="85">
        <v>0</v>
      </c>
      <c r="Q58" s="85">
        <v>0</v>
      </c>
      <c r="R58" s="85">
        <v>0</v>
      </c>
      <c r="S58" s="85">
        <v>0</v>
      </c>
      <c r="T58" s="85">
        <v>0</v>
      </c>
      <c r="U58" s="85">
        <v>0</v>
      </c>
      <c r="V58" s="85">
        <v>0</v>
      </c>
      <c r="W58" s="85">
        <v>0</v>
      </c>
      <c r="X58" s="85">
        <v>0</v>
      </c>
      <c r="Y58" s="85">
        <v>0</v>
      </c>
      <c r="Z58" s="85">
        <v>0</v>
      </c>
      <c r="AA58" s="85">
        <v>0</v>
      </c>
      <c r="AB58" s="85">
        <v>0</v>
      </c>
      <c r="AC58" s="85">
        <v>0</v>
      </c>
      <c r="AD58" s="85">
        <v>0</v>
      </c>
      <c r="AE58" s="85">
        <v>0</v>
      </c>
      <c r="AF58" s="85">
        <v>0</v>
      </c>
      <c r="AG58" s="85">
        <v>0</v>
      </c>
      <c r="AH58" s="85">
        <v>0</v>
      </c>
    </row>
    <row r="59" spans="2:34">
      <c r="B59" s="50" t="s">
        <v>1143</v>
      </c>
      <c r="C59" s="1275" t="s">
        <v>1143</v>
      </c>
      <c r="D59" s="86">
        <v>528215691520</v>
      </c>
      <c r="E59" s="86">
        <v>380518453469</v>
      </c>
      <c r="F59" s="86"/>
      <c r="G59" s="86">
        <v>408865823775</v>
      </c>
      <c r="H59" s="86">
        <v>481522286037</v>
      </c>
      <c r="I59" s="86">
        <v>474766904045</v>
      </c>
      <c r="J59" s="86">
        <v>552598374629</v>
      </c>
      <c r="K59" s="86">
        <v>433815836139</v>
      </c>
      <c r="L59" s="86">
        <v>495308219708</v>
      </c>
      <c r="M59" s="86">
        <v>493609908246</v>
      </c>
      <c r="N59" s="86">
        <v>534400864566</v>
      </c>
      <c r="O59" s="86">
        <v>453408566825</v>
      </c>
      <c r="P59" s="86">
        <v>610088934303</v>
      </c>
      <c r="Q59" s="86">
        <v>716931504537</v>
      </c>
      <c r="R59" s="86">
        <v>605725159544</v>
      </c>
      <c r="S59" s="86">
        <v>630756018585</v>
      </c>
      <c r="T59" s="86">
        <v>664647766128</v>
      </c>
      <c r="U59" s="86">
        <v>699551646554</v>
      </c>
      <c r="V59" s="86">
        <v>762744755063</v>
      </c>
      <c r="W59" s="86">
        <v>676167143420</v>
      </c>
      <c r="X59" s="86">
        <v>725947194513</v>
      </c>
      <c r="Y59" s="86">
        <v>863723091843</v>
      </c>
      <c r="Z59" s="86">
        <v>398100275164</v>
      </c>
      <c r="AA59" s="86">
        <v>136601085682</v>
      </c>
      <c r="AB59" s="86">
        <v>114693899371</v>
      </c>
      <c r="AC59" s="86">
        <v>17653934911</v>
      </c>
      <c r="AD59" s="86">
        <v>22368247493</v>
      </c>
      <c r="AE59" s="86">
        <v>26170650051</v>
      </c>
      <c r="AF59" s="86">
        <v>27470725774</v>
      </c>
      <c r="AG59" s="86">
        <v>28537969209</v>
      </c>
      <c r="AH59" s="86">
        <v>33631639360</v>
      </c>
    </row>
    <row r="60" spans="2:34">
      <c r="B60" s="43" t="s">
        <v>1764</v>
      </c>
      <c r="C60" s="43" t="s">
        <v>1764</v>
      </c>
      <c r="D60" s="87">
        <v>11066499736144</v>
      </c>
      <c r="E60" s="87">
        <v>12506643218270</v>
      </c>
      <c r="F60" s="87"/>
      <c r="G60" s="87">
        <v>13202166094956</v>
      </c>
      <c r="H60" s="87">
        <v>13815816205314</v>
      </c>
      <c r="I60" s="87">
        <v>12913593272898</v>
      </c>
      <c r="J60" s="87">
        <v>13771012917317</v>
      </c>
      <c r="K60" s="87">
        <v>14113738937639</v>
      </c>
      <c r="L60" s="87">
        <v>14591590760576</v>
      </c>
      <c r="M60" s="87">
        <v>14555375279158</v>
      </c>
      <c r="N60" s="87">
        <v>15179846994516</v>
      </c>
      <c r="O60" s="87">
        <v>15171590287554</v>
      </c>
      <c r="P60" s="87">
        <v>16807964073145</v>
      </c>
      <c r="Q60" s="87">
        <v>17167674237308</v>
      </c>
      <c r="R60" s="87">
        <v>17654199630146</v>
      </c>
      <c r="S60" s="87">
        <v>18138128420829</v>
      </c>
      <c r="T60" s="87">
        <v>19111903249349</v>
      </c>
      <c r="U60" s="87">
        <v>19384607084079</v>
      </c>
      <c r="V60" s="87">
        <v>19642981465114</v>
      </c>
      <c r="W60" s="87">
        <v>21489704632433</v>
      </c>
      <c r="X60" s="87">
        <v>22844605224660</v>
      </c>
      <c r="Y60" s="87">
        <v>22771957147270</v>
      </c>
      <c r="Z60" s="87">
        <v>24395714186973</v>
      </c>
      <c r="AA60" s="87">
        <v>25855174957541</v>
      </c>
      <c r="AB60" s="87">
        <v>27284201085221</v>
      </c>
      <c r="AC60" s="87">
        <v>27608952882888</v>
      </c>
      <c r="AD60" s="87">
        <v>28550097534176</v>
      </c>
      <c r="AE60" s="87">
        <v>29618267243577</v>
      </c>
      <c r="AF60" s="87">
        <v>30032749406469</v>
      </c>
      <c r="AG60" s="87">
        <v>32185671014746</v>
      </c>
      <c r="AH60" s="87">
        <v>32314573965358</v>
      </c>
    </row>
    <row r="61" spans="2:34">
      <c r="B61" s="49" t="s">
        <v>1765</v>
      </c>
      <c r="C61" s="1278" t="s">
        <v>2268</v>
      </c>
      <c r="D61" s="86">
        <v>9366015000065</v>
      </c>
      <c r="E61" s="86">
        <v>10822025182226</v>
      </c>
      <c r="F61" s="86"/>
      <c r="G61" s="86">
        <v>11401465982608</v>
      </c>
      <c r="H61" s="86">
        <v>12208579497524</v>
      </c>
      <c r="I61" s="86">
        <v>11404084004738</v>
      </c>
      <c r="J61" s="86">
        <v>12157068749778</v>
      </c>
      <c r="K61" s="86">
        <v>12469590944005</v>
      </c>
      <c r="L61" s="86">
        <v>12986223580070</v>
      </c>
      <c r="M61" s="86">
        <v>12855262200741</v>
      </c>
      <c r="N61" s="86">
        <v>13249238269948</v>
      </c>
      <c r="O61" s="86">
        <v>13200527610653</v>
      </c>
      <c r="P61" s="86">
        <v>14794899324631</v>
      </c>
      <c r="Q61" s="86">
        <v>14921972313316</v>
      </c>
      <c r="R61" s="86">
        <v>15270694411579</v>
      </c>
      <c r="S61" s="86">
        <v>14993413319082</v>
      </c>
      <c r="T61" s="86">
        <v>15008920469528</v>
      </c>
      <c r="U61" s="86">
        <v>14842517569576</v>
      </c>
      <c r="V61" s="86">
        <v>15333316454466</v>
      </c>
      <c r="W61" s="86">
        <v>16051879072075</v>
      </c>
      <c r="X61" s="86">
        <v>17336886529628</v>
      </c>
      <c r="Y61" s="86">
        <v>18190246235792</v>
      </c>
      <c r="Z61" s="86">
        <v>19861647110670</v>
      </c>
      <c r="AA61" s="86">
        <v>21289687103324</v>
      </c>
      <c r="AB61" s="86">
        <v>22958538879215</v>
      </c>
      <c r="AC61" s="86">
        <v>22545461021510</v>
      </c>
      <c r="AD61" s="86">
        <v>22833072815921</v>
      </c>
      <c r="AE61" s="86">
        <v>23841673020260</v>
      </c>
      <c r="AF61" s="86">
        <v>24335826330875</v>
      </c>
      <c r="AG61" s="86">
        <v>25904631709131</v>
      </c>
      <c r="AH61" s="86">
        <v>25860992948717</v>
      </c>
    </row>
    <row r="62" spans="2:34">
      <c r="B62" s="50" t="s">
        <v>1766</v>
      </c>
      <c r="C62" s="1275" t="s">
        <v>1766</v>
      </c>
      <c r="D62" s="86">
        <v>604238540305</v>
      </c>
      <c r="E62" s="86">
        <v>559510842244</v>
      </c>
      <c r="F62" s="86"/>
      <c r="G62" s="86">
        <v>881318100969</v>
      </c>
      <c r="H62" s="86">
        <v>846425341323</v>
      </c>
      <c r="I62" s="86">
        <v>664934477419</v>
      </c>
      <c r="J62" s="86">
        <v>707367313519</v>
      </c>
      <c r="K62" s="86">
        <v>671436802729</v>
      </c>
      <c r="L62" s="86">
        <v>463225329502</v>
      </c>
      <c r="M62" s="86">
        <v>405723030944</v>
      </c>
      <c r="N62" s="86">
        <v>414828517728</v>
      </c>
      <c r="O62" s="86">
        <v>388758285459</v>
      </c>
      <c r="P62" s="86">
        <v>492135894571</v>
      </c>
      <c r="Q62" s="86">
        <v>331422513280</v>
      </c>
      <c r="R62" s="86">
        <v>278806857678</v>
      </c>
      <c r="S62" s="86">
        <v>396230470087</v>
      </c>
      <c r="T62" s="86">
        <v>534638154927</v>
      </c>
      <c r="U62" s="86">
        <v>690226028388</v>
      </c>
      <c r="V62" s="86">
        <v>512786991925</v>
      </c>
      <c r="W62" s="86">
        <v>789276348775</v>
      </c>
      <c r="X62" s="86">
        <v>765966028977</v>
      </c>
      <c r="Y62" s="86">
        <v>956954620009</v>
      </c>
      <c r="Z62" s="86">
        <v>1501602191329</v>
      </c>
      <c r="AA62" s="86">
        <v>1923718411479</v>
      </c>
      <c r="AB62" s="86">
        <v>1624199643949</v>
      </c>
      <c r="AC62" s="86">
        <v>1545718885204</v>
      </c>
      <c r="AD62" s="86">
        <v>1739058275621</v>
      </c>
      <c r="AE62" s="86">
        <v>2049353366360</v>
      </c>
      <c r="AF62" s="86">
        <v>2012405638818</v>
      </c>
      <c r="AG62" s="86">
        <v>1914565269529</v>
      </c>
      <c r="AH62" s="86">
        <v>2145773863108</v>
      </c>
    </row>
    <row r="63" spans="2:34" ht="15">
      <c r="B63" s="50" t="s">
        <v>1767</v>
      </c>
      <c r="C63" s="1275" t="s">
        <v>1767</v>
      </c>
      <c r="D63" s="86">
        <v>0</v>
      </c>
      <c r="E63" s="86">
        <v>0</v>
      </c>
      <c r="F63" s="86"/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</row>
    <row r="64" spans="2:34">
      <c r="B64" s="50" t="s">
        <v>1768</v>
      </c>
      <c r="C64" s="1275" t="s">
        <v>1768</v>
      </c>
      <c r="D64" s="86">
        <v>1064855332736</v>
      </c>
      <c r="E64" s="86">
        <v>2029258933097</v>
      </c>
      <c r="F64" s="86"/>
      <c r="G64" s="86">
        <v>1261715933215</v>
      </c>
      <c r="H64" s="86">
        <v>2096294022945</v>
      </c>
      <c r="I64" s="86">
        <v>1910247671677</v>
      </c>
      <c r="J64" s="86">
        <v>1634711024060</v>
      </c>
      <c r="K64" s="86">
        <v>989334429221</v>
      </c>
      <c r="L64" s="86">
        <v>2037914338840</v>
      </c>
      <c r="M64" s="86">
        <v>1708024458873</v>
      </c>
      <c r="N64" s="86">
        <v>2085285852589</v>
      </c>
      <c r="O64" s="86">
        <v>2057672266707</v>
      </c>
      <c r="P64" s="86">
        <v>2766024664519</v>
      </c>
      <c r="Q64" s="86">
        <v>2253226429840</v>
      </c>
      <c r="R64" s="86">
        <v>2223128371385</v>
      </c>
      <c r="S64" s="86">
        <v>2246114787699</v>
      </c>
      <c r="T64" s="86">
        <v>1904274747311</v>
      </c>
      <c r="U64" s="86">
        <v>2172112646256</v>
      </c>
      <c r="V64" s="86">
        <v>2177459452557</v>
      </c>
      <c r="W64" s="86">
        <v>2934559464607</v>
      </c>
      <c r="X64" s="86">
        <v>3974788979243</v>
      </c>
      <c r="Y64" s="86">
        <v>3760484321072</v>
      </c>
      <c r="Z64" s="86">
        <v>4023735963314</v>
      </c>
      <c r="AA64" s="86">
        <v>4494776462408</v>
      </c>
      <c r="AB64" s="86">
        <v>5076617098056</v>
      </c>
      <c r="AC64" s="86">
        <v>4791390915690</v>
      </c>
      <c r="AD64" s="86">
        <v>5399987703948</v>
      </c>
      <c r="AE64" s="86">
        <v>4710542362153</v>
      </c>
      <c r="AF64" s="86">
        <v>5621921539361</v>
      </c>
      <c r="AG64" s="86">
        <v>5428749053176</v>
      </c>
      <c r="AH64" s="86">
        <v>5479562557666</v>
      </c>
    </row>
    <row r="65" spans="2:34">
      <c r="B65" s="50" t="s">
        <v>1769</v>
      </c>
      <c r="C65" s="1275" t="s">
        <v>1769</v>
      </c>
      <c r="D65" s="86">
        <v>4595159392714</v>
      </c>
      <c r="E65" s="86">
        <v>4359889416486</v>
      </c>
      <c r="F65" s="86"/>
      <c r="G65" s="86">
        <v>4773676415834</v>
      </c>
      <c r="H65" s="86">
        <v>5430084481689</v>
      </c>
      <c r="I65" s="86">
        <v>5613609418146</v>
      </c>
      <c r="J65" s="86">
        <v>6314608395443</v>
      </c>
      <c r="K65" s="86">
        <v>6600765384909</v>
      </c>
      <c r="L65" s="86">
        <v>6070166129203</v>
      </c>
      <c r="M65" s="86">
        <v>6049674807165</v>
      </c>
      <c r="N65" s="86">
        <v>5575548163370</v>
      </c>
      <c r="O65" s="86">
        <v>5407149719400</v>
      </c>
      <c r="P65" s="86">
        <v>6189089263434</v>
      </c>
      <c r="Q65" s="86">
        <v>6797762263807</v>
      </c>
      <c r="R65" s="86">
        <v>6931809204729</v>
      </c>
      <c r="S65" s="86">
        <v>6637995828235</v>
      </c>
      <c r="T65" s="86">
        <v>6664262827501</v>
      </c>
      <c r="U65" s="86">
        <v>6380594070766</v>
      </c>
      <c r="V65" s="86">
        <v>7114139375942</v>
      </c>
      <c r="W65" s="86">
        <v>6585398773638</v>
      </c>
      <c r="X65" s="86">
        <v>5780145393265</v>
      </c>
      <c r="Y65" s="86">
        <v>6460434542877</v>
      </c>
      <c r="Z65" s="86">
        <v>6908922239386</v>
      </c>
      <c r="AA65" s="86">
        <v>6045371432671</v>
      </c>
      <c r="AB65" s="86">
        <v>6404450783863</v>
      </c>
      <c r="AC65" s="86">
        <v>6206590219813</v>
      </c>
      <c r="AD65" s="86">
        <v>4527274151354</v>
      </c>
      <c r="AE65" s="86">
        <v>4093078862519</v>
      </c>
      <c r="AF65" s="86">
        <v>4029265322416</v>
      </c>
      <c r="AG65" s="86">
        <v>4565300766713</v>
      </c>
      <c r="AH65" s="86">
        <v>3877483824057</v>
      </c>
    </row>
    <row r="66" spans="2:34">
      <c r="B66" s="50" t="s">
        <v>1770</v>
      </c>
      <c r="C66" s="1275" t="s">
        <v>1770</v>
      </c>
      <c r="D66" s="86">
        <v>2675528678110</v>
      </c>
      <c r="E66" s="86">
        <v>3565990793296</v>
      </c>
      <c r="F66" s="86"/>
      <c r="G66" s="86">
        <v>4187390951924</v>
      </c>
      <c r="H66" s="86">
        <v>3425926202833</v>
      </c>
      <c r="I66" s="86">
        <v>2847156812336</v>
      </c>
      <c r="J66" s="86">
        <v>3220441646793</v>
      </c>
      <c r="K66" s="86">
        <v>3817485380032</v>
      </c>
      <c r="L66" s="86">
        <v>3928150088302</v>
      </c>
      <c r="M66" s="86">
        <v>4023806188862</v>
      </c>
      <c r="N66" s="86">
        <v>4241133703643</v>
      </c>
      <c r="O66" s="86">
        <v>4266044601906</v>
      </c>
      <c r="P66" s="86">
        <v>4569101872762</v>
      </c>
      <c r="Q66" s="86">
        <v>4893609403130</v>
      </c>
      <c r="R66" s="86">
        <v>5112644620302</v>
      </c>
      <c r="S66" s="86">
        <v>5005707039589</v>
      </c>
      <c r="T66" s="86">
        <v>5171986379747</v>
      </c>
      <c r="U66" s="86">
        <v>4788144096912</v>
      </c>
      <c r="V66" s="86">
        <v>4856831313267</v>
      </c>
      <c r="W66" s="86">
        <v>4818962014114</v>
      </c>
      <c r="X66" s="86">
        <v>5847007497562</v>
      </c>
      <c r="Y66" s="86">
        <v>5827272084728</v>
      </c>
      <c r="Z66" s="86">
        <v>5710225805801</v>
      </c>
      <c r="AA66" s="86">
        <v>6837773208132</v>
      </c>
      <c r="AB66" s="86">
        <v>6971144830213</v>
      </c>
      <c r="AC66" s="86">
        <v>7261433645816</v>
      </c>
      <c r="AD66" s="86">
        <v>7268852201163</v>
      </c>
      <c r="AE66" s="86">
        <v>9060756101585</v>
      </c>
      <c r="AF66" s="86">
        <v>9129642017529</v>
      </c>
      <c r="AG66" s="86">
        <v>10225056687758</v>
      </c>
      <c r="AH66" s="86">
        <v>9537552145477</v>
      </c>
    </row>
    <row r="67" spans="2:34">
      <c r="B67" s="50" t="s">
        <v>1771</v>
      </c>
      <c r="C67" s="1275" t="s">
        <v>1771</v>
      </c>
      <c r="D67" s="86">
        <v>20355602161</v>
      </c>
      <c r="E67" s="86">
        <v>19810029826</v>
      </c>
      <c r="F67" s="86"/>
      <c r="G67" s="86">
        <v>27267933549</v>
      </c>
      <c r="H67" s="86">
        <v>19451181097</v>
      </c>
      <c r="I67" s="86">
        <v>13824035494</v>
      </c>
      <c r="J67" s="86">
        <v>14968552336</v>
      </c>
      <c r="K67" s="86">
        <v>14234668671</v>
      </c>
      <c r="L67" s="86">
        <v>14338041961</v>
      </c>
      <c r="M67" s="86">
        <v>17411477563</v>
      </c>
      <c r="N67" s="86">
        <v>4947777509</v>
      </c>
      <c r="O67" s="86">
        <v>163421762871</v>
      </c>
      <c r="P67" s="86">
        <v>16342029509</v>
      </c>
      <c r="Q67" s="86">
        <v>16486461008</v>
      </c>
      <c r="R67" s="86">
        <v>10820354816</v>
      </c>
      <c r="S67" s="86">
        <v>5216709976</v>
      </c>
      <c r="T67" s="86">
        <v>11838954274</v>
      </c>
      <c r="U67" s="86">
        <v>6238624937</v>
      </c>
      <c r="V67" s="86">
        <v>7131066018</v>
      </c>
      <c r="W67" s="86">
        <v>4845920060</v>
      </c>
      <c r="X67" s="86">
        <v>7826101121</v>
      </c>
      <c r="Y67" s="86">
        <v>10772935867</v>
      </c>
      <c r="Z67" s="86">
        <v>7449427765</v>
      </c>
      <c r="AA67" s="86">
        <v>31950537182</v>
      </c>
      <c r="AB67" s="86">
        <v>672224625026</v>
      </c>
      <c r="AC67" s="86">
        <v>713070068123</v>
      </c>
      <c r="AD67" s="86">
        <v>764297976772</v>
      </c>
      <c r="AE67" s="86">
        <v>412880318874</v>
      </c>
      <c r="AF67" s="86">
        <v>389765345786</v>
      </c>
      <c r="AG67" s="86">
        <v>551786800283</v>
      </c>
      <c r="AH67" s="86">
        <v>534959343550</v>
      </c>
    </row>
    <row r="68" spans="2:34">
      <c r="B68" s="51" t="s">
        <v>1772</v>
      </c>
      <c r="C68" s="1275" t="s">
        <v>1772</v>
      </c>
      <c r="D68" s="86">
        <v>10034843598</v>
      </c>
      <c r="E68" s="86">
        <v>10393294500</v>
      </c>
      <c r="F68" s="86"/>
      <c r="G68" s="86">
        <v>18882966866</v>
      </c>
      <c r="H68" s="86">
        <v>10483185878</v>
      </c>
      <c r="I68" s="86">
        <v>5619073230</v>
      </c>
      <c r="J68" s="86">
        <v>6433474145</v>
      </c>
      <c r="K68" s="86">
        <v>5589669879</v>
      </c>
      <c r="L68" s="86">
        <v>5662505030</v>
      </c>
      <c r="M68" s="86">
        <v>8573000852</v>
      </c>
      <c r="N68" s="86">
        <v>4947777509</v>
      </c>
      <c r="O68" s="86">
        <v>4766217010</v>
      </c>
      <c r="P68" s="86">
        <v>16342029509</v>
      </c>
      <c r="Q68" s="86">
        <v>16486461008</v>
      </c>
      <c r="R68" s="86">
        <v>10820354816</v>
      </c>
      <c r="S68" s="86">
        <v>5216709976</v>
      </c>
      <c r="T68" s="86">
        <v>11838954274</v>
      </c>
      <c r="U68" s="86">
        <v>6238624937</v>
      </c>
      <c r="V68" s="86">
        <v>7131066018</v>
      </c>
      <c r="W68" s="86">
        <v>4845920060</v>
      </c>
      <c r="X68" s="86">
        <v>7826101121</v>
      </c>
      <c r="Y68" s="86">
        <v>10772935867</v>
      </c>
      <c r="Z68" s="86">
        <v>7449427765</v>
      </c>
      <c r="AA68" s="86">
        <v>4129573182</v>
      </c>
      <c r="AB68" s="86">
        <v>12766736480</v>
      </c>
      <c r="AC68" s="86">
        <v>14173960161</v>
      </c>
      <c r="AD68" s="86">
        <v>12098682066</v>
      </c>
      <c r="AE68" s="86">
        <v>6238993823</v>
      </c>
      <c r="AF68" s="86">
        <v>4881299684</v>
      </c>
      <c r="AG68" s="86">
        <v>5840691168</v>
      </c>
      <c r="AH68" s="86">
        <v>3060619215</v>
      </c>
    </row>
    <row r="69" spans="2:34">
      <c r="B69" s="51" t="s">
        <v>1773</v>
      </c>
      <c r="C69" s="1275" t="s">
        <v>1773</v>
      </c>
      <c r="D69" s="86">
        <v>10320758563</v>
      </c>
      <c r="E69" s="86">
        <v>9416735326</v>
      </c>
      <c r="F69" s="86"/>
      <c r="G69" s="86">
        <v>8384966683</v>
      </c>
      <c r="H69" s="86">
        <v>8967995219</v>
      </c>
      <c r="I69" s="86">
        <v>8204962264</v>
      </c>
      <c r="J69" s="86">
        <v>8535078191</v>
      </c>
      <c r="K69" s="86">
        <v>8644998792</v>
      </c>
      <c r="L69" s="86">
        <v>8675536931</v>
      </c>
      <c r="M69" s="86">
        <v>8838476711</v>
      </c>
      <c r="N69" s="86">
        <v>0</v>
      </c>
      <c r="O69" s="86">
        <v>158655545861</v>
      </c>
      <c r="P69" s="86">
        <v>0</v>
      </c>
      <c r="Q69" s="86">
        <v>0</v>
      </c>
      <c r="R69" s="86">
        <v>0</v>
      </c>
      <c r="S69" s="86">
        <v>0</v>
      </c>
      <c r="T69" s="86">
        <v>0</v>
      </c>
      <c r="U69" s="86">
        <v>0</v>
      </c>
      <c r="V69" s="86">
        <v>0</v>
      </c>
      <c r="W69" s="86">
        <v>0</v>
      </c>
      <c r="X69" s="86">
        <v>0</v>
      </c>
      <c r="Y69" s="86">
        <v>0</v>
      </c>
      <c r="Z69" s="86">
        <v>0</v>
      </c>
      <c r="AA69" s="86">
        <v>27820964000</v>
      </c>
      <c r="AB69" s="86">
        <v>659457888546</v>
      </c>
      <c r="AC69" s="86">
        <v>698896107962</v>
      </c>
      <c r="AD69" s="86">
        <v>752199294706</v>
      </c>
      <c r="AE69" s="86">
        <v>406641325051</v>
      </c>
      <c r="AF69" s="86">
        <v>384884046102</v>
      </c>
      <c r="AG69" s="86">
        <v>545946109115</v>
      </c>
      <c r="AH69" s="86">
        <v>531898724335</v>
      </c>
    </row>
    <row r="70" spans="2:34">
      <c r="B70" s="50" t="s">
        <v>1774</v>
      </c>
      <c r="C70" s="1275" t="s">
        <v>1774</v>
      </c>
      <c r="D70" s="86">
        <v>286325036927</v>
      </c>
      <c r="E70" s="86">
        <v>160138371276</v>
      </c>
      <c r="F70" s="86"/>
      <c r="G70" s="86">
        <v>115770816022</v>
      </c>
      <c r="H70" s="86">
        <v>208894509846</v>
      </c>
      <c r="I70" s="86">
        <v>142485067229</v>
      </c>
      <c r="J70" s="86">
        <v>58410139423</v>
      </c>
      <c r="K70" s="86">
        <v>178035516379</v>
      </c>
      <c r="L70" s="86">
        <v>267351203144</v>
      </c>
      <c r="M70" s="86">
        <v>354255634940</v>
      </c>
      <c r="N70" s="86">
        <v>637714199282</v>
      </c>
      <c r="O70" s="86">
        <v>609615778781</v>
      </c>
      <c r="P70" s="86">
        <v>490022256511</v>
      </c>
      <c r="Q70" s="86">
        <v>285512247274</v>
      </c>
      <c r="R70" s="86">
        <v>281511161009</v>
      </c>
      <c r="S70" s="86">
        <v>352089626220</v>
      </c>
      <c r="T70" s="86">
        <v>267716779523</v>
      </c>
      <c r="U70" s="86">
        <v>369115748931</v>
      </c>
      <c r="V70" s="86">
        <v>246809209847</v>
      </c>
      <c r="W70" s="86">
        <v>453521141651</v>
      </c>
      <c r="X70" s="86">
        <v>354063348073</v>
      </c>
      <c r="Y70" s="86">
        <v>433966510098</v>
      </c>
      <c r="Z70" s="86">
        <v>637401607572</v>
      </c>
      <c r="AA70" s="86">
        <v>768104287392</v>
      </c>
      <c r="AB70" s="86">
        <v>837082200722</v>
      </c>
      <c r="AC70" s="86">
        <v>987723999089</v>
      </c>
      <c r="AD70" s="86">
        <v>1920926787654</v>
      </c>
      <c r="AE70" s="86">
        <v>2170318912040</v>
      </c>
      <c r="AF70" s="86">
        <v>1531193877616</v>
      </c>
      <c r="AG70" s="86">
        <v>1277777212479</v>
      </c>
      <c r="AH70" s="86">
        <v>2185161713814</v>
      </c>
    </row>
    <row r="71" spans="2:34">
      <c r="B71" s="50" t="s">
        <v>1775</v>
      </c>
      <c r="C71" s="1275" t="s">
        <v>1775</v>
      </c>
      <c r="D71" s="86">
        <v>119552417112</v>
      </c>
      <c r="E71" s="86">
        <v>127426796001</v>
      </c>
      <c r="F71" s="86"/>
      <c r="G71" s="86">
        <v>154325831095</v>
      </c>
      <c r="H71" s="86">
        <v>181503757791</v>
      </c>
      <c r="I71" s="86">
        <v>211826522437</v>
      </c>
      <c r="J71" s="86">
        <v>206561678204</v>
      </c>
      <c r="K71" s="86">
        <v>198298762064</v>
      </c>
      <c r="L71" s="86">
        <v>205078449118</v>
      </c>
      <c r="M71" s="86">
        <v>296366602394</v>
      </c>
      <c r="N71" s="86">
        <v>289780055827</v>
      </c>
      <c r="O71" s="86">
        <v>307865195529</v>
      </c>
      <c r="P71" s="86">
        <v>272183343325</v>
      </c>
      <c r="Q71" s="86">
        <v>343952994977</v>
      </c>
      <c r="R71" s="86">
        <v>431973841660</v>
      </c>
      <c r="S71" s="86">
        <v>350058857276</v>
      </c>
      <c r="T71" s="86">
        <v>454202626245</v>
      </c>
      <c r="U71" s="86">
        <v>436086353386</v>
      </c>
      <c r="V71" s="86">
        <v>418159044910</v>
      </c>
      <c r="W71" s="86">
        <v>465315409230</v>
      </c>
      <c r="X71" s="86">
        <v>607089181387</v>
      </c>
      <c r="Y71" s="86">
        <v>740361221141</v>
      </c>
      <c r="Z71" s="86">
        <v>1072309875503</v>
      </c>
      <c r="AA71" s="86">
        <v>1187992764060</v>
      </c>
      <c r="AB71" s="86">
        <v>1302368407386</v>
      </c>
      <c r="AC71" s="86">
        <v>943625062775</v>
      </c>
      <c r="AD71" s="86">
        <v>1036455821041</v>
      </c>
      <c r="AE71" s="86">
        <v>1132071549988</v>
      </c>
      <c r="AF71" s="86">
        <v>1408356697449</v>
      </c>
      <c r="AG71" s="86">
        <v>1701574045930</v>
      </c>
      <c r="AH71" s="86">
        <v>1859844130285</v>
      </c>
    </row>
    <row r="72" spans="2:34">
      <c r="B72" s="51" t="s">
        <v>1776</v>
      </c>
      <c r="C72" s="1275" t="s">
        <v>1776</v>
      </c>
      <c r="D72" s="86">
        <v>0</v>
      </c>
      <c r="E72" s="86">
        <v>1133156616</v>
      </c>
      <c r="F72" s="86"/>
      <c r="G72" s="86">
        <v>1149446500</v>
      </c>
      <c r="H72" s="86">
        <v>611834683</v>
      </c>
      <c r="I72" s="86">
        <v>0</v>
      </c>
      <c r="J72" s="86">
        <v>0</v>
      </c>
      <c r="K72" s="86">
        <v>0</v>
      </c>
      <c r="L72" s="86">
        <v>0</v>
      </c>
      <c r="M72" s="86">
        <v>0</v>
      </c>
      <c r="N72" s="86">
        <v>7396140869</v>
      </c>
      <c r="O72" s="86">
        <v>0</v>
      </c>
      <c r="P72" s="86">
        <v>0</v>
      </c>
      <c r="Q72" s="86">
        <v>490029540</v>
      </c>
      <c r="R72" s="86">
        <v>30154743403</v>
      </c>
      <c r="S72" s="86">
        <v>29459577446</v>
      </c>
      <c r="T72" s="86">
        <v>29515749179</v>
      </c>
      <c r="U72" s="86">
        <v>28600624829</v>
      </c>
      <c r="V72" s="86">
        <v>27319082132</v>
      </c>
      <c r="W72" s="86">
        <v>66273398091</v>
      </c>
      <c r="X72" s="86">
        <v>155515478271</v>
      </c>
      <c r="Y72" s="86">
        <v>159522119778</v>
      </c>
      <c r="Z72" s="86">
        <v>239137602955</v>
      </c>
      <c r="AA72" s="86">
        <v>310561284223</v>
      </c>
      <c r="AB72" s="86">
        <v>287914333470</v>
      </c>
      <c r="AC72" s="86">
        <v>308634070915</v>
      </c>
      <c r="AD72" s="86">
        <v>307175519344</v>
      </c>
      <c r="AE72" s="86">
        <v>266335607261</v>
      </c>
      <c r="AF72" s="86">
        <v>128412722488</v>
      </c>
      <c r="AG72" s="86">
        <v>146048206655</v>
      </c>
      <c r="AH72" s="86">
        <v>170716451459</v>
      </c>
    </row>
    <row r="73" spans="2:34">
      <c r="B73" s="51" t="s">
        <v>1777</v>
      </c>
      <c r="C73" s="1275" t="s">
        <v>1777</v>
      </c>
      <c r="D73" s="86">
        <v>119552417112</v>
      </c>
      <c r="E73" s="86">
        <v>126293639385</v>
      </c>
      <c r="F73" s="86"/>
      <c r="G73" s="86">
        <v>153176384595</v>
      </c>
      <c r="H73" s="86">
        <v>180891923108</v>
      </c>
      <c r="I73" s="86">
        <v>211826522437</v>
      </c>
      <c r="J73" s="86">
        <v>206561678204</v>
      </c>
      <c r="K73" s="86">
        <v>198298762064</v>
      </c>
      <c r="L73" s="86">
        <v>205078449118</v>
      </c>
      <c r="M73" s="86">
        <v>296366602394</v>
      </c>
      <c r="N73" s="86">
        <v>282383914958</v>
      </c>
      <c r="O73" s="86">
        <v>307865195529</v>
      </c>
      <c r="P73" s="86">
        <v>272183343325</v>
      </c>
      <c r="Q73" s="86">
        <v>343462965437</v>
      </c>
      <c r="R73" s="86">
        <v>401819098257</v>
      </c>
      <c r="S73" s="86">
        <v>320599279830</v>
      </c>
      <c r="T73" s="86">
        <v>424686877066</v>
      </c>
      <c r="U73" s="86">
        <v>407485728557</v>
      </c>
      <c r="V73" s="86">
        <v>390839962778</v>
      </c>
      <c r="W73" s="86">
        <v>399042011139</v>
      </c>
      <c r="X73" s="86">
        <v>451573703116</v>
      </c>
      <c r="Y73" s="86">
        <v>580839101363</v>
      </c>
      <c r="Z73" s="86">
        <v>833172272548</v>
      </c>
      <c r="AA73" s="86">
        <v>877431479837</v>
      </c>
      <c r="AB73" s="86">
        <v>1009917109880</v>
      </c>
      <c r="AC73" s="86">
        <v>630405464914</v>
      </c>
      <c r="AD73" s="86">
        <v>725163897968</v>
      </c>
      <c r="AE73" s="86">
        <v>861847518179</v>
      </c>
      <c r="AF73" s="86">
        <v>1275890308088</v>
      </c>
      <c r="AG73" s="86">
        <v>1550152686455</v>
      </c>
      <c r="AH73" s="86">
        <v>1683475969700</v>
      </c>
    </row>
    <row r="74" spans="2:34">
      <c r="B74" s="51" t="s">
        <v>923</v>
      </c>
      <c r="C74" s="1275" t="s">
        <v>923</v>
      </c>
      <c r="D74" s="86">
        <v>0</v>
      </c>
      <c r="E74" s="86">
        <v>0</v>
      </c>
      <c r="F74" s="86"/>
      <c r="G74" s="86">
        <v>0</v>
      </c>
      <c r="H74" s="86">
        <v>0</v>
      </c>
      <c r="I74" s="86">
        <v>0</v>
      </c>
      <c r="J74" s="86">
        <v>0</v>
      </c>
      <c r="K74" s="86">
        <v>0</v>
      </c>
      <c r="L74" s="86">
        <v>0</v>
      </c>
      <c r="M74" s="86">
        <v>0</v>
      </c>
      <c r="N74" s="86">
        <v>0</v>
      </c>
      <c r="O74" s="86">
        <v>0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6">
        <v>0</v>
      </c>
      <c r="V74" s="86">
        <v>0</v>
      </c>
      <c r="W74" s="86">
        <v>0</v>
      </c>
      <c r="X74" s="86">
        <v>0</v>
      </c>
      <c r="Y74" s="86">
        <v>0</v>
      </c>
      <c r="Z74" s="86">
        <v>0</v>
      </c>
      <c r="AA74" s="86">
        <v>0</v>
      </c>
      <c r="AB74" s="86">
        <v>4536964036</v>
      </c>
      <c r="AC74" s="86">
        <v>4585526946</v>
      </c>
      <c r="AD74" s="86">
        <v>4116403729</v>
      </c>
      <c r="AE74" s="86">
        <v>3888424548</v>
      </c>
      <c r="AF74" s="86">
        <v>4053666873</v>
      </c>
      <c r="AG74" s="86">
        <v>5373152820</v>
      </c>
      <c r="AH74" s="86">
        <v>5651709126</v>
      </c>
    </row>
    <row r="75" spans="2:34">
      <c r="B75" s="50" t="s">
        <v>1778</v>
      </c>
      <c r="C75" s="1275" t="s">
        <v>1778</v>
      </c>
      <c r="D75" s="86">
        <v>0</v>
      </c>
      <c r="E75" s="86">
        <v>0</v>
      </c>
      <c r="F75" s="86"/>
      <c r="G75" s="86">
        <v>0</v>
      </c>
      <c r="H75" s="86">
        <v>0</v>
      </c>
      <c r="I75" s="86">
        <v>0</v>
      </c>
      <c r="J75" s="86">
        <v>0</v>
      </c>
      <c r="K75" s="86">
        <v>0</v>
      </c>
      <c r="L75" s="86">
        <v>0</v>
      </c>
      <c r="M75" s="86">
        <v>0</v>
      </c>
      <c r="N75" s="86">
        <v>0</v>
      </c>
      <c r="O75" s="86">
        <v>0</v>
      </c>
      <c r="P75" s="86">
        <v>0</v>
      </c>
      <c r="Q75" s="86">
        <v>0</v>
      </c>
      <c r="R75" s="86">
        <v>0</v>
      </c>
      <c r="S75" s="86">
        <v>0</v>
      </c>
      <c r="T75" s="86">
        <v>0</v>
      </c>
      <c r="U75" s="86">
        <v>0</v>
      </c>
      <c r="V75" s="86">
        <v>0</v>
      </c>
      <c r="W75" s="86">
        <v>0</v>
      </c>
      <c r="X75" s="86">
        <v>0</v>
      </c>
      <c r="Y75" s="86">
        <v>0</v>
      </c>
      <c r="Z75" s="86">
        <v>0</v>
      </c>
      <c r="AA75" s="86">
        <v>0</v>
      </c>
      <c r="AB75" s="86">
        <v>70451290000</v>
      </c>
      <c r="AC75" s="86">
        <v>95908225000</v>
      </c>
      <c r="AD75" s="86">
        <v>176219898368</v>
      </c>
      <c r="AE75" s="86">
        <v>212671546741</v>
      </c>
      <c r="AF75" s="86">
        <v>213275891900</v>
      </c>
      <c r="AG75" s="86">
        <v>239821873263</v>
      </c>
      <c r="AH75" s="86">
        <v>240655370760</v>
      </c>
    </row>
    <row r="76" spans="2:34">
      <c r="B76" s="49" t="s">
        <v>1779</v>
      </c>
      <c r="C76" s="1278" t="s">
        <v>2269</v>
      </c>
      <c r="D76" s="86">
        <v>833862512727</v>
      </c>
      <c r="E76" s="86">
        <v>821677409843</v>
      </c>
      <c r="F76" s="86"/>
      <c r="G76" s="86">
        <v>655020090856</v>
      </c>
      <c r="H76" s="86">
        <v>744984862855</v>
      </c>
      <c r="I76" s="86">
        <v>687514271709</v>
      </c>
      <c r="J76" s="86">
        <v>725388437690</v>
      </c>
      <c r="K76" s="86">
        <v>769422681087</v>
      </c>
      <c r="L76" s="86">
        <v>752343494141</v>
      </c>
      <c r="M76" s="86">
        <v>722139323857</v>
      </c>
      <c r="N76" s="86">
        <v>737977310044</v>
      </c>
      <c r="O76" s="86">
        <v>753871583950</v>
      </c>
      <c r="P76" s="86">
        <v>790026120638</v>
      </c>
      <c r="Q76" s="86">
        <v>973612158434</v>
      </c>
      <c r="R76" s="86">
        <v>1153432003955</v>
      </c>
      <c r="S76" s="86">
        <v>1878922255749</v>
      </c>
      <c r="T76" s="86">
        <v>2760694463341</v>
      </c>
      <c r="U76" s="86">
        <v>3089024200893</v>
      </c>
      <c r="V76" s="86">
        <v>2815940211526</v>
      </c>
      <c r="W76" s="86">
        <v>3937609761969</v>
      </c>
      <c r="X76" s="86">
        <v>4102705854021</v>
      </c>
      <c r="Y76" s="86">
        <v>3233393524435</v>
      </c>
      <c r="Z76" s="86">
        <v>3297143388272</v>
      </c>
      <c r="AA76" s="86">
        <v>3475130591148</v>
      </c>
      <c r="AB76" s="86">
        <v>3145215872428</v>
      </c>
      <c r="AC76" s="86">
        <v>3451558408602</v>
      </c>
      <c r="AD76" s="86">
        <v>4125435455955</v>
      </c>
      <c r="AE76" s="86">
        <v>3575780129781</v>
      </c>
      <c r="AF76" s="86">
        <v>2748039114088</v>
      </c>
      <c r="AG76" s="86">
        <v>2841269864301</v>
      </c>
      <c r="AH76" s="86">
        <v>2769976481715</v>
      </c>
    </row>
    <row r="77" spans="2:34">
      <c r="B77" s="50" t="s">
        <v>1766</v>
      </c>
      <c r="C77" s="1275" t="s">
        <v>1766</v>
      </c>
      <c r="D77" s="86">
        <v>416560896700</v>
      </c>
      <c r="E77" s="86">
        <v>405682215772</v>
      </c>
      <c r="F77" s="86"/>
      <c r="G77" s="86">
        <v>402470182739</v>
      </c>
      <c r="H77" s="86">
        <v>430849259624</v>
      </c>
      <c r="I77" s="86">
        <v>411109087430</v>
      </c>
      <c r="J77" s="86">
        <v>404133925469</v>
      </c>
      <c r="K77" s="86">
        <v>410051687898</v>
      </c>
      <c r="L77" s="86">
        <v>395417943509</v>
      </c>
      <c r="M77" s="86">
        <v>371112361811</v>
      </c>
      <c r="N77" s="86">
        <v>389416889867</v>
      </c>
      <c r="O77" s="86">
        <v>385293980006</v>
      </c>
      <c r="P77" s="86">
        <v>357694510243</v>
      </c>
      <c r="Q77" s="86">
        <v>354929001441</v>
      </c>
      <c r="R77" s="86">
        <v>362217344052</v>
      </c>
      <c r="S77" s="86">
        <v>367525246966</v>
      </c>
      <c r="T77" s="86">
        <v>363672030564</v>
      </c>
      <c r="U77" s="86">
        <v>303725543403</v>
      </c>
      <c r="V77" s="86">
        <v>307851033205</v>
      </c>
      <c r="W77" s="86">
        <v>682019256260</v>
      </c>
      <c r="X77" s="86">
        <v>695521348851</v>
      </c>
      <c r="Y77" s="86">
        <v>776748129339</v>
      </c>
      <c r="Z77" s="86">
        <v>831808049122</v>
      </c>
      <c r="AA77" s="86">
        <v>702586130498</v>
      </c>
      <c r="AB77" s="86">
        <v>587969300950</v>
      </c>
      <c r="AC77" s="86">
        <v>630923521828</v>
      </c>
      <c r="AD77" s="86">
        <v>651019870311</v>
      </c>
      <c r="AE77" s="86">
        <v>597107182957</v>
      </c>
      <c r="AF77" s="86">
        <v>547606028355</v>
      </c>
      <c r="AG77" s="86">
        <v>566765261335</v>
      </c>
      <c r="AH77" s="86">
        <v>523365601287</v>
      </c>
    </row>
    <row r="78" spans="2:34">
      <c r="B78" s="50" t="s">
        <v>1780</v>
      </c>
      <c r="C78" s="1275" t="s">
        <v>1780</v>
      </c>
      <c r="D78" s="86">
        <v>2561071984</v>
      </c>
      <c r="E78" s="86">
        <v>2639404727</v>
      </c>
      <c r="F78" s="86"/>
      <c r="G78" s="86">
        <v>3272079062</v>
      </c>
      <c r="H78" s="86">
        <v>2970602465</v>
      </c>
      <c r="I78" s="86">
        <v>52538300793</v>
      </c>
      <c r="J78" s="86">
        <v>50792910000</v>
      </c>
      <c r="K78" s="86">
        <v>50792910000</v>
      </c>
      <c r="L78" s="86">
        <v>51014434000</v>
      </c>
      <c r="M78" s="86">
        <v>50381718864</v>
      </c>
      <c r="N78" s="86">
        <v>51226654650</v>
      </c>
      <c r="O78" s="86">
        <v>55226666852</v>
      </c>
      <c r="P78" s="86">
        <v>53372949503</v>
      </c>
      <c r="Q78" s="86">
        <v>56614288404</v>
      </c>
      <c r="R78" s="86">
        <v>58516652321</v>
      </c>
      <c r="S78" s="86">
        <v>59395126443</v>
      </c>
      <c r="T78" s="86">
        <v>61120027998</v>
      </c>
      <c r="U78" s="86">
        <v>88292906319</v>
      </c>
      <c r="V78" s="86">
        <v>68949410279</v>
      </c>
      <c r="W78" s="86">
        <v>77129588402</v>
      </c>
      <c r="X78" s="86">
        <v>77468794953</v>
      </c>
      <c r="Y78" s="86">
        <v>84250702867</v>
      </c>
      <c r="Z78" s="86">
        <v>86291824252</v>
      </c>
      <c r="AA78" s="86">
        <v>88021044477</v>
      </c>
      <c r="AB78" s="86">
        <v>0</v>
      </c>
      <c r="AC78" s="86">
        <v>0</v>
      </c>
      <c r="AD78" s="86">
        <v>0</v>
      </c>
      <c r="AE78" s="86">
        <v>0</v>
      </c>
      <c r="AF78" s="86">
        <v>0</v>
      </c>
      <c r="AG78" s="86">
        <v>0</v>
      </c>
      <c r="AH78" s="86">
        <v>0</v>
      </c>
    </row>
    <row r="79" spans="2:34" ht="15">
      <c r="B79" s="50" t="s">
        <v>1768</v>
      </c>
      <c r="C79" s="1275" t="s">
        <v>1768</v>
      </c>
      <c r="D79" s="86">
        <v>0</v>
      </c>
      <c r="E79" s="86">
        <v>0</v>
      </c>
      <c r="F79" s="86"/>
      <c r="G79" s="86">
        <v>0</v>
      </c>
      <c r="H79" s="86">
        <v>0</v>
      </c>
      <c r="I79" s="86">
        <v>0</v>
      </c>
      <c r="J79" s="86">
        <v>0</v>
      </c>
      <c r="K79" s="86">
        <v>0</v>
      </c>
      <c r="L79" s="86">
        <v>0</v>
      </c>
      <c r="M79" s="86">
        <v>0</v>
      </c>
      <c r="N79" s="86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 s="85">
        <v>130028795000</v>
      </c>
      <c r="X79" s="85">
        <v>251531489615</v>
      </c>
      <c r="Y79" s="85">
        <v>100155902189</v>
      </c>
      <c r="Z79" s="85">
        <v>191709170367</v>
      </c>
      <c r="AA79" s="85">
        <v>363190973846</v>
      </c>
      <c r="AB79" s="85">
        <v>452559058103</v>
      </c>
      <c r="AC79" s="85">
        <v>432232545676</v>
      </c>
      <c r="AD79" s="85">
        <v>270455208533</v>
      </c>
      <c r="AE79" s="85">
        <v>310315144668</v>
      </c>
      <c r="AF79" s="85">
        <v>40323021088</v>
      </c>
      <c r="AG79" s="85">
        <v>271439143902</v>
      </c>
      <c r="AH79" s="85">
        <v>274136426341</v>
      </c>
    </row>
    <row r="80" spans="2:34">
      <c r="B80" s="50" t="s">
        <v>1769</v>
      </c>
      <c r="C80" s="1275" t="s">
        <v>1769</v>
      </c>
      <c r="D80" s="86">
        <v>0</v>
      </c>
      <c r="E80" s="86">
        <v>0</v>
      </c>
      <c r="F80" s="86"/>
      <c r="G80" s="86">
        <v>0</v>
      </c>
      <c r="H80" s="86">
        <v>0</v>
      </c>
      <c r="I80" s="86">
        <v>0</v>
      </c>
      <c r="J80" s="86">
        <v>0</v>
      </c>
      <c r="K80" s="86">
        <v>0</v>
      </c>
      <c r="L80" s="86">
        <v>0</v>
      </c>
      <c r="M80" s="86">
        <v>0</v>
      </c>
      <c r="N80" s="86">
        <v>0</v>
      </c>
      <c r="O80" s="86">
        <v>0</v>
      </c>
      <c r="P80" s="86">
        <v>50228089888</v>
      </c>
      <c r="Q80" s="86">
        <v>200248823843</v>
      </c>
      <c r="R80" s="86">
        <v>401219061960</v>
      </c>
      <c r="S80" s="86">
        <v>780349317236</v>
      </c>
      <c r="T80" s="86">
        <v>1422781885840</v>
      </c>
      <c r="U80" s="86">
        <v>1857500417154</v>
      </c>
      <c r="V80" s="86">
        <v>1543582732512</v>
      </c>
      <c r="W80" s="86">
        <v>2125886591769</v>
      </c>
      <c r="X80" s="86">
        <v>2049261239264</v>
      </c>
      <c r="Y80" s="86">
        <v>1409484087999</v>
      </c>
      <c r="Z80" s="86">
        <v>1357653969424</v>
      </c>
      <c r="AA80" s="86">
        <v>1205636600212</v>
      </c>
      <c r="AB80" s="86">
        <v>1386687177156</v>
      </c>
      <c r="AC80" s="86">
        <v>1909444404392</v>
      </c>
      <c r="AD80" s="86">
        <v>2843902725926</v>
      </c>
      <c r="AE80" s="86">
        <v>2277240044920</v>
      </c>
      <c r="AF80" s="86">
        <v>1717097843064</v>
      </c>
      <c r="AG80" s="86">
        <v>1598758648670</v>
      </c>
      <c r="AH80" s="86">
        <v>1758995543695</v>
      </c>
    </row>
    <row r="81" spans="2:34">
      <c r="B81" s="50" t="s">
        <v>1770</v>
      </c>
      <c r="C81" s="1275" t="s">
        <v>1770</v>
      </c>
      <c r="D81" s="86">
        <v>18625975990</v>
      </c>
      <c r="E81" s="86">
        <v>19478339720</v>
      </c>
      <c r="F81" s="86"/>
      <c r="G81" s="86">
        <v>56492841256</v>
      </c>
      <c r="H81" s="86">
        <v>98033746441</v>
      </c>
      <c r="I81" s="86">
        <v>20649616817</v>
      </c>
      <c r="J81" s="86">
        <v>17729736817</v>
      </c>
      <c r="K81" s="86">
        <v>18146819817</v>
      </c>
      <c r="L81" s="86">
        <v>18410392317</v>
      </c>
      <c r="M81" s="86">
        <v>18752662317</v>
      </c>
      <c r="N81" s="86">
        <v>14464084817</v>
      </c>
      <c r="O81" s="86">
        <v>16848228317</v>
      </c>
      <c r="P81" s="86">
        <v>13667663817</v>
      </c>
      <c r="Q81" s="86">
        <v>14007165817</v>
      </c>
      <c r="R81" s="86">
        <v>14501454817</v>
      </c>
      <c r="S81" s="86">
        <v>194997337625</v>
      </c>
      <c r="T81" s="86">
        <v>378102302295</v>
      </c>
      <c r="U81" s="86">
        <v>422268650285</v>
      </c>
      <c r="V81" s="86">
        <v>476276919574</v>
      </c>
      <c r="W81" s="86">
        <v>443022855295</v>
      </c>
      <c r="X81" s="86">
        <v>451198981050</v>
      </c>
      <c r="Y81" s="86">
        <v>410790838171</v>
      </c>
      <c r="Z81" s="86">
        <v>359567840856</v>
      </c>
      <c r="AA81" s="86">
        <v>468649472312</v>
      </c>
      <c r="AB81" s="86">
        <v>718000336219</v>
      </c>
      <c r="AC81" s="86">
        <v>478957936706</v>
      </c>
      <c r="AD81" s="86">
        <v>360057651185</v>
      </c>
      <c r="AE81" s="86">
        <v>391117757236</v>
      </c>
      <c r="AF81" s="86">
        <v>443012221581</v>
      </c>
      <c r="AG81" s="86">
        <v>404306810394</v>
      </c>
      <c r="AH81" s="86">
        <v>213478910392</v>
      </c>
    </row>
    <row r="82" spans="2:34">
      <c r="B82" s="50" t="s">
        <v>1771</v>
      </c>
      <c r="C82" s="1275" t="s">
        <v>1771</v>
      </c>
      <c r="D82" s="86">
        <v>162783418893</v>
      </c>
      <c r="E82" s="86">
        <v>156111806784</v>
      </c>
      <c r="F82" s="86"/>
      <c r="G82" s="86">
        <v>192784987799</v>
      </c>
      <c r="H82" s="86">
        <v>213131254325</v>
      </c>
      <c r="I82" s="86">
        <v>203217266669</v>
      </c>
      <c r="J82" s="86">
        <v>252731865404</v>
      </c>
      <c r="K82" s="86">
        <v>290431263372</v>
      </c>
      <c r="L82" s="86">
        <v>287500724315</v>
      </c>
      <c r="M82" s="86">
        <v>281892580865</v>
      </c>
      <c r="N82" s="86">
        <v>282869680710</v>
      </c>
      <c r="O82" s="86">
        <v>296502708775</v>
      </c>
      <c r="P82" s="86">
        <v>315062907187</v>
      </c>
      <c r="Q82" s="86">
        <v>347812878929</v>
      </c>
      <c r="R82" s="86">
        <v>316977490805</v>
      </c>
      <c r="S82" s="86">
        <v>447588350371</v>
      </c>
      <c r="T82" s="86">
        <v>512014572342</v>
      </c>
      <c r="U82" s="86">
        <v>394281047780</v>
      </c>
      <c r="V82" s="86">
        <v>398890658231</v>
      </c>
      <c r="W82" s="86">
        <v>457601561117</v>
      </c>
      <c r="X82" s="86">
        <v>557282261340</v>
      </c>
      <c r="Y82" s="86">
        <v>430760707855</v>
      </c>
      <c r="Z82" s="86">
        <v>458145328231</v>
      </c>
      <c r="AA82" s="86">
        <v>634112060850</v>
      </c>
      <c r="AB82" s="86">
        <v>0</v>
      </c>
      <c r="AC82" s="86">
        <v>0</v>
      </c>
      <c r="AD82" s="86">
        <v>0</v>
      </c>
      <c r="AE82" s="86">
        <v>0</v>
      </c>
      <c r="AF82" s="86">
        <v>0</v>
      </c>
      <c r="AG82" s="86">
        <v>0</v>
      </c>
      <c r="AH82" s="86">
        <v>0</v>
      </c>
    </row>
    <row r="83" spans="2:34" ht="15">
      <c r="B83" s="51" t="s">
        <v>1772</v>
      </c>
      <c r="C83" s="1275" t="s">
        <v>1772</v>
      </c>
      <c r="D83" s="86">
        <v>162783418893</v>
      </c>
      <c r="E83" s="86">
        <v>156111806784</v>
      </c>
      <c r="F83" s="86"/>
      <c r="G83" s="86">
        <v>5076711371</v>
      </c>
      <c r="H83" s="86">
        <v>5110123757</v>
      </c>
      <c r="I83" s="86">
        <v>5138228579</v>
      </c>
      <c r="J83" s="86">
        <v>4034882902</v>
      </c>
      <c r="K83" s="86">
        <v>3293180726</v>
      </c>
      <c r="L83" s="86">
        <v>3309779981</v>
      </c>
      <c r="M83" s="86">
        <v>3326641675</v>
      </c>
      <c r="N83" s="86">
        <v>3343470564</v>
      </c>
      <c r="O83" s="85">
        <v>3359514037</v>
      </c>
      <c r="P83" s="85">
        <v>3293809406</v>
      </c>
      <c r="Q83" s="85">
        <v>3390110765</v>
      </c>
      <c r="R83" s="85">
        <v>3359514037</v>
      </c>
      <c r="S83" s="85">
        <v>3418251869</v>
      </c>
      <c r="T83" s="85">
        <v>3432087772</v>
      </c>
      <c r="U83" s="85">
        <v>3445787361</v>
      </c>
      <c r="V83" s="85">
        <v>3458600907</v>
      </c>
      <c r="W83" s="85">
        <v>3470436233</v>
      </c>
      <c r="X83" s="85">
        <v>3482344168</v>
      </c>
      <c r="Y83" s="85">
        <v>3494009791</v>
      </c>
      <c r="Z83" s="85">
        <v>3502144572</v>
      </c>
      <c r="AA83" s="85">
        <v>3516961908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</row>
    <row r="84" spans="2:34">
      <c r="B84" s="51" t="s">
        <v>1773</v>
      </c>
      <c r="C84" s="1275" t="s">
        <v>1773</v>
      </c>
      <c r="D84" s="86">
        <v>0</v>
      </c>
      <c r="E84" s="86">
        <v>0</v>
      </c>
      <c r="F84" s="86"/>
      <c r="G84" s="86">
        <v>187708276428</v>
      </c>
      <c r="H84" s="86">
        <v>208021130568</v>
      </c>
      <c r="I84" s="86">
        <v>198079038090</v>
      </c>
      <c r="J84" s="86">
        <v>248696982502</v>
      </c>
      <c r="K84" s="86">
        <v>287138082646</v>
      </c>
      <c r="L84" s="86">
        <v>284190944334</v>
      </c>
      <c r="M84" s="86">
        <v>278565939190</v>
      </c>
      <c r="N84" s="86">
        <v>279526210146</v>
      </c>
      <c r="O84" s="86">
        <v>293143194738</v>
      </c>
      <c r="P84" s="86">
        <v>311769097781</v>
      </c>
      <c r="Q84" s="86">
        <v>344422768164</v>
      </c>
      <c r="R84" s="86">
        <v>313617976768</v>
      </c>
      <c r="S84" s="86">
        <v>444170098502</v>
      </c>
      <c r="T84" s="86">
        <v>508582484570</v>
      </c>
      <c r="U84" s="86">
        <v>390835260419</v>
      </c>
      <c r="V84" s="86">
        <v>395432057324</v>
      </c>
      <c r="W84" s="86">
        <v>454131124884</v>
      </c>
      <c r="X84" s="86">
        <v>553799917172</v>
      </c>
      <c r="Y84" s="86">
        <v>427266698064</v>
      </c>
      <c r="Z84" s="86">
        <v>454643183659</v>
      </c>
      <c r="AA84" s="86">
        <v>630595098942</v>
      </c>
      <c r="AB84" s="86">
        <v>0</v>
      </c>
      <c r="AC84" s="86">
        <v>0</v>
      </c>
      <c r="AD84" s="86">
        <v>0</v>
      </c>
      <c r="AE84" s="86">
        <v>0</v>
      </c>
      <c r="AF84" s="86">
        <v>0</v>
      </c>
      <c r="AG84" s="86">
        <v>0</v>
      </c>
      <c r="AH84" s="86">
        <v>0</v>
      </c>
    </row>
    <row r="85" spans="2:34">
      <c r="B85" s="50" t="s">
        <v>1774</v>
      </c>
      <c r="C85" s="1275" t="s">
        <v>1774</v>
      </c>
      <c r="D85" s="86">
        <v>0</v>
      </c>
      <c r="E85" s="86">
        <v>0</v>
      </c>
      <c r="F85" s="86"/>
      <c r="G85" s="86">
        <v>0</v>
      </c>
      <c r="H85" s="86">
        <v>0</v>
      </c>
      <c r="I85" s="86">
        <v>0</v>
      </c>
      <c r="J85" s="86">
        <v>0</v>
      </c>
      <c r="K85" s="86">
        <v>0</v>
      </c>
      <c r="L85" s="86">
        <v>0</v>
      </c>
      <c r="M85" s="86">
        <v>0</v>
      </c>
      <c r="N85" s="86">
        <v>0</v>
      </c>
      <c r="O85" s="86">
        <v>0</v>
      </c>
      <c r="P85" s="86">
        <v>0</v>
      </c>
      <c r="Q85" s="86">
        <v>0</v>
      </c>
      <c r="R85" s="86">
        <v>0</v>
      </c>
      <c r="S85" s="86">
        <v>0</v>
      </c>
      <c r="T85" s="86">
        <v>0</v>
      </c>
      <c r="U85" s="86">
        <v>0</v>
      </c>
      <c r="V85" s="86">
        <v>0</v>
      </c>
      <c r="W85" s="86">
        <v>0</v>
      </c>
      <c r="X85" s="86">
        <v>0</v>
      </c>
      <c r="Y85" s="86">
        <v>0</v>
      </c>
      <c r="Z85" s="86">
        <v>0</v>
      </c>
      <c r="AA85" s="86">
        <v>0</v>
      </c>
      <c r="AB85" s="86">
        <v>0</v>
      </c>
      <c r="AC85" s="86">
        <v>0</v>
      </c>
      <c r="AD85" s="86">
        <v>0</v>
      </c>
      <c r="AE85" s="86">
        <v>0</v>
      </c>
      <c r="AF85" s="86">
        <v>0</v>
      </c>
      <c r="AG85" s="86">
        <v>0</v>
      </c>
      <c r="AH85" s="86">
        <v>0</v>
      </c>
    </row>
    <row r="86" spans="2:34">
      <c r="B86" s="50" t="s">
        <v>1775</v>
      </c>
      <c r="C86" s="1275" t="s">
        <v>1775</v>
      </c>
      <c r="D86" s="86">
        <v>233331149160</v>
      </c>
      <c r="E86" s="86">
        <v>237765642840</v>
      </c>
      <c r="F86" s="86"/>
      <c r="G86" s="86">
        <v>0</v>
      </c>
      <c r="H86" s="86">
        <v>0</v>
      </c>
      <c r="I86" s="86">
        <v>0</v>
      </c>
      <c r="J86" s="86">
        <v>0</v>
      </c>
      <c r="K86" s="86">
        <v>0</v>
      </c>
      <c r="L86" s="86">
        <v>0</v>
      </c>
      <c r="M86" s="86">
        <v>0</v>
      </c>
      <c r="N86" s="86">
        <v>0</v>
      </c>
      <c r="O86" s="86">
        <v>0</v>
      </c>
      <c r="P86" s="86">
        <v>0</v>
      </c>
      <c r="Q86" s="86">
        <v>0</v>
      </c>
      <c r="R86" s="86">
        <v>0</v>
      </c>
      <c r="S86" s="86">
        <v>29066877108</v>
      </c>
      <c r="T86" s="86">
        <v>23003644302</v>
      </c>
      <c r="U86" s="86">
        <v>22955635952</v>
      </c>
      <c r="V86" s="86">
        <v>20389457725</v>
      </c>
      <c r="W86" s="86">
        <v>21921114126</v>
      </c>
      <c r="X86" s="86">
        <v>20441738948</v>
      </c>
      <c r="Y86" s="86">
        <v>21203156015</v>
      </c>
      <c r="Z86" s="86">
        <v>11967206020</v>
      </c>
      <c r="AA86" s="86">
        <v>12934308953</v>
      </c>
      <c r="AB86" s="86">
        <v>0</v>
      </c>
      <c r="AC86" s="86">
        <v>0</v>
      </c>
      <c r="AD86" s="86">
        <v>0</v>
      </c>
      <c r="AE86" s="86">
        <v>0</v>
      </c>
      <c r="AF86" s="86">
        <v>0</v>
      </c>
      <c r="AG86" s="86">
        <v>0</v>
      </c>
      <c r="AH86" s="86">
        <v>0</v>
      </c>
    </row>
    <row r="87" spans="2:34">
      <c r="B87" s="51" t="s">
        <v>1776</v>
      </c>
      <c r="C87" s="1275" t="s">
        <v>1776</v>
      </c>
      <c r="D87" s="86">
        <v>233331149160</v>
      </c>
      <c r="E87" s="86">
        <v>237765642840</v>
      </c>
      <c r="F87" s="86"/>
      <c r="G87" s="86">
        <v>0</v>
      </c>
      <c r="H87" s="86">
        <v>0</v>
      </c>
      <c r="I87" s="86">
        <v>0</v>
      </c>
      <c r="J87" s="86">
        <v>0</v>
      </c>
      <c r="K87" s="86">
        <v>0</v>
      </c>
      <c r="L87" s="86">
        <v>0</v>
      </c>
      <c r="M87" s="86">
        <v>0</v>
      </c>
      <c r="N87" s="86">
        <v>0</v>
      </c>
      <c r="O87" s="86">
        <v>0</v>
      </c>
      <c r="P87" s="86">
        <v>0</v>
      </c>
      <c r="Q87" s="86">
        <v>0</v>
      </c>
      <c r="R87" s="86">
        <v>0</v>
      </c>
      <c r="S87" s="86">
        <v>0</v>
      </c>
      <c r="T87" s="86">
        <v>0</v>
      </c>
      <c r="U87" s="86">
        <v>0</v>
      </c>
      <c r="V87" s="86">
        <v>0</v>
      </c>
      <c r="W87" s="86">
        <v>0</v>
      </c>
      <c r="X87" s="86">
        <v>0</v>
      </c>
      <c r="Y87" s="86">
        <v>0</v>
      </c>
      <c r="Z87" s="86">
        <v>0</v>
      </c>
      <c r="AA87" s="86">
        <v>0</v>
      </c>
      <c r="AB87" s="86">
        <v>0</v>
      </c>
      <c r="AC87" s="86">
        <v>0</v>
      </c>
      <c r="AD87" s="86">
        <v>0</v>
      </c>
      <c r="AE87" s="86">
        <v>0</v>
      </c>
      <c r="AF87" s="86">
        <v>0</v>
      </c>
      <c r="AG87" s="86">
        <v>0</v>
      </c>
      <c r="AH87" s="86">
        <v>0</v>
      </c>
    </row>
    <row r="88" spans="2:34" ht="15">
      <c r="B88" s="51" t="s">
        <v>1777</v>
      </c>
      <c r="C88" s="1275" t="s">
        <v>1777</v>
      </c>
      <c r="D88" s="86">
        <v>0</v>
      </c>
      <c r="E88" s="86">
        <v>0</v>
      </c>
      <c r="F88" s="86"/>
      <c r="G88" s="86">
        <v>0</v>
      </c>
      <c r="H88" s="86">
        <v>0</v>
      </c>
      <c r="I88" s="86">
        <v>0</v>
      </c>
      <c r="J88" s="86">
        <v>0</v>
      </c>
      <c r="K88" s="86">
        <v>0</v>
      </c>
      <c r="L88" s="86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R88" s="85">
        <v>0</v>
      </c>
      <c r="S88" s="85">
        <v>0</v>
      </c>
      <c r="T88" s="85">
        <v>0</v>
      </c>
      <c r="U88" s="85">
        <v>0</v>
      </c>
      <c r="V88" s="85">
        <v>0</v>
      </c>
      <c r="W88" s="85">
        <v>0</v>
      </c>
      <c r="X88" s="85">
        <v>0</v>
      </c>
      <c r="Y88" s="85">
        <v>0</v>
      </c>
      <c r="Z88" s="85">
        <v>0</v>
      </c>
      <c r="AA88" s="85">
        <v>0</v>
      </c>
      <c r="AB88" s="85">
        <v>0</v>
      </c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</row>
    <row r="89" spans="2:34">
      <c r="B89" s="51" t="s">
        <v>923</v>
      </c>
      <c r="C89" s="1275" t="s">
        <v>923</v>
      </c>
      <c r="D89" s="86">
        <v>0</v>
      </c>
      <c r="E89" s="86">
        <v>0</v>
      </c>
      <c r="F89" s="86"/>
      <c r="G89" s="86">
        <v>0</v>
      </c>
      <c r="H89" s="86">
        <v>0</v>
      </c>
      <c r="I89" s="86">
        <v>0</v>
      </c>
      <c r="J89" s="86">
        <v>0</v>
      </c>
      <c r="K89" s="86">
        <v>0</v>
      </c>
      <c r="L89" s="86">
        <v>0</v>
      </c>
      <c r="M89" s="86">
        <v>0</v>
      </c>
      <c r="N89" s="86">
        <v>0</v>
      </c>
      <c r="O89" s="86">
        <v>0</v>
      </c>
      <c r="P89" s="86">
        <v>0</v>
      </c>
      <c r="Q89" s="86">
        <v>0</v>
      </c>
      <c r="R89" s="86">
        <v>0</v>
      </c>
      <c r="S89" s="86">
        <v>29066877108</v>
      </c>
      <c r="T89" s="86">
        <v>23003644302</v>
      </c>
      <c r="U89" s="86">
        <v>22955635952</v>
      </c>
      <c r="V89" s="86">
        <v>20389457725</v>
      </c>
      <c r="W89" s="86">
        <v>21921114126</v>
      </c>
      <c r="X89" s="86">
        <v>20441738948</v>
      </c>
      <c r="Y89" s="86">
        <v>21203156015</v>
      </c>
      <c r="Z89" s="86">
        <v>11967206020</v>
      </c>
      <c r="AA89" s="86">
        <v>12934308953</v>
      </c>
      <c r="AB89" s="86">
        <v>0</v>
      </c>
      <c r="AC89" s="86">
        <v>0</v>
      </c>
      <c r="AD89" s="86">
        <v>0</v>
      </c>
      <c r="AE89" s="86">
        <v>0</v>
      </c>
      <c r="AF89" s="86">
        <v>0</v>
      </c>
      <c r="AG89" s="86">
        <v>0</v>
      </c>
      <c r="AH89" s="86">
        <v>0</v>
      </c>
    </row>
    <row r="90" spans="2:34" ht="15">
      <c r="B90" s="50" t="s">
        <v>1778</v>
      </c>
      <c r="C90" s="1275" t="s">
        <v>1778</v>
      </c>
      <c r="D90" s="86">
        <v>0</v>
      </c>
      <c r="E90" s="86">
        <v>0</v>
      </c>
      <c r="F90" s="86"/>
      <c r="G90" s="86">
        <v>0</v>
      </c>
      <c r="H90" s="86">
        <v>0</v>
      </c>
      <c r="I90" s="86">
        <v>0</v>
      </c>
      <c r="J90" s="86">
        <v>0</v>
      </c>
      <c r="K90" s="86">
        <v>0</v>
      </c>
      <c r="L90" s="86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</row>
    <row r="91" spans="2:34">
      <c r="B91" s="49" t="s">
        <v>1781</v>
      </c>
      <c r="C91" s="1278" t="s">
        <v>2270</v>
      </c>
      <c r="D91" s="86">
        <v>0</v>
      </c>
      <c r="E91" s="86">
        <v>0</v>
      </c>
      <c r="F91" s="86"/>
      <c r="G91" s="86">
        <v>0</v>
      </c>
      <c r="H91" s="86">
        <v>0</v>
      </c>
      <c r="I91" s="86">
        <v>0</v>
      </c>
      <c r="J91" s="86">
        <v>0</v>
      </c>
      <c r="K91" s="86">
        <v>0</v>
      </c>
      <c r="L91" s="86">
        <v>0</v>
      </c>
      <c r="M91" s="86">
        <v>0</v>
      </c>
      <c r="N91" s="86">
        <v>0</v>
      </c>
      <c r="O91" s="86">
        <v>0</v>
      </c>
      <c r="P91" s="86">
        <v>0</v>
      </c>
      <c r="Q91" s="86">
        <v>0</v>
      </c>
      <c r="R91" s="86">
        <v>0</v>
      </c>
      <c r="S91" s="86">
        <v>0</v>
      </c>
      <c r="T91" s="86">
        <v>0</v>
      </c>
      <c r="U91" s="86">
        <v>0</v>
      </c>
      <c r="V91" s="86">
        <v>0</v>
      </c>
      <c r="W91" s="86">
        <v>0</v>
      </c>
      <c r="X91" s="86">
        <v>0</v>
      </c>
      <c r="Y91" s="86">
        <v>0</v>
      </c>
      <c r="Z91" s="86">
        <v>0</v>
      </c>
      <c r="AA91" s="86">
        <v>0</v>
      </c>
      <c r="AB91" s="86">
        <v>19077415264</v>
      </c>
      <c r="AC91" s="86">
        <v>29118320476</v>
      </c>
      <c r="AD91" s="86">
        <v>50161040334</v>
      </c>
      <c r="AE91" s="86">
        <v>106205167098</v>
      </c>
      <c r="AF91" s="86">
        <v>106248478439</v>
      </c>
      <c r="AG91" s="86">
        <v>106291230930</v>
      </c>
      <c r="AH91" s="86">
        <v>106335851585</v>
      </c>
    </row>
    <row r="92" spans="2:34" ht="15">
      <c r="B92" s="50" t="s">
        <v>1782</v>
      </c>
      <c r="C92" s="1275" t="s">
        <v>1782</v>
      </c>
      <c r="D92" s="86">
        <v>0</v>
      </c>
      <c r="E92" s="86">
        <v>0</v>
      </c>
      <c r="F92" s="86"/>
      <c r="G92" s="86">
        <v>0</v>
      </c>
      <c r="H92" s="86">
        <v>0</v>
      </c>
      <c r="I92" s="86">
        <v>0</v>
      </c>
      <c r="J92" s="86">
        <v>0</v>
      </c>
      <c r="K92" s="86">
        <v>0</v>
      </c>
      <c r="L92" s="86">
        <v>0</v>
      </c>
      <c r="M92" s="85">
        <v>0</v>
      </c>
      <c r="N92" s="85">
        <v>0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 s="85">
        <v>0</v>
      </c>
      <c r="Y92" s="85">
        <v>0</v>
      </c>
      <c r="Z92" s="85">
        <v>0</v>
      </c>
      <c r="AA92" s="85">
        <v>0</v>
      </c>
      <c r="AB92" s="85">
        <v>19077415264</v>
      </c>
      <c r="AC92" s="85">
        <v>19118320476</v>
      </c>
      <c r="AD92" s="85">
        <v>19161040334</v>
      </c>
      <c r="AE92" s="85">
        <v>19205167098</v>
      </c>
      <c r="AF92" s="85">
        <v>19248478439</v>
      </c>
      <c r="AG92" s="85">
        <v>19291230930</v>
      </c>
      <c r="AH92" s="85">
        <v>19335851585</v>
      </c>
    </row>
    <row r="93" spans="2:34" ht="15">
      <c r="B93" s="50" t="s">
        <v>1783</v>
      </c>
      <c r="C93" s="1275" t="s">
        <v>1783</v>
      </c>
      <c r="D93" s="86">
        <v>0</v>
      </c>
      <c r="E93" s="86">
        <v>0</v>
      </c>
      <c r="F93" s="86"/>
      <c r="G93" s="86">
        <v>0</v>
      </c>
      <c r="H93" s="86">
        <v>0</v>
      </c>
      <c r="I93" s="86">
        <v>0</v>
      </c>
      <c r="J93" s="86">
        <v>0</v>
      </c>
      <c r="K93" s="86">
        <v>0</v>
      </c>
      <c r="L93" s="86">
        <v>0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R93" s="85">
        <v>0</v>
      </c>
      <c r="S93" s="85">
        <v>0</v>
      </c>
      <c r="T93" s="85">
        <v>0</v>
      </c>
      <c r="U93" s="85">
        <v>0</v>
      </c>
      <c r="V93" s="85">
        <v>0</v>
      </c>
      <c r="W93" s="85">
        <v>0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</row>
    <row r="94" spans="2:34" ht="15">
      <c r="B94" s="50" t="s">
        <v>1784</v>
      </c>
      <c r="C94" s="1275" t="s">
        <v>1784</v>
      </c>
      <c r="D94" s="86">
        <v>0</v>
      </c>
      <c r="E94" s="86">
        <v>0</v>
      </c>
      <c r="F94" s="86"/>
      <c r="G94" s="86">
        <v>0</v>
      </c>
      <c r="H94" s="86">
        <v>0</v>
      </c>
      <c r="I94" s="86">
        <v>0</v>
      </c>
      <c r="J94" s="86">
        <v>0</v>
      </c>
      <c r="K94" s="86">
        <v>0</v>
      </c>
      <c r="L94" s="86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 s="85">
        <v>0</v>
      </c>
      <c r="Y94" s="85">
        <v>0</v>
      </c>
      <c r="Z94" s="85">
        <v>0</v>
      </c>
      <c r="AA94" s="85">
        <v>0</v>
      </c>
      <c r="AB94" s="85">
        <v>0</v>
      </c>
      <c r="AC94" s="85">
        <v>10000000000</v>
      </c>
      <c r="AD94" s="85">
        <v>31000000000</v>
      </c>
      <c r="AE94" s="85">
        <v>87000000000</v>
      </c>
      <c r="AF94" s="85">
        <v>87000000000</v>
      </c>
      <c r="AG94" s="85">
        <v>87000000000</v>
      </c>
      <c r="AH94" s="85">
        <v>87000000000</v>
      </c>
    </row>
    <row r="95" spans="2:34" ht="15">
      <c r="B95" s="50" t="s">
        <v>1148</v>
      </c>
      <c r="C95" s="1275" t="s">
        <v>1148</v>
      </c>
      <c r="D95" s="86">
        <v>0</v>
      </c>
      <c r="E95" s="86">
        <v>0</v>
      </c>
      <c r="F95" s="86"/>
      <c r="G95" s="86">
        <v>0</v>
      </c>
      <c r="H95" s="86">
        <v>0</v>
      </c>
      <c r="I95" s="86">
        <v>0</v>
      </c>
      <c r="J95" s="86">
        <v>0</v>
      </c>
      <c r="K95" s="86">
        <v>0</v>
      </c>
      <c r="L95" s="86">
        <v>0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R95" s="85">
        <v>0</v>
      </c>
      <c r="S95" s="85">
        <v>0</v>
      </c>
      <c r="T95" s="85">
        <v>0</v>
      </c>
      <c r="U95" s="85">
        <v>0</v>
      </c>
      <c r="V95" s="85">
        <v>0</v>
      </c>
      <c r="W95" s="85">
        <v>0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</row>
    <row r="96" spans="2:34">
      <c r="B96" s="49" t="s">
        <v>1785</v>
      </c>
      <c r="C96" s="1275" t="s">
        <v>1785</v>
      </c>
      <c r="D96" s="86">
        <v>109974065755</v>
      </c>
      <c r="E96" s="86">
        <v>95218341084</v>
      </c>
      <c r="F96" s="86"/>
      <c r="G96" s="86">
        <v>427909782479</v>
      </c>
      <c r="H96" s="86">
        <v>425429782766</v>
      </c>
      <c r="I96" s="86">
        <v>400630815470</v>
      </c>
      <c r="J96" s="86">
        <v>411024315470</v>
      </c>
      <c r="K96" s="86">
        <v>457735865233</v>
      </c>
      <c r="L96" s="86">
        <v>465999037782</v>
      </c>
      <c r="M96" s="86">
        <v>524088919597</v>
      </c>
      <c r="N96" s="86">
        <v>576903913155</v>
      </c>
      <c r="O96" s="86">
        <v>593529107723</v>
      </c>
      <c r="P96" s="86">
        <v>693101341370</v>
      </c>
      <c r="Q96" s="86">
        <v>733078270084</v>
      </c>
      <c r="R96" s="86">
        <v>763479439779</v>
      </c>
      <c r="S96" s="86">
        <v>690680568881</v>
      </c>
      <c r="T96" s="86">
        <v>744769178267</v>
      </c>
      <c r="U96" s="86">
        <v>748367810116</v>
      </c>
      <c r="V96" s="86">
        <v>750894326455</v>
      </c>
      <c r="W96" s="86">
        <v>761150325342</v>
      </c>
      <c r="X96" s="86">
        <v>801566760906</v>
      </c>
      <c r="Y96" s="86">
        <v>808499872142</v>
      </c>
      <c r="Z96" s="86">
        <v>819615842497</v>
      </c>
      <c r="AA96" s="86">
        <v>811749368396</v>
      </c>
      <c r="AB96" s="86">
        <v>856643330170</v>
      </c>
      <c r="AC96" s="86">
        <v>1300407023693</v>
      </c>
      <c r="AD96" s="86">
        <v>1230470488910</v>
      </c>
      <c r="AE96" s="86">
        <v>1816444908766</v>
      </c>
      <c r="AF96" s="86">
        <v>2577066891527</v>
      </c>
      <c r="AG96" s="86">
        <v>3064819675420</v>
      </c>
      <c r="AH96" s="86">
        <v>3371947040854</v>
      </c>
    </row>
    <row r="97" spans="2:34">
      <c r="B97" s="50" t="s">
        <v>1786</v>
      </c>
      <c r="C97" s="1275" t="s">
        <v>1786</v>
      </c>
      <c r="D97" s="86">
        <v>56470780956</v>
      </c>
      <c r="E97" s="86">
        <v>56470780956</v>
      </c>
      <c r="F97" s="86"/>
      <c r="G97" s="86">
        <v>389941829489</v>
      </c>
      <c r="H97" s="86">
        <v>389369096785</v>
      </c>
      <c r="I97" s="86">
        <v>364941829489</v>
      </c>
      <c r="J97" s="86">
        <v>364941829489</v>
      </c>
      <c r="K97" s="86">
        <v>407273739489</v>
      </c>
      <c r="L97" s="86">
        <v>412554207221</v>
      </c>
      <c r="M97" s="86">
        <v>470656707221</v>
      </c>
      <c r="N97" s="86">
        <v>522411707221</v>
      </c>
      <c r="O97" s="86">
        <v>542411707221</v>
      </c>
      <c r="P97" s="86">
        <v>641559440868</v>
      </c>
      <c r="Q97" s="86">
        <v>681559440868</v>
      </c>
      <c r="R97" s="86">
        <v>701559440868</v>
      </c>
      <c r="S97" s="86">
        <v>621860583894</v>
      </c>
      <c r="T97" s="86">
        <v>683245583894</v>
      </c>
      <c r="U97" s="86">
        <v>683245583894</v>
      </c>
      <c r="V97" s="86">
        <v>683245583894</v>
      </c>
      <c r="W97" s="86">
        <v>683245583894</v>
      </c>
      <c r="X97" s="86">
        <v>683245583894</v>
      </c>
      <c r="Y97" s="86">
        <v>683245583894</v>
      </c>
      <c r="Z97" s="86">
        <v>683245583894</v>
      </c>
      <c r="AA97" s="86">
        <v>683245583894</v>
      </c>
      <c r="AB97" s="86">
        <v>712945583894</v>
      </c>
      <c r="AC97" s="86">
        <v>1095535904718</v>
      </c>
      <c r="AD97" s="86">
        <v>934435904718</v>
      </c>
      <c r="AE97" s="86">
        <v>1264472830618</v>
      </c>
      <c r="AF97" s="86">
        <v>1906381179022</v>
      </c>
      <c r="AG97" s="86">
        <v>2105325891595</v>
      </c>
      <c r="AH97" s="86">
        <v>2372555386739</v>
      </c>
    </row>
    <row r="98" spans="2:34">
      <c r="B98" s="51" t="s">
        <v>1787</v>
      </c>
      <c r="C98" s="1275" t="s">
        <v>1787</v>
      </c>
      <c r="D98" s="86">
        <v>31470690956</v>
      </c>
      <c r="E98" s="86">
        <v>31470690956</v>
      </c>
      <c r="F98" s="86"/>
      <c r="G98" s="86">
        <v>364941739489</v>
      </c>
      <c r="H98" s="86">
        <v>364941739489</v>
      </c>
      <c r="I98" s="86">
        <v>364941739489</v>
      </c>
      <c r="J98" s="86">
        <v>364941739489</v>
      </c>
      <c r="K98" s="86">
        <v>364941739489</v>
      </c>
      <c r="L98" s="86">
        <v>370222207221</v>
      </c>
      <c r="M98" s="86">
        <v>370222207221</v>
      </c>
      <c r="N98" s="86">
        <v>370222207221</v>
      </c>
      <c r="O98" s="86">
        <v>390222207221</v>
      </c>
      <c r="P98" s="86">
        <v>433929940868</v>
      </c>
      <c r="Q98" s="86">
        <v>473929940868</v>
      </c>
      <c r="R98" s="86">
        <v>493929940868</v>
      </c>
      <c r="S98" s="86">
        <v>414231083894</v>
      </c>
      <c r="T98" s="86">
        <v>414231083894</v>
      </c>
      <c r="U98" s="86">
        <v>414231083894</v>
      </c>
      <c r="V98" s="86">
        <v>414231083894</v>
      </c>
      <c r="W98" s="86">
        <v>414231083894</v>
      </c>
      <c r="X98" s="86">
        <v>414231083894</v>
      </c>
      <c r="Y98" s="86">
        <v>414231083894</v>
      </c>
      <c r="Z98" s="86">
        <v>414231083894</v>
      </c>
      <c r="AA98" s="86">
        <v>414231083894</v>
      </c>
      <c r="AB98" s="86">
        <v>414231083894</v>
      </c>
      <c r="AC98" s="86">
        <v>487653834718</v>
      </c>
      <c r="AD98" s="86">
        <v>487653834718</v>
      </c>
      <c r="AE98" s="86">
        <v>485034724450</v>
      </c>
      <c r="AF98" s="86">
        <v>822879724450</v>
      </c>
      <c r="AG98" s="86">
        <v>822879724450</v>
      </c>
      <c r="AH98" s="86">
        <v>822879724450</v>
      </c>
    </row>
    <row r="99" spans="2:34">
      <c r="B99" s="51" t="s">
        <v>1788</v>
      </c>
      <c r="C99" s="1275" t="s">
        <v>1788</v>
      </c>
      <c r="D99" s="86">
        <v>90000</v>
      </c>
      <c r="E99" s="86">
        <v>90000</v>
      </c>
      <c r="F99" s="86"/>
      <c r="G99" s="86">
        <v>90000</v>
      </c>
      <c r="H99" s="86">
        <v>90000</v>
      </c>
      <c r="I99" s="86">
        <v>90000</v>
      </c>
      <c r="J99" s="86">
        <v>90000</v>
      </c>
      <c r="K99" s="86">
        <v>0</v>
      </c>
      <c r="L99" s="86">
        <v>0</v>
      </c>
      <c r="M99" s="86">
        <v>0</v>
      </c>
      <c r="N99" s="86">
        <v>0</v>
      </c>
      <c r="O99" s="86">
        <v>0</v>
      </c>
      <c r="P99" s="86">
        <v>0</v>
      </c>
      <c r="Q99" s="86"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>
        <v>0</v>
      </c>
      <c r="Z99" s="86">
        <v>0</v>
      </c>
      <c r="AA99" s="86">
        <v>0</v>
      </c>
      <c r="AB99" s="86">
        <v>0</v>
      </c>
      <c r="AC99" s="86">
        <v>0</v>
      </c>
      <c r="AD99" s="86">
        <v>0</v>
      </c>
      <c r="AE99" s="86">
        <v>100055714286</v>
      </c>
      <c r="AF99" s="86">
        <v>150055714286</v>
      </c>
      <c r="AG99" s="86">
        <v>73311725419</v>
      </c>
      <c r="AH99" s="86">
        <v>73311725419</v>
      </c>
    </row>
    <row r="100" spans="2:34" ht="15">
      <c r="B100" s="51" t="s">
        <v>1789</v>
      </c>
      <c r="C100" s="1275" t="s">
        <v>1789</v>
      </c>
      <c r="D100" s="86">
        <v>25000000000</v>
      </c>
      <c r="E100" s="86">
        <v>25000000000</v>
      </c>
      <c r="F100" s="86"/>
      <c r="G100" s="86">
        <v>25000000000</v>
      </c>
      <c r="H100" s="86">
        <v>24427267296</v>
      </c>
      <c r="I100" s="86">
        <v>0</v>
      </c>
      <c r="J100" s="86">
        <v>0</v>
      </c>
      <c r="K100" s="86">
        <v>42332000000</v>
      </c>
      <c r="L100" s="86">
        <v>42332000000</v>
      </c>
      <c r="M100" s="85">
        <v>100434500000</v>
      </c>
      <c r="N100" s="85">
        <v>152189500000</v>
      </c>
      <c r="O100" s="85">
        <v>152189500000</v>
      </c>
      <c r="P100" s="85">
        <v>207629500000</v>
      </c>
      <c r="Q100" s="85">
        <v>207629500000</v>
      </c>
      <c r="R100" s="85">
        <v>207629500000</v>
      </c>
      <c r="S100" s="85">
        <v>207629500000</v>
      </c>
      <c r="T100" s="85">
        <v>269014500000</v>
      </c>
      <c r="U100" s="85">
        <v>269014500000</v>
      </c>
      <c r="V100" s="85">
        <v>269014500000</v>
      </c>
      <c r="W100" s="85">
        <v>269014500000</v>
      </c>
      <c r="X100" s="85">
        <v>269014500000</v>
      </c>
      <c r="Y100" s="85">
        <v>269014500000</v>
      </c>
      <c r="Z100" s="85">
        <v>269014500000</v>
      </c>
      <c r="AA100" s="85">
        <v>269014500000</v>
      </c>
      <c r="AB100" s="85">
        <v>298714500000</v>
      </c>
      <c r="AC100" s="85">
        <v>607882070000</v>
      </c>
      <c r="AD100" s="85">
        <v>446782070000</v>
      </c>
      <c r="AE100" s="85">
        <v>679382391882</v>
      </c>
      <c r="AF100" s="85">
        <v>933445740286</v>
      </c>
      <c r="AG100" s="85">
        <v>1209134441726</v>
      </c>
      <c r="AH100" s="85">
        <v>1476363936870</v>
      </c>
    </row>
    <row r="101" spans="2:34">
      <c r="B101" s="50" t="s">
        <v>1790</v>
      </c>
      <c r="C101" s="1275" t="s">
        <v>1790</v>
      </c>
      <c r="D101" s="86">
        <v>53503284799</v>
      </c>
      <c r="E101" s="86">
        <v>38747560128</v>
      </c>
      <c r="F101" s="86"/>
      <c r="G101" s="86">
        <v>37967952990</v>
      </c>
      <c r="H101" s="86">
        <v>36060685981</v>
      </c>
      <c r="I101" s="86">
        <v>35688985981</v>
      </c>
      <c r="J101" s="86">
        <v>46082485981</v>
      </c>
      <c r="K101" s="86">
        <v>50462125744</v>
      </c>
      <c r="L101" s="86">
        <v>53444830561</v>
      </c>
      <c r="M101" s="86">
        <v>53432212376</v>
      </c>
      <c r="N101" s="86">
        <v>54492205934</v>
      </c>
      <c r="O101" s="86">
        <v>51117400502</v>
      </c>
      <c r="P101" s="86">
        <v>51541900502</v>
      </c>
      <c r="Q101" s="86">
        <v>51518829216</v>
      </c>
      <c r="R101" s="86">
        <v>61919998911</v>
      </c>
      <c r="S101" s="86">
        <v>68819984987</v>
      </c>
      <c r="T101" s="86">
        <v>61523594373</v>
      </c>
      <c r="U101" s="86">
        <v>65122226222</v>
      </c>
      <c r="V101" s="86">
        <v>67648742561</v>
      </c>
      <c r="W101" s="86">
        <v>77904741448</v>
      </c>
      <c r="X101" s="86">
        <v>118321177012</v>
      </c>
      <c r="Y101" s="86">
        <v>125254288248</v>
      </c>
      <c r="Z101" s="86">
        <v>136370258603</v>
      </c>
      <c r="AA101" s="86">
        <v>128503784502</v>
      </c>
      <c r="AB101" s="86">
        <v>143697746276</v>
      </c>
      <c r="AC101" s="86">
        <v>204871118975</v>
      </c>
      <c r="AD101" s="86">
        <v>296034584192</v>
      </c>
      <c r="AE101" s="86">
        <v>551972078148</v>
      </c>
      <c r="AF101" s="86">
        <v>670685712505</v>
      </c>
      <c r="AG101" s="86">
        <v>959493783825</v>
      </c>
      <c r="AH101" s="86">
        <v>999391654115</v>
      </c>
    </row>
    <row r="102" spans="2:34">
      <c r="B102" s="51" t="s">
        <v>1787</v>
      </c>
      <c r="C102" s="1275" t="s">
        <v>1787</v>
      </c>
      <c r="D102" s="86">
        <v>53503284799</v>
      </c>
      <c r="E102" s="86">
        <v>38747560128</v>
      </c>
      <c r="F102" s="86"/>
      <c r="G102" s="86">
        <v>37967952990</v>
      </c>
      <c r="H102" s="86">
        <v>36060685981</v>
      </c>
      <c r="I102" s="86">
        <v>35688985981</v>
      </c>
      <c r="J102" s="86">
        <v>46082485981</v>
      </c>
      <c r="K102" s="86">
        <v>50462125744</v>
      </c>
      <c r="L102" s="86">
        <v>53444830561</v>
      </c>
      <c r="M102" s="86">
        <v>53432212376</v>
      </c>
      <c r="N102" s="86">
        <v>54492205934</v>
      </c>
      <c r="O102" s="86">
        <v>51117400502</v>
      </c>
      <c r="P102" s="86">
        <v>51541900502</v>
      </c>
      <c r="Q102" s="86">
        <v>51518829216</v>
      </c>
      <c r="R102" s="86">
        <v>61919998911</v>
      </c>
      <c r="S102" s="86">
        <v>68819984987</v>
      </c>
      <c r="T102" s="86">
        <v>61523594373</v>
      </c>
      <c r="U102" s="86">
        <v>65122226222</v>
      </c>
      <c r="V102" s="86">
        <v>67648742561</v>
      </c>
      <c r="W102" s="86">
        <v>77904741448</v>
      </c>
      <c r="X102" s="86">
        <v>118321177012</v>
      </c>
      <c r="Y102" s="86">
        <v>125254288248</v>
      </c>
      <c r="Z102" s="86">
        <v>136370258603</v>
      </c>
      <c r="AA102" s="86">
        <v>128503784502</v>
      </c>
      <c r="AB102" s="86">
        <v>3322800000</v>
      </c>
      <c r="AC102" s="86">
        <v>3322800000</v>
      </c>
      <c r="AD102" s="86">
        <v>3322800000</v>
      </c>
      <c r="AE102" s="86">
        <v>3322800000</v>
      </c>
      <c r="AF102" s="86">
        <v>3322800000</v>
      </c>
      <c r="AG102" s="86">
        <v>3322800000</v>
      </c>
      <c r="AH102" s="86">
        <v>3322800000</v>
      </c>
    </row>
    <row r="103" spans="2:34" ht="15">
      <c r="B103" s="51" t="s">
        <v>1788</v>
      </c>
      <c r="C103" s="1275" t="s">
        <v>1788</v>
      </c>
      <c r="D103" s="86">
        <v>0</v>
      </c>
      <c r="E103" s="86">
        <v>0</v>
      </c>
      <c r="F103" s="86"/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86">
        <v>0</v>
      </c>
      <c r="M103" s="85">
        <v>0</v>
      </c>
      <c r="N103" s="85">
        <v>0</v>
      </c>
      <c r="O103" s="85">
        <v>0</v>
      </c>
      <c r="P103" s="85">
        <v>0</v>
      </c>
      <c r="Q103" s="85">
        <v>0</v>
      </c>
      <c r="R103" s="85">
        <v>0</v>
      </c>
      <c r="S103" s="85">
        <v>0</v>
      </c>
      <c r="T103" s="85">
        <v>0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25414930372</v>
      </c>
      <c r="AC103" s="85">
        <v>28024803071</v>
      </c>
      <c r="AD103" s="85">
        <v>51304693536</v>
      </c>
      <c r="AE103" s="85">
        <v>61493431170</v>
      </c>
      <c r="AF103" s="85">
        <v>65391431767</v>
      </c>
      <c r="AG103" s="85">
        <v>80877821440</v>
      </c>
      <c r="AH103" s="85">
        <v>90946096121</v>
      </c>
    </row>
    <row r="104" spans="2:34" ht="15">
      <c r="B104" s="51" t="s">
        <v>1789</v>
      </c>
      <c r="C104" s="1275" t="s">
        <v>1789</v>
      </c>
      <c r="D104" s="86">
        <v>0</v>
      </c>
      <c r="E104" s="86">
        <v>0</v>
      </c>
      <c r="F104" s="86"/>
      <c r="G104" s="86">
        <v>0</v>
      </c>
      <c r="H104" s="86">
        <v>0</v>
      </c>
      <c r="I104" s="86">
        <v>0</v>
      </c>
      <c r="J104" s="86">
        <v>0</v>
      </c>
      <c r="K104" s="86">
        <v>0</v>
      </c>
      <c r="L104" s="86">
        <v>0</v>
      </c>
      <c r="M104" s="85">
        <v>0</v>
      </c>
      <c r="N104" s="85">
        <v>0</v>
      </c>
      <c r="O104" s="85">
        <v>0</v>
      </c>
      <c r="P104" s="85">
        <v>0</v>
      </c>
      <c r="Q104" s="85">
        <v>0</v>
      </c>
      <c r="R104" s="85">
        <v>0</v>
      </c>
      <c r="S104" s="85">
        <v>0</v>
      </c>
      <c r="T104" s="85">
        <v>0</v>
      </c>
      <c r="U104" s="85">
        <v>0</v>
      </c>
      <c r="V104" s="85">
        <v>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114960015904</v>
      </c>
      <c r="AC104" s="85">
        <v>173523515904</v>
      </c>
      <c r="AD104" s="85">
        <v>241407090656</v>
      </c>
      <c r="AE104" s="85">
        <v>487155846978</v>
      </c>
      <c r="AF104" s="85">
        <v>601971480738</v>
      </c>
      <c r="AG104" s="85">
        <v>875293162385</v>
      </c>
      <c r="AH104" s="85">
        <v>905122757994</v>
      </c>
    </row>
    <row r="105" spans="2:34">
      <c r="B105" s="49" t="s">
        <v>1791</v>
      </c>
      <c r="C105" s="1275" t="s">
        <v>1791</v>
      </c>
      <c r="D105" s="86">
        <v>756648157597</v>
      </c>
      <c r="E105" s="86">
        <v>767722285117</v>
      </c>
      <c r="F105" s="86"/>
      <c r="G105" s="86">
        <v>717770239013</v>
      </c>
      <c r="H105" s="86">
        <v>436822062169</v>
      </c>
      <c r="I105" s="86">
        <v>421364180981</v>
      </c>
      <c r="J105" s="86">
        <v>477531414379</v>
      </c>
      <c r="K105" s="86">
        <v>416989447314</v>
      </c>
      <c r="L105" s="86">
        <v>387024648583</v>
      </c>
      <c r="M105" s="86">
        <v>453884834963</v>
      </c>
      <c r="N105" s="86">
        <v>615727501369</v>
      </c>
      <c r="O105" s="86">
        <v>623661985228</v>
      </c>
      <c r="P105" s="86">
        <v>529937286506</v>
      </c>
      <c r="Q105" s="86">
        <v>539011495474</v>
      </c>
      <c r="R105" s="86">
        <v>466593774833</v>
      </c>
      <c r="S105" s="86">
        <v>575112277117</v>
      </c>
      <c r="T105" s="86">
        <v>597519138213</v>
      </c>
      <c r="U105" s="86">
        <v>704697503494</v>
      </c>
      <c r="V105" s="86">
        <v>742830472667</v>
      </c>
      <c r="W105" s="86">
        <v>739065473047</v>
      </c>
      <c r="X105" s="86">
        <v>603446080105</v>
      </c>
      <c r="Y105" s="86">
        <v>539817514901</v>
      </c>
      <c r="Z105" s="86">
        <v>417307845534</v>
      </c>
      <c r="AA105" s="86">
        <v>278607894673</v>
      </c>
      <c r="AB105" s="86">
        <v>304726188144</v>
      </c>
      <c r="AC105" s="86">
        <v>282503208607</v>
      </c>
      <c r="AD105" s="86">
        <v>311144633056</v>
      </c>
      <c r="AE105" s="86">
        <v>278393757672</v>
      </c>
      <c r="AF105" s="86">
        <v>265783745907</v>
      </c>
      <c r="AG105" s="86">
        <v>268873689331</v>
      </c>
      <c r="AH105" s="86">
        <v>205554853446</v>
      </c>
    </row>
    <row r="106" spans="2:34">
      <c r="B106" s="50" t="s">
        <v>1792</v>
      </c>
      <c r="C106" s="1275" t="s">
        <v>1792</v>
      </c>
      <c r="D106" s="86">
        <v>756355790934</v>
      </c>
      <c r="E106" s="86">
        <v>767158465467</v>
      </c>
      <c r="F106" s="86"/>
      <c r="G106" s="86">
        <v>717296933963</v>
      </c>
      <c r="H106" s="86">
        <v>416590262541</v>
      </c>
      <c r="I106" s="86">
        <v>374696734752</v>
      </c>
      <c r="J106" s="86">
        <v>428326884138</v>
      </c>
      <c r="K106" s="86">
        <v>363610206750</v>
      </c>
      <c r="L106" s="86">
        <v>321627503687</v>
      </c>
      <c r="M106" s="86">
        <v>421632389723</v>
      </c>
      <c r="N106" s="86">
        <v>593611624442</v>
      </c>
      <c r="O106" s="86">
        <v>596485518331</v>
      </c>
      <c r="P106" s="86">
        <v>521073563806</v>
      </c>
      <c r="Q106" s="86">
        <v>508363274674</v>
      </c>
      <c r="R106" s="86">
        <v>446424744483</v>
      </c>
      <c r="S106" s="86">
        <v>571377614117</v>
      </c>
      <c r="T106" s="86">
        <v>596070066933</v>
      </c>
      <c r="U106" s="86">
        <v>683684475694</v>
      </c>
      <c r="V106" s="86">
        <v>694406587007</v>
      </c>
      <c r="W106" s="86">
        <v>658306702881</v>
      </c>
      <c r="X106" s="86">
        <v>533537129207</v>
      </c>
      <c r="Y106" s="86">
        <v>464397868772</v>
      </c>
      <c r="Z106" s="86">
        <v>340096879656</v>
      </c>
      <c r="AA106" s="86">
        <v>222300483961</v>
      </c>
      <c r="AB106" s="86">
        <v>218425112873</v>
      </c>
      <c r="AC106" s="86">
        <v>196980316056</v>
      </c>
      <c r="AD106" s="86">
        <v>223305238776</v>
      </c>
      <c r="AE106" s="86">
        <v>218667882407</v>
      </c>
      <c r="AF106" s="86">
        <v>205097717119</v>
      </c>
      <c r="AG106" s="86">
        <v>196714756053</v>
      </c>
      <c r="AH106" s="86">
        <v>142541900363</v>
      </c>
    </row>
    <row r="107" spans="2:34">
      <c r="B107" s="50" t="s">
        <v>1793</v>
      </c>
      <c r="C107" s="1275" t="s">
        <v>1793</v>
      </c>
      <c r="D107" s="86">
        <v>292366663</v>
      </c>
      <c r="E107" s="86">
        <v>563819650</v>
      </c>
      <c r="F107" s="86"/>
      <c r="G107" s="86">
        <v>473305050</v>
      </c>
      <c r="H107" s="86">
        <v>191005100</v>
      </c>
      <c r="I107" s="86">
        <v>325842200</v>
      </c>
      <c r="J107" s="86">
        <v>1111157300</v>
      </c>
      <c r="K107" s="86">
        <v>5484269900</v>
      </c>
      <c r="L107" s="86">
        <v>17316149200</v>
      </c>
      <c r="M107" s="86">
        <v>4012023750</v>
      </c>
      <c r="N107" s="86">
        <v>8951303900</v>
      </c>
      <c r="O107" s="86">
        <v>5898142050</v>
      </c>
      <c r="P107" s="86">
        <v>8863722700</v>
      </c>
      <c r="Q107" s="86">
        <v>10595040800</v>
      </c>
      <c r="R107" s="86">
        <v>25170350</v>
      </c>
      <c r="S107" s="86">
        <v>3734663000</v>
      </c>
      <c r="T107" s="86">
        <v>94800000</v>
      </c>
      <c r="U107" s="86">
        <v>4505500</v>
      </c>
      <c r="V107" s="86">
        <v>2088787900</v>
      </c>
      <c r="W107" s="86">
        <v>5540886000</v>
      </c>
      <c r="X107" s="86">
        <v>4880061600</v>
      </c>
      <c r="Y107" s="86">
        <v>38802900</v>
      </c>
      <c r="Z107" s="86">
        <v>1681420000</v>
      </c>
      <c r="AA107" s="86">
        <v>13200</v>
      </c>
      <c r="AB107" s="86">
        <v>1533654700</v>
      </c>
      <c r="AC107" s="86">
        <v>339837500</v>
      </c>
      <c r="AD107" s="86">
        <v>0</v>
      </c>
      <c r="AE107" s="86">
        <v>805213800</v>
      </c>
      <c r="AF107" s="86">
        <v>5829493300</v>
      </c>
      <c r="AG107" s="86">
        <v>18648756950</v>
      </c>
      <c r="AH107" s="86">
        <v>9626918100</v>
      </c>
    </row>
    <row r="108" spans="2:34">
      <c r="B108" s="50" t="s">
        <v>1794</v>
      </c>
      <c r="C108" s="1275" t="s">
        <v>1794</v>
      </c>
      <c r="D108" s="86">
        <v>0</v>
      </c>
      <c r="E108" s="86">
        <v>0</v>
      </c>
      <c r="F108" s="86"/>
      <c r="G108" s="86">
        <v>0</v>
      </c>
      <c r="H108" s="86">
        <v>20040794528</v>
      </c>
      <c r="I108" s="86">
        <v>46341604029</v>
      </c>
      <c r="J108" s="86">
        <v>48093372941</v>
      </c>
      <c r="K108" s="86">
        <v>47894970664</v>
      </c>
      <c r="L108" s="86">
        <v>48080995696</v>
      </c>
      <c r="M108" s="86">
        <v>28240421490</v>
      </c>
      <c r="N108" s="86">
        <v>13164573027</v>
      </c>
      <c r="O108" s="86">
        <v>21278324847</v>
      </c>
      <c r="P108" s="86">
        <v>0</v>
      </c>
      <c r="Q108" s="86">
        <v>20053180000</v>
      </c>
      <c r="R108" s="86">
        <v>20143860000</v>
      </c>
      <c r="S108" s="86">
        <v>0</v>
      </c>
      <c r="T108" s="86">
        <v>1354271280</v>
      </c>
      <c r="U108" s="86">
        <v>21008522300</v>
      </c>
      <c r="V108" s="86">
        <v>46335097760</v>
      </c>
      <c r="W108" s="86">
        <v>75217884166</v>
      </c>
      <c r="X108" s="86">
        <v>65028889298</v>
      </c>
      <c r="Y108" s="86">
        <v>75817125132</v>
      </c>
      <c r="Z108" s="86">
        <v>75872003975</v>
      </c>
      <c r="AA108" s="86">
        <v>57947635135</v>
      </c>
      <c r="AB108" s="86">
        <v>86472409876</v>
      </c>
      <c r="AC108" s="86">
        <v>86918299340</v>
      </c>
      <c r="AD108" s="86">
        <v>89637712590</v>
      </c>
      <c r="AE108" s="86">
        <v>59518001569</v>
      </c>
      <c r="AF108" s="86">
        <v>55342460086</v>
      </c>
      <c r="AG108" s="86">
        <v>53954339929</v>
      </c>
      <c r="AH108" s="86">
        <v>53796425454</v>
      </c>
    </row>
    <row r="109" spans="2:34">
      <c r="B109" s="50" t="s">
        <v>1795</v>
      </c>
      <c r="C109" s="1275" t="s">
        <v>1795</v>
      </c>
      <c r="D109" s="86">
        <v>0</v>
      </c>
      <c r="E109" s="86">
        <v>0</v>
      </c>
      <c r="F109" s="86"/>
      <c r="G109" s="86">
        <v>0</v>
      </c>
      <c r="H109" s="86">
        <v>0</v>
      </c>
      <c r="I109" s="86">
        <v>0</v>
      </c>
      <c r="J109" s="86">
        <v>0</v>
      </c>
      <c r="K109" s="86">
        <v>0</v>
      </c>
      <c r="L109" s="86">
        <v>0</v>
      </c>
      <c r="M109" s="86">
        <v>0</v>
      </c>
      <c r="N109" s="86">
        <v>0</v>
      </c>
      <c r="O109" s="86">
        <v>0</v>
      </c>
      <c r="P109" s="86">
        <v>0</v>
      </c>
      <c r="Q109" s="86">
        <v>0</v>
      </c>
      <c r="R109" s="86">
        <v>0</v>
      </c>
      <c r="S109" s="86">
        <v>0</v>
      </c>
      <c r="T109" s="86">
        <v>0</v>
      </c>
      <c r="U109" s="86">
        <v>0</v>
      </c>
      <c r="V109" s="86">
        <v>0</v>
      </c>
      <c r="W109" s="86">
        <v>0</v>
      </c>
      <c r="X109" s="86">
        <v>0</v>
      </c>
      <c r="Y109" s="86">
        <v>-436281903</v>
      </c>
      <c r="Z109" s="86">
        <v>-342458097</v>
      </c>
      <c r="AA109" s="86">
        <v>-1640237623</v>
      </c>
      <c r="AB109" s="86">
        <v>-1704989305</v>
      </c>
      <c r="AC109" s="86">
        <v>-1735244289</v>
      </c>
      <c r="AD109" s="86">
        <v>-1798318310</v>
      </c>
      <c r="AE109" s="86">
        <v>-597340104</v>
      </c>
      <c r="AF109" s="86">
        <v>-485924598</v>
      </c>
      <c r="AG109" s="86">
        <v>-444163601</v>
      </c>
      <c r="AH109" s="86">
        <v>-410390471</v>
      </c>
    </row>
    <row r="110" spans="2:34">
      <c r="B110" s="50" t="s">
        <v>1796</v>
      </c>
      <c r="C110" s="1275" t="s">
        <v>1796</v>
      </c>
      <c r="D110" s="86">
        <v>0</v>
      </c>
      <c r="E110" s="86">
        <v>0</v>
      </c>
      <c r="F110" s="86"/>
      <c r="G110" s="86">
        <v>0</v>
      </c>
      <c r="H110" s="86">
        <v>0</v>
      </c>
      <c r="I110" s="86">
        <v>0</v>
      </c>
      <c r="J110" s="86">
        <v>0</v>
      </c>
      <c r="K110" s="86">
        <v>0</v>
      </c>
      <c r="L110" s="86">
        <v>0</v>
      </c>
      <c r="M110" s="86">
        <v>0</v>
      </c>
      <c r="N110" s="86">
        <v>0</v>
      </c>
      <c r="O110" s="86">
        <v>0</v>
      </c>
      <c r="P110" s="86">
        <v>0</v>
      </c>
      <c r="Q110" s="86">
        <v>0</v>
      </c>
      <c r="R110" s="86">
        <v>0</v>
      </c>
      <c r="S110" s="86">
        <v>0</v>
      </c>
      <c r="T110" s="86">
        <v>0</v>
      </c>
      <c r="U110" s="86">
        <v>0</v>
      </c>
      <c r="V110" s="86">
        <v>0</v>
      </c>
      <c r="W110" s="86">
        <v>0</v>
      </c>
      <c r="X110" s="86">
        <v>0</v>
      </c>
      <c r="Y110" s="86">
        <v>0</v>
      </c>
      <c r="Z110" s="86">
        <v>0</v>
      </c>
      <c r="AA110" s="86">
        <v>0</v>
      </c>
      <c r="AB110" s="86">
        <v>0</v>
      </c>
      <c r="AC110" s="86">
        <v>0</v>
      </c>
      <c r="AD110" s="86">
        <v>0</v>
      </c>
      <c r="AE110" s="86">
        <v>0</v>
      </c>
      <c r="AF110" s="86">
        <v>0</v>
      </c>
      <c r="AG110" s="86">
        <v>0</v>
      </c>
      <c r="AH110" s="86">
        <v>0</v>
      </c>
    </row>
    <row r="111" spans="2:34">
      <c r="B111" s="1276"/>
      <c r="C111" s="1279" t="s">
        <v>2271</v>
      </c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>
        <v>600000</v>
      </c>
      <c r="AC111" s="86">
        <v>95100000</v>
      </c>
      <c r="AD111" s="86">
        <v>186900000</v>
      </c>
      <c r="AE111" s="86">
        <v>229740000</v>
      </c>
      <c r="AF111" s="86">
        <v>215154367</v>
      </c>
      <c r="AG111" s="86">
        <v>215154367</v>
      </c>
      <c r="AH111" s="86">
        <v>233210959</v>
      </c>
    </row>
    <row r="112" spans="2:34">
      <c r="B112" s="1276"/>
      <c r="C112" s="1279" t="s">
        <v>2272</v>
      </c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>
        <v>600000</v>
      </c>
      <c r="AC112" s="86">
        <v>95100000</v>
      </c>
      <c r="AD112" s="86">
        <v>186900000</v>
      </c>
      <c r="AE112" s="86">
        <v>229740000</v>
      </c>
      <c r="AF112" s="86">
        <v>215154367</v>
      </c>
      <c r="AG112" s="86">
        <v>215154367</v>
      </c>
      <c r="AH112" s="86">
        <v>233210959</v>
      </c>
    </row>
    <row r="113" spans="2:34">
      <c r="B113" s="43" t="s">
        <v>1797</v>
      </c>
      <c r="C113" s="43" t="s">
        <v>1797</v>
      </c>
      <c r="D113" s="87">
        <v>215772835622</v>
      </c>
      <c r="E113" s="87">
        <v>233666154784</v>
      </c>
      <c r="F113" s="87"/>
      <c r="G113" s="87">
        <v>247000645786</v>
      </c>
      <c r="H113" s="87">
        <v>220767244520</v>
      </c>
      <c r="I113" s="87">
        <v>216506243707</v>
      </c>
      <c r="J113" s="87">
        <v>298049661237</v>
      </c>
      <c r="K113" s="87">
        <v>294238662421</v>
      </c>
      <c r="L113" s="87">
        <v>281040945623</v>
      </c>
      <c r="M113" s="87">
        <v>286127732022</v>
      </c>
      <c r="N113" s="87">
        <v>327456155024</v>
      </c>
      <c r="O113" s="87">
        <v>374461562861</v>
      </c>
      <c r="P113" s="87">
        <v>346121056308</v>
      </c>
      <c r="Q113" s="87">
        <v>369787925194</v>
      </c>
      <c r="R113" s="87">
        <v>390044353655</v>
      </c>
      <c r="S113" s="87">
        <v>277411921859</v>
      </c>
      <c r="T113" s="87">
        <v>419572756443</v>
      </c>
      <c r="U113" s="87">
        <v>386164768342</v>
      </c>
      <c r="V113" s="87">
        <v>356572723894</v>
      </c>
      <c r="W113" s="87">
        <v>310660626818</v>
      </c>
      <c r="X113" s="87">
        <v>367016962442</v>
      </c>
      <c r="Y113" s="87">
        <v>398653702282</v>
      </c>
      <c r="Z113" s="87">
        <v>461062940511</v>
      </c>
      <c r="AA113" s="87">
        <v>247030883356</v>
      </c>
      <c r="AB113" s="87">
        <v>256402745432</v>
      </c>
      <c r="AC113" s="87">
        <v>380277361338</v>
      </c>
      <c r="AD113" s="87">
        <v>343963244644</v>
      </c>
      <c r="AE113" s="87">
        <v>404845965348</v>
      </c>
      <c r="AF113" s="87">
        <v>475143942522</v>
      </c>
      <c r="AG113" s="87">
        <v>662814653315</v>
      </c>
      <c r="AH113" s="87">
        <v>782044355720</v>
      </c>
    </row>
    <row r="114" spans="2:34">
      <c r="B114" s="49" t="s">
        <v>1798</v>
      </c>
      <c r="C114" s="1275" t="s">
        <v>1798</v>
      </c>
      <c r="D114" s="86">
        <v>18182283892</v>
      </c>
      <c r="E114" s="86">
        <v>20425190131</v>
      </c>
      <c r="F114" s="86"/>
      <c r="G114" s="86">
        <v>25147117574</v>
      </c>
      <c r="H114" s="86">
        <v>25093643404</v>
      </c>
      <c r="I114" s="86">
        <v>26733559265</v>
      </c>
      <c r="J114" s="86">
        <v>22880900747</v>
      </c>
      <c r="K114" s="86">
        <v>20895947160</v>
      </c>
      <c r="L114" s="86">
        <v>17344057374</v>
      </c>
      <c r="M114" s="86">
        <v>21168908318</v>
      </c>
      <c r="N114" s="86">
        <v>38247456143</v>
      </c>
      <c r="O114" s="86">
        <v>50041023861</v>
      </c>
      <c r="P114" s="86">
        <v>63594792140</v>
      </c>
      <c r="Q114" s="86">
        <v>51828607778</v>
      </c>
      <c r="R114" s="86">
        <v>60769816290</v>
      </c>
      <c r="S114" s="86">
        <v>47214014408</v>
      </c>
      <c r="T114" s="86">
        <v>56676724875</v>
      </c>
      <c r="U114" s="86">
        <v>62679561673</v>
      </c>
      <c r="V114" s="86">
        <v>56513310790</v>
      </c>
      <c r="W114" s="86">
        <v>34146000479</v>
      </c>
      <c r="X114" s="86">
        <v>31874868853</v>
      </c>
      <c r="Y114" s="86">
        <v>32696637701</v>
      </c>
      <c r="Z114" s="86">
        <v>31445035920</v>
      </c>
      <c r="AA114" s="86">
        <v>30595338910</v>
      </c>
      <c r="AB114" s="86">
        <v>41162931789</v>
      </c>
      <c r="AC114" s="86">
        <v>75920810006</v>
      </c>
      <c r="AD114" s="86">
        <v>82958790911</v>
      </c>
      <c r="AE114" s="86">
        <v>61133105065</v>
      </c>
      <c r="AF114" s="86">
        <v>83120238020</v>
      </c>
      <c r="AG114" s="86">
        <v>139875743506</v>
      </c>
      <c r="AH114" s="86">
        <v>177905358805</v>
      </c>
    </row>
    <row r="115" spans="2:34">
      <c r="B115" s="50" t="s">
        <v>1799</v>
      </c>
      <c r="C115" s="1275" t="s">
        <v>1799</v>
      </c>
      <c r="D115" s="86">
        <v>0</v>
      </c>
      <c r="E115" s="86">
        <v>0</v>
      </c>
      <c r="F115" s="86"/>
      <c r="G115" s="86">
        <v>0</v>
      </c>
      <c r="H115" s="86">
        <v>0</v>
      </c>
      <c r="I115" s="86">
        <v>0</v>
      </c>
      <c r="J115" s="86">
        <v>0</v>
      </c>
      <c r="K115" s="86">
        <v>0</v>
      </c>
      <c r="L115" s="86">
        <v>0</v>
      </c>
      <c r="M115" s="86">
        <v>0</v>
      </c>
      <c r="N115" s="86">
        <v>0</v>
      </c>
      <c r="O115" s="86">
        <v>0</v>
      </c>
      <c r="P115" s="86">
        <v>0</v>
      </c>
      <c r="Q115" s="86">
        <v>0</v>
      </c>
      <c r="R115" s="86">
        <v>0</v>
      </c>
      <c r="S115" s="86">
        <v>0</v>
      </c>
      <c r="T115" s="86">
        <v>0</v>
      </c>
      <c r="U115" s="86">
        <v>0</v>
      </c>
      <c r="V115" s="86">
        <v>0</v>
      </c>
      <c r="W115" s="86">
        <v>0</v>
      </c>
      <c r="X115" s="86">
        <v>0</v>
      </c>
      <c r="Y115" s="86">
        <v>0</v>
      </c>
      <c r="Z115" s="86">
        <v>0</v>
      </c>
      <c r="AA115" s="86">
        <v>0</v>
      </c>
      <c r="AB115" s="86">
        <v>0</v>
      </c>
      <c r="AC115" s="86">
        <v>0</v>
      </c>
      <c r="AD115" s="86">
        <v>0</v>
      </c>
      <c r="AE115" s="86">
        <v>0</v>
      </c>
      <c r="AF115" s="86">
        <v>0</v>
      </c>
      <c r="AG115" s="86">
        <v>0</v>
      </c>
      <c r="AH115" s="86">
        <v>0</v>
      </c>
    </row>
    <row r="116" spans="2:34">
      <c r="B116" s="50" t="s">
        <v>1800</v>
      </c>
      <c r="C116" s="1275" t="s">
        <v>1800</v>
      </c>
      <c r="D116" s="86">
        <v>18182283892</v>
      </c>
      <c r="E116" s="86">
        <v>20425190131</v>
      </c>
      <c r="F116" s="86"/>
      <c r="G116" s="86">
        <v>25147117574</v>
      </c>
      <c r="H116" s="86">
        <v>25093643404</v>
      </c>
      <c r="I116" s="86">
        <v>26733559265</v>
      </c>
      <c r="J116" s="86">
        <v>22880900747</v>
      </c>
      <c r="K116" s="86">
        <v>20895947160</v>
      </c>
      <c r="L116" s="86">
        <v>17344057374</v>
      </c>
      <c r="M116" s="86">
        <v>21168908318</v>
      </c>
      <c r="N116" s="86">
        <v>38247456143</v>
      </c>
      <c r="O116" s="86">
        <v>50041023861</v>
      </c>
      <c r="P116" s="86">
        <v>63594792140</v>
      </c>
      <c r="Q116" s="86">
        <v>51828607778</v>
      </c>
      <c r="R116" s="86">
        <v>60769816290</v>
      </c>
      <c r="S116" s="86">
        <v>47214014408</v>
      </c>
      <c r="T116" s="86">
        <v>56676724875</v>
      </c>
      <c r="U116" s="86">
        <v>62679561673</v>
      </c>
      <c r="V116" s="86">
        <v>56513310790</v>
      </c>
      <c r="W116" s="86">
        <v>34146000479</v>
      </c>
      <c r="X116" s="86">
        <v>31874868853</v>
      </c>
      <c r="Y116" s="86">
        <v>32696637701</v>
      </c>
      <c r="Z116" s="86">
        <v>31445035920</v>
      </c>
      <c r="AA116" s="86">
        <v>30595338910</v>
      </c>
      <c r="AB116" s="86">
        <v>41162931789</v>
      </c>
      <c r="AC116" s="86">
        <v>75920810006</v>
      </c>
      <c r="AD116" s="86">
        <v>82958790911</v>
      </c>
      <c r="AE116" s="86">
        <v>61133105065</v>
      </c>
      <c r="AF116" s="86">
        <v>83120238020</v>
      </c>
      <c r="AG116" s="86">
        <v>139875743506</v>
      </c>
      <c r="AH116" s="86">
        <v>177905358805</v>
      </c>
    </row>
    <row r="117" spans="2:34" ht="15">
      <c r="B117" s="50" t="s">
        <v>1801</v>
      </c>
      <c r="C117" s="1275" t="s">
        <v>1801</v>
      </c>
      <c r="D117" s="86">
        <v>0</v>
      </c>
      <c r="E117" s="86">
        <v>0</v>
      </c>
      <c r="F117" s="86"/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86">
        <v>0</v>
      </c>
      <c r="M117" s="85">
        <v>0</v>
      </c>
      <c r="N117" s="85">
        <v>0</v>
      </c>
      <c r="O117" s="85">
        <v>0</v>
      </c>
      <c r="P117" s="85">
        <v>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</row>
    <row r="118" spans="2:34">
      <c r="B118" s="49" t="s">
        <v>1802</v>
      </c>
      <c r="C118" s="1275" t="s">
        <v>1802</v>
      </c>
      <c r="D118" s="86">
        <v>49878706975</v>
      </c>
      <c r="E118" s="86">
        <v>46956535540</v>
      </c>
      <c r="F118" s="86"/>
      <c r="G118" s="86">
        <v>47390258568</v>
      </c>
      <c r="H118" s="86">
        <v>48530623826</v>
      </c>
      <c r="I118" s="86">
        <v>48715804207</v>
      </c>
      <c r="J118" s="86">
        <v>54333844066</v>
      </c>
      <c r="K118" s="86">
        <v>58701115780</v>
      </c>
      <c r="L118" s="86">
        <v>51561234344</v>
      </c>
      <c r="M118" s="86">
        <v>77322899168</v>
      </c>
      <c r="N118" s="86">
        <v>62879661157</v>
      </c>
      <c r="O118" s="86">
        <v>73170518808</v>
      </c>
      <c r="P118" s="86">
        <v>38653306742</v>
      </c>
      <c r="Q118" s="86">
        <v>22829778344</v>
      </c>
      <c r="R118" s="86">
        <v>29623575858</v>
      </c>
      <c r="S118" s="86">
        <v>17443035218</v>
      </c>
      <c r="T118" s="86">
        <v>45673201924</v>
      </c>
      <c r="U118" s="86">
        <v>25157694609</v>
      </c>
      <c r="V118" s="86">
        <v>23162907731</v>
      </c>
      <c r="W118" s="86">
        <v>14706541757</v>
      </c>
      <c r="X118" s="86">
        <v>17421012127</v>
      </c>
      <c r="Y118" s="86">
        <v>2707216929</v>
      </c>
      <c r="Z118" s="86">
        <v>5898744845</v>
      </c>
      <c r="AA118" s="86">
        <v>41544985374</v>
      </c>
      <c r="AB118" s="86">
        <v>17761309282</v>
      </c>
      <c r="AC118" s="86">
        <v>88844456735</v>
      </c>
      <c r="AD118" s="86">
        <v>59899582792</v>
      </c>
      <c r="AE118" s="86">
        <v>67651351688</v>
      </c>
      <c r="AF118" s="86">
        <v>110825960346</v>
      </c>
      <c r="AG118" s="86">
        <v>186373150659</v>
      </c>
      <c r="AH118" s="86">
        <v>273215317573</v>
      </c>
    </row>
    <row r="119" spans="2:34">
      <c r="B119" s="50" t="s">
        <v>1803</v>
      </c>
      <c r="C119" s="1275" t="s">
        <v>1803</v>
      </c>
      <c r="D119" s="86">
        <v>51371720</v>
      </c>
      <c r="E119" s="86">
        <v>21991792</v>
      </c>
      <c r="F119" s="86"/>
      <c r="G119" s="86">
        <v>18015191414</v>
      </c>
      <c r="H119" s="86">
        <v>14111540703</v>
      </c>
      <c r="I119" s="86">
        <v>15418778064</v>
      </c>
      <c r="J119" s="86">
        <v>6624670370</v>
      </c>
      <c r="K119" s="86">
        <v>10630332295</v>
      </c>
      <c r="L119" s="86">
        <v>7891211081</v>
      </c>
      <c r="M119" s="86">
        <v>28304729379</v>
      </c>
      <c r="N119" s="86">
        <v>9973885638</v>
      </c>
      <c r="O119" s="86">
        <v>15937315934</v>
      </c>
      <c r="P119" s="86">
        <v>25791414992</v>
      </c>
      <c r="Q119" s="86">
        <v>9684174086</v>
      </c>
      <c r="R119" s="86">
        <v>18900695974</v>
      </c>
      <c r="S119" s="86">
        <v>15465237762</v>
      </c>
      <c r="T119" s="86">
        <v>45084578281</v>
      </c>
      <c r="U119" s="86">
        <v>24545535746</v>
      </c>
      <c r="V119" s="86">
        <v>20702257506</v>
      </c>
      <c r="W119" s="86">
        <v>14706541757</v>
      </c>
      <c r="X119" s="86">
        <v>15686484270</v>
      </c>
      <c r="Y119" s="86">
        <v>2251025009</v>
      </c>
      <c r="Z119" s="86">
        <v>5441586164</v>
      </c>
      <c r="AA119" s="86">
        <v>40668728016</v>
      </c>
      <c r="AB119" s="86">
        <v>16632466722</v>
      </c>
      <c r="AC119" s="86">
        <v>88345710292</v>
      </c>
      <c r="AD119" s="86">
        <v>59409695597</v>
      </c>
      <c r="AE119" s="86">
        <v>66897643494</v>
      </c>
      <c r="AF119" s="86">
        <v>108973099809</v>
      </c>
      <c r="AG119" s="86">
        <v>186244049651</v>
      </c>
      <c r="AH119" s="86">
        <v>272552918286</v>
      </c>
    </row>
    <row r="120" spans="2:34">
      <c r="B120" s="50" t="s">
        <v>1804</v>
      </c>
      <c r="C120" s="1275" t="s">
        <v>1804</v>
      </c>
      <c r="D120" s="86">
        <v>49827335255</v>
      </c>
      <c r="E120" s="86">
        <v>46727082395</v>
      </c>
      <c r="F120" s="86"/>
      <c r="G120" s="86">
        <v>29375067154</v>
      </c>
      <c r="H120" s="86">
        <v>34419083123</v>
      </c>
      <c r="I120" s="86">
        <v>33297026143</v>
      </c>
      <c r="J120" s="86">
        <v>47709173696</v>
      </c>
      <c r="K120" s="86">
        <v>48070783485</v>
      </c>
      <c r="L120" s="86">
        <v>43670023263</v>
      </c>
      <c r="M120" s="86">
        <v>49018169789</v>
      </c>
      <c r="N120" s="86">
        <v>52905775519</v>
      </c>
      <c r="O120" s="86">
        <v>57153707671</v>
      </c>
      <c r="P120" s="86">
        <v>12796719615</v>
      </c>
      <c r="Q120" s="86">
        <v>13056321865</v>
      </c>
      <c r="R120" s="86">
        <v>10640421017</v>
      </c>
      <c r="S120" s="86">
        <v>1977797456</v>
      </c>
      <c r="T120" s="86">
        <v>588623643</v>
      </c>
      <c r="U120" s="86">
        <v>612158863</v>
      </c>
      <c r="V120" s="86">
        <v>2460650225</v>
      </c>
      <c r="W120" s="86">
        <v>0</v>
      </c>
      <c r="X120" s="86">
        <v>1734527857</v>
      </c>
      <c r="Y120" s="86">
        <v>456191920</v>
      </c>
      <c r="Z120" s="86">
        <v>457158681</v>
      </c>
      <c r="AA120" s="86">
        <v>876257358</v>
      </c>
      <c r="AB120" s="86">
        <v>947107459</v>
      </c>
      <c r="AC120" s="86">
        <v>491664336</v>
      </c>
      <c r="AD120" s="86">
        <v>489887195</v>
      </c>
      <c r="AE120" s="86">
        <v>506367375</v>
      </c>
      <c r="AF120" s="86">
        <v>1852860537</v>
      </c>
      <c r="AG120" s="86">
        <v>128699781</v>
      </c>
      <c r="AH120" s="86">
        <v>540568477</v>
      </c>
    </row>
    <row r="121" spans="2:34">
      <c r="B121" s="50" t="s">
        <v>1805</v>
      </c>
      <c r="C121" s="1275" t="s">
        <v>1805</v>
      </c>
      <c r="D121" s="86">
        <v>0</v>
      </c>
      <c r="E121" s="86">
        <v>207461353</v>
      </c>
      <c r="F121" s="86"/>
      <c r="G121" s="86">
        <v>0</v>
      </c>
      <c r="H121" s="86">
        <v>0</v>
      </c>
      <c r="I121" s="86">
        <v>0</v>
      </c>
      <c r="J121" s="86">
        <v>0</v>
      </c>
      <c r="K121" s="86">
        <v>0</v>
      </c>
      <c r="L121" s="86">
        <v>0</v>
      </c>
      <c r="M121" s="86">
        <v>0</v>
      </c>
      <c r="N121" s="86">
        <v>0</v>
      </c>
      <c r="O121" s="86">
        <v>79495203</v>
      </c>
      <c r="P121" s="86">
        <v>65172135</v>
      </c>
      <c r="Q121" s="86">
        <v>89282393</v>
      </c>
      <c r="R121" s="86">
        <v>82458867</v>
      </c>
      <c r="S121" s="86">
        <v>0</v>
      </c>
      <c r="T121" s="86">
        <v>0</v>
      </c>
      <c r="U121" s="86">
        <v>0</v>
      </c>
      <c r="V121" s="86">
        <v>0</v>
      </c>
      <c r="W121" s="86">
        <v>0</v>
      </c>
      <c r="X121" s="86">
        <v>0</v>
      </c>
      <c r="Y121" s="86">
        <v>0</v>
      </c>
      <c r="Z121" s="86">
        <v>0</v>
      </c>
      <c r="AA121" s="86">
        <v>0</v>
      </c>
      <c r="AB121" s="86">
        <v>181735101</v>
      </c>
      <c r="AC121" s="86">
        <v>7082107</v>
      </c>
      <c r="AD121" s="86">
        <v>0</v>
      </c>
      <c r="AE121" s="86">
        <v>247340819</v>
      </c>
      <c r="AF121" s="86">
        <v>0</v>
      </c>
      <c r="AG121" s="86">
        <v>401227</v>
      </c>
      <c r="AH121" s="86">
        <v>121830810</v>
      </c>
    </row>
    <row r="122" spans="2:34">
      <c r="B122" s="49" t="s">
        <v>1806</v>
      </c>
      <c r="C122" s="1275" t="s">
        <v>1806</v>
      </c>
      <c r="D122" s="86">
        <v>139634528001</v>
      </c>
      <c r="E122" s="86">
        <v>151077764305</v>
      </c>
      <c r="F122" s="86"/>
      <c r="G122" s="86">
        <v>160367566914</v>
      </c>
      <c r="H122" s="86">
        <v>134251082030</v>
      </c>
      <c r="I122" s="86">
        <v>132990844807</v>
      </c>
      <c r="J122" s="86">
        <v>212122144888</v>
      </c>
      <c r="K122" s="86">
        <v>206169146039</v>
      </c>
      <c r="L122" s="86">
        <v>204798151869</v>
      </c>
      <c r="M122" s="86">
        <v>182079412725</v>
      </c>
      <c r="N122" s="86">
        <v>221106119028</v>
      </c>
      <c r="O122" s="86">
        <v>245739912228</v>
      </c>
      <c r="P122" s="86">
        <v>239499539282</v>
      </c>
      <c r="Q122" s="86">
        <v>290877723446</v>
      </c>
      <c r="R122" s="86">
        <v>296644447127</v>
      </c>
      <c r="S122" s="86">
        <v>210093424252</v>
      </c>
      <c r="T122" s="86">
        <v>264650995773</v>
      </c>
      <c r="U122" s="86">
        <v>296393904408</v>
      </c>
      <c r="V122" s="86">
        <v>278602916127</v>
      </c>
      <c r="W122" s="86">
        <v>263211632237</v>
      </c>
      <c r="X122" s="86">
        <v>319828411647</v>
      </c>
      <c r="Y122" s="86">
        <v>365094081207</v>
      </c>
      <c r="Z122" s="86">
        <v>425423927150</v>
      </c>
      <c r="AA122" s="86">
        <v>179419998591</v>
      </c>
      <c r="AB122" s="86">
        <v>212812700755</v>
      </c>
      <c r="AC122" s="86">
        <v>235493189577</v>
      </c>
      <c r="AD122" s="86">
        <v>225587196807</v>
      </c>
      <c r="AE122" s="86">
        <v>294138587518</v>
      </c>
      <c r="AF122" s="86">
        <v>299637234285</v>
      </c>
      <c r="AG122" s="86">
        <v>332114029210</v>
      </c>
      <c r="AH122" s="86">
        <v>327907536275</v>
      </c>
    </row>
    <row r="123" spans="2:34">
      <c r="B123" s="50" t="s">
        <v>1807</v>
      </c>
      <c r="C123" s="1275" t="s">
        <v>1807</v>
      </c>
      <c r="D123" s="86">
        <v>58016088</v>
      </c>
      <c r="E123" s="86">
        <v>12588135</v>
      </c>
      <c r="F123" s="86"/>
      <c r="G123" s="86">
        <v>0</v>
      </c>
      <c r="H123" s="86">
        <v>0</v>
      </c>
      <c r="I123" s="86">
        <v>0</v>
      </c>
      <c r="J123" s="86">
        <v>0</v>
      </c>
      <c r="K123" s="86">
        <v>0</v>
      </c>
      <c r="L123" s="86">
        <v>0</v>
      </c>
      <c r="M123" s="86">
        <v>0</v>
      </c>
      <c r="N123" s="86">
        <v>0</v>
      </c>
      <c r="O123" s="86">
        <v>0</v>
      </c>
      <c r="P123" s="86">
        <v>0</v>
      </c>
      <c r="Q123" s="86">
        <v>0</v>
      </c>
      <c r="R123" s="86">
        <v>0</v>
      </c>
      <c r="S123" s="86">
        <v>0</v>
      </c>
      <c r="T123" s="86">
        <v>0</v>
      </c>
      <c r="U123" s="86">
        <v>0</v>
      </c>
      <c r="V123" s="86">
        <v>0</v>
      </c>
      <c r="W123" s="86">
        <v>0</v>
      </c>
      <c r="X123" s="86">
        <v>0</v>
      </c>
      <c r="Y123" s="86">
        <v>0</v>
      </c>
      <c r="Z123" s="86">
        <v>0</v>
      </c>
      <c r="AA123" s="86">
        <v>0</v>
      </c>
      <c r="AB123" s="86">
        <v>0</v>
      </c>
      <c r="AC123" s="86">
        <v>0</v>
      </c>
      <c r="AD123" s="86">
        <v>0</v>
      </c>
      <c r="AE123" s="86">
        <v>0</v>
      </c>
      <c r="AF123" s="86">
        <v>0</v>
      </c>
      <c r="AG123" s="86">
        <v>0</v>
      </c>
      <c r="AH123" s="86">
        <v>0</v>
      </c>
    </row>
    <row r="124" spans="2:34">
      <c r="B124" s="50" t="s">
        <v>1808</v>
      </c>
      <c r="C124" s="1275" t="s">
        <v>1808</v>
      </c>
      <c r="D124" s="86">
        <v>26692269961</v>
      </c>
      <c r="E124" s="86">
        <v>17266927319</v>
      </c>
      <c r="F124" s="86"/>
      <c r="G124" s="86">
        <v>92464271450</v>
      </c>
      <c r="H124" s="86">
        <v>73037261814</v>
      </c>
      <c r="I124" s="86">
        <v>39505412356</v>
      </c>
      <c r="J124" s="86">
        <v>77038489120</v>
      </c>
      <c r="K124" s="86">
        <v>48283329725</v>
      </c>
      <c r="L124" s="86">
        <v>34974713228</v>
      </c>
      <c r="M124" s="86">
        <v>23465047750</v>
      </c>
      <c r="N124" s="86">
        <v>19156309372</v>
      </c>
      <c r="O124" s="86">
        <v>18332138821</v>
      </c>
      <c r="P124" s="86">
        <v>26912104212</v>
      </c>
      <c r="Q124" s="86">
        <v>26633966738</v>
      </c>
      <c r="R124" s="86">
        <v>20358525473</v>
      </c>
      <c r="S124" s="86">
        <v>20825651542</v>
      </c>
      <c r="T124" s="86">
        <v>29486498233</v>
      </c>
      <c r="U124" s="86">
        <v>27359058094</v>
      </c>
      <c r="V124" s="86">
        <v>29505349446</v>
      </c>
      <c r="W124" s="86">
        <v>37802048298</v>
      </c>
      <c r="X124" s="86">
        <v>57398046129</v>
      </c>
      <c r="Y124" s="86">
        <v>78111847660</v>
      </c>
      <c r="Z124" s="86">
        <v>80044471294</v>
      </c>
      <c r="AA124" s="86">
        <v>69586092950</v>
      </c>
      <c r="AB124" s="86">
        <v>54883310387</v>
      </c>
      <c r="AC124" s="86">
        <v>77733162630</v>
      </c>
      <c r="AD124" s="86">
        <v>64700431742</v>
      </c>
      <c r="AE124" s="86">
        <v>162715200238</v>
      </c>
      <c r="AF124" s="86">
        <v>174813643846</v>
      </c>
      <c r="AG124" s="86">
        <v>192828418298</v>
      </c>
      <c r="AH124" s="86">
        <v>138488888553</v>
      </c>
    </row>
    <row r="125" spans="2:34">
      <c r="B125" s="50" t="s">
        <v>1809</v>
      </c>
      <c r="C125" s="1275" t="s">
        <v>1809</v>
      </c>
      <c r="D125" s="86">
        <v>112884241952</v>
      </c>
      <c r="E125" s="86">
        <v>133798248851</v>
      </c>
      <c r="F125" s="86"/>
      <c r="G125" s="86">
        <v>67903295464</v>
      </c>
      <c r="H125" s="86">
        <v>61213820216</v>
      </c>
      <c r="I125" s="86">
        <v>93485432451</v>
      </c>
      <c r="J125" s="86">
        <v>135083655768</v>
      </c>
      <c r="K125" s="86">
        <v>157885816314</v>
      </c>
      <c r="L125" s="86">
        <v>169823438641</v>
      </c>
      <c r="M125" s="86">
        <v>158614364975</v>
      </c>
      <c r="N125" s="86">
        <v>201949809656</v>
      </c>
      <c r="O125" s="86">
        <v>227407773407</v>
      </c>
      <c r="P125" s="86">
        <v>212587435070</v>
      </c>
      <c r="Q125" s="86">
        <v>264243756708</v>
      </c>
      <c r="R125" s="86">
        <v>276285921654</v>
      </c>
      <c r="S125" s="86">
        <v>189267772710</v>
      </c>
      <c r="T125" s="86">
        <v>235164497540</v>
      </c>
      <c r="U125" s="86">
        <v>269034846314</v>
      </c>
      <c r="V125" s="86">
        <v>249097566681</v>
      </c>
      <c r="W125" s="86">
        <v>225409583939</v>
      </c>
      <c r="X125" s="86">
        <v>262430365518</v>
      </c>
      <c r="Y125" s="86">
        <v>286982233547</v>
      </c>
      <c r="Z125" s="86">
        <v>345379455856</v>
      </c>
      <c r="AA125" s="86">
        <v>109833905641</v>
      </c>
      <c r="AB125" s="86">
        <v>157929390368</v>
      </c>
      <c r="AC125" s="86">
        <v>157760026947</v>
      </c>
      <c r="AD125" s="86">
        <v>160886765065</v>
      </c>
      <c r="AE125" s="86">
        <v>131423387280</v>
      </c>
      <c r="AF125" s="86">
        <v>124823590439</v>
      </c>
      <c r="AG125" s="86">
        <v>139285610912</v>
      </c>
      <c r="AH125" s="86">
        <v>189418647722</v>
      </c>
    </row>
    <row r="126" spans="2:34">
      <c r="B126" s="49" t="s">
        <v>1810</v>
      </c>
      <c r="C126" s="1275" t="s">
        <v>1810</v>
      </c>
      <c r="D126" s="86">
        <v>7391758386</v>
      </c>
      <c r="E126" s="86">
        <v>14029569136</v>
      </c>
      <c r="F126" s="86"/>
      <c r="G126" s="86">
        <v>13086754697</v>
      </c>
      <c r="H126" s="86">
        <v>11865454631</v>
      </c>
      <c r="I126" s="86">
        <v>7070070394</v>
      </c>
      <c r="J126" s="86">
        <v>8003512025</v>
      </c>
      <c r="K126" s="86">
        <v>7352987065</v>
      </c>
      <c r="L126" s="86">
        <v>6107712077</v>
      </c>
      <c r="M126" s="86">
        <v>4879253129</v>
      </c>
      <c r="N126" s="86">
        <v>3832009026</v>
      </c>
      <c r="O126" s="86">
        <v>4036897792</v>
      </c>
      <c r="P126" s="86">
        <v>3459662235</v>
      </c>
      <c r="Q126" s="86">
        <v>3215250394</v>
      </c>
      <c r="R126" s="86">
        <v>2173433837</v>
      </c>
      <c r="S126" s="86">
        <v>1853882242</v>
      </c>
      <c r="T126" s="86">
        <v>1307010074</v>
      </c>
      <c r="U126" s="86">
        <v>732956000</v>
      </c>
      <c r="V126" s="86">
        <v>988023000</v>
      </c>
      <c r="W126" s="86">
        <v>675214500</v>
      </c>
      <c r="X126" s="86">
        <v>842891000</v>
      </c>
      <c r="Y126" s="86">
        <v>371598000</v>
      </c>
      <c r="Z126" s="86">
        <v>0</v>
      </c>
      <c r="AA126" s="86">
        <v>409533100</v>
      </c>
      <c r="AB126" s="86">
        <v>195004000</v>
      </c>
      <c r="AC126" s="86">
        <v>2717922600</v>
      </c>
      <c r="AD126" s="86">
        <v>2970891872</v>
      </c>
      <c r="AE126" s="86">
        <v>4199129995</v>
      </c>
      <c r="AF126" s="86">
        <v>6031695302</v>
      </c>
      <c r="AG126" s="86">
        <v>13544132908</v>
      </c>
      <c r="AH126" s="86">
        <v>12651946240</v>
      </c>
    </row>
    <row r="127" spans="2:34">
      <c r="B127" s="50" t="s">
        <v>1811</v>
      </c>
      <c r="C127" s="1275" t="s">
        <v>1811</v>
      </c>
      <c r="D127" s="86">
        <v>7391758386</v>
      </c>
      <c r="E127" s="86">
        <v>14029569136</v>
      </c>
      <c r="F127" s="86"/>
      <c r="G127" s="86">
        <v>13086754697</v>
      </c>
      <c r="H127" s="86">
        <v>11865454631</v>
      </c>
      <c r="I127" s="86">
        <v>7070070394</v>
      </c>
      <c r="J127" s="86">
        <v>8003512025</v>
      </c>
      <c r="K127" s="86">
        <v>7352987065</v>
      </c>
      <c r="L127" s="86">
        <v>6107712077</v>
      </c>
      <c r="M127" s="86">
        <v>4879253129</v>
      </c>
      <c r="N127" s="86">
        <v>3832009026</v>
      </c>
      <c r="O127" s="86">
        <v>4036897792</v>
      </c>
      <c r="P127" s="86">
        <v>3459662235</v>
      </c>
      <c r="Q127" s="86">
        <v>3215250394</v>
      </c>
      <c r="R127" s="86">
        <v>2173433837</v>
      </c>
      <c r="S127" s="86">
        <v>1853882242</v>
      </c>
      <c r="T127" s="86">
        <v>1307010074</v>
      </c>
      <c r="U127" s="86">
        <v>732956000</v>
      </c>
      <c r="V127" s="86">
        <v>988023000</v>
      </c>
      <c r="W127" s="86">
        <v>675214500</v>
      </c>
      <c r="X127" s="86">
        <v>842891000</v>
      </c>
      <c r="Y127" s="86">
        <v>371598000</v>
      </c>
      <c r="Z127" s="86">
        <v>0</v>
      </c>
      <c r="AA127" s="86">
        <v>409533100</v>
      </c>
      <c r="AB127" s="86">
        <v>195004000</v>
      </c>
      <c r="AC127" s="86">
        <v>2717922600</v>
      </c>
      <c r="AD127" s="86">
        <v>2970891872</v>
      </c>
      <c r="AE127" s="86">
        <v>4199129995</v>
      </c>
      <c r="AF127" s="86">
        <v>6031695302</v>
      </c>
      <c r="AG127" s="86">
        <v>13544132908</v>
      </c>
      <c r="AH127" s="86">
        <v>12651946240</v>
      </c>
    </row>
    <row r="128" spans="2:34" ht="15">
      <c r="B128" s="50" t="s">
        <v>1812</v>
      </c>
      <c r="C128" s="1275" t="s">
        <v>1812</v>
      </c>
      <c r="D128" s="86">
        <v>0</v>
      </c>
      <c r="E128" s="86">
        <v>0</v>
      </c>
      <c r="F128" s="86"/>
      <c r="G128" s="86">
        <v>0</v>
      </c>
      <c r="H128" s="86">
        <v>0</v>
      </c>
      <c r="I128" s="86">
        <v>0</v>
      </c>
      <c r="J128" s="86">
        <v>0</v>
      </c>
      <c r="K128" s="86">
        <v>0</v>
      </c>
      <c r="L128" s="86">
        <v>0</v>
      </c>
      <c r="M128" s="85">
        <v>0</v>
      </c>
      <c r="N128" s="85">
        <v>0</v>
      </c>
      <c r="O128" s="85">
        <v>0</v>
      </c>
      <c r="P128" s="85">
        <v>0</v>
      </c>
      <c r="Q128" s="85">
        <v>0</v>
      </c>
      <c r="R128" s="85">
        <v>0</v>
      </c>
      <c r="S128" s="85">
        <v>0</v>
      </c>
      <c r="T128" s="85">
        <v>0</v>
      </c>
      <c r="U128" s="85">
        <v>0</v>
      </c>
      <c r="V128" s="85">
        <v>0</v>
      </c>
      <c r="W128" s="85">
        <v>0</v>
      </c>
      <c r="X128" s="85">
        <v>0</v>
      </c>
      <c r="Y128" s="85">
        <v>0</v>
      </c>
      <c r="Z128" s="85">
        <v>0</v>
      </c>
      <c r="AA128" s="85">
        <v>0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</row>
    <row r="129" spans="2:34" ht="15">
      <c r="B129" s="50" t="s">
        <v>1794</v>
      </c>
      <c r="C129" s="1275" t="s">
        <v>1794</v>
      </c>
      <c r="D129" s="86">
        <v>0</v>
      </c>
      <c r="E129" s="86">
        <v>0</v>
      </c>
      <c r="F129" s="86"/>
      <c r="G129" s="86">
        <v>0</v>
      </c>
      <c r="H129" s="86">
        <v>0</v>
      </c>
      <c r="I129" s="86">
        <v>0</v>
      </c>
      <c r="J129" s="86">
        <v>0</v>
      </c>
      <c r="K129" s="86">
        <v>0</v>
      </c>
      <c r="L129" s="86">
        <v>0</v>
      </c>
      <c r="M129" s="85">
        <v>0</v>
      </c>
      <c r="N129" s="85">
        <v>0</v>
      </c>
      <c r="O129" s="85">
        <v>0</v>
      </c>
      <c r="P129" s="85">
        <v>0</v>
      </c>
      <c r="Q129" s="85">
        <v>0</v>
      </c>
      <c r="R129" s="85">
        <v>0</v>
      </c>
      <c r="S129" s="85">
        <v>0</v>
      </c>
      <c r="T129" s="85">
        <v>0</v>
      </c>
      <c r="U129" s="85">
        <v>0</v>
      </c>
      <c r="V129" s="85">
        <v>0</v>
      </c>
      <c r="W129" s="85">
        <v>0</v>
      </c>
      <c r="X129" s="85">
        <v>0</v>
      </c>
      <c r="Y129" s="85">
        <v>0</v>
      </c>
      <c r="Z129" s="85">
        <v>0</v>
      </c>
      <c r="AA129" s="85">
        <v>0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</row>
    <row r="130" spans="2:34">
      <c r="B130" s="49" t="s">
        <v>1813</v>
      </c>
      <c r="C130" s="1275" t="s">
        <v>1813</v>
      </c>
      <c r="D130" s="86">
        <v>96473001</v>
      </c>
      <c r="E130" s="86">
        <v>308225688</v>
      </c>
      <c r="F130" s="86"/>
      <c r="G130" s="86">
        <v>33808437</v>
      </c>
      <c r="H130" s="86">
        <v>51468140</v>
      </c>
      <c r="I130" s="86">
        <v>55567666</v>
      </c>
      <c r="J130" s="86">
        <v>50320729</v>
      </c>
      <c r="K130" s="86">
        <v>30266177</v>
      </c>
      <c r="L130" s="86">
        <v>24861942</v>
      </c>
      <c r="M130" s="86">
        <v>1017589</v>
      </c>
      <c r="N130" s="86">
        <v>297466511</v>
      </c>
      <c r="O130" s="86">
        <v>61439980</v>
      </c>
      <c r="P130" s="86">
        <v>18663540</v>
      </c>
      <c r="Q130" s="86">
        <v>136601607</v>
      </c>
      <c r="R130" s="86">
        <v>295419240</v>
      </c>
      <c r="S130" s="86">
        <v>127630548</v>
      </c>
      <c r="T130" s="86">
        <v>50120000000</v>
      </c>
      <c r="U130" s="86">
        <v>0</v>
      </c>
      <c r="V130" s="86">
        <v>0</v>
      </c>
      <c r="W130" s="86">
        <v>0</v>
      </c>
      <c r="X130" s="86">
        <v>0</v>
      </c>
      <c r="Y130" s="86">
        <v>0</v>
      </c>
      <c r="Z130" s="86">
        <v>0</v>
      </c>
      <c r="AA130" s="86">
        <v>0</v>
      </c>
      <c r="AB130" s="86">
        <v>0</v>
      </c>
      <c r="AC130" s="86">
        <v>0</v>
      </c>
      <c r="AD130" s="86">
        <v>0</v>
      </c>
      <c r="AE130" s="86">
        <v>78794764</v>
      </c>
      <c r="AF130" s="86">
        <v>287000</v>
      </c>
      <c r="AG130" s="86">
        <v>1083921600</v>
      </c>
      <c r="AH130" s="86">
        <v>0</v>
      </c>
    </row>
    <row r="131" spans="2:34">
      <c r="B131" s="50" t="s">
        <v>1814</v>
      </c>
      <c r="C131" s="1275" t="s">
        <v>1814</v>
      </c>
      <c r="D131" s="86">
        <v>0</v>
      </c>
      <c r="E131" s="86">
        <v>0</v>
      </c>
      <c r="F131" s="86"/>
      <c r="G131" s="86">
        <v>0</v>
      </c>
      <c r="H131" s="86">
        <v>0</v>
      </c>
      <c r="I131" s="86">
        <v>0</v>
      </c>
      <c r="J131" s="86">
        <v>0</v>
      </c>
      <c r="K131" s="86">
        <v>0</v>
      </c>
      <c r="L131" s="86">
        <v>0</v>
      </c>
      <c r="M131" s="86">
        <v>0</v>
      </c>
      <c r="N131" s="86">
        <v>0</v>
      </c>
      <c r="O131" s="86">
        <v>0</v>
      </c>
      <c r="P131" s="86">
        <v>0</v>
      </c>
      <c r="Q131" s="86">
        <v>0</v>
      </c>
      <c r="R131" s="86">
        <v>0</v>
      </c>
      <c r="S131" s="86">
        <v>0</v>
      </c>
      <c r="T131" s="86">
        <v>0</v>
      </c>
      <c r="U131" s="86">
        <v>0</v>
      </c>
      <c r="V131" s="86">
        <v>0</v>
      </c>
      <c r="W131" s="86">
        <v>0</v>
      </c>
      <c r="X131" s="86">
        <v>0</v>
      </c>
      <c r="Y131" s="86">
        <v>0</v>
      </c>
      <c r="Z131" s="86">
        <v>0</v>
      </c>
      <c r="AA131" s="86">
        <v>0</v>
      </c>
      <c r="AB131" s="86">
        <v>0</v>
      </c>
      <c r="AC131" s="86">
        <v>0</v>
      </c>
      <c r="AD131" s="86">
        <v>0</v>
      </c>
      <c r="AE131" s="86">
        <v>0</v>
      </c>
      <c r="AF131" s="86">
        <v>0</v>
      </c>
      <c r="AG131" s="86">
        <v>0</v>
      </c>
      <c r="AH131" s="86">
        <v>0</v>
      </c>
    </row>
    <row r="132" spans="2:34">
      <c r="B132" s="50" t="s">
        <v>1815</v>
      </c>
      <c r="C132" s="1275" t="s">
        <v>1815</v>
      </c>
      <c r="D132" s="86">
        <v>96473001</v>
      </c>
      <c r="E132" s="86">
        <v>86762012</v>
      </c>
      <c r="F132" s="86"/>
      <c r="G132" s="86">
        <v>33808437</v>
      </c>
      <c r="H132" s="86">
        <v>51468140</v>
      </c>
      <c r="I132" s="86">
        <v>55567666</v>
      </c>
      <c r="J132" s="86">
        <v>50320729</v>
      </c>
      <c r="K132" s="86">
        <v>30266177</v>
      </c>
      <c r="L132" s="86">
        <v>24861942</v>
      </c>
      <c r="M132" s="86">
        <v>1017589</v>
      </c>
      <c r="N132" s="86">
        <v>297466511</v>
      </c>
      <c r="O132" s="86">
        <v>61439980</v>
      </c>
      <c r="P132" s="86">
        <v>18663540</v>
      </c>
      <c r="Q132" s="86">
        <v>136601607</v>
      </c>
      <c r="R132" s="86">
        <v>295419240</v>
      </c>
      <c r="S132" s="86">
        <v>127630548</v>
      </c>
      <c r="T132" s="86">
        <v>50120000000</v>
      </c>
      <c r="U132" s="86">
        <v>0</v>
      </c>
      <c r="V132" s="86">
        <v>0</v>
      </c>
      <c r="W132" s="86">
        <v>0</v>
      </c>
      <c r="X132" s="86">
        <v>0</v>
      </c>
      <c r="Y132" s="86">
        <v>0</v>
      </c>
      <c r="Z132" s="86">
        <v>0</v>
      </c>
      <c r="AA132" s="86">
        <v>0</v>
      </c>
      <c r="AB132" s="86">
        <v>0</v>
      </c>
      <c r="AC132" s="86">
        <v>0</v>
      </c>
      <c r="AD132" s="86">
        <v>0</v>
      </c>
      <c r="AE132" s="86">
        <v>78794764</v>
      </c>
      <c r="AF132" s="86">
        <v>287000</v>
      </c>
      <c r="AG132" s="86">
        <v>0</v>
      </c>
      <c r="AH132" s="86">
        <v>0</v>
      </c>
    </row>
    <row r="133" spans="2:34" ht="15">
      <c r="B133" s="50" t="s">
        <v>1816</v>
      </c>
      <c r="C133" s="1275" t="s">
        <v>1816</v>
      </c>
      <c r="D133" s="86">
        <v>0</v>
      </c>
      <c r="E133" s="86">
        <v>221463676</v>
      </c>
      <c r="F133" s="86"/>
      <c r="G133" s="86">
        <v>0</v>
      </c>
      <c r="H133" s="86">
        <v>0</v>
      </c>
      <c r="I133" s="86">
        <v>0</v>
      </c>
      <c r="J133" s="86">
        <v>0</v>
      </c>
      <c r="K133" s="86">
        <v>0</v>
      </c>
      <c r="L133" s="86">
        <v>0</v>
      </c>
      <c r="M133" s="86">
        <v>0</v>
      </c>
      <c r="N133" s="86">
        <v>0</v>
      </c>
      <c r="O133" s="85">
        <v>0</v>
      </c>
      <c r="P133" s="85">
        <v>0</v>
      </c>
      <c r="Q133" s="85">
        <v>0</v>
      </c>
      <c r="R133" s="85">
        <v>0</v>
      </c>
      <c r="S133" s="85">
        <v>0</v>
      </c>
      <c r="T133" s="85">
        <v>0</v>
      </c>
      <c r="U133" s="85">
        <v>0</v>
      </c>
      <c r="V133" s="85">
        <v>0</v>
      </c>
      <c r="W133" s="85">
        <v>0</v>
      </c>
      <c r="X133" s="85">
        <v>0</v>
      </c>
      <c r="Y133" s="85">
        <v>0</v>
      </c>
      <c r="Z133" s="85">
        <v>0</v>
      </c>
      <c r="AA133" s="85">
        <v>0</v>
      </c>
      <c r="AB133" s="85">
        <v>0</v>
      </c>
      <c r="AC133" s="85">
        <v>0</v>
      </c>
      <c r="AD133" s="85">
        <v>0</v>
      </c>
      <c r="AE133" s="85">
        <v>0</v>
      </c>
      <c r="AF133" s="85">
        <v>0</v>
      </c>
      <c r="AG133" s="85">
        <v>1083921600</v>
      </c>
      <c r="AH133" s="85">
        <v>0</v>
      </c>
    </row>
    <row r="134" spans="2:34">
      <c r="B134" s="49" t="s">
        <v>1817</v>
      </c>
      <c r="C134" s="1275" t="s">
        <v>1817</v>
      </c>
      <c r="D134" s="86">
        <v>0</v>
      </c>
      <c r="E134" s="86">
        <v>0</v>
      </c>
      <c r="F134" s="86"/>
      <c r="G134" s="86">
        <v>0</v>
      </c>
      <c r="H134" s="86">
        <v>0</v>
      </c>
      <c r="I134" s="86">
        <v>0</v>
      </c>
      <c r="J134" s="86">
        <v>0</v>
      </c>
      <c r="K134" s="86">
        <v>0</v>
      </c>
      <c r="L134" s="86">
        <v>0</v>
      </c>
      <c r="M134" s="86">
        <v>0</v>
      </c>
      <c r="N134" s="86">
        <v>0</v>
      </c>
      <c r="O134" s="86">
        <v>0</v>
      </c>
      <c r="P134" s="86">
        <v>0</v>
      </c>
      <c r="Q134" s="86">
        <v>0</v>
      </c>
      <c r="R134" s="86">
        <v>0</v>
      </c>
      <c r="S134" s="86">
        <v>0</v>
      </c>
      <c r="T134" s="86">
        <v>0</v>
      </c>
      <c r="U134" s="86">
        <v>0</v>
      </c>
      <c r="V134" s="86">
        <v>0</v>
      </c>
      <c r="W134" s="86">
        <v>0</v>
      </c>
      <c r="X134" s="86">
        <v>0</v>
      </c>
      <c r="Y134" s="86">
        <v>0</v>
      </c>
      <c r="Z134" s="86">
        <v>9405760</v>
      </c>
      <c r="AA134" s="86">
        <v>565000060</v>
      </c>
      <c r="AB134" s="86">
        <v>683908725</v>
      </c>
      <c r="AC134" s="86">
        <v>98750295</v>
      </c>
      <c r="AD134" s="86">
        <v>229402928</v>
      </c>
      <c r="AE134" s="86">
        <v>2449279547</v>
      </c>
      <c r="AF134" s="86">
        <v>435040738</v>
      </c>
      <c r="AG134" s="86">
        <v>541626653</v>
      </c>
      <c r="AH134" s="86">
        <v>1274962899</v>
      </c>
    </row>
    <row r="135" spans="2:34">
      <c r="B135" s="49" t="s">
        <v>1818</v>
      </c>
      <c r="C135" s="1275" t="s">
        <v>1818</v>
      </c>
      <c r="D135" s="86">
        <v>589085367</v>
      </c>
      <c r="E135" s="86">
        <v>868869984</v>
      </c>
      <c r="F135" s="86"/>
      <c r="G135" s="86">
        <v>975139596</v>
      </c>
      <c r="H135" s="86">
        <v>974972489</v>
      </c>
      <c r="I135" s="86">
        <v>940397368</v>
      </c>
      <c r="J135" s="86">
        <v>658938782</v>
      </c>
      <c r="K135" s="86">
        <v>1089200200</v>
      </c>
      <c r="L135" s="86">
        <v>1204928017</v>
      </c>
      <c r="M135" s="86">
        <v>676241093</v>
      </c>
      <c r="N135" s="86">
        <v>1093443159</v>
      </c>
      <c r="O135" s="86">
        <v>1411770192</v>
      </c>
      <c r="P135" s="86">
        <v>895092369</v>
      </c>
      <c r="Q135" s="86">
        <v>899963625</v>
      </c>
      <c r="R135" s="86">
        <v>537661303</v>
      </c>
      <c r="S135" s="86">
        <v>679935191</v>
      </c>
      <c r="T135" s="86">
        <v>1144823797</v>
      </c>
      <c r="U135" s="86">
        <v>1200651652</v>
      </c>
      <c r="V135" s="86">
        <v>-2694433754</v>
      </c>
      <c r="W135" s="86">
        <v>-2078762155</v>
      </c>
      <c r="X135" s="86">
        <v>-2950221185</v>
      </c>
      <c r="Y135" s="86">
        <v>-2215831555</v>
      </c>
      <c r="Z135" s="86">
        <v>-1714173164</v>
      </c>
      <c r="AA135" s="86">
        <v>-5503972679</v>
      </c>
      <c r="AB135" s="86">
        <v>-16213109119</v>
      </c>
      <c r="AC135" s="86">
        <v>-22797767875</v>
      </c>
      <c r="AD135" s="86">
        <v>-27682620666</v>
      </c>
      <c r="AE135" s="86">
        <v>-24804283229</v>
      </c>
      <c r="AF135" s="86">
        <v>-24906513169</v>
      </c>
      <c r="AG135" s="86">
        <v>-10717951221</v>
      </c>
      <c r="AH135" s="86">
        <v>-10910766072</v>
      </c>
    </row>
    <row r="136" spans="2:34">
      <c r="B136" s="49" t="s">
        <v>1819</v>
      </c>
      <c r="C136" s="1275" t="s">
        <v>1819</v>
      </c>
      <c r="D136" s="86">
        <v>0</v>
      </c>
      <c r="E136" s="86">
        <v>0</v>
      </c>
      <c r="F136" s="86"/>
      <c r="G136" s="86">
        <v>0</v>
      </c>
      <c r="H136" s="86">
        <v>0</v>
      </c>
      <c r="I136" s="86">
        <v>0</v>
      </c>
      <c r="J136" s="86">
        <v>0</v>
      </c>
      <c r="K136" s="86">
        <v>0</v>
      </c>
      <c r="L136" s="86">
        <v>0</v>
      </c>
      <c r="M136" s="86">
        <v>0</v>
      </c>
      <c r="N136" s="86">
        <v>0</v>
      </c>
      <c r="O136" s="86">
        <v>0</v>
      </c>
      <c r="P136" s="86">
        <v>0</v>
      </c>
      <c r="Q136" s="86">
        <v>0</v>
      </c>
      <c r="R136" s="86">
        <v>0</v>
      </c>
      <c r="S136" s="86">
        <v>0</v>
      </c>
      <c r="T136" s="86">
        <v>0</v>
      </c>
      <c r="U136" s="86">
        <v>0</v>
      </c>
      <c r="V136" s="86">
        <v>0</v>
      </c>
      <c r="W136" s="86">
        <v>0</v>
      </c>
      <c r="X136" s="86">
        <v>0</v>
      </c>
      <c r="Y136" s="86">
        <v>0</v>
      </c>
      <c r="Z136" s="86">
        <v>0</v>
      </c>
      <c r="AA136" s="86">
        <v>0</v>
      </c>
      <c r="AB136" s="86">
        <v>0</v>
      </c>
      <c r="AC136" s="86">
        <v>0</v>
      </c>
      <c r="AD136" s="86">
        <v>0</v>
      </c>
      <c r="AE136" s="86">
        <v>0</v>
      </c>
      <c r="AF136" s="86">
        <v>0</v>
      </c>
      <c r="AG136" s="86">
        <v>0</v>
      </c>
      <c r="AH136" s="86">
        <v>0</v>
      </c>
    </row>
    <row r="137" spans="2:34">
      <c r="B137" s="43" t="s">
        <v>1820</v>
      </c>
      <c r="C137" s="43" t="s">
        <v>1820</v>
      </c>
      <c r="D137" s="87">
        <v>1136295551386</v>
      </c>
      <c r="E137" s="87">
        <v>1381127014836</v>
      </c>
      <c r="F137" s="87"/>
      <c r="G137" s="87">
        <v>1547668279502</v>
      </c>
      <c r="H137" s="87">
        <v>1469751964360</v>
      </c>
      <c r="I137" s="87">
        <v>1539899481763</v>
      </c>
      <c r="J137" s="87">
        <v>1589961269067</v>
      </c>
      <c r="K137" s="87">
        <v>1478729058507</v>
      </c>
      <c r="L137" s="87">
        <v>1552078452214</v>
      </c>
      <c r="M137" s="87">
        <v>1507309737682</v>
      </c>
      <c r="N137" s="87">
        <v>1364126874428</v>
      </c>
      <c r="O137" s="87">
        <v>1395709317111</v>
      </c>
      <c r="P137" s="87">
        <v>1423356945727</v>
      </c>
      <c r="Q137" s="87">
        <v>1723219925019</v>
      </c>
      <c r="R137" s="87">
        <v>1668074046211</v>
      </c>
      <c r="S137" s="87">
        <v>1755435842445</v>
      </c>
      <c r="T137" s="87">
        <v>2189571232152</v>
      </c>
      <c r="U137" s="87">
        <v>2036458204822</v>
      </c>
      <c r="V137" s="87">
        <v>2188155327647</v>
      </c>
      <c r="W137" s="87">
        <v>1997217555177</v>
      </c>
      <c r="X137" s="87">
        <v>2274181271107</v>
      </c>
      <c r="Y137" s="87">
        <v>2960882461570</v>
      </c>
      <c r="Z137" s="87">
        <v>2818803611893</v>
      </c>
      <c r="AA137" s="87">
        <v>3352024761497</v>
      </c>
      <c r="AB137" s="87">
        <v>4009459444382</v>
      </c>
      <c r="AC137" s="87">
        <v>4212756626828</v>
      </c>
      <c r="AD137" s="87">
        <v>4066045997351</v>
      </c>
      <c r="AE137" s="87">
        <v>3992618111823</v>
      </c>
      <c r="AF137" s="87">
        <v>4708108111087</v>
      </c>
      <c r="AG137" s="87">
        <v>4441896566834</v>
      </c>
      <c r="AH137" s="87">
        <v>4522226307112</v>
      </c>
    </row>
    <row r="138" spans="2:34">
      <c r="B138" s="49" t="s">
        <v>1821</v>
      </c>
      <c r="C138" s="1275" t="s">
        <v>1821</v>
      </c>
      <c r="D138" s="86">
        <v>550875582</v>
      </c>
      <c r="E138" s="86">
        <v>821493744</v>
      </c>
      <c r="F138" s="86"/>
      <c r="G138" s="86">
        <v>1637570910</v>
      </c>
      <c r="H138" s="86">
        <v>1446326319</v>
      </c>
      <c r="I138" s="86">
        <v>5414761108</v>
      </c>
      <c r="J138" s="86">
        <v>6572303404</v>
      </c>
      <c r="K138" s="86">
        <v>3861014013</v>
      </c>
      <c r="L138" s="86">
        <v>6230339554</v>
      </c>
      <c r="M138" s="86">
        <v>5682046752</v>
      </c>
      <c r="N138" s="86">
        <v>5117284779</v>
      </c>
      <c r="O138" s="86">
        <v>4145347162</v>
      </c>
      <c r="P138" s="86">
        <v>3826305822</v>
      </c>
      <c r="Q138" s="86">
        <v>958151277</v>
      </c>
      <c r="R138" s="86">
        <v>798216001</v>
      </c>
      <c r="S138" s="1209">
        <v>747682567</v>
      </c>
      <c r="T138" s="86">
        <v>696555676</v>
      </c>
      <c r="U138" s="86">
        <v>333731704</v>
      </c>
      <c r="V138" s="86">
        <v>296367772</v>
      </c>
      <c r="W138" s="1209">
        <v>255902323</v>
      </c>
      <c r="X138" s="86">
        <v>218379908</v>
      </c>
      <c r="Y138" s="86">
        <v>179649743</v>
      </c>
      <c r="Z138" s="86">
        <v>103392346</v>
      </c>
      <c r="AA138" s="86">
        <v>34266744</v>
      </c>
      <c r="AB138" s="86">
        <v>28552162</v>
      </c>
      <c r="AC138" s="86">
        <v>22705980</v>
      </c>
      <c r="AD138" s="86">
        <v>16730093</v>
      </c>
      <c r="AE138" s="86">
        <v>10691793</v>
      </c>
      <c r="AF138" s="86">
        <v>4725719</v>
      </c>
      <c r="AG138" s="86">
        <v>0</v>
      </c>
      <c r="AH138" s="86">
        <v>0</v>
      </c>
    </row>
    <row r="139" spans="2:34" ht="15">
      <c r="B139" s="49" t="s">
        <v>1822</v>
      </c>
      <c r="C139" s="1275" t="s">
        <v>1822</v>
      </c>
      <c r="D139" s="86">
        <v>0</v>
      </c>
      <c r="E139" s="86">
        <v>0</v>
      </c>
      <c r="F139" s="86"/>
      <c r="G139" s="86">
        <v>0</v>
      </c>
      <c r="H139" s="86">
        <v>0</v>
      </c>
      <c r="I139" s="86">
        <v>0</v>
      </c>
      <c r="J139" s="86">
        <v>0</v>
      </c>
      <c r="K139" s="86">
        <v>0</v>
      </c>
      <c r="L139" s="86">
        <v>0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</row>
    <row r="140" spans="2:34">
      <c r="B140" s="49" t="s">
        <v>1823</v>
      </c>
      <c r="C140" s="1275" t="s">
        <v>1823</v>
      </c>
      <c r="D140" s="86">
        <v>0</v>
      </c>
      <c r="E140" s="86">
        <v>0</v>
      </c>
      <c r="F140" s="86"/>
      <c r="G140" s="86">
        <v>0</v>
      </c>
      <c r="H140" s="86">
        <v>0</v>
      </c>
      <c r="I140" s="86">
        <v>0</v>
      </c>
      <c r="J140" s="86">
        <v>0</v>
      </c>
      <c r="K140" s="86">
        <v>40729960</v>
      </c>
      <c r="L140" s="86">
        <v>38714734</v>
      </c>
      <c r="M140" s="86">
        <v>36677117</v>
      </c>
      <c r="N140" s="86">
        <v>34617108</v>
      </c>
      <c r="O140" s="86">
        <v>32557099</v>
      </c>
      <c r="P140" s="86">
        <v>30541872</v>
      </c>
      <c r="Q140" s="86">
        <v>28504255</v>
      </c>
      <c r="R140" s="86">
        <v>26444246</v>
      </c>
      <c r="S140" s="1209">
        <v>-1114382137</v>
      </c>
      <c r="T140" s="86">
        <v>-1479460572</v>
      </c>
      <c r="U140" s="86">
        <v>-1795300610</v>
      </c>
      <c r="V140" s="86">
        <v>-2018832935</v>
      </c>
      <c r="W140" s="1209">
        <v>-1798710518</v>
      </c>
      <c r="X140" s="86">
        <v>-2256996270</v>
      </c>
      <c r="Y140" s="86">
        <v>-4989952705</v>
      </c>
      <c r="Z140" s="86">
        <v>-3859944479</v>
      </c>
      <c r="AA140" s="86">
        <v>-6804745658</v>
      </c>
      <c r="AB140" s="86">
        <v>-8536599249</v>
      </c>
      <c r="AC140" s="86">
        <v>-10342895079</v>
      </c>
      <c r="AD140" s="86">
        <v>-9003691865</v>
      </c>
      <c r="AE140" s="86">
        <v>-13585405964</v>
      </c>
      <c r="AF140" s="86">
        <v>-15518758718</v>
      </c>
      <c r="AG140" s="86">
        <v>-11765183077</v>
      </c>
      <c r="AH140" s="86">
        <v>-11572193939</v>
      </c>
    </row>
    <row r="141" spans="2:34" ht="15">
      <c r="B141" s="49" t="s">
        <v>1824</v>
      </c>
      <c r="C141" s="1275" t="s">
        <v>1824</v>
      </c>
      <c r="D141" s="86">
        <v>0</v>
      </c>
      <c r="E141" s="86">
        <v>0</v>
      </c>
      <c r="F141" s="86"/>
      <c r="G141" s="86">
        <v>90000000000</v>
      </c>
      <c r="H141" s="86">
        <v>0</v>
      </c>
      <c r="I141" s="86">
        <v>0</v>
      </c>
      <c r="J141" s="86">
        <v>0</v>
      </c>
      <c r="K141" s="86">
        <v>0</v>
      </c>
      <c r="L141" s="86">
        <v>0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 s="85">
        <v>0</v>
      </c>
    </row>
    <row r="142" spans="2:34">
      <c r="B142" s="49" t="s">
        <v>1825</v>
      </c>
      <c r="C142" s="1275" t="s">
        <v>1825</v>
      </c>
      <c r="D142" s="86">
        <v>1074755212804</v>
      </c>
      <c r="E142" s="86">
        <v>1024256065241</v>
      </c>
      <c r="F142" s="86"/>
      <c r="G142" s="86">
        <v>1054445912645</v>
      </c>
      <c r="H142" s="86">
        <v>1145126358944</v>
      </c>
      <c r="I142" s="86">
        <v>1143280983671</v>
      </c>
      <c r="J142" s="86">
        <v>1127736121087</v>
      </c>
      <c r="K142" s="86">
        <v>1113805259431</v>
      </c>
      <c r="L142" s="86">
        <v>1203342028798</v>
      </c>
      <c r="M142" s="86">
        <v>1278214139111</v>
      </c>
      <c r="N142" s="86">
        <v>1272422706460</v>
      </c>
      <c r="O142" s="86">
        <v>1167884074803</v>
      </c>
      <c r="P142" s="86">
        <v>1360177552205</v>
      </c>
      <c r="Q142" s="86">
        <v>1690513633691</v>
      </c>
      <c r="R142" s="86">
        <v>1536828073778</v>
      </c>
      <c r="S142" s="1209">
        <v>1495427698343</v>
      </c>
      <c r="T142" s="86">
        <v>1585648545057</v>
      </c>
      <c r="U142" s="86">
        <v>1703441156870</v>
      </c>
      <c r="V142" s="86">
        <v>1831605503384</v>
      </c>
      <c r="W142" s="1209">
        <v>1684882255855</v>
      </c>
      <c r="X142" s="86">
        <v>1866730638068</v>
      </c>
      <c r="Y142" s="86">
        <v>2170344793452</v>
      </c>
      <c r="Z142" s="86">
        <v>2135097802340</v>
      </c>
      <c r="AA142" s="86">
        <v>2349801027613</v>
      </c>
      <c r="AB142" s="86">
        <v>2594230001998</v>
      </c>
      <c r="AC142" s="86">
        <v>2644156160325</v>
      </c>
      <c r="AD142" s="86">
        <v>2656934399457</v>
      </c>
      <c r="AE142" s="86">
        <v>2274041957282</v>
      </c>
      <c r="AF142" s="86">
        <v>2633440745682</v>
      </c>
      <c r="AG142" s="86">
        <v>2712129247528</v>
      </c>
      <c r="AH142" s="86">
        <v>2618192007239</v>
      </c>
    </row>
    <row r="143" spans="2:34">
      <c r="B143" s="50" t="s">
        <v>1826</v>
      </c>
      <c r="C143" s="1275" t="s">
        <v>1826</v>
      </c>
      <c r="D143" s="86">
        <v>515924945561</v>
      </c>
      <c r="E143" s="86">
        <v>366902931865</v>
      </c>
      <c r="F143" s="86"/>
      <c r="G143" s="86">
        <v>393189642238</v>
      </c>
      <c r="H143" s="86">
        <v>465513898671</v>
      </c>
      <c r="I143" s="86">
        <v>450390883428</v>
      </c>
      <c r="J143" s="86">
        <v>442158603477</v>
      </c>
      <c r="K143" s="86">
        <v>404442378072</v>
      </c>
      <c r="L143" s="86">
        <v>461835474506</v>
      </c>
      <c r="M143" s="86">
        <v>464465272905</v>
      </c>
      <c r="N143" s="86">
        <v>499734322241</v>
      </c>
      <c r="O143" s="86">
        <v>420517172072</v>
      </c>
      <c r="P143" s="86">
        <v>541147290134</v>
      </c>
      <c r="Q143" s="86">
        <v>634834460415</v>
      </c>
      <c r="R143" s="86">
        <v>543546234735</v>
      </c>
      <c r="S143" s="86">
        <v>543477355849</v>
      </c>
      <c r="T143" s="86">
        <v>569840645110</v>
      </c>
      <c r="U143" s="86">
        <v>568301239318</v>
      </c>
      <c r="V143" s="86">
        <v>667015181246</v>
      </c>
      <c r="W143" s="86">
        <v>569475229616</v>
      </c>
      <c r="X143" s="86">
        <v>613578111218</v>
      </c>
      <c r="Y143" s="86">
        <v>718252395380</v>
      </c>
      <c r="Z143" s="86">
        <v>646888200610</v>
      </c>
      <c r="AA143" s="86">
        <v>820601636789</v>
      </c>
      <c r="AB143" s="86">
        <v>942311838629</v>
      </c>
      <c r="AC143" s="86">
        <v>984526615004</v>
      </c>
      <c r="AD143" s="86">
        <v>947974008112</v>
      </c>
      <c r="AE143" s="86">
        <v>720642821969</v>
      </c>
      <c r="AF143" s="86">
        <v>786699846117</v>
      </c>
      <c r="AG143" s="86">
        <v>779774436679</v>
      </c>
      <c r="AH143" s="86">
        <v>646437726236</v>
      </c>
    </row>
    <row r="144" spans="2:34" ht="15">
      <c r="B144" s="50" t="s">
        <v>1827</v>
      </c>
      <c r="C144" s="1275" t="s">
        <v>1827</v>
      </c>
      <c r="D144" s="86">
        <v>0</v>
      </c>
      <c r="E144" s="86">
        <v>0</v>
      </c>
      <c r="F144" s="86"/>
      <c r="G144" s="86">
        <v>0</v>
      </c>
      <c r="H144" s="86">
        <v>0</v>
      </c>
      <c r="I144" s="86">
        <v>0</v>
      </c>
      <c r="J144" s="86">
        <v>0</v>
      </c>
      <c r="K144" s="86">
        <v>0</v>
      </c>
      <c r="L144" s="86">
        <v>0</v>
      </c>
      <c r="M144" s="85">
        <v>0</v>
      </c>
      <c r="N144" s="85">
        <v>0</v>
      </c>
      <c r="O144" s="85">
        <v>0</v>
      </c>
      <c r="P144" s="85">
        <v>0</v>
      </c>
      <c r="Q144" s="85">
        <v>0</v>
      </c>
      <c r="R144" s="85">
        <v>0</v>
      </c>
      <c r="S144" s="85">
        <v>0</v>
      </c>
      <c r="T144" s="85">
        <v>0</v>
      </c>
      <c r="U144" s="85">
        <v>0</v>
      </c>
      <c r="V144" s="85">
        <v>0</v>
      </c>
      <c r="W144" s="85">
        <v>0</v>
      </c>
      <c r="X144" s="85">
        <v>0</v>
      </c>
      <c r="Y144" s="85">
        <v>0</v>
      </c>
      <c r="Z144" s="85">
        <v>0</v>
      </c>
      <c r="AA144" s="85">
        <v>0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</row>
    <row r="145" spans="2:34" ht="15">
      <c r="B145" s="50" t="s">
        <v>1828</v>
      </c>
      <c r="C145" s="1275" t="s">
        <v>1828</v>
      </c>
      <c r="D145" s="86">
        <v>0</v>
      </c>
      <c r="E145" s="86">
        <v>0</v>
      </c>
      <c r="F145" s="86"/>
      <c r="G145" s="86">
        <v>0</v>
      </c>
      <c r="H145" s="86">
        <v>0</v>
      </c>
      <c r="I145" s="86">
        <v>0</v>
      </c>
      <c r="J145" s="86">
        <v>0</v>
      </c>
      <c r="K145" s="86">
        <v>0</v>
      </c>
      <c r="L145" s="86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</row>
    <row r="146" spans="2:34">
      <c r="B146" s="50" t="s">
        <v>1829</v>
      </c>
      <c r="C146" s="1275" t="s">
        <v>1829</v>
      </c>
      <c r="D146" s="86">
        <v>558830267243</v>
      </c>
      <c r="E146" s="86">
        <v>657353133376</v>
      </c>
      <c r="F146" s="86"/>
      <c r="G146" s="86">
        <v>661256270407</v>
      </c>
      <c r="H146" s="86">
        <v>679612460273</v>
      </c>
      <c r="I146" s="86">
        <v>692890100243</v>
      </c>
      <c r="J146" s="86">
        <v>685577517610</v>
      </c>
      <c r="K146" s="86">
        <v>709362881359</v>
      </c>
      <c r="L146" s="86">
        <v>741506554292</v>
      </c>
      <c r="M146" s="86">
        <v>813748866206</v>
      </c>
      <c r="N146" s="86">
        <v>772688384219</v>
      </c>
      <c r="O146" s="86">
        <v>747366902731</v>
      </c>
      <c r="P146" s="86">
        <v>819030262071</v>
      </c>
      <c r="Q146" s="86">
        <v>1055679173276</v>
      </c>
      <c r="R146" s="86">
        <v>993281839043</v>
      </c>
      <c r="S146" s="86">
        <v>951950342494</v>
      </c>
      <c r="T146" s="86">
        <v>1015807899947</v>
      </c>
      <c r="U146" s="86">
        <v>1135139917552</v>
      </c>
      <c r="V146" s="86">
        <v>1164590322138</v>
      </c>
      <c r="W146" s="86">
        <v>1115407026239</v>
      </c>
      <c r="X146" s="86">
        <v>1253152526850</v>
      </c>
      <c r="Y146" s="86">
        <v>1452092398072</v>
      </c>
      <c r="Z146" s="86">
        <v>1488209601730</v>
      </c>
      <c r="AA146" s="86">
        <v>1529199390824</v>
      </c>
      <c r="AB146" s="86">
        <v>1651918163369</v>
      </c>
      <c r="AC146" s="86">
        <v>1659629545321</v>
      </c>
      <c r="AD146" s="86">
        <v>1708960391345</v>
      </c>
      <c r="AE146" s="86">
        <v>1553399135313</v>
      </c>
      <c r="AF146" s="86">
        <v>1846740899565</v>
      </c>
      <c r="AG146" s="86">
        <v>1932354810849</v>
      </c>
      <c r="AH146" s="86">
        <v>1971754281003</v>
      </c>
    </row>
    <row r="147" spans="2:34" ht="15">
      <c r="B147" s="50" t="s">
        <v>1830</v>
      </c>
      <c r="C147" s="1275" t="s">
        <v>1830</v>
      </c>
      <c r="D147" s="86">
        <v>0</v>
      </c>
      <c r="E147" s="86">
        <v>0</v>
      </c>
      <c r="F147" s="86"/>
      <c r="G147" s="86">
        <v>0</v>
      </c>
      <c r="H147" s="86">
        <v>0</v>
      </c>
      <c r="I147" s="86">
        <v>0</v>
      </c>
      <c r="J147" s="86">
        <v>0</v>
      </c>
      <c r="K147" s="86">
        <v>0</v>
      </c>
      <c r="L147" s="86">
        <v>0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 s="85">
        <v>0</v>
      </c>
      <c r="U147" s="85">
        <v>0</v>
      </c>
      <c r="V147" s="85">
        <v>0</v>
      </c>
      <c r="W147" s="85">
        <v>0</v>
      </c>
      <c r="X147" s="85">
        <v>0</v>
      </c>
      <c r="Y147" s="85">
        <v>0</v>
      </c>
      <c r="Z147" s="85">
        <v>0</v>
      </c>
      <c r="AA147" s="85">
        <v>0</v>
      </c>
      <c r="AB147" s="85">
        <v>0</v>
      </c>
      <c r="AC147" s="85">
        <v>0</v>
      </c>
      <c r="AD147" s="85">
        <v>0</v>
      </c>
      <c r="AE147" s="85">
        <v>0</v>
      </c>
      <c r="AF147" s="85">
        <v>0</v>
      </c>
      <c r="AG147" s="85">
        <v>0</v>
      </c>
      <c r="AH147" s="85">
        <v>0</v>
      </c>
    </row>
    <row r="148" spans="2:34" ht="15">
      <c r="B148" s="49" t="s">
        <v>1831</v>
      </c>
      <c r="C148" s="1275" t="s">
        <v>1831</v>
      </c>
      <c r="D148" s="86">
        <v>0</v>
      </c>
      <c r="E148" s="86">
        <v>0</v>
      </c>
      <c r="F148" s="86"/>
      <c r="G148" s="86">
        <v>0</v>
      </c>
      <c r="H148" s="86">
        <v>0</v>
      </c>
      <c r="I148" s="86">
        <v>0</v>
      </c>
      <c r="J148" s="86">
        <v>0</v>
      </c>
      <c r="K148" s="86">
        <v>0</v>
      </c>
      <c r="L148" s="86">
        <v>0</v>
      </c>
      <c r="M148" s="85">
        <v>0</v>
      </c>
      <c r="N148" s="85">
        <v>0</v>
      </c>
      <c r="O148" s="85">
        <v>0</v>
      </c>
      <c r="P148" s="85">
        <v>0</v>
      </c>
      <c r="Q148" s="85">
        <v>0</v>
      </c>
      <c r="R148" s="85">
        <v>0</v>
      </c>
      <c r="S148" s="1210">
        <v>0</v>
      </c>
      <c r="T148" s="85">
        <v>0</v>
      </c>
      <c r="U148" s="85">
        <v>0</v>
      </c>
      <c r="V148" s="85">
        <v>0</v>
      </c>
      <c r="W148" s="1210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</row>
    <row r="149" spans="2:34">
      <c r="B149" s="49" t="s">
        <v>1832</v>
      </c>
      <c r="C149" s="1275" t="s">
        <v>1832</v>
      </c>
      <c r="D149" s="86">
        <v>2190192544</v>
      </c>
      <c r="E149" s="86">
        <v>2158290141</v>
      </c>
      <c r="F149" s="86"/>
      <c r="G149" s="86">
        <v>1981953142</v>
      </c>
      <c r="H149" s="86">
        <v>1819117594</v>
      </c>
      <c r="I149" s="86">
        <v>1733419567</v>
      </c>
      <c r="J149" s="86">
        <v>1660174405</v>
      </c>
      <c r="K149" s="86">
        <v>1547659282</v>
      </c>
      <c r="L149" s="86">
        <v>1416211082</v>
      </c>
      <c r="M149" s="86">
        <v>1342815731</v>
      </c>
      <c r="N149" s="86">
        <v>1262879486</v>
      </c>
      <c r="O149" s="86">
        <v>1320275219</v>
      </c>
      <c r="P149" s="86">
        <v>1180804817</v>
      </c>
      <c r="Q149" s="86">
        <v>1119876138</v>
      </c>
      <c r="R149" s="86">
        <v>1043947417</v>
      </c>
      <c r="S149" s="1209">
        <v>944407875</v>
      </c>
      <c r="T149" s="86">
        <v>836534911</v>
      </c>
      <c r="U149" s="86">
        <v>592273006</v>
      </c>
      <c r="V149" s="86">
        <v>551205568</v>
      </c>
      <c r="W149" s="1209">
        <v>42807774870</v>
      </c>
      <c r="X149" s="86">
        <v>39525971259</v>
      </c>
      <c r="Y149" s="86">
        <v>40305626087</v>
      </c>
      <c r="Z149" s="86">
        <v>40496003194</v>
      </c>
      <c r="AA149" s="86">
        <v>338380301</v>
      </c>
      <c r="AB149" s="86">
        <v>310219584</v>
      </c>
      <c r="AC149" s="86">
        <v>286225373</v>
      </c>
      <c r="AD149" s="86">
        <v>230286709</v>
      </c>
      <c r="AE149" s="86">
        <v>204903613</v>
      </c>
      <c r="AF149" s="86">
        <v>185353834</v>
      </c>
      <c r="AG149" s="86">
        <v>167091625</v>
      </c>
      <c r="AH149" s="86">
        <v>150904112</v>
      </c>
    </row>
    <row r="150" spans="2:34" ht="15">
      <c r="B150" s="50" t="s">
        <v>1833</v>
      </c>
      <c r="C150" s="1275" t="s">
        <v>1833</v>
      </c>
      <c r="D150" s="86">
        <v>0</v>
      </c>
      <c r="E150" s="86">
        <v>0</v>
      </c>
      <c r="F150" s="86"/>
      <c r="G150" s="86">
        <v>0</v>
      </c>
      <c r="H150" s="86">
        <v>0</v>
      </c>
      <c r="I150" s="86">
        <v>0</v>
      </c>
      <c r="J150" s="86">
        <v>0</v>
      </c>
      <c r="K150" s="86">
        <v>0</v>
      </c>
      <c r="L150" s="86">
        <v>0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 s="85">
        <v>0</v>
      </c>
      <c r="AA150" s="85">
        <v>0</v>
      </c>
      <c r="AB150" s="85">
        <v>0</v>
      </c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</row>
    <row r="151" spans="2:34">
      <c r="B151" s="50" t="s">
        <v>1834</v>
      </c>
      <c r="C151" s="1275" t="s">
        <v>1834</v>
      </c>
      <c r="D151" s="86">
        <v>1385192544</v>
      </c>
      <c r="E151" s="86">
        <v>2158290141</v>
      </c>
      <c r="F151" s="86"/>
      <c r="G151" s="86">
        <v>1981953142</v>
      </c>
      <c r="H151" s="86">
        <v>1819117594</v>
      </c>
      <c r="I151" s="86">
        <v>1733419567</v>
      </c>
      <c r="J151" s="86">
        <v>1660174405</v>
      </c>
      <c r="K151" s="86">
        <v>1547659282</v>
      </c>
      <c r="L151" s="86">
        <v>1416211082</v>
      </c>
      <c r="M151" s="86">
        <v>1342815731</v>
      </c>
      <c r="N151" s="86">
        <v>1262879486</v>
      </c>
      <c r="O151" s="86">
        <v>1320275219</v>
      </c>
      <c r="P151" s="86">
        <v>1180804817</v>
      </c>
      <c r="Q151" s="86">
        <v>1119876138</v>
      </c>
      <c r="R151" s="86">
        <v>1043947417</v>
      </c>
      <c r="S151" s="86">
        <v>944407875</v>
      </c>
      <c r="T151" s="86">
        <v>836534911</v>
      </c>
      <c r="U151" s="86">
        <v>592273006</v>
      </c>
      <c r="V151" s="86">
        <v>551205568</v>
      </c>
      <c r="W151" s="86">
        <v>510274870</v>
      </c>
      <c r="X151" s="86">
        <v>462471259</v>
      </c>
      <c r="Y151" s="86">
        <v>419626087</v>
      </c>
      <c r="Z151" s="86">
        <v>361503194</v>
      </c>
      <c r="AA151" s="86">
        <v>338380301</v>
      </c>
      <c r="AB151" s="86">
        <v>310219584</v>
      </c>
      <c r="AC151" s="86">
        <v>286225373</v>
      </c>
      <c r="AD151" s="86">
        <v>230286709</v>
      </c>
      <c r="AE151" s="86">
        <v>204903613</v>
      </c>
      <c r="AF151" s="86">
        <v>185353834</v>
      </c>
      <c r="AG151" s="86">
        <v>167091625</v>
      </c>
      <c r="AH151" s="86">
        <v>150904112</v>
      </c>
    </row>
    <row r="152" spans="2:34">
      <c r="B152" s="50" t="s">
        <v>1794</v>
      </c>
      <c r="C152" s="1275" t="s">
        <v>1794</v>
      </c>
      <c r="D152" s="86">
        <v>805000000</v>
      </c>
      <c r="E152" s="86">
        <v>0</v>
      </c>
      <c r="F152" s="86"/>
      <c r="G152" s="86">
        <v>0</v>
      </c>
      <c r="H152" s="86">
        <v>0</v>
      </c>
      <c r="I152" s="86">
        <v>0</v>
      </c>
      <c r="J152" s="86">
        <v>0</v>
      </c>
      <c r="K152" s="86">
        <v>0</v>
      </c>
      <c r="L152" s="86">
        <v>0</v>
      </c>
      <c r="M152" s="86">
        <v>0</v>
      </c>
      <c r="N152" s="86">
        <v>0</v>
      </c>
      <c r="O152" s="86">
        <v>0</v>
      </c>
      <c r="P152" s="86">
        <v>0</v>
      </c>
      <c r="Q152" s="86">
        <v>0</v>
      </c>
      <c r="R152" s="86">
        <v>0</v>
      </c>
      <c r="S152" s="86">
        <v>0</v>
      </c>
      <c r="T152" s="86">
        <v>0</v>
      </c>
      <c r="U152" s="86">
        <v>0</v>
      </c>
      <c r="V152" s="86">
        <v>0</v>
      </c>
      <c r="W152" s="86">
        <v>42297500000</v>
      </c>
      <c r="X152" s="86">
        <v>39063500000</v>
      </c>
      <c r="Y152" s="86">
        <v>39886000000</v>
      </c>
      <c r="Z152" s="86">
        <v>40134500000</v>
      </c>
      <c r="AA152" s="86">
        <v>0</v>
      </c>
      <c r="AB152" s="86">
        <v>0</v>
      </c>
      <c r="AC152" s="86">
        <v>0</v>
      </c>
      <c r="AD152" s="86">
        <v>0</v>
      </c>
      <c r="AE152" s="86">
        <v>0</v>
      </c>
      <c r="AF152" s="86">
        <v>0</v>
      </c>
      <c r="AG152" s="86">
        <v>0</v>
      </c>
      <c r="AH152" s="86">
        <v>0</v>
      </c>
    </row>
    <row r="153" spans="2:34">
      <c r="B153" s="49" t="s">
        <v>1835</v>
      </c>
      <c r="C153" s="1275" t="s">
        <v>1835</v>
      </c>
      <c r="D153" s="86">
        <v>0</v>
      </c>
      <c r="E153" s="86">
        <v>25000000000</v>
      </c>
      <c r="F153" s="86"/>
      <c r="G153" s="86">
        <v>77000000000</v>
      </c>
      <c r="H153" s="86">
        <v>0</v>
      </c>
      <c r="I153" s="86">
        <v>49000000000</v>
      </c>
      <c r="J153" s="86">
        <v>70000000000</v>
      </c>
      <c r="K153" s="86">
        <v>89458333333</v>
      </c>
      <c r="L153" s="86">
        <v>72058333333</v>
      </c>
      <c r="M153" s="86">
        <v>108958333333</v>
      </c>
      <c r="N153" s="86">
        <v>42667455309</v>
      </c>
      <c r="O153" s="1209">
        <v>207792680231</v>
      </c>
      <c r="P153" s="86">
        <v>48999453079</v>
      </c>
      <c r="Q153" s="86">
        <v>20318279091</v>
      </c>
      <c r="R153" s="86">
        <v>127272122379</v>
      </c>
      <c r="S153" s="1209">
        <v>257423691822</v>
      </c>
      <c r="T153" s="86">
        <v>601760059323</v>
      </c>
      <c r="U153" s="86">
        <v>332394059603</v>
      </c>
      <c r="V153" s="86">
        <v>356154071745</v>
      </c>
      <c r="W153" s="1209">
        <v>269488723521</v>
      </c>
      <c r="X153" s="86">
        <v>368306624186</v>
      </c>
      <c r="Y153" s="86">
        <v>753308230707</v>
      </c>
      <c r="Z153" s="86">
        <v>645602368031</v>
      </c>
      <c r="AA153" s="86">
        <v>745824365870</v>
      </c>
      <c r="AB153" s="86">
        <v>734495667473</v>
      </c>
      <c r="AC153" s="86">
        <v>924676606958</v>
      </c>
      <c r="AD153" s="86">
        <v>786644505375</v>
      </c>
      <c r="AE153" s="86">
        <v>1248353078592</v>
      </c>
      <c r="AF153" s="86">
        <v>1606516971644</v>
      </c>
      <c r="AG153" s="86">
        <v>1497876549788</v>
      </c>
      <c r="AH153" s="86">
        <v>1737775400050</v>
      </c>
    </row>
    <row r="154" spans="2:34">
      <c r="B154" s="49" t="s">
        <v>1836</v>
      </c>
      <c r="C154" s="1275" t="s">
        <v>1836</v>
      </c>
      <c r="D154" s="86">
        <v>0</v>
      </c>
      <c r="E154" s="86">
        <v>0</v>
      </c>
      <c r="F154" s="86"/>
      <c r="G154" s="86">
        <v>0</v>
      </c>
      <c r="H154" s="86">
        <v>0</v>
      </c>
      <c r="I154" s="86">
        <v>0</v>
      </c>
      <c r="J154" s="86">
        <v>0</v>
      </c>
      <c r="K154" s="86">
        <v>0</v>
      </c>
      <c r="L154" s="86">
        <v>0</v>
      </c>
      <c r="M154" s="86">
        <v>0</v>
      </c>
      <c r="N154" s="86">
        <v>0</v>
      </c>
      <c r="O154" s="1209">
        <v>0</v>
      </c>
      <c r="P154" s="86">
        <v>0</v>
      </c>
      <c r="Q154" s="86">
        <v>0</v>
      </c>
      <c r="R154" s="86">
        <v>0</v>
      </c>
      <c r="S154" s="1209">
        <v>0</v>
      </c>
      <c r="T154" s="86">
        <v>0</v>
      </c>
      <c r="U154" s="86">
        <v>0</v>
      </c>
      <c r="V154" s="86">
        <v>0</v>
      </c>
      <c r="W154" s="1209">
        <v>0</v>
      </c>
      <c r="X154" s="86">
        <v>0</v>
      </c>
      <c r="Y154" s="86">
        <v>0</v>
      </c>
      <c r="Z154" s="86">
        <v>0</v>
      </c>
      <c r="AA154" s="86">
        <v>0</v>
      </c>
      <c r="AB154" s="86">
        <v>0</v>
      </c>
      <c r="AC154" s="86">
        <v>0</v>
      </c>
      <c r="AD154" s="86">
        <v>0</v>
      </c>
      <c r="AE154" s="86">
        <v>0</v>
      </c>
      <c r="AF154" s="86">
        <v>0</v>
      </c>
      <c r="AG154" s="86">
        <v>0</v>
      </c>
      <c r="AH154" s="86">
        <v>0</v>
      </c>
    </row>
    <row r="155" spans="2:34" ht="15">
      <c r="B155" s="49" t="s">
        <v>1837</v>
      </c>
      <c r="C155" s="1275" t="s">
        <v>1837</v>
      </c>
      <c r="D155" s="86">
        <v>0</v>
      </c>
      <c r="E155" s="86">
        <v>0</v>
      </c>
      <c r="F155" s="86"/>
      <c r="G155" s="86">
        <v>0</v>
      </c>
      <c r="H155" s="86">
        <v>0</v>
      </c>
      <c r="I155" s="86">
        <v>0</v>
      </c>
      <c r="J155" s="86">
        <v>0</v>
      </c>
      <c r="K155" s="86">
        <v>0</v>
      </c>
      <c r="L155" s="86">
        <v>0</v>
      </c>
      <c r="M155" s="85">
        <v>0</v>
      </c>
      <c r="N155" s="85">
        <v>0</v>
      </c>
      <c r="O155" s="85">
        <v>0</v>
      </c>
      <c r="P155" s="85">
        <v>0</v>
      </c>
      <c r="Q155" s="85">
        <v>0</v>
      </c>
      <c r="R155" s="85">
        <v>0</v>
      </c>
      <c r="S155" s="85">
        <v>0</v>
      </c>
      <c r="T155" s="85">
        <v>0</v>
      </c>
      <c r="U155" s="85">
        <v>0</v>
      </c>
      <c r="V155" s="85">
        <v>0</v>
      </c>
      <c r="W155" s="85">
        <v>0</v>
      </c>
      <c r="X155" s="85">
        <v>0</v>
      </c>
      <c r="Y155" s="85">
        <v>0</v>
      </c>
      <c r="Z155" s="85">
        <v>0</v>
      </c>
      <c r="AA155" s="85">
        <v>0</v>
      </c>
      <c r="AB155" s="85">
        <v>0</v>
      </c>
      <c r="AC155" s="85">
        <v>0</v>
      </c>
      <c r="AD155" s="85">
        <v>0</v>
      </c>
      <c r="AE155" s="85">
        <v>0</v>
      </c>
      <c r="AF155" s="85">
        <v>0</v>
      </c>
      <c r="AG155" s="85">
        <v>0</v>
      </c>
      <c r="AH155" s="85">
        <v>0</v>
      </c>
    </row>
    <row r="156" spans="2:34">
      <c r="B156" s="49" t="s">
        <v>1838</v>
      </c>
      <c r="C156" s="1314" t="s">
        <v>1838</v>
      </c>
      <c r="D156" s="86">
        <v>20000000000</v>
      </c>
      <c r="E156" s="86">
        <v>285000000000</v>
      </c>
      <c r="F156" s="86"/>
      <c r="G156" s="86">
        <v>320000000000</v>
      </c>
      <c r="H156" s="86">
        <v>320000000000</v>
      </c>
      <c r="I156" s="86">
        <v>325000000000</v>
      </c>
      <c r="J156" s="86">
        <v>356300000000</v>
      </c>
      <c r="K156" s="86">
        <v>262000000000</v>
      </c>
      <c r="L156" s="86">
        <v>262000000000</v>
      </c>
      <c r="M156" s="86">
        <v>107000000000</v>
      </c>
      <c r="N156" s="86">
        <v>31007178041</v>
      </c>
      <c r="O156" s="86">
        <v>0</v>
      </c>
      <c r="P156" s="86">
        <v>0</v>
      </c>
      <c r="Q156" s="86">
        <v>0</v>
      </c>
      <c r="R156" s="86">
        <v>0</v>
      </c>
      <c r="S156" s="1209">
        <v>0</v>
      </c>
      <c r="T156" s="86">
        <v>0</v>
      </c>
      <c r="U156" s="86">
        <v>0</v>
      </c>
      <c r="V156" s="86">
        <v>0</v>
      </c>
      <c r="W156" s="1209">
        <v>0</v>
      </c>
      <c r="X156" s="86">
        <v>0</v>
      </c>
      <c r="Y156" s="86">
        <v>0</v>
      </c>
      <c r="Z156" s="86">
        <v>0</v>
      </c>
      <c r="AA156" s="86">
        <v>61900000000</v>
      </c>
      <c r="AB156" s="86">
        <v>81900000000</v>
      </c>
      <c r="AC156" s="86">
        <v>81900000000</v>
      </c>
      <c r="AD156" s="86">
        <v>49000000000</v>
      </c>
      <c r="AE156" s="86">
        <v>11480000000</v>
      </c>
      <c r="AF156" s="86">
        <v>11480000000</v>
      </c>
      <c r="AG156" s="86">
        <v>11480000000</v>
      </c>
      <c r="AH156" s="86">
        <v>10260000000</v>
      </c>
    </row>
    <row r="157" spans="2:34">
      <c r="B157" s="49" t="s">
        <v>1839</v>
      </c>
      <c r="C157" s="1275" t="s">
        <v>1839</v>
      </c>
      <c r="D157" s="86">
        <v>4426407821</v>
      </c>
      <c r="E157" s="86">
        <v>4566994070</v>
      </c>
      <c r="F157" s="86"/>
      <c r="G157" s="86">
        <v>7688719121</v>
      </c>
      <c r="H157" s="86">
        <v>5022799448</v>
      </c>
      <c r="I157" s="86">
        <v>5064216063</v>
      </c>
      <c r="J157" s="86">
        <v>5094994189</v>
      </c>
      <c r="K157" s="86">
        <v>6716662034</v>
      </c>
      <c r="L157" s="86">
        <v>8762864466</v>
      </c>
      <c r="M157" s="86">
        <v>9092661036</v>
      </c>
      <c r="N157" s="86">
        <v>8818519491</v>
      </c>
      <c r="O157" s="86">
        <v>10409559468</v>
      </c>
      <c r="P157" s="86">
        <v>9674843524</v>
      </c>
      <c r="Q157" s="86">
        <v>9623128086</v>
      </c>
      <c r="R157" s="86">
        <v>10166961080</v>
      </c>
      <c r="S157" s="1209">
        <v>11769947552</v>
      </c>
      <c r="T157" s="86">
        <v>11747086477</v>
      </c>
      <c r="U157" s="86">
        <v>11762955709</v>
      </c>
      <c r="V157" s="86">
        <v>12209653116</v>
      </c>
      <c r="W157" s="1209">
        <v>12068749264</v>
      </c>
      <c r="X157" s="86">
        <v>10939635716</v>
      </c>
      <c r="Y157" s="86">
        <v>10932226482</v>
      </c>
      <c r="Z157" s="86">
        <v>10976130882</v>
      </c>
      <c r="AA157" s="86">
        <v>10855391482</v>
      </c>
      <c r="AB157" s="86">
        <v>10953273266</v>
      </c>
      <c r="AC157" s="86">
        <v>10794899927</v>
      </c>
      <c r="AD157" s="86">
        <v>10791999927</v>
      </c>
      <c r="AE157" s="86">
        <v>10752457898</v>
      </c>
      <c r="AF157" s="86">
        <v>12532452106</v>
      </c>
      <c r="AG157" s="86">
        <v>10227146206</v>
      </c>
      <c r="AH157" s="86">
        <v>10146334075</v>
      </c>
    </row>
    <row r="158" spans="2:34" ht="15">
      <c r="B158" s="50" t="s">
        <v>1840</v>
      </c>
      <c r="C158" s="1275" t="s">
        <v>1840</v>
      </c>
      <c r="D158" s="86">
        <v>994887997</v>
      </c>
      <c r="E158" s="86">
        <v>994887997</v>
      </c>
      <c r="F158" s="86"/>
      <c r="G158" s="86">
        <v>994887997</v>
      </c>
      <c r="H158" s="86">
        <v>994887997</v>
      </c>
      <c r="I158" s="86">
        <v>994887997</v>
      </c>
      <c r="J158" s="86">
        <v>994887997</v>
      </c>
      <c r="K158" s="86">
        <v>994887997</v>
      </c>
      <c r="L158" s="86">
        <v>994887997</v>
      </c>
      <c r="M158" s="85">
        <v>994887997</v>
      </c>
      <c r="N158" s="85">
        <v>994887997</v>
      </c>
      <c r="O158" s="85">
        <v>994887997</v>
      </c>
      <c r="P158" s="85">
        <v>994887997</v>
      </c>
      <c r="Q158" s="85">
        <v>994887997</v>
      </c>
      <c r="R158" s="85">
        <v>994887997</v>
      </c>
      <c r="S158" s="85">
        <v>994887997</v>
      </c>
      <c r="T158" s="85">
        <v>994887997</v>
      </c>
      <c r="U158" s="85">
        <v>994887997</v>
      </c>
      <c r="V158" s="85">
        <v>994887997</v>
      </c>
      <c r="W158" s="85">
        <v>994887997</v>
      </c>
      <c r="X158" s="85">
        <v>0</v>
      </c>
      <c r="Y158" s="85">
        <v>0</v>
      </c>
      <c r="Z158" s="85">
        <v>0</v>
      </c>
      <c r="AA158" s="85">
        <v>0</v>
      </c>
      <c r="AB158" s="85">
        <v>0</v>
      </c>
      <c r="AC158" s="85">
        <v>0</v>
      </c>
      <c r="AD158" s="85">
        <v>0</v>
      </c>
      <c r="AE158" s="85">
        <v>0</v>
      </c>
      <c r="AF158" s="85">
        <v>0</v>
      </c>
      <c r="AG158" s="85">
        <v>0</v>
      </c>
      <c r="AH158" s="85">
        <v>0</v>
      </c>
    </row>
    <row r="159" spans="2:34" ht="15">
      <c r="B159" s="50" t="s">
        <v>1841</v>
      </c>
      <c r="C159" s="1275" t="s">
        <v>1841</v>
      </c>
      <c r="D159" s="86">
        <v>0</v>
      </c>
      <c r="E159" s="86">
        <v>0</v>
      </c>
      <c r="F159" s="86"/>
      <c r="G159" s="86">
        <v>0</v>
      </c>
      <c r="H159" s="86">
        <v>0</v>
      </c>
      <c r="I159" s="86">
        <v>0</v>
      </c>
      <c r="J159" s="86">
        <v>0</v>
      </c>
      <c r="K159" s="86">
        <v>0</v>
      </c>
      <c r="L159" s="86">
        <v>0</v>
      </c>
      <c r="M159" s="85">
        <v>0</v>
      </c>
      <c r="N159" s="85">
        <v>0</v>
      </c>
      <c r="O159" s="85">
        <v>0</v>
      </c>
      <c r="P159" s="85">
        <v>0</v>
      </c>
      <c r="Q159" s="85">
        <v>0</v>
      </c>
      <c r="R159" s="85">
        <v>0</v>
      </c>
      <c r="S159" s="85">
        <v>0</v>
      </c>
      <c r="T159" s="85">
        <v>0</v>
      </c>
      <c r="U159" s="85">
        <v>0</v>
      </c>
      <c r="V159" s="85">
        <v>0</v>
      </c>
      <c r="W159" s="85">
        <v>0</v>
      </c>
      <c r="X159" s="85">
        <v>0</v>
      </c>
      <c r="Y159" s="85">
        <v>0</v>
      </c>
      <c r="Z159" s="85">
        <v>0</v>
      </c>
      <c r="AA159" s="85">
        <v>0</v>
      </c>
      <c r="AB159" s="85">
        <v>0</v>
      </c>
      <c r="AC159" s="85">
        <v>0</v>
      </c>
      <c r="AD159" s="85">
        <v>0</v>
      </c>
      <c r="AE159" s="85">
        <v>0</v>
      </c>
      <c r="AF159" s="85">
        <v>0</v>
      </c>
      <c r="AG159" s="85">
        <v>0</v>
      </c>
      <c r="AH159" s="85">
        <v>0</v>
      </c>
    </row>
    <row r="160" spans="2:34">
      <c r="B160" s="50" t="s">
        <v>1842</v>
      </c>
      <c r="C160" s="1275" t="s">
        <v>1842</v>
      </c>
      <c r="D160" s="86">
        <v>54900000</v>
      </c>
      <c r="E160" s="86">
        <v>195486249</v>
      </c>
      <c r="F160" s="86"/>
      <c r="G160" s="86">
        <v>3317211300</v>
      </c>
      <c r="H160" s="86">
        <v>4027911451</v>
      </c>
      <c r="I160" s="86">
        <v>4069328066</v>
      </c>
      <c r="J160" s="86">
        <v>4100106192</v>
      </c>
      <c r="K160" s="86">
        <v>4445590081</v>
      </c>
      <c r="L160" s="86">
        <v>6512732941</v>
      </c>
      <c r="M160" s="86">
        <v>6846742407</v>
      </c>
      <c r="N160" s="86">
        <v>6576227907</v>
      </c>
      <c r="O160" s="86">
        <v>8170439956</v>
      </c>
      <c r="P160" s="86">
        <v>7469931811</v>
      </c>
      <c r="Q160" s="86">
        <v>7418419600</v>
      </c>
      <c r="R160" s="86">
        <v>7962481341</v>
      </c>
      <c r="S160" s="86">
        <v>9565571527</v>
      </c>
      <c r="T160" s="86">
        <v>9542748155</v>
      </c>
      <c r="U160" s="86">
        <v>9558620831</v>
      </c>
      <c r="V160" s="86">
        <v>10005318238</v>
      </c>
      <c r="W160" s="86">
        <v>9864414386</v>
      </c>
      <c r="X160" s="86">
        <v>9730188835</v>
      </c>
      <c r="Y160" s="86">
        <v>9722779601</v>
      </c>
      <c r="Z160" s="86">
        <v>9766684001</v>
      </c>
      <c r="AA160" s="86">
        <v>9645944601</v>
      </c>
      <c r="AB160" s="86">
        <v>9743826385</v>
      </c>
      <c r="AC160" s="86">
        <v>9585453046</v>
      </c>
      <c r="AD160" s="86">
        <v>9582553046</v>
      </c>
      <c r="AE160" s="86">
        <v>9543011017</v>
      </c>
      <c r="AF160" s="86">
        <v>11323005225</v>
      </c>
      <c r="AG160" s="86">
        <v>9017699325</v>
      </c>
      <c r="AH160" s="86">
        <v>8936887194</v>
      </c>
    </row>
    <row r="161" spans="2:34">
      <c r="B161" s="50" t="s">
        <v>1843</v>
      </c>
      <c r="C161" s="1275" t="s">
        <v>1843</v>
      </c>
      <c r="D161" s="86">
        <v>0</v>
      </c>
      <c r="E161" s="86">
        <v>0</v>
      </c>
      <c r="F161" s="86"/>
      <c r="G161" s="86">
        <v>0</v>
      </c>
      <c r="H161" s="86">
        <v>0</v>
      </c>
      <c r="I161" s="86">
        <v>0</v>
      </c>
      <c r="J161" s="86">
        <v>0</v>
      </c>
      <c r="K161" s="86">
        <v>1276183956</v>
      </c>
      <c r="L161" s="86">
        <v>1255243528</v>
      </c>
      <c r="M161" s="86">
        <v>1251030632</v>
      </c>
      <c r="N161" s="86">
        <v>1247403587</v>
      </c>
      <c r="O161" s="86">
        <v>1244231515</v>
      </c>
      <c r="P161" s="86">
        <v>1210023716</v>
      </c>
      <c r="Q161" s="86">
        <v>1209820489</v>
      </c>
      <c r="R161" s="86">
        <v>1209591742</v>
      </c>
      <c r="S161" s="86">
        <v>1209488028</v>
      </c>
      <c r="T161" s="86">
        <v>1209450325</v>
      </c>
      <c r="U161" s="86">
        <v>1209446881</v>
      </c>
      <c r="V161" s="86">
        <v>1209446881</v>
      </c>
      <c r="W161" s="86">
        <v>1209446881</v>
      </c>
      <c r="X161" s="86">
        <v>1209446881</v>
      </c>
      <c r="Y161" s="86">
        <v>1209446881</v>
      </c>
      <c r="Z161" s="86">
        <v>1209446881</v>
      </c>
      <c r="AA161" s="86">
        <v>1209446881</v>
      </c>
      <c r="AB161" s="86">
        <v>1209446881</v>
      </c>
      <c r="AC161" s="86">
        <v>1209446881</v>
      </c>
      <c r="AD161" s="86">
        <v>1209446881</v>
      </c>
      <c r="AE161" s="86">
        <v>1209446881</v>
      </c>
      <c r="AF161" s="86">
        <v>1209446881</v>
      </c>
      <c r="AG161" s="86">
        <v>1209446881</v>
      </c>
      <c r="AH161" s="86">
        <v>1209446881</v>
      </c>
    </row>
    <row r="162" spans="2:34">
      <c r="B162" s="50" t="s">
        <v>1830</v>
      </c>
      <c r="C162" s="1275" t="s">
        <v>1830</v>
      </c>
      <c r="D162" s="86">
        <v>3376619824</v>
      </c>
      <c r="E162" s="86">
        <v>3376619824</v>
      </c>
      <c r="F162" s="86"/>
      <c r="G162" s="86">
        <v>3376619824</v>
      </c>
      <c r="H162" s="86">
        <v>0</v>
      </c>
      <c r="I162" s="86">
        <v>0</v>
      </c>
      <c r="J162" s="86">
        <v>0</v>
      </c>
      <c r="K162" s="86">
        <v>0</v>
      </c>
      <c r="L162" s="86">
        <v>0</v>
      </c>
      <c r="M162" s="86">
        <v>0</v>
      </c>
      <c r="N162" s="86">
        <v>0</v>
      </c>
      <c r="O162" s="86">
        <v>0</v>
      </c>
      <c r="P162" s="86">
        <v>0</v>
      </c>
      <c r="Q162" s="86">
        <v>0</v>
      </c>
      <c r="R162" s="86">
        <v>0</v>
      </c>
      <c r="S162" s="86">
        <v>0</v>
      </c>
      <c r="T162" s="86">
        <v>0</v>
      </c>
      <c r="U162" s="86">
        <v>0</v>
      </c>
      <c r="V162" s="86">
        <v>0</v>
      </c>
      <c r="W162" s="86">
        <v>0</v>
      </c>
      <c r="X162" s="86">
        <v>0</v>
      </c>
      <c r="Y162" s="86">
        <v>0</v>
      </c>
      <c r="Z162" s="86">
        <v>0</v>
      </c>
      <c r="AA162" s="86">
        <v>0</v>
      </c>
      <c r="AB162" s="86">
        <v>0</v>
      </c>
      <c r="AC162" s="86">
        <v>0</v>
      </c>
      <c r="AD162" s="86">
        <v>0</v>
      </c>
      <c r="AE162" s="86">
        <v>0</v>
      </c>
      <c r="AF162" s="86">
        <v>0</v>
      </c>
      <c r="AG162" s="86">
        <v>0</v>
      </c>
      <c r="AH162" s="86">
        <v>0</v>
      </c>
    </row>
    <row r="163" spans="2:34" ht="15">
      <c r="B163" s="49" t="s">
        <v>1844</v>
      </c>
      <c r="C163" s="1275" t="s">
        <v>1844</v>
      </c>
      <c r="D163" s="86">
        <v>0</v>
      </c>
      <c r="E163" s="86">
        <v>0</v>
      </c>
      <c r="F163" s="86"/>
      <c r="G163" s="86">
        <v>1105169206</v>
      </c>
      <c r="H163" s="86">
        <v>1128904559</v>
      </c>
      <c r="I163" s="86">
        <v>0</v>
      </c>
      <c r="J163" s="86">
        <v>0</v>
      </c>
      <c r="K163" s="86">
        <v>0</v>
      </c>
      <c r="L163" s="86">
        <v>0</v>
      </c>
      <c r="M163" s="85">
        <v>0</v>
      </c>
      <c r="N163" s="85">
        <v>0</v>
      </c>
      <c r="O163" s="85">
        <v>0</v>
      </c>
      <c r="P163" s="85">
        <v>0</v>
      </c>
      <c r="Q163" s="85">
        <v>0</v>
      </c>
      <c r="R163" s="85">
        <v>0</v>
      </c>
      <c r="S163" s="85">
        <v>0</v>
      </c>
      <c r="T163" s="85">
        <v>0</v>
      </c>
      <c r="U163" s="85">
        <v>0</v>
      </c>
      <c r="V163" s="85">
        <v>0</v>
      </c>
      <c r="W163" s="85">
        <v>0</v>
      </c>
      <c r="X163" s="85">
        <v>0</v>
      </c>
      <c r="Y163" s="85">
        <v>0</v>
      </c>
      <c r="Z163" s="85">
        <v>0</v>
      </c>
      <c r="AA163" s="85">
        <v>0</v>
      </c>
      <c r="AB163" s="85">
        <v>0</v>
      </c>
      <c r="AC163" s="85">
        <v>0</v>
      </c>
      <c r="AD163" s="85">
        <v>0</v>
      </c>
      <c r="AE163" s="85">
        <v>0</v>
      </c>
      <c r="AF163" s="85">
        <v>0</v>
      </c>
      <c r="AG163" s="85">
        <v>0</v>
      </c>
      <c r="AH163" s="85">
        <v>0</v>
      </c>
    </row>
    <row r="164" spans="2:34" ht="15">
      <c r="B164" s="49" t="s">
        <v>1845</v>
      </c>
      <c r="C164" s="1275" t="s">
        <v>1845</v>
      </c>
      <c r="D164" s="86">
        <v>0</v>
      </c>
      <c r="E164" s="86">
        <v>25000000000</v>
      </c>
      <c r="F164" s="86"/>
      <c r="G164" s="86">
        <v>0</v>
      </c>
      <c r="H164" s="86">
        <v>5276172032</v>
      </c>
      <c r="I164" s="86">
        <v>0</v>
      </c>
      <c r="J164" s="86">
        <v>0</v>
      </c>
      <c r="K164" s="86">
        <v>0</v>
      </c>
      <c r="L164" s="86">
        <v>0</v>
      </c>
      <c r="M164" s="85">
        <v>0</v>
      </c>
      <c r="N164" s="85">
        <v>0</v>
      </c>
      <c r="O164" s="85">
        <v>0</v>
      </c>
      <c r="P164" s="85">
        <v>0</v>
      </c>
      <c r="Q164" s="85">
        <v>0</v>
      </c>
      <c r="R164" s="85">
        <v>0</v>
      </c>
      <c r="S164" s="85">
        <v>0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</row>
    <row r="165" spans="2:34" ht="15">
      <c r="B165" s="49" t="s">
        <v>1846</v>
      </c>
      <c r="C165" s="1275" t="s">
        <v>1846</v>
      </c>
      <c r="D165" s="86">
        <v>3000000000</v>
      </c>
      <c r="E165" s="86">
        <v>5000000000</v>
      </c>
      <c r="F165" s="86"/>
      <c r="G165" s="86">
        <v>8000000000</v>
      </c>
      <c r="H165" s="86">
        <v>5000000000</v>
      </c>
      <c r="I165" s="86">
        <v>8000000000</v>
      </c>
      <c r="J165" s="86">
        <v>22500000000</v>
      </c>
      <c r="K165" s="86">
        <v>20500000000</v>
      </c>
      <c r="L165" s="86">
        <v>19500000000</v>
      </c>
      <c r="M165" s="85">
        <v>17500000000</v>
      </c>
      <c r="N165" s="85">
        <v>17500000000</v>
      </c>
      <c r="O165" s="85">
        <v>14500000000</v>
      </c>
      <c r="P165" s="85">
        <v>8500000000</v>
      </c>
      <c r="Q165" s="85">
        <v>8500000000</v>
      </c>
      <c r="R165" s="85">
        <v>0</v>
      </c>
      <c r="S165" s="1210">
        <v>0</v>
      </c>
      <c r="T165" s="85">
        <v>0</v>
      </c>
      <c r="U165" s="85">
        <v>0</v>
      </c>
      <c r="V165" s="85">
        <v>0</v>
      </c>
      <c r="W165" s="1210">
        <v>0</v>
      </c>
      <c r="X165" s="85">
        <v>0</v>
      </c>
      <c r="Y165" s="85">
        <v>0</v>
      </c>
      <c r="Z165" s="85">
        <v>0</v>
      </c>
      <c r="AA165" s="1210">
        <v>201000000000</v>
      </c>
      <c r="AB165" s="85">
        <v>615800000000</v>
      </c>
      <c r="AC165" s="1210">
        <v>580800000000</v>
      </c>
      <c r="AD165" s="1210">
        <v>591300000000</v>
      </c>
      <c r="AE165" s="1210">
        <v>481660000000</v>
      </c>
      <c r="AF165" s="1210">
        <v>483160000000</v>
      </c>
      <c r="AG165" s="1210">
        <v>242360000000</v>
      </c>
      <c r="AH165" s="1210">
        <v>182360000000</v>
      </c>
    </row>
    <row r="166" spans="2:34" ht="15">
      <c r="B166" s="49" t="s">
        <v>1847</v>
      </c>
      <c r="C166" s="1275" t="s">
        <v>1847</v>
      </c>
      <c r="D166" s="86">
        <v>0</v>
      </c>
      <c r="E166" s="86">
        <v>0</v>
      </c>
      <c r="F166" s="86"/>
      <c r="G166" s="86">
        <v>0</v>
      </c>
      <c r="H166" s="86">
        <v>0</v>
      </c>
      <c r="I166" s="86">
        <v>0</v>
      </c>
      <c r="J166" s="86">
        <v>0</v>
      </c>
      <c r="K166" s="86">
        <v>0</v>
      </c>
      <c r="L166" s="86">
        <v>0</v>
      </c>
      <c r="M166" s="85">
        <v>0</v>
      </c>
      <c r="N166" s="85">
        <v>0</v>
      </c>
      <c r="O166" s="85">
        <v>0</v>
      </c>
      <c r="P166" s="85">
        <v>0</v>
      </c>
      <c r="Q166" s="85">
        <v>0</v>
      </c>
      <c r="R166" s="85">
        <v>0</v>
      </c>
      <c r="S166" s="85">
        <v>0</v>
      </c>
      <c r="T166" s="85">
        <v>0</v>
      </c>
      <c r="U166" s="85">
        <v>0</v>
      </c>
      <c r="V166" s="85">
        <v>0</v>
      </c>
      <c r="W166" s="85">
        <v>0</v>
      </c>
      <c r="X166" s="85">
        <v>0</v>
      </c>
      <c r="Y166" s="85">
        <v>0</v>
      </c>
      <c r="Z166" s="85">
        <v>0</v>
      </c>
      <c r="AA166" s="85">
        <v>0</v>
      </c>
      <c r="AB166" s="85">
        <v>0</v>
      </c>
      <c r="AC166" s="85">
        <v>0</v>
      </c>
      <c r="AD166" s="85">
        <v>0</v>
      </c>
      <c r="AE166" s="85">
        <v>0</v>
      </c>
      <c r="AF166" s="85">
        <v>0</v>
      </c>
      <c r="AG166" s="85">
        <v>0</v>
      </c>
      <c r="AH166" s="85">
        <v>0</v>
      </c>
    </row>
    <row r="167" spans="2:34" ht="15">
      <c r="B167" s="49" t="s">
        <v>1848</v>
      </c>
      <c r="C167" s="1275" t="s">
        <v>1848</v>
      </c>
      <c r="D167" s="86">
        <v>0</v>
      </c>
      <c r="E167" s="86">
        <v>0</v>
      </c>
      <c r="F167" s="86"/>
      <c r="G167" s="86">
        <v>0</v>
      </c>
      <c r="H167" s="86">
        <v>0</v>
      </c>
      <c r="I167" s="86">
        <v>0</v>
      </c>
      <c r="J167" s="86">
        <v>0</v>
      </c>
      <c r="K167" s="86">
        <v>0</v>
      </c>
      <c r="L167" s="86">
        <v>0</v>
      </c>
      <c r="M167" s="85">
        <v>0</v>
      </c>
      <c r="N167" s="85">
        <v>0</v>
      </c>
      <c r="O167" s="85">
        <v>0</v>
      </c>
      <c r="P167" s="85">
        <v>0</v>
      </c>
      <c r="Q167" s="85">
        <v>0</v>
      </c>
      <c r="R167" s="85">
        <v>0</v>
      </c>
      <c r="S167" s="85">
        <v>0</v>
      </c>
      <c r="T167" s="85">
        <v>0</v>
      </c>
      <c r="U167" s="85">
        <v>0</v>
      </c>
      <c r="V167" s="85">
        <v>0</v>
      </c>
      <c r="W167" s="85">
        <v>0</v>
      </c>
      <c r="X167" s="85">
        <v>0</v>
      </c>
      <c r="Y167" s="85">
        <v>0</v>
      </c>
      <c r="Z167" s="85">
        <v>0</v>
      </c>
      <c r="AA167" s="85">
        <v>0</v>
      </c>
      <c r="AB167" s="85">
        <v>0</v>
      </c>
      <c r="AC167" s="85">
        <v>0</v>
      </c>
      <c r="AD167" s="85">
        <v>0</v>
      </c>
      <c r="AE167" s="85">
        <v>0</v>
      </c>
      <c r="AF167" s="85">
        <v>0</v>
      </c>
      <c r="AG167" s="85">
        <v>0</v>
      </c>
      <c r="AH167" s="85">
        <v>0</v>
      </c>
    </row>
    <row r="168" spans="2:34" ht="15">
      <c r="B168" s="49" t="s">
        <v>1849</v>
      </c>
      <c r="C168" s="1275" t="s">
        <v>1849</v>
      </c>
      <c r="D168" s="86">
        <v>183876825563</v>
      </c>
      <c r="E168" s="86">
        <v>183587713368</v>
      </c>
      <c r="F168" s="86"/>
      <c r="G168" s="86">
        <v>9334206111</v>
      </c>
      <c r="H168" s="86">
        <v>9464189018</v>
      </c>
      <c r="I168" s="86">
        <v>30889922745</v>
      </c>
      <c r="J168" s="86">
        <v>29714160864</v>
      </c>
      <c r="K168" s="86">
        <v>26146899428</v>
      </c>
      <c r="L168" s="86">
        <v>28511912396</v>
      </c>
      <c r="M168" s="85">
        <v>29048695798</v>
      </c>
      <c r="N168" s="85">
        <v>19508567553</v>
      </c>
      <c r="O168" s="85">
        <v>13450193310</v>
      </c>
      <c r="P168" s="85">
        <v>13771249877</v>
      </c>
      <c r="Q168" s="85">
        <v>12040453577</v>
      </c>
      <c r="R168" s="85">
        <v>12202448862</v>
      </c>
      <c r="S168" s="85">
        <v>15087225688</v>
      </c>
      <c r="T168" s="85">
        <v>15087225688</v>
      </c>
      <c r="U168" s="85">
        <v>13744864236</v>
      </c>
      <c r="V168" s="85">
        <v>13744864236</v>
      </c>
      <c r="W168" s="85">
        <v>13678530351</v>
      </c>
      <c r="X168" s="85">
        <v>13678530351</v>
      </c>
      <c r="Y168" s="85">
        <v>13678530351</v>
      </c>
      <c r="Z168" s="85">
        <v>13155891732</v>
      </c>
      <c r="AA168" s="85">
        <v>13155891732</v>
      </c>
      <c r="AB168" s="85">
        <v>13155891617</v>
      </c>
      <c r="AC168" s="85">
        <v>13155891617</v>
      </c>
      <c r="AD168" s="85">
        <v>13155891617</v>
      </c>
      <c r="AE168" s="85">
        <v>11585116579</v>
      </c>
      <c r="AF168" s="85">
        <v>11585116579</v>
      </c>
      <c r="AG168" s="85">
        <v>11585116579</v>
      </c>
      <c r="AH168" s="85">
        <v>11585116579</v>
      </c>
    </row>
    <row r="169" spans="2:34">
      <c r="B169" s="49" t="s">
        <v>1850</v>
      </c>
      <c r="C169" s="1275" t="s">
        <v>1850</v>
      </c>
      <c r="D169" s="86">
        <v>151953087346</v>
      </c>
      <c r="E169" s="86">
        <v>173442047984</v>
      </c>
      <c r="F169" s="86"/>
      <c r="G169" s="86">
        <v>21887680723</v>
      </c>
      <c r="H169" s="86">
        <v>23085577235</v>
      </c>
      <c r="I169" s="86">
        <v>23069060283</v>
      </c>
      <c r="J169" s="86">
        <v>23044181478</v>
      </c>
      <c r="K169" s="86">
        <v>41445755001</v>
      </c>
      <c r="L169" s="86">
        <v>43512897861</v>
      </c>
      <c r="M169" s="86">
        <v>43846907327</v>
      </c>
      <c r="N169" s="86">
        <v>29060431912</v>
      </c>
      <c r="O169" s="86">
        <v>19647465920</v>
      </c>
      <c r="P169" s="86">
        <v>18946957775</v>
      </c>
      <c r="Q169" s="86">
        <v>18895445564</v>
      </c>
      <c r="R169" s="86">
        <v>19439507305</v>
      </c>
      <c r="S169" s="86">
        <v>23355064131</v>
      </c>
      <c r="T169" s="86">
        <v>23332203056</v>
      </c>
      <c r="U169" s="86">
        <v>23348072288</v>
      </c>
      <c r="V169" s="86">
        <v>23794769695</v>
      </c>
      <c r="W169" s="86">
        <v>23653865843</v>
      </c>
      <c r="X169" s="86">
        <v>22524752295</v>
      </c>
      <c r="Y169" s="86">
        <v>22517343061</v>
      </c>
      <c r="Z169" s="86">
        <v>22561247461</v>
      </c>
      <c r="AA169" s="86">
        <v>24011283099</v>
      </c>
      <c r="AB169" s="86">
        <v>32820458145</v>
      </c>
      <c r="AC169" s="86">
        <v>32647556313</v>
      </c>
      <c r="AD169" s="86">
        <v>32990663776</v>
      </c>
      <c r="AE169" s="86">
        <v>31863304384</v>
      </c>
      <c r="AF169" s="86">
        <v>35269044321</v>
      </c>
      <c r="AG169" s="86">
        <v>32163401815</v>
      </c>
      <c r="AH169" s="86">
        <v>36671261004</v>
      </c>
    </row>
    <row r="170" spans="2:34" ht="15">
      <c r="B170" s="50" t="s">
        <v>1851</v>
      </c>
      <c r="C170" s="1275" t="s">
        <v>1851</v>
      </c>
      <c r="D170" s="86">
        <v>0</v>
      </c>
      <c r="E170" s="86">
        <v>0</v>
      </c>
      <c r="F170" s="86"/>
      <c r="G170" s="86">
        <v>0</v>
      </c>
      <c r="H170" s="86">
        <v>0</v>
      </c>
      <c r="I170" s="86">
        <v>0</v>
      </c>
      <c r="J170" s="86">
        <v>0</v>
      </c>
      <c r="K170" s="86">
        <v>0</v>
      </c>
      <c r="L170" s="86">
        <v>0</v>
      </c>
      <c r="M170" s="85">
        <v>0</v>
      </c>
      <c r="N170" s="85">
        <v>0</v>
      </c>
      <c r="O170" s="85">
        <v>0</v>
      </c>
      <c r="P170" s="85">
        <v>0</v>
      </c>
      <c r="Q170" s="85">
        <v>0</v>
      </c>
      <c r="R170" s="85">
        <v>0</v>
      </c>
      <c r="S170" s="85">
        <v>0</v>
      </c>
      <c r="T170" s="85">
        <v>0</v>
      </c>
      <c r="U170" s="85">
        <v>0</v>
      </c>
      <c r="V170" s="85">
        <v>0</v>
      </c>
      <c r="W170" s="85">
        <v>0</v>
      </c>
      <c r="X170" s="85">
        <v>0</v>
      </c>
      <c r="Y170" s="85">
        <v>0</v>
      </c>
      <c r="Z170" s="85">
        <v>0</v>
      </c>
      <c r="AA170" s="85">
        <v>0</v>
      </c>
      <c r="AB170" s="85">
        <v>0</v>
      </c>
      <c r="AC170" s="85">
        <v>0</v>
      </c>
      <c r="AD170" s="85">
        <v>0</v>
      </c>
      <c r="AE170" s="85">
        <v>0</v>
      </c>
      <c r="AF170" s="85">
        <v>0</v>
      </c>
      <c r="AG170" s="85">
        <v>0</v>
      </c>
      <c r="AH170" s="85">
        <v>0</v>
      </c>
    </row>
    <row r="171" spans="2:34" ht="15">
      <c r="B171" s="50" t="s">
        <v>1852</v>
      </c>
      <c r="C171" s="1275" t="s">
        <v>1852</v>
      </c>
      <c r="D171" s="86">
        <v>0</v>
      </c>
      <c r="E171" s="86">
        <v>0</v>
      </c>
      <c r="F171" s="86"/>
      <c r="G171" s="86">
        <v>0</v>
      </c>
      <c r="H171" s="86">
        <v>0</v>
      </c>
      <c r="I171" s="86">
        <v>0</v>
      </c>
      <c r="J171" s="86">
        <v>0</v>
      </c>
      <c r="K171" s="86">
        <v>0</v>
      </c>
      <c r="L171" s="86">
        <v>0</v>
      </c>
      <c r="M171" s="86">
        <v>0</v>
      </c>
      <c r="N171" s="86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</row>
    <row r="172" spans="2:34" ht="15">
      <c r="B172" s="50" t="s">
        <v>1853</v>
      </c>
      <c r="C172" s="1275" t="s">
        <v>1853</v>
      </c>
      <c r="D172" s="86">
        <v>0</v>
      </c>
      <c r="E172" s="86">
        <v>0</v>
      </c>
      <c r="F172" s="86"/>
      <c r="G172" s="86">
        <v>0</v>
      </c>
      <c r="H172" s="86">
        <v>0</v>
      </c>
      <c r="I172" s="86">
        <v>0</v>
      </c>
      <c r="J172" s="86">
        <v>0</v>
      </c>
      <c r="K172" s="86">
        <v>0</v>
      </c>
      <c r="L172" s="86">
        <v>0</v>
      </c>
      <c r="M172" s="85">
        <v>0</v>
      </c>
      <c r="N172" s="85">
        <v>0</v>
      </c>
      <c r="O172" s="85">
        <v>0</v>
      </c>
      <c r="P172" s="85">
        <v>0</v>
      </c>
      <c r="Q172" s="85">
        <v>0</v>
      </c>
      <c r="R172" s="85">
        <v>0</v>
      </c>
      <c r="S172" s="85">
        <v>0</v>
      </c>
      <c r="T172" s="85">
        <v>0</v>
      </c>
      <c r="U172" s="85">
        <v>0</v>
      </c>
      <c r="V172" s="85">
        <v>0</v>
      </c>
      <c r="W172" s="85">
        <v>0</v>
      </c>
      <c r="X172" s="85">
        <v>0</v>
      </c>
      <c r="Y172" s="85">
        <v>0</v>
      </c>
      <c r="Z172" s="85">
        <v>0</v>
      </c>
      <c r="AA172" s="85">
        <v>0</v>
      </c>
      <c r="AB172" s="85">
        <v>0</v>
      </c>
      <c r="AC172" s="85">
        <v>0</v>
      </c>
      <c r="AD172" s="85">
        <v>0</v>
      </c>
      <c r="AE172" s="85">
        <v>0</v>
      </c>
      <c r="AF172" s="85">
        <v>0</v>
      </c>
      <c r="AG172" s="85">
        <v>0</v>
      </c>
      <c r="AH172" s="85">
        <v>0</v>
      </c>
    </row>
    <row r="173" spans="2:34">
      <c r="B173" s="50" t="s">
        <v>1854</v>
      </c>
      <c r="C173" s="1275" t="s">
        <v>1854</v>
      </c>
      <c r="D173" s="86">
        <v>0</v>
      </c>
      <c r="E173" s="86">
        <v>0</v>
      </c>
      <c r="F173" s="86"/>
      <c r="G173" s="86">
        <v>0</v>
      </c>
      <c r="H173" s="86">
        <v>0</v>
      </c>
      <c r="I173" s="86">
        <v>0</v>
      </c>
      <c r="J173" s="86">
        <v>0</v>
      </c>
      <c r="K173" s="86">
        <v>0</v>
      </c>
      <c r="L173" s="86">
        <v>0</v>
      </c>
      <c r="M173" s="86">
        <v>0</v>
      </c>
      <c r="N173" s="86">
        <v>0</v>
      </c>
      <c r="O173" s="86">
        <v>0</v>
      </c>
      <c r="P173" s="86">
        <v>0</v>
      </c>
      <c r="Q173" s="86">
        <v>0</v>
      </c>
      <c r="R173" s="86">
        <v>0</v>
      </c>
      <c r="S173" s="86">
        <v>0</v>
      </c>
      <c r="T173" s="86">
        <v>0</v>
      </c>
      <c r="U173" s="86">
        <v>0</v>
      </c>
      <c r="V173" s="86">
        <v>0</v>
      </c>
      <c r="W173" s="86">
        <v>0</v>
      </c>
      <c r="X173" s="86">
        <v>0</v>
      </c>
      <c r="Y173" s="86">
        <v>0</v>
      </c>
      <c r="Z173" s="86">
        <v>0</v>
      </c>
      <c r="AA173" s="86">
        <v>0</v>
      </c>
      <c r="AB173" s="86">
        <v>0</v>
      </c>
      <c r="AC173" s="86">
        <v>0</v>
      </c>
      <c r="AD173" s="86">
        <v>0</v>
      </c>
      <c r="AE173" s="86">
        <v>0</v>
      </c>
      <c r="AF173" s="86">
        <v>0</v>
      </c>
      <c r="AG173" s="86">
        <v>0</v>
      </c>
      <c r="AH173" s="86">
        <v>0</v>
      </c>
    </row>
    <row r="174" spans="2:34" ht="15">
      <c r="B174" s="50" t="s">
        <v>1855</v>
      </c>
      <c r="C174" s="1275" t="s">
        <v>1855</v>
      </c>
      <c r="D174" s="86">
        <v>0</v>
      </c>
      <c r="E174" s="86">
        <v>0</v>
      </c>
      <c r="F174" s="86"/>
      <c r="G174" s="86">
        <v>0</v>
      </c>
      <c r="H174" s="86">
        <v>0</v>
      </c>
      <c r="I174" s="86">
        <v>0</v>
      </c>
      <c r="J174" s="86">
        <v>0</v>
      </c>
      <c r="K174" s="86">
        <v>0</v>
      </c>
      <c r="L174" s="86">
        <v>0</v>
      </c>
      <c r="M174" s="85">
        <v>0</v>
      </c>
      <c r="N174" s="85">
        <v>0</v>
      </c>
      <c r="O174" s="85">
        <v>0</v>
      </c>
      <c r="P174" s="85">
        <v>0</v>
      </c>
      <c r="Q174" s="85">
        <v>0</v>
      </c>
      <c r="R174" s="85">
        <v>0</v>
      </c>
      <c r="S174" s="85">
        <v>0</v>
      </c>
      <c r="T174" s="85">
        <v>0</v>
      </c>
      <c r="U174" s="85">
        <v>0</v>
      </c>
      <c r="V174" s="85">
        <v>0</v>
      </c>
      <c r="W174" s="85">
        <v>0</v>
      </c>
      <c r="X174" s="85">
        <v>0</v>
      </c>
      <c r="Y174" s="85">
        <v>0</v>
      </c>
      <c r="Z174" s="85">
        <v>0</v>
      </c>
      <c r="AA174" s="85">
        <v>0</v>
      </c>
      <c r="AB174" s="85">
        <v>5431810262</v>
      </c>
      <c r="AC174" s="85">
        <v>5783131769</v>
      </c>
      <c r="AD174" s="85">
        <v>6340819232</v>
      </c>
      <c r="AE174" s="85">
        <v>7131794707</v>
      </c>
      <c r="AF174" s="85">
        <v>9070896136</v>
      </c>
      <c r="AG174" s="85">
        <v>8669102030</v>
      </c>
      <c r="AH174" s="85">
        <v>13545993850</v>
      </c>
    </row>
    <row r="175" spans="2:34">
      <c r="B175" s="50" t="s">
        <v>1856</v>
      </c>
      <c r="C175" s="1275" t="s">
        <v>1856</v>
      </c>
      <c r="D175" s="86">
        <v>0</v>
      </c>
      <c r="E175" s="86">
        <v>0</v>
      </c>
      <c r="F175" s="86"/>
      <c r="G175" s="86">
        <v>0</v>
      </c>
      <c r="H175" s="86">
        <v>0</v>
      </c>
      <c r="I175" s="86">
        <v>0</v>
      </c>
      <c r="J175" s="86">
        <v>0</v>
      </c>
      <c r="K175" s="86">
        <v>0</v>
      </c>
      <c r="L175" s="86">
        <v>0</v>
      </c>
      <c r="M175" s="86">
        <v>0</v>
      </c>
      <c r="N175" s="86">
        <v>0</v>
      </c>
      <c r="O175" s="86">
        <v>0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6">
        <v>0</v>
      </c>
      <c r="V175" s="86">
        <v>0</v>
      </c>
      <c r="W175" s="86">
        <v>0</v>
      </c>
      <c r="X175" s="86">
        <v>0</v>
      </c>
      <c r="Y175" s="86">
        <v>0</v>
      </c>
      <c r="Z175" s="86">
        <v>0</v>
      </c>
      <c r="AA175" s="86">
        <v>0</v>
      </c>
      <c r="AB175" s="86">
        <v>0</v>
      </c>
      <c r="AC175" s="86">
        <v>0</v>
      </c>
      <c r="AD175" s="86">
        <v>0</v>
      </c>
      <c r="AE175" s="86">
        <v>0</v>
      </c>
      <c r="AF175" s="86">
        <v>0</v>
      </c>
      <c r="AG175" s="86">
        <v>0</v>
      </c>
      <c r="AH175" s="86">
        <v>0</v>
      </c>
    </row>
    <row r="176" spans="2:34" ht="15">
      <c r="B176" s="50" t="s">
        <v>1857</v>
      </c>
      <c r="C176" s="1275" t="s">
        <v>1857</v>
      </c>
      <c r="D176" s="86">
        <v>0</v>
      </c>
      <c r="E176" s="86">
        <v>0</v>
      </c>
      <c r="F176" s="86"/>
      <c r="G176" s="86">
        <v>0</v>
      </c>
      <c r="H176" s="86">
        <v>0</v>
      </c>
      <c r="I176" s="86">
        <v>0</v>
      </c>
      <c r="J176" s="86">
        <v>0</v>
      </c>
      <c r="K176" s="86">
        <v>0</v>
      </c>
      <c r="L176" s="86">
        <v>0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 s="85">
        <v>0</v>
      </c>
      <c r="W176" s="85">
        <v>0</v>
      </c>
      <c r="X176" s="85">
        <v>0</v>
      </c>
      <c r="Y176" s="85">
        <v>0</v>
      </c>
      <c r="Z176" s="85">
        <v>0</v>
      </c>
      <c r="AA176" s="85">
        <v>0</v>
      </c>
      <c r="AB176" s="85">
        <v>0</v>
      </c>
      <c r="AC176" s="85">
        <v>0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</row>
    <row r="177" spans="2:34" ht="15">
      <c r="B177" s="50" t="s">
        <v>1858</v>
      </c>
      <c r="C177" s="1275" t="s">
        <v>1858</v>
      </c>
      <c r="D177" s="86">
        <v>16961576393</v>
      </c>
      <c r="E177" s="86">
        <v>16961576393</v>
      </c>
      <c r="F177" s="86"/>
      <c r="G177" s="86">
        <v>16961576393</v>
      </c>
      <c r="H177" s="86">
        <v>17500929849</v>
      </c>
      <c r="I177" s="86">
        <v>17500929849</v>
      </c>
      <c r="J177" s="86">
        <v>17500929849</v>
      </c>
      <c r="K177" s="86">
        <v>16393138956</v>
      </c>
      <c r="L177" s="86">
        <v>16393138956</v>
      </c>
      <c r="M177" s="85">
        <v>16393138956</v>
      </c>
      <c r="N177" s="85">
        <v>11007178041</v>
      </c>
      <c r="O177" s="85">
        <v>0</v>
      </c>
      <c r="P177" s="85">
        <v>0</v>
      </c>
      <c r="Q177" s="85">
        <v>0</v>
      </c>
      <c r="R177" s="85">
        <v>0</v>
      </c>
      <c r="S177" s="85">
        <v>0</v>
      </c>
      <c r="T177" s="85">
        <v>0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682236000</v>
      </c>
      <c r="AC177" s="85">
        <v>682236000</v>
      </c>
      <c r="AD177" s="85">
        <v>371331000</v>
      </c>
      <c r="AE177" s="85">
        <v>26863200</v>
      </c>
      <c r="AF177" s="85">
        <v>23247000</v>
      </c>
      <c r="AG177" s="85">
        <v>23247000</v>
      </c>
      <c r="AH177" s="85">
        <v>20776500</v>
      </c>
    </row>
    <row r="178" spans="2:34">
      <c r="B178" s="50" t="s">
        <v>1859</v>
      </c>
      <c r="C178" s="1275" t="s">
        <v>1859</v>
      </c>
      <c r="D178" s="86">
        <v>1049787997</v>
      </c>
      <c r="E178" s="86">
        <v>1190374246</v>
      </c>
      <c r="F178" s="86"/>
      <c r="G178" s="86">
        <v>4312099297</v>
      </c>
      <c r="H178" s="86">
        <v>5022799448</v>
      </c>
      <c r="I178" s="86">
        <v>5064216063</v>
      </c>
      <c r="J178" s="86">
        <v>5094994189</v>
      </c>
      <c r="K178" s="86">
        <v>6397616045</v>
      </c>
      <c r="L178" s="86">
        <v>8464758905</v>
      </c>
      <c r="M178" s="86">
        <v>8798768371</v>
      </c>
      <c r="N178" s="86">
        <v>8528253871</v>
      </c>
      <c r="O178" s="86">
        <v>10122465920</v>
      </c>
      <c r="P178" s="86">
        <v>9421957775</v>
      </c>
      <c r="Q178" s="86">
        <v>9370445564</v>
      </c>
      <c r="R178" s="86">
        <v>9914507305</v>
      </c>
      <c r="S178" s="86">
        <v>11769947552</v>
      </c>
      <c r="T178" s="86">
        <v>11747086477</v>
      </c>
      <c r="U178" s="86">
        <v>11762955709</v>
      </c>
      <c r="V178" s="86">
        <v>12209653116</v>
      </c>
      <c r="W178" s="86">
        <v>12068749264</v>
      </c>
      <c r="X178" s="86">
        <v>10939635716</v>
      </c>
      <c r="Y178" s="86">
        <v>10932226482</v>
      </c>
      <c r="Z178" s="86">
        <v>10976130882</v>
      </c>
      <c r="AA178" s="86">
        <v>10855391482</v>
      </c>
      <c r="AB178" s="86">
        <v>10953273266</v>
      </c>
      <c r="AC178" s="86">
        <v>10794899927</v>
      </c>
      <c r="AD178" s="86">
        <v>10791999927</v>
      </c>
      <c r="AE178" s="86">
        <v>10752457898</v>
      </c>
      <c r="AF178" s="86">
        <v>12532452106</v>
      </c>
      <c r="AG178" s="86">
        <v>10227146206</v>
      </c>
      <c r="AH178" s="86">
        <v>10146334075</v>
      </c>
    </row>
    <row r="179" spans="2:34" ht="15">
      <c r="B179" s="50" t="s">
        <v>1860</v>
      </c>
      <c r="C179" s="1275" t="s">
        <v>1860</v>
      </c>
      <c r="D179" s="86">
        <v>0</v>
      </c>
      <c r="E179" s="86">
        <v>0</v>
      </c>
      <c r="F179" s="86"/>
      <c r="G179" s="86">
        <v>0</v>
      </c>
      <c r="H179" s="86">
        <v>0</v>
      </c>
      <c r="I179" s="86">
        <v>0</v>
      </c>
      <c r="J179" s="86">
        <v>0</v>
      </c>
      <c r="K179" s="86">
        <v>0</v>
      </c>
      <c r="L179" s="86">
        <v>0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 s="85">
        <v>0</v>
      </c>
    </row>
    <row r="180" spans="2:34" ht="15">
      <c r="B180" s="50" t="s">
        <v>1861</v>
      </c>
      <c r="C180" s="1275" t="s">
        <v>1861</v>
      </c>
      <c r="D180" s="86">
        <v>0</v>
      </c>
      <c r="E180" s="86">
        <v>17824626168</v>
      </c>
      <c r="F180" s="86"/>
      <c r="G180" s="86">
        <v>0</v>
      </c>
      <c r="H180" s="86">
        <v>0</v>
      </c>
      <c r="I180" s="86">
        <v>0</v>
      </c>
      <c r="J180" s="86">
        <v>0</v>
      </c>
      <c r="K180" s="86">
        <v>0</v>
      </c>
      <c r="L180" s="86">
        <v>0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 s="85">
        <v>0</v>
      </c>
    </row>
    <row r="181" spans="2:34" ht="15">
      <c r="B181" s="50" t="s">
        <v>1862</v>
      </c>
      <c r="C181" s="1275" t="s">
        <v>1862</v>
      </c>
      <c r="D181" s="86">
        <v>0</v>
      </c>
      <c r="E181" s="86">
        <v>0</v>
      </c>
      <c r="F181" s="86"/>
      <c r="G181" s="86">
        <v>0</v>
      </c>
      <c r="H181" s="86">
        <v>0</v>
      </c>
      <c r="I181" s="86">
        <v>0</v>
      </c>
      <c r="J181" s="86">
        <v>0</v>
      </c>
      <c r="K181" s="86">
        <v>0</v>
      </c>
      <c r="L181" s="86">
        <v>0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2597247000</v>
      </c>
      <c r="AC181" s="85">
        <v>2231397000</v>
      </c>
      <c r="AD181" s="85">
        <v>2330622000</v>
      </c>
      <c r="AE181" s="85">
        <v>2367072000</v>
      </c>
      <c r="AF181" s="85">
        <v>2057332500</v>
      </c>
      <c r="AG181" s="85">
        <v>1658790000</v>
      </c>
      <c r="AH181" s="85">
        <v>1373040000</v>
      </c>
    </row>
    <row r="182" spans="2:34" ht="15">
      <c r="B182" s="50" t="s">
        <v>1863</v>
      </c>
      <c r="C182" s="1275" t="s">
        <v>1863</v>
      </c>
      <c r="D182" s="86">
        <v>0</v>
      </c>
      <c r="E182" s="86">
        <v>0</v>
      </c>
      <c r="F182" s="86"/>
      <c r="G182" s="86">
        <v>0</v>
      </c>
      <c r="H182" s="86">
        <v>0</v>
      </c>
      <c r="I182" s="86">
        <v>0</v>
      </c>
      <c r="J182" s="86">
        <v>0</v>
      </c>
      <c r="K182" s="86">
        <v>0</v>
      </c>
      <c r="L182" s="86">
        <v>0</v>
      </c>
      <c r="M182" s="85">
        <v>0</v>
      </c>
      <c r="N182" s="85">
        <v>0</v>
      </c>
      <c r="O182" s="85">
        <v>0</v>
      </c>
      <c r="P182" s="85">
        <v>0</v>
      </c>
      <c r="Q182" s="85">
        <v>0</v>
      </c>
      <c r="R182" s="85">
        <v>0</v>
      </c>
      <c r="S182" s="85">
        <v>0</v>
      </c>
      <c r="T182" s="85">
        <v>0</v>
      </c>
      <c r="U182" s="85">
        <v>0</v>
      </c>
      <c r="V182" s="85">
        <v>0</v>
      </c>
      <c r="W182" s="85">
        <v>0</v>
      </c>
      <c r="X182" s="85">
        <v>0</v>
      </c>
      <c r="Y182" s="85">
        <v>0</v>
      </c>
      <c r="Z182" s="85">
        <v>0</v>
      </c>
      <c r="AA182" s="85">
        <v>0</v>
      </c>
      <c r="AB182" s="85">
        <v>0</v>
      </c>
      <c r="AC182" s="85">
        <v>0</v>
      </c>
      <c r="AD182" s="85">
        <v>0</v>
      </c>
      <c r="AE182" s="85">
        <v>0</v>
      </c>
      <c r="AF182" s="85">
        <v>0</v>
      </c>
      <c r="AG182" s="85">
        <v>0</v>
      </c>
      <c r="AH182" s="85">
        <v>0</v>
      </c>
    </row>
    <row r="183" spans="2:34" ht="15">
      <c r="B183" s="50" t="s">
        <v>1864</v>
      </c>
      <c r="C183" s="1275" t="s">
        <v>1864</v>
      </c>
      <c r="D183" s="86">
        <v>0</v>
      </c>
      <c r="E183" s="86">
        <v>0</v>
      </c>
      <c r="F183" s="86"/>
      <c r="G183" s="86">
        <v>0</v>
      </c>
      <c r="H183" s="86">
        <v>0</v>
      </c>
      <c r="I183" s="86">
        <v>0</v>
      </c>
      <c r="J183" s="86">
        <v>0</v>
      </c>
      <c r="K183" s="86">
        <v>0</v>
      </c>
      <c r="L183" s="86">
        <v>0</v>
      </c>
      <c r="M183" s="85">
        <v>0</v>
      </c>
      <c r="N183" s="85">
        <v>0</v>
      </c>
      <c r="O183" s="85">
        <v>0</v>
      </c>
      <c r="P183" s="85">
        <v>0</v>
      </c>
      <c r="Q183" s="85">
        <v>0</v>
      </c>
      <c r="R183" s="85">
        <v>0</v>
      </c>
      <c r="S183" s="85">
        <v>0</v>
      </c>
      <c r="T183" s="85">
        <v>0</v>
      </c>
      <c r="U183" s="85">
        <v>0</v>
      </c>
      <c r="V183" s="85">
        <v>0</v>
      </c>
      <c r="W183" s="85">
        <v>0</v>
      </c>
      <c r="X183" s="85">
        <v>0</v>
      </c>
      <c r="Y183" s="85">
        <v>0</v>
      </c>
      <c r="Z183" s="85">
        <v>0</v>
      </c>
      <c r="AA183" s="85">
        <v>0</v>
      </c>
      <c r="AB183" s="85">
        <v>0</v>
      </c>
      <c r="AC183" s="85">
        <v>0</v>
      </c>
      <c r="AD183" s="85">
        <v>0</v>
      </c>
      <c r="AE183" s="85">
        <v>0</v>
      </c>
      <c r="AF183" s="85">
        <v>0</v>
      </c>
      <c r="AG183" s="85">
        <v>0</v>
      </c>
      <c r="AH183" s="85">
        <v>0</v>
      </c>
    </row>
    <row r="184" spans="2:34" ht="15">
      <c r="B184" s="50" t="s">
        <v>1865</v>
      </c>
      <c r="C184" s="1275" t="s">
        <v>1865</v>
      </c>
      <c r="D184" s="86">
        <v>133941722956</v>
      </c>
      <c r="E184" s="86">
        <v>137465471177</v>
      </c>
      <c r="F184" s="86"/>
      <c r="G184" s="86">
        <v>614005033</v>
      </c>
      <c r="H184" s="86">
        <v>561847938</v>
      </c>
      <c r="I184" s="86">
        <v>503914371</v>
      </c>
      <c r="J184" s="86">
        <v>448257440</v>
      </c>
      <c r="K184" s="86">
        <v>18655000000</v>
      </c>
      <c r="L184" s="86">
        <v>18655000000</v>
      </c>
      <c r="M184" s="85">
        <v>18655000000</v>
      </c>
      <c r="N184" s="85">
        <v>9525000000</v>
      </c>
      <c r="O184" s="85">
        <v>9525000000</v>
      </c>
      <c r="P184" s="85">
        <v>9525000000</v>
      </c>
      <c r="Q184" s="85">
        <v>9525000000</v>
      </c>
      <c r="R184" s="85">
        <v>9525000000</v>
      </c>
      <c r="S184" s="85">
        <v>11585116579</v>
      </c>
      <c r="T184" s="85">
        <v>11585116579</v>
      </c>
      <c r="U184" s="85">
        <v>11585116579</v>
      </c>
      <c r="V184" s="85">
        <v>11585116579</v>
      </c>
      <c r="W184" s="85">
        <v>11585116579</v>
      </c>
      <c r="X184" s="85">
        <v>11585116579</v>
      </c>
      <c r="Y184" s="85">
        <v>11585116579</v>
      </c>
      <c r="Z184" s="85">
        <v>11585116579</v>
      </c>
      <c r="AA184" s="85">
        <v>13155891617</v>
      </c>
      <c r="AB184" s="85">
        <v>13155891617</v>
      </c>
      <c r="AC184" s="85">
        <v>13155891617</v>
      </c>
      <c r="AD184" s="85">
        <v>13155891617</v>
      </c>
      <c r="AE184" s="85">
        <v>11585116579</v>
      </c>
      <c r="AF184" s="85">
        <v>11585116579</v>
      </c>
      <c r="AG184" s="85">
        <v>11585116579</v>
      </c>
      <c r="AH184" s="85">
        <v>11585116579</v>
      </c>
    </row>
    <row r="185" spans="2:34">
      <c r="B185" s="43" t="s">
        <v>1866</v>
      </c>
      <c r="C185" s="43" t="s">
        <v>1866</v>
      </c>
      <c r="D185" s="87">
        <v>300347949929</v>
      </c>
      <c r="E185" s="87">
        <v>301634221327</v>
      </c>
      <c r="F185" s="87"/>
      <c r="G185" s="87">
        <v>290247996889</v>
      </c>
      <c r="H185" s="87">
        <v>286049057519</v>
      </c>
      <c r="I185" s="87">
        <v>283089122505</v>
      </c>
      <c r="J185" s="87">
        <v>280082634757</v>
      </c>
      <c r="K185" s="87">
        <v>274135007890</v>
      </c>
      <c r="L185" s="87">
        <v>272556482641</v>
      </c>
      <c r="M185" s="87">
        <v>268610992704</v>
      </c>
      <c r="N185" s="87">
        <v>267782297634</v>
      </c>
      <c r="O185" s="87">
        <v>264698255133</v>
      </c>
      <c r="P185" s="87">
        <v>258584378714</v>
      </c>
      <c r="Q185" s="87">
        <v>258581638104</v>
      </c>
      <c r="R185" s="87">
        <v>255572619018</v>
      </c>
      <c r="S185" s="87">
        <v>258852489291</v>
      </c>
      <c r="T185" s="87">
        <v>257153144531</v>
      </c>
      <c r="U185" s="87">
        <v>255517548904</v>
      </c>
      <c r="V185" s="87">
        <v>247340772290</v>
      </c>
      <c r="W185" s="87">
        <v>249737450082</v>
      </c>
      <c r="X185" s="87">
        <v>248334221662</v>
      </c>
      <c r="Y185" s="87">
        <v>248894237249</v>
      </c>
      <c r="Z185" s="87">
        <v>246362397634</v>
      </c>
      <c r="AA185" s="87">
        <v>248177380181</v>
      </c>
      <c r="AB185" s="87">
        <v>248840677100</v>
      </c>
      <c r="AC185" s="87">
        <v>247481458074</v>
      </c>
      <c r="AD185" s="87">
        <v>246037508783</v>
      </c>
      <c r="AE185" s="87">
        <v>253196348323</v>
      </c>
      <c r="AF185" s="87">
        <v>282588804379</v>
      </c>
      <c r="AG185" s="87">
        <v>277615687814</v>
      </c>
      <c r="AH185" s="87">
        <v>285766894189</v>
      </c>
    </row>
    <row r="186" spans="2:34" ht="15">
      <c r="B186" s="49" t="s">
        <v>1867</v>
      </c>
      <c r="C186" s="1275" t="s">
        <v>1867</v>
      </c>
      <c r="D186" s="86">
        <v>0</v>
      </c>
      <c r="E186" s="86">
        <v>0</v>
      </c>
      <c r="F186" s="86"/>
      <c r="G186" s="86">
        <v>0</v>
      </c>
      <c r="H186" s="86">
        <v>0</v>
      </c>
      <c r="I186" s="86">
        <v>0</v>
      </c>
      <c r="J186" s="86">
        <v>0</v>
      </c>
      <c r="K186" s="86">
        <v>0</v>
      </c>
      <c r="L186" s="86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</row>
    <row r="187" spans="2:34">
      <c r="B187" s="49" t="s">
        <v>1868</v>
      </c>
      <c r="C187" s="1275" t="s">
        <v>1868</v>
      </c>
      <c r="D187" s="86">
        <v>184644424494</v>
      </c>
      <c r="E187" s="86">
        <v>184644424494</v>
      </c>
      <c r="F187" s="86"/>
      <c r="G187" s="86">
        <v>180220741412</v>
      </c>
      <c r="H187" s="86">
        <v>178062973090</v>
      </c>
      <c r="I187" s="86">
        <v>177947737090</v>
      </c>
      <c r="J187" s="86">
        <v>177508465292</v>
      </c>
      <c r="K187" s="86">
        <v>173458490292</v>
      </c>
      <c r="L187" s="86">
        <v>173458490292</v>
      </c>
      <c r="M187" s="86">
        <v>172084773892</v>
      </c>
      <c r="N187" s="86">
        <v>172084773892</v>
      </c>
      <c r="O187" s="86">
        <v>169848008449</v>
      </c>
      <c r="P187" s="86">
        <v>166996480600</v>
      </c>
      <c r="Q187" s="86">
        <v>166996480600</v>
      </c>
      <c r="R187" s="86">
        <v>165444782619</v>
      </c>
      <c r="S187" s="86">
        <v>164922475901</v>
      </c>
      <c r="T187" s="86">
        <v>164922475901</v>
      </c>
      <c r="U187" s="86">
        <v>164922475902</v>
      </c>
      <c r="V187" s="86">
        <v>160574909501</v>
      </c>
      <c r="W187" s="86">
        <v>160574909502</v>
      </c>
      <c r="X187" s="86">
        <v>160552853867</v>
      </c>
      <c r="Y187" s="86">
        <v>160552853867</v>
      </c>
      <c r="Z187" s="86">
        <v>160655941399</v>
      </c>
      <c r="AA187" s="86">
        <v>160655941399</v>
      </c>
      <c r="AB187" s="86">
        <v>162898571311</v>
      </c>
      <c r="AC187" s="86">
        <v>162898571311</v>
      </c>
      <c r="AD187" s="86">
        <v>162898571311</v>
      </c>
      <c r="AE187" s="86">
        <v>168639105479</v>
      </c>
      <c r="AF187" s="86">
        <v>168639105479</v>
      </c>
      <c r="AG187" s="86">
        <v>168639105479</v>
      </c>
      <c r="AH187" s="86">
        <v>168639105479</v>
      </c>
    </row>
    <row r="188" spans="2:34">
      <c r="B188" s="49" t="s">
        <v>1869</v>
      </c>
      <c r="C188" s="1275" t="s">
        <v>1869</v>
      </c>
      <c r="D188" s="86">
        <v>112445491170</v>
      </c>
      <c r="E188" s="86">
        <v>114641236420</v>
      </c>
      <c r="F188" s="86"/>
      <c r="G188" s="86">
        <v>114716099361</v>
      </c>
      <c r="H188" s="86">
        <v>113613467033</v>
      </c>
      <c r="I188" s="86">
        <v>113580264613</v>
      </c>
      <c r="J188" s="86">
        <v>113237564864</v>
      </c>
      <c r="K188" s="86">
        <v>111064493668</v>
      </c>
      <c r="L188" s="86">
        <v>111064493668</v>
      </c>
      <c r="M188" s="86">
        <v>110100875169</v>
      </c>
      <c r="N188" s="86">
        <v>110119351565</v>
      </c>
      <c r="O188" s="86">
        <v>108641824535</v>
      </c>
      <c r="P188" s="86">
        <v>108040221854</v>
      </c>
      <c r="Q188" s="86">
        <v>108615618563</v>
      </c>
      <c r="R188" s="86">
        <v>106412902878</v>
      </c>
      <c r="S188" s="86">
        <v>104570633934</v>
      </c>
      <c r="T188" s="86">
        <v>104850600346</v>
      </c>
      <c r="U188" s="86">
        <v>104886859540</v>
      </c>
      <c r="V188" s="86">
        <v>101636546489</v>
      </c>
      <c r="W188" s="86">
        <v>102440284598</v>
      </c>
      <c r="X188" s="86">
        <v>101436111399</v>
      </c>
      <c r="Y188" s="86">
        <v>101436111399</v>
      </c>
      <c r="Z188" s="86">
        <v>101504932634</v>
      </c>
      <c r="AA188" s="86">
        <v>101504932634</v>
      </c>
      <c r="AB188" s="86">
        <v>102999835377</v>
      </c>
      <c r="AC188" s="86">
        <v>103426072619</v>
      </c>
      <c r="AD188" s="86">
        <v>103426072619</v>
      </c>
      <c r="AE188" s="86">
        <v>107269476117</v>
      </c>
      <c r="AF188" s="86">
        <v>107269476117</v>
      </c>
      <c r="AG188" s="86">
        <v>107269476117</v>
      </c>
      <c r="AH188" s="86">
        <v>107269476117</v>
      </c>
    </row>
    <row r="189" spans="2:34" ht="15">
      <c r="B189" s="49" t="s">
        <v>1870</v>
      </c>
      <c r="C189" s="1275" t="s">
        <v>1870</v>
      </c>
      <c r="D189" s="86">
        <v>0</v>
      </c>
      <c r="E189" s="86">
        <v>0</v>
      </c>
      <c r="F189" s="86"/>
      <c r="G189" s="86">
        <v>0</v>
      </c>
      <c r="H189" s="86">
        <v>0</v>
      </c>
      <c r="I189" s="86">
        <v>0</v>
      </c>
      <c r="J189" s="86">
        <v>0</v>
      </c>
      <c r="K189" s="86">
        <v>0</v>
      </c>
      <c r="L189" s="86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</row>
    <row r="190" spans="2:34" ht="15">
      <c r="B190" s="49" t="s">
        <v>1871</v>
      </c>
      <c r="C190" s="1275" t="s">
        <v>1871</v>
      </c>
      <c r="D190" s="86">
        <v>76336956</v>
      </c>
      <c r="E190" s="86">
        <v>76336956</v>
      </c>
      <c r="F190" s="86"/>
      <c r="G190" s="86">
        <v>76336956</v>
      </c>
      <c r="H190" s="86">
        <v>76336956</v>
      </c>
      <c r="I190" s="86">
        <v>76336956</v>
      </c>
      <c r="J190" s="86">
        <v>76336956</v>
      </c>
      <c r="K190" s="86">
        <v>76336956</v>
      </c>
      <c r="L190" s="86">
        <v>140695639</v>
      </c>
      <c r="M190" s="85">
        <v>442057113</v>
      </c>
      <c r="N190" s="85">
        <v>442057113</v>
      </c>
      <c r="O190" s="85">
        <v>442057113</v>
      </c>
      <c r="P190" s="85">
        <v>478020634</v>
      </c>
      <c r="Q190" s="85">
        <v>663657903</v>
      </c>
      <c r="R190" s="85">
        <v>663657903</v>
      </c>
      <c r="S190" s="85">
        <v>605573960</v>
      </c>
      <c r="T190" s="85">
        <v>536428445</v>
      </c>
      <c r="U190" s="85">
        <v>542079681</v>
      </c>
      <c r="V190" s="85">
        <v>562363003</v>
      </c>
      <c r="W190" s="85">
        <v>562363003</v>
      </c>
      <c r="X190" s="85">
        <v>528644376</v>
      </c>
      <c r="Y190" s="85">
        <v>470996038</v>
      </c>
      <c r="Z190" s="85">
        <v>470996038</v>
      </c>
      <c r="AA190" s="85">
        <v>435427175</v>
      </c>
      <c r="AB190" s="85">
        <v>445209554</v>
      </c>
      <c r="AC190" s="85">
        <v>460129450</v>
      </c>
      <c r="AD190" s="85">
        <v>507034988</v>
      </c>
      <c r="AE190" s="85">
        <v>437037540</v>
      </c>
      <c r="AF190" s="85">
        <v>500114416</v>
      </c>
      <c r="AG190" s="85">
        <v>500114416</v>
      </c>
      <c r="AH190" s="85">
        <v>524754393</v>
      </c>
    </row>
    <row r="191" spans="2:34">
      <c r="B191" s="49" t="s">
        <v>1872</v>
      </c>
      <c r="C191" s="1275" t="s">
        <v>1872</v>
      </c>
      <c r="D191" s="86">
        <v>149154853044</v>
      </c>
      <c r="E191" s="86">
        <v>151787423549</v>
      </c>
      <c r="F191" s="86"/>
      <c r="G191" s="86">
        <v>151787265297</v>
      </c>
      <c r="H191" s="86">
        <v>110200402445</v>
      </c>
      <c r="I191" s="86">
        <v>97710548840</v>
      </c>
      <c r="J191" s="86">
        <v>98529374166</v>
      </c>
      <c r="K191" s="86">
        <v>100463268062</v>
      </c>
      <c r="L191" s="86">
        <v>101162680547</v>
      </c>
      <c r="M191" s="86">
        <v>101630374877</v>
      </c>
      <c r="N191" s="86">
        <v>101794494863</v>
      </c>
      <c r="O191" s="86">
        <v>103555879399</v>
      </c>
      <c r="P191" s="86">
        <v>102469460903</v>
      </c>
      <c r="Q191" s="86">
        <v>98870930677</v>
      </c>
      <c r="R191" s="86">
        <v>99478757580</v>
      </c>
      <c r="S191" s="86">
        <v>100782185044</v>
      </c>
      <c r="T191" s="86">
        <v>99835729911</v>
      </c>
      <c r="U191" s="86">
        <v>100842452908</v>
      </c>
      <c r="V191" s="86">
        <v>101974060250</v>
      </c>
      <c r="W191" s="86">
        <v>103438093788</v>
      </c>
      <c r="X191" s="86">
        <v>103229475836</v>
      </c>
      <c r="Y191" s="86">
        <v>104948257757</v>
      </c>
      <c r="Z191" s="86">
        <v>76238374687</v>
      </c>
      <c r="AA191" s="86">
        <v>78637274863</v>
      </c>
      <c r="AB191" s="86">
        <v>79080991075</v>
      </c>
      <c r="AC191" s="86">
        <v>79980477210</v>
      </c>
      <c r="AD191" s="86">
        <v>81163045037</v>
      </c>
      <c r="AE191" s="86">
        <v>82260995437</v>
      </c>
      <c r="AF191" s="86">
        <v>83374227280</v>
      </c>
      <c r="AG191" s="86">
        <v>85926299868</v>
      </c>
      <c r="AH191" s="86">
        <v>100843374555</v>
      </c>
    </row>
    <row r="192" spans="2:34">
      <c r="B192" s="49" t="s">
        <v>1873</v>
      </c>
      <c r="C192" s="1275" t="s">
        <v>1873</v>
      </c>
      <c r="D192" s="86">
        <v>0</v>
      </c>
      <c r="E192" s="86">
        <v>0</v>
      </c>
      <c r="F192" s="86"/>
      <c r="G192" s="86">
        <v>0</v>
      </c>
      <c r="H192" s="86">
        <v>0</v>
      </c>
      <c r="I192" s="86">
        <v>0</v>
      </c>
      <c r="J192" s="86">
        <v>0</v>
      </c>
      <c r="K192" s="86">
        <v>0</v>
      </c>
      <c r="L192" s="86">
        <v>0</v>
      </c>
      <c r="M192" s="86">
        <v>0</v>
      </c>
      <c r="N192" s="86">
        <v>0</v>
      </c>
      <c r="O192" s="86">
        <v>0</v>
      </c>
      <c r="P192" s="86">
        <v>0</v>
      </c>
      <c r="Q192" s="86">
        <v>0</v>
      </c>
      <c r="R192" s="86">
        <v>0</v>
      </c>
      <c r="S192" s="86">
        <v>0</v>
      </c>
      <c r="T192" s="86">
        <v>0</v>
      </c>
      <c r="U192" s="86">
        <v>0</v>
      </c>
      <c r="V192" s="86">
        <v>0</v>
      </c>
      <c r="W192" s="86">
        <v>0</v>
      </c>
      <c r="X192" s="86">
        <v>0</v>
      </c>
      <c r="Y192" s="86">
        <v>0</v>
      </c>
      <c r="Z192" s="86">
        <v>0</v>
      </c>
      <c r="AA192" s="86">
        <v>0</v>
      </c>
      <c r="AB192" s="86">
        <v>0</v>
      </c>
      <c r="AC192" s="86">
        <v>0</v>
      </c>
      <c r="AD192" s="86">
        <v>0</v>
      </c>
      <c r="AE192" s="86">
        <v>0</v>
      </c>
      <c r="AF192" s="86">
        <v>0</v>
      </c>
      <c r="AG192" s="86">
        <v>0</v>
      </c>
      <c r="AH192" s="86">
        <v>0</v>
      </c>
    </row>
    <row r="193" spans="2:34" ht="15">
      <c r="B193" s="49" t="s">
        <v>1874</v>
      </c>
      <c r="C193" s="1275" t="s">
        <v>1874</v>
      </c>
      <c r="D193" s="86">
        <v>0</v>
      </c>
      <c r="E193" s="86">
        <v>0</v>
      </c>
      <c r="F193" s="86"/>
      <c r="G193" s="86">
        <v>0</v>
      </c>
      <c r="H193" s="86">
        <v>0</v>
      </c>
      <c r="I193" s="86">
        <v>0</v>
      </c>
      <c r="J193" s="86">
        <v>0</v>
      </c>
      <c r="K193" s="86">
        <v>0</v>
      </c>
      <c r="L193" s="86">
        <v>0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 s="85">
        <v>0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</row>
    <row r="194" spans="2:34" ht="15">
      <c r="B194" s="49" t="s">
        <v>1875</v>
      </c>
      <c r="C194" s="1275" t="s">
        <v>1875</v>
      </c>
      <c r="D194" s="86">
        <v>0</v>
      </c>
      <c r="E194" s="86">
        <v>0</v>
      </c>
      <c r="F194" s="86"/>
      <c r="G194" s="86">
        <v>0</v>
      </c>
      <c r="H194" s="86">
        <v>0</v>
      </c>
      <c r="I194" s="86">
        <v>0</v>
      </c>
      <c r="J194" s="86">
        <v>0</v>
      </c>
      <c r="K194" s="86">
        <v>0</v>
      </c>
      <c r="L194" s="86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 s="85">
        <v>0</v>
      </c>
    </row>
    <row r="195" spans="2:34">
      <c r="B195" s="49" t="s">
        <v>1876</v>
      </c>
      <c r="C195" s="1275" t="s">
        <v>1876</v>
      </c>
      <c r="D195" s="86">
        <v>54599282868</v>
      </c>
      <c r="E195" s="86">
        <v>55954957260</v>
      </c>
      <c r="F195" s="86"/>
      <c r="G195" s="86">
        <v>54751222336</v>
      </c>
      <c r="H195" s="86">
        <v>55656727476</v>
      </c>
      <c r="I195" s="86">
        <v>55935574495</v>
      </c>
      <c r="J195" s="86">
        <v>55936763450</v>
      </c>
      <c r="K195" s="86">
        <v>55980570124</v>
      </c>
      <c r="L195" s="86">
        <v>55673374056</v>
      </c>
      <c r="M195" s="86">
        <v>56143728343</v>
      </c>
      <c r="N195" s="86">
        <v>56281393066</v>
      </c>
      <c r="O195" s="86">
        <v>56686357156</v>
      </c>
      <c r="P195" s="86">
        <v>54170397801</v>
      </c>
      <c r="Q195" s="86">
        <v>51931345803</v>
      </c>
      <c r="R195" s="86">
        <v>53195424052</v>
      </c>
      <c r="S195" s="86">
        <v>58060094804</v>
      </c>
      <c r="T195" s="86">
        <v>56322513069</v>
      </c>
      <c r="U195" s="86">
        <v>56968969590</v>
      </c>
      <c r="V195" s="86">
        <v>57268078911</v>
      </c>
      <c r="W195" s="86">
        <v>60591003568</v>
      </c>
      <c r="X195" s="86">
        <v>59706277345</v>
      </c>
      <c r="Y195" s="86">
        <v>59388150779</v>
      </c>
      <c r="Z195" s="86">
        <v>59586499781</v>
      </c>
      <c r="AA195" s="86">
        <v>60828155921</v>
      </c>
      <c r="AB195" s="86">
        <v>61466572758</v>
      </c>
      <c r="AC195" s="86">
        <v>61581128573</v>
      </c>
      <c r="AD195" s="86">
        <v>62161077259</v>
      </c>
      <c r="AE195" s="86">
        <v>63629037673</v>
      </c>
      <c r="AF195" s="86">
        <v>103166645551</v>
      </c>
      <c r="AG195" s="86">
        <v>105227430709</v>
      </c>
      <c r="AH195" s="86">
        <v>95745986109</v>
      </c>
    </row>
    <row r="196" spans="2:34">
      <c r="B196" s="49" t="s">
        <v>1877</v>
      </c>
      <c r="C196" s="1275" t="s">
        <v>1877</v>
      </c>
      <c r="D196" s="86">
        <v>200572438603</v>
      </c>
      <c r="E196" s="86">
        <v>205470157352</v>
      </c>
      <c r="F196" s="86"/>
      <c r="G196" s="86">
        <v>211303668473</v>
      </c>
      <c r="H196" s="86">
        <v>171560849481</v>
      </c>
      <c r="I196" s="86">
        <v>162161339489</v>
      </c>
      <c r="J196" s="86">
        <v>165205869971</v>
      </c>
      <c r="K196" s="86">
        <v>166908151212</v>
      </c>
      <c r="L196" s="86">
        <v>168943251561</v>
      </c>
      <c r="M196" s="86">
        <v>171790816690</v>
      </c>
      <c r="N196" s="86">
        <v>172939772865</v>
      </c>
      <c r="O196" s="86">
        <v>174475871519</v>
      </c>
      <c r="P196" s="86">
        <v>173570203078</v>
      </c>
      <c r="Q196" s="86">
        <v>168496395442</v>
      </c>
      <c r="R196" s="86">
        <v>169622906014</v>
      </c>
      <c r="S196" s="86">
        <v>170088474352</v>
      </c>
      <c r="T196" s="86">
        <v>169314603141</v>
      </c>
      <c r="U196" s="86">
        <v>172645288717</v>
      </c>
      <c r="V196" s="86">
        <v>174675185864</v>
      </c>
      <c r="W196" s="86">
        <v>177869204377</v>
      </c>
      <c r="X196" s="86">
        <v>177119141161</v>
      </c>
      <c r="Y196" s="86">
        <v>177902132591</v>
      </c>
      <c r="Z196" s="86">
        <v>152094346905</v>
      </c>
      <c r="AA196" s="86">
        <v>153884351811</v>
      </c>
      <c r="AB196" s="86">
        <v>158050502975</v>
      </c>
      <c r="AC196" s="86">
        <v>160864921089</v>
      </c>
      <c r="AD196" s="86">
        <v>164118292431</v>
      </c>
      <c r="AE196" s="86">
        <v>169039303923</v>
      </c>
      <c r="AF196" s="86">
        <v>180360764464</v>
      </c>
      <c r="AG196" s="86">
        <v>189946738775</v>
      </c>
      <c r="AH196" s="86">
        <v>187255802464</v>
      </c>
    </row>
    <row r="197" spans="2:34">
      <c r="B197" s="50" t="s">
        <v>1878</v>
      </c>
      <c r="C197" s="1275" t="s">
        <v>1878</v>
      </c>
      <c r="D197" s="86">
        <v>38297799115</v>
      </c>
      <c r="E197" s="86">
        <v>39008042105</v>
      </c>
      <c r="F197" s="86"/>
      <c r="G197" s="86">
        <v>40294709147</v>
      </c>
      <c r="H197" s="86">
        <v>40504630990</v>
      </c>
      <c r="I197" s="86">
        <v>41261279088</v>
      </c>
      <c r="J197" s="86">
        <v>41853190985</v>
      </c>
      <c r="K197" s="86">
        <v>41859304366</v>
      </c>
      <c r="L197" s="86">
        <v>42556651380</v>
      </c>
      <c r="M197" s="86">
        <v>42853342071</v>
      </c>
      <c r="N197" s="86">
        <v>43544089260</v>
      </c>
      <c r="O197" s="86">
        <v>43567905696</v>
      </c>
      <c r="P197" s="86">
        <v>44029714670</v>
      </c>
      <c r="Q197" s="86">
        <v>44708140460</v>
      </c>
      <c r="R197" s="86">
        <v>45167634616</v>
      </c>
      <c r="S197" s="86">
        <v>44199471281</v>
      </c>
      <c r="T197" s="86">
        <v>45089836399</v>
      </c>
      <c r="U197" s="86">
        <v>45871746165</v>
      </c>
      <c r="V197" s="86">
        <v>44946874799</v>
      </c>
      <c r="W197" s="86">
        <v>45462191046</v>
      </c>
      <c r="X197" s="86">
        <v>45633434894</v>
      </c>
      <c r="Y197" s="86">
        <v>46267898889</v>
      </c>
      <c r="Z197" s="86">
        <v>47019977191</v>
      </c>
      <c r="AA197" s="86">
        <v>47654653381</v>
      </c>
      <c r="AB197" s="86">
        <v>48836829160</v>
      </c>
      <c r="AC197" s="86">
        <v>49456914781</v>
      </c>
      <c r="AD197" s="86">
        <v>50077663446</v>
      </c>
      <c r="AE197" s="86">
        <v>52584072228</v>
      </c>
      <c r="AF197" s="86">
        <v>53255159422</v>
      </c>
      <c r="AG197" s="86">
        <v>53926083842</v>
      </c>
      <c r="AH197" s="86">
        <v>54596875281</v>
      </c>
    </row>
    <row r="198" spans="2:34" ht="15">
      <c r="B198" s="50" t="s">
        <v>1879</v>
      </c>
      <c r="C198" s="1275" t="s">
        <v>1879</v>
      </c>
      <c r="D198" s="86">
        <v>0</v>
      </c>
      <c r="E198" s="86">
        <v>0</v>
      </c>
      <c r="F198" s="86"/>
      <c r="G198" s="86">
        <v>0</v>
      </c>
      <c r="H198" s="86">
        <v>0</v>
      </c>
      <c r="I198" s="86">
        <v>0</v>
      </c>
      <c r="J198" s="86">
        <v>0</v>
      </c>
      <c r="K198" s="86">
        <v>0</v>
      </c>
      <c r="L198" s="86">
        <v>0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 s="85">
        <v>0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 s="85">
        <v>0</v>
      </c>
    </row>
    <row r="199" spans="2:34" ht="15">
      <c r="B199" s="50" t="s">
        <v>1880</v>
      </c>
      <c r="C199" s="1275" t="s">
        <v>1880</v>
      </c>
      <c r="D199" s="86">
        <v>32194973</v>
      </c>
      <c r="E199" s="86">
        <v>36011372</v>
      </c>
      <c r="F199" s="86"/>
      <c r="G199" s="86">
        <v>43644170</v>
      </c>
      <c r="H199" s="86">
        <v>47460569</v>
      </c>
      <c r="I199" s="86">
        <v>51276972</v>
      </c>
      <c r="J199" s="86">
        <v>53251749</v>
      </c>
      <c r="K199" s="86">
        <v>55226526</v>
      </c>
      <c r="L199" s="86">
        <v>59199717</v>
      </c>
      <c r="M199" s="85">
        <v>68559861</v>
      </c>
      <c r="N199" s="85">
        <v>88818789</v>
      </c>
      <c r="O199" s="85">
        <v>109077717</v>
      </c>
      <c r="P199" s="85">
        <v>129935987</v>
      </c>
      <c r="Q199" s="85">
        <v>157666511</v>
      </c>
      <c r="R199" s="85">
        <v>189004322</v>
      </c>
      <c r="S199" s="85">
        <v>190544079</v>
      </c>
      <c r="T199" s="85">
        <v>181224379</v>
      </c>
      <c r="U199" s="85">
        <v>171493056</v>
      </c>
      <c r="V199" s="85">
        <v>198932199</v>
      </c>
      <c r="W199" s="85">
        <v>227047386</v>
      </c>
      <c r="X199" s="85">
        <v>238374249</v>
      </c>
      <c r="Y199" s="85">
        <v>202509544</v>
      </c>
      <c r="Z199" s="85">
        <v>226057138</v>
      </c>
      <c r="AA199" s="85">
        <v>222929587</v>
      </c>
      <c r="AB199" s="85">
        <v>219124663</v>
      </c>
      <c r="AC199" s="85">
        <v>241631543</v>
      </c>
      <c r="AD199" s="85">
        <v>266247009</v>
      </c>
      <c r="AE199" s="85">
        <v>231427596</v>
      </c>
      <c r="AF199" s="85">
        <v>167165551</v>
      </c>
      <c r="AG199" s="85">
        <v>189952687</v>
      </c>
      <c r="AH199" s="85">
        <v>213971671</v>
      </c>
    </row>
    <row r="200" spans="2:34">
      <c r="B200" s="50" t="s">
        <v>1881</v>
      </c>
      <c r="C200" s="1275" t="s">
        <v>1881</v>
      </c>
      <c r="D200" s="86">
        <v>122630271897</v>
      </c>
      <c r="E200" s="86">
        <v>125301840827</v>
      </c>
      <c r="F200" s="86"/>
      <c r="G200" s="86">
        <v>129096986722</v>
      </c>
      <c r="H200" s="86">
        <v>89150124869</v>
      </c>
      <c r="I200" s="86">
        <v>78527881687</v>
      </c>
      <c r="J200" s="86">
        <v>80475583699</v>
      </c>
      <c r="K200" s="86">
        <v>82035496529</v>
      </c>
      <c r="L200" s="86">
        <v>83570092028</v>
      </c>
      <c r="M200" s="86">
        <v>85002061884</v>
      </c>
      <c r="N200" s="86">
        <v>85570486513</v>
      </c>
      <c r="O200" s="86">
        <v>86873696928</v>
      </c>
      <c r="P200" s="86">
        <v>87000573841</v>
      </c>
      <c r="Q200" s="86">
        <v>84111926758</v>
      </c>
      <c r="R200" s="86">
        <v>84621980156</v>
      </c>
      <c r="S200" s="86">
        <v>84964605636</v>
      </c>
      <c r="T200" s="86">
        <v>84756981929</v>
      </c>
      <c r="U200" s="86">
        <v>86068361383</v>
      </c>
      <c r="V200" s="86">
        <v>87544936110</v>
      </c>
      <c r="W200" s="86">
        <v>88708086490</v>
      </c>
      <c r="X200" s="86">
        <v>89139946204</v>
      </c>
      <c r="Y200" s="86">
        <v>89336819506</v>
      </c>
      <c r="Z200" s="86">
        <v>61287611582</v>
      </c>
      <c r="AA200" s="86">
        <v>62089207612</v>
      </c>
      <c r="AB200" s="86">
        <v>63546107436</v>
      </c>
      <c r="AC200" s="86">
        <v>64728391848</v>
      </c>
      <c r="AD200" s="86">
        <v>65827167593</v>
      </c>
      <c r="AE200" s="86">
        <v>67131197135</v>
      </c>
      <c r="AF200" s="86">
        <v>68570286078</v>
      </c>
      <c r="AG200" s="86">
        <v>69723678255</v>
      </c>
      <c r="AH200" s="86">
        <v>70700018534</v>
      </c>
    </row>
    <row r="201" spans="2:34" ht="15">
      <c r="B201" s="50" t="s">
        <v>1830</v>
      </c>
      <c r="C201" s="1275" t="s">
        <v>1830</v>
      </c>
      <c r="D201" s="86">
        <v>39612172618</v>
      </c>
      <c r="E201" s="86">
        <v>41124263048</v>
      </c>
      <c r="F201" s="86"/>
      <c r="G201" s="86">
        <v>41868328434</v>
      </c>
      <c r="H201" s="86">
        <v>41858633053</v>
      </c>
      <c r="I201" s="86">
        <v>42320901742</v>
      </c>
      <c r="J201" s="86">
        <v>42823843538</v>
      </c>
      <c r="K201" s="86">
        <v>42958123791</v>
      </c>
      <c r="L201" s="86">
        <v>42757308436</v>
      </c>
      <c r="M201" s="85">
        <v>43866852874</v>
      </c>
      <c r="N201" s="85">
        <v>43736378303</v>
      </c>
      <c r="O201" s="85">
        <v>43925191178</v>
      </c>
      <c r="P201" s="85">
        <v>42409978580</v>
      </c>
      <c r="Q201" s="85">
        <v>39518661713</v>
      </c>
      <c r="R201" s="85">
        <v>39644286920</v>
      </c>
      <c r="S201" s="85">
        <v>40733853356</v>
      </c>
      <c r="T201" s="85">
        <v>39286560434</v>
      </c>
      <c r="U201" s="85">
        <v>40533688113</v>
      </c>
      <c r="V201" s="85">
        <v>41984442756</v>
      </c>
      <c r="W201" s="85">
        <v>43471879455</v>
      </c>
      <c r="X201" s="85">
        <v>42107385814</v>
      </c>
      <c r="Y201" s="85">
        <v>42094904652</v>
      </c>
      <c r="Z201" s="85">
        <v>43560700994</v>
      </c>
      <c r="AA201" s="85">
        <v>43917561231</v>
      </c>
      <c r="AB201" s="85">
        <v>45448441716</v>
      </c>
      <c r="AC201" s="85">
        <v>46437982917</v>
      </c>
      <c r="AD201" s="85">
        <v>47947214383</v>
      </c>
      <c r="AE201" s="85">
        <v>49092606964</v>
      </c>
      <c r="AF201" s="85">
        <v>58368153413</v>
      </c>
      <c r="AG201" s="85">
        <v>66107023991</v>
      </c>
      <c r="AH201" s="85">
        <v>61744936978</v>
      </c>
    </row>
    <row r="202" spans="2:34" ht="15">
      <c r="B202" s="49" t="s">
        <v>1882</v>
      </c>
      <c r="C202" s="1275" t="s">
        <v>1882</v>
      </c>
      <c r="D202" s="86">
        <v>0</v>
      </c>
      <c r="E202" s="86">
        <v>0</v>
      </c>
      <c r="F202" s="86"/>
      <c r="G202" s="86">
        <v>0</v>
      </c>
      <c r="H202" s="86">
        <v>0</v>
      </c>
      <c r="I202" s="86">
        <v>0</v>
      </c>
      <c r="J202" s="86">
        <v>0</v>
      </c>
      <c r="K202" s="86">
        <v>0</v>
      </c>
      <c r="L202" s="86">
        <v>0</v>
      </c>
      <c r="M202" s="85">
        <v>0</v>
      </c>
      <c r="N202" s="85">
        <v>0</v>
      </c>
      <c r="O202" s="85">
        <v>0</v>
      </c>
      <c r="P202" s="85">
        <v>0</v>
      </c>
      <c r="Q202" s="85">
        <v>0</v>
      </c>
      <c r="R202" s="85">
        <v>0</v>
      </c>
      <c r="S202" s="85">
        <v>0</v>
      </c>
      <c r="T202" s="85">
        <v>0</v>
      </c>
      <c r="U202" s="85">
        <v>0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 s="85">
        <v>0</v>
      </c>
      <c r="AB202" s="85">
        <v>0</v>
      </c>
      <c r="AC202" s="85">
        <v>0</v>
      </c>
      <c r="AD202" s="85">
        <v>0</v>
      </c>
      <c r="AE202" s="85">
        <v>0</v>
      </c>
      <c r="AF202" s="85">
        <v>0</v>
      </c>
      <c r="AG202" s="85">
        <v>0</v>
      </c>
      <c r="AH202" s="85">
        <v>0</v>
      </c>
    </row>
    <row r="203" spans="2:34" ht="15">
      <c r="B203" s="49" t="s">
        <v>1883</v>
      </c>
      <c r="C203" s="1275" t="s">
        <v>1883</v>
      </c>
      <c r="D203" s="86">
        <v>0</v>
      </c>
      <c r="E203" s="86">
        <v>0</v>
      </c>
      <c r="F203" s="86"/>
      <c r="G203" s="86">
        <v>0</v>
      </c>
      <c r="H203" s="86">
        <v>0</v>
      </c>
      <c r="I203" s="86">
        <v>0</v>
      </c>
      <c r="J203" s="86">
        <v>0</v>
      </c>
      <c r="K203" s="86">
        <v>0</v>
      </c>
      <c r="L203" s="86">
        <v>0</v>
      </c>
      <c r="M203" s="85">
        <v>0</v>
      </c>
      <c r="N203" s="85">
        <v>0</v>
      </c>
      <c r="O203" s="85">
        <v>0</v>
      </c>
      <c r="P203" s="85">
        <v>0</v>
      </c>
      <c r="Q203" s="85">
        <v>0</v>
      </c>
      <c r="R203" s="85">
        <v>0</v>
      </c>
      <c r="S203" s="85">
        <v>0</v>
      </c>
      <c r="T203" s="85">
        <v>0</v>
      </c>
      <c r="U203" s="85">
        <v>0</v>
      </c>
      <c r="V203" s="85">
        <v>0</v>
      </c>
      <c r="W203" s="85">
        <v>0</v>
      </c>
      <c r="X203" s="85">
        <v>0</v>
      </c>
      <c r="Y203" s="85">
        <v>0</v>
      </c>
      <c r="Z203" s="85">
        <v>0</v>
      </c>
      <c r="AA203" s="85">
        <v>0</v>
      </c>
      <c r="AB203" s="85">
        <v>0</v>
      </c>
      <c r="AC203" s="85">
        <v>0</v>
      </c>
      <c r="AD203" s="85">
        <v>0</v>
      </c>
      <c r="AE203" s="85">
        <v>0</v>
      </c>
      <c r="AF203" s="85">
        <v>0</v>
      </c>
      <c r="AG203" s="85">
        <v>0</v>
      </c>
      <c r="AH203" s="85">
        <v>0</v>
      </c>
    </row>
    <row r="204" spans="2:34">
      <c r="B204" s="43" t="s">
        <v>1884</v>
      </c>
      <c r="C204" s="43" t="s">
        <v>1884</v>
      </c>
      <c r="D204" s="87">
        <v>0</v>
      </c>
      <c r="E204" s="87">
        <v>0</v>
      </c>
      <c r="F204" s="87"/>
      <c r="G204" s="87">
        <v>0</v>
      </c>
      <c r="H204" s="87">
        <v>0</v>
      </c>
      <c r="I204" s="87">
        <v>0</v>
      </c>
      <c r="J204" s="87">
        <v>0</v>
      </c>
      <c r="K204" s="87">
        <v>0</v>
      </c>
      <c r="L204" s="87">
        <v>0</v>
      </c>
      <c r="M204" s="87">
        <v>0</v>
      </c>
      <c r="N204" s="87">
        <v>0</v>
      </c>
      <c r="O204" s="87">
        <v>0</v>
      </c>
      <c r="P204" s="87">
        <v>0</v>
      </c>
      <c r="Q204" s="87">
        <v>0</v>
      </c>
      <c r="R204" s="87">
        <v>0</v>
      </c>
      <c r="S204" s="87">
        <v>0</v>
      </c>
      <c r="T204" s="87">
        <v>0</v>
      </c>
      <c r="U204" s="87">
        <v>0</v>
      </c>
      <c r="V204" s="87">
        <v>0</v>
      </c>
      <c r="W204" s="87">
        <v>0</v>
      </c>
      <c r="X204" s="87">
        <v>0</v>
      </c>
      <c r="Y204" s="87">
        <v>0</v>
      </c>
      <c r="Z204" s="87">
        <v>0</v>
      </c>
      <c r="AA204" s="87">
        <v>0</v>
      </c>
      <c r="AB204" s="87">
        <v>0</v>
      </c>
      <c r="AC204" s="87">
        <v>0</v>
      </c>
      <c r="AD204" s="87">
        <v>0</v>
      </c>
      <c r="AE204" s="87">
        <v>0</v>
      </c>
      <c r="AF204" s="87">
        <v>0</v>
      </c>
      <c r="AG204" s="87">
        <v>0</v>
      </c>
      <c r="AH204" s="87">
        <v>0</v>
      </c>
    </row>
    <row r="205" spans="2:34" ht="15">
      <c r="B205" s="49" t="s">
        <v>1885</v>
      </c>
      <c r="C205" s="1275" t="s">
        <v>1885</v>
      </c>
      <c r="D205" s="86">
        <v>0</v>
      </c>
      <c r="E205" s="86">
        <v>0</v>
      </c>
      <c r="F205" s="86"/>
      <c r="G205" s="86">
        <v>0</v>
      </c>
      <c r="H205" s="86">
        <v>0</v>
      </c>
      <c r="I205" s="86">
        <v>0</v>
      </c>
      <c r="J205" s="86">
        <v>0</v>
      </c>
      <c r="K205" s="86">
        <v>0</v>
      </c>
      <c r="L205" s="86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</row>
    <row r="206" spans="2:34" ht="15">
      <c r="B206" s="49" t="s">
        <v>1886</v>
      </c>
      <c r="C206" s="1275" t="s">
        <v>1886</v>
      </c>
      <c r="D206" s="86">
        <v>0</v>
      </c>
      <c r="E206" s="86">
        <v>0</v>
      </c>
      <c r="F206" s="86"/>
      <c r="G206" s="86">
        <v>0</v>
      </c>
      <c r="H206" s="86">
        <v>0</v>
      </c>
      <c r="I206" s="86">
        <v>0</v>
      </c>
      <c r="J206" s="86">
        <v>0</v>
      </c>
      <c r="K206" s="86">
        <v>0</v>
      </c>
      <c r="L206" s="86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</row>
    <row r="207" spans="2:34" ht="15">
      <c r="B207" s="49" t="s">
        <v>1887</v>
      </c>
      <c r="C207" s="1275" t="s">
        <v>1887</v>
      </c>
      <c r="D207" s="86">
        <v>0</v>
      </c>
      <c r="E207" s="86">
        <v>0</v>
      </c>
      <c r="F207" s="86"/>
      <c r="G207" s="86">
        <v>0</v>
      </c>
      <c r="H207" s="86">
        <v>0</v>
      </c>
      <c r="I207" s="86">
        <v>0</v>
      </c>
      <c r="J207" s="86">
        <v>0</v>
      </c>
      <c r="K207" s="86">
        <v>0</v>
      </c>
      <c r="L207" s="86">
        <v>0</v>
      </c>
      <c r="M207" s="85">
        <v>0</v>
      </c>
      <c r="N207" s="85">
        <v>0</v>
      </c>
      <c r="O207" s="85">
        <v>0</v>
      </c>
      <c r="P207" s="85">
        <v>0</v>
      </c>
      <c r="Q207" s="85">
        <v>0</v>
      </c>
      <c r="R207" s="85">
        <v>0</v>
      </c>
      <c r="S207" s="85">
        <v>0</v>
      </c>
      <c r="T207" s="85">
        <v>0</v>
      </c>
      <c r="U207" s="85">
        <v>0</v>
      </c>
      <c r="V207" s="85">
        <v>0</v>
      </c>
      <c r="W207" s="85">
        <v>0</v>
      </c>
      <c r="X207" s="85">
        <v>0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</row>
    <row r="208" spans="2:34" ht="15">
      <c r="B208" s="49" t="s">
        <v>1888</v>
      </c>
      <c r="C208" s="1275" t="s">
        <v>1888</v>
      </c>
      <c r="D208" s="86">
        <v>0</v>
      </c>
      <c r="E208" s="86">
        <v>0</v>
      </c>
      <c r="F208" s="86"/>
      <c r="G208" s="86">
        <v>0</v>
      </c>
      <c r="H208" s="86">
        <v>0</v>
      </c>
      <c r="I208" s="86">
        <v>0</v>
      </c>
      <c r="J208" s="86">
        <v>0</v>
      </c>
      <c r="K208" s="86">
        <v>0</v>
      </c>
      <c r="L208" s="86">
        <v>0</v>
      </c>
      <c r="M208" s="85">
        <v>0</v>
      </c>
      <c r="N208" s="85">
        <v>0</v>
      </c>
      <c r="O208" s="85">
        <v>0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 s="85">
        <v>0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</row>
    <row r="209" spans="2:34" ht="15">
      <c r="B209" s="49" t="s">
        <v>1889</v>
      </c>
      <c r="C209" s="1275" t="s">
        <v>1889</v>
      </c>
      <c r="D209" s="86">
        <v>0</v>
      </c>
      <c r="E209" s="86">
        <v>0</v>
      </c>
      <c r="F209" s="86"/>
      <c r="G209" s="86">
        <v>0</v>
      </c>
      <c r="H209" s="86">
        <v>0</v>
      </c>
      <c r="I209" s="86">
        <v>0</v>
      </c>
      <c r="J209" s="86">
        <v>0</v>
      </c>
      <c r="K209" s="86">
        <v>0</v>
      </c>
      <c r="L209" s="86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</row>
    <row r="210" spans="2:34">
      <c r="B210" s="43" t="s">
        <v>1890</v>
      </c>
      <c r="C210" s="43" t="s">
        <v>1890</v>
      </c>
      <c r="D210" s="87">
        <v>0</v>
      </c>
      <c r="E210" s="87">
        <v>0</v>
      </c>
      <c r="F210" s="87"/>
      <c r="G210" s="87">
        <v>0</v>
      </c>
      <c r="H210" s="87">
        <v>0</v>
      </c>
      <c r="I210" s="87">
        <v>0</v>
      </c>
      <c r="J210" s="87">
        <v>0</v>
      </c>
      <c r="K210" s="87">
        <v>0</v>
      </c>
      <c r="L210" s="87">
        <v>0</v>
      </c>
      <c r="M210" s="87">
        <v>0</v>
      </c>
      <c r="N210" s="87">
        <v>0</v>
      </c>
      <c r="O210" s="87">
        <v>0</v>
      </c>
      <c r="P210" s="87">
        <v>0</v>
      </c>
      <c r="Q210" s="87">
        <v>0</v>
      </c>
      <c r="R210" s="87">
        <v>0</v>
      </c>
      <c r="S210" s="87">
        <v>0</v>
      </c>
      <c r="T210" s="87">
        <v>0</v>
      </c>
      <c r="U210" s="87">
        <v>0</v>
      </c>
      <c r="V210" s="87">
        <v>0</v>
      </c>
      <c r="W210" s="87">
        <v>0</v>
      </c>
      <c r="X210" s="87">
        <v>0</v>
      </c>
      <c r="Y210" s="87">
        <v>0</v>
      </c>
      <c r="Z210" s="87">
        <v>0</v>
      </c>
      <c r="AA210" s="87">
        <v>0</v>
      </c>
      <c r="AB210" s="87">
        <v>0</v>
      </c>
      <c r="AC210" s="87">
        <v>0</v>
      </c>
      <c r="AD210" s="87">
        <v>0</v>
      </c>
      <c r="AE210" s="87">
        <v>0</v>
      </c>
      <c r="AF210" s="87">
        <v>0</v>
      </c>
      <c r="AG210" s="87">
        <v>0</v>
      </c>
      <c r="AH210" s="87">
        <v>0</v>
      </c>
    </row>
    <row r="211" spans="2:34">
      <c r="B211" s="49" t="s">
        <v>1891</v>
      </c>
      <c r="C211" s="1275" t="s">
        <v>1891</v>
      </c>
      <c r="D211" s="86">
        <v>0</v>
      </c>
      <c r="E211" s="86">
        <v>0</v>
      </c>
      <c r="F211" s="86"/>
      <c r="G211" s="86">
        <v>0</v>
      </c>
      <c r="H211" s="86">
        <v>0</v>
      </c>
      <c r="I211" s="86">
        <v>0</v>
      </c>
      <c r="J211" s="86">
        <v>0</v>
      </c>
      <c r="K211" s="86">
        <v>0</v>
      </c>
      <c r="L211" s="86">
        <v>0</v>
      </c>
      <c r="M211" s="86">
        <v>0</v>
      </c>
      <c r="N211" s="86">
        <v>0</v>
      </c>
      <c r="O211" s="86">
        <v>0</v>
      </c>
      <c r="P211" s="86">
        <v>0</v>
      </c>
      <c r="Q211" s="86">
        <v>0</v>
      </c>
      <c r="R211" s="86">
        <v>0</v>
      </c>
      <c r="S211" s="86">
        <v>0</v>
      </c>
      <c r="T211" s="86">
        <v>0</v>
      </c>
      <c r="U211" s="86">
        <v>0</v>
      </c>
      <c r="V211" s="86">
        <v>0</v>
      </c>
      <c r="W211" s="86">
        <v>0</v>
      </c>
      <c r="X211" s="86">
        <v>0</v>
      </c>
      <c r="Y211" s="86">
        <v>0</v>
      </c>
      <c r="Z211" s="86">
        <v>0</v>
      </c>
      <c r="AA211" s="86">
        <v>0</v>
      </c>
      <c r="AB211" s="86">
        <v>0</v>
      </c>
      <c r="AC211" s="86">
        <v>0</v>
      </c>
      <c r="AD211" s="86">
        <v>0</v>
      </c>
      <c r="AE211" s="86">
        <v>0</v>
      </c>
      <c r="AF211" s="86">
        <v>0</v>
      </c>
      <c r="AG211" s="86">
        <v>0</v>
      </c>
      <c r="AH211" s="86">
        <v>0</v>
      </c>
    </row>
    <row r="212" spans="2:34" ht="15">
      <c r="B212" s="49" t="s">
        <v>1892</v>
      </c>
      <c r="C212" s="1275" t="s">
        <v>1892</v>
      </c>
      <c r="D212" s="86">
        <v>0</v>
      </c>
      <c r="E212" s="86">
        <v>0</v>
      </c>
      <c r="F212" s="86"/>
      <c r="G212" s="86">
        <v>0</v>
      </c>
      <c r="H212" s="86">
        <v>0</v>
      </c>
      <c r="I212" s="86">
        <v>0</v>
      </c>
      <c r="J212" s="86">
        <v>0</v>
      </c>
      <c r="K212" s="86">
        <v>0</v>
      </c>
      <c r="L212" s="86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</row>
    <row r="213" spans="2:34">
      <c r="B213" s="49" t="s">
        <v>1893</v>
      </c>
      <c r="C213" s="1275" t="s">
        <v>1893</v>
      </c>
      <c r="D213" s="86">
        <v>0</v>
      </c>
      <c r="E213" s="86">
        <v>0</v>
      </c>
      <c r="F213" s="86"/>
      <c r="G213" s="86">
        <v>0</v>
      </c>
      <c r="H213" s="86">
        <v>0</v>
      </c>
      <c r="I213" s="86">
        <v>0</v>
      </c>
      <c r="J213" s="86">
        <v>0</v>
      </c>
      <c r="K213" s="86">
        <v>0</v>
      </c>
      <c r="L213" s="86">
        <v>0</v>
      </c>
      <c r="M213" s="86">
        <v>0</v>
      </c>
      <c r="N213" s="86">
        <v>0</v>
      </c>
      <c r="O213" s="86">
        <v>0</v>
      </c>
      <c r="P213" s="86">
        <v>0</v>
      </c>
      <c r="Q213" s="86">
        <v>0</v>
      </c>
      <c r="R213" s="86">
        <v>0</v>
      </c>
      <c r="S213" s="86">
        <v>0</v>
      </c>
      <c r="T213" s="86">
        <v>0</v>
      </c>
      <c r="U213" s="86">
        <v>0</v>
      </c>
      <c r="V213" s="86">
        <v>0</v>
      </c>
      <c r="W213" s="86">
        <v>0</v>
      </c>
      <c r="X213" s="86">
        <v>0</v>
      </c>
      <c r="Y213" s="86">
        <v>0</v>
      </c>
      <c r="Z213" s="86">
        <v>0</v>
      </c>
      <c r="AA213" s="86">
        <v>0</v>
      </c>
      <c r="AB213" s="86">
        <v>0</v>
      </c>
      <c r="AC213" s="86">
        <v>0</v>
      </c>
      <c r="AD213" s="86">
        <v>0</v>
      </c>
      <c r="AE213" s="86">
        <v>0</v>
      </c>
      <c r="AF213" s="86">
        <v>0</v>
      </c>
      <c r="AG213" s="86">
        <v>0</v>
      </c>
      <c r="AH213" s="86">
        <v>0</v>
      </c>
    </row>
    <row r="214" spans="2:34">
      <c r="B214" s="43" t="s">
        <v>1894</v>
      </c>
      <c r="C214" s="43" t="s">
        <v>1894</v>
      </c>
      <c r="D214" s="87">
        <v>1171570632643</v>
      </c>
      <c r="E214" s="87">
        <v>1212936772695</v>
      </c>
      <c r="F214" s="87"/>
      <c r="G214" s="87">
        <v>914409407907</v>
      </c>
      <c r="H214" s="87">
        <v>835671712546</v>
      </c>
      <c r="I214" s="87">
        <v>1337426710232</v>
      </c>
      <c r="J214" s="87">
        <v>1527180947858</v>
      </c>
      <c r="K214" s="87">
        <v>812587422979</v>
      </c>
      <c r="L214" s="87">
        <v>1133031756527</v>
      </c>
      <c r="M214" s="87">
        <v>1065432992872</v>
      </c>
      <c r="N214" s="87">
        <v>1252414064968</v>
      </c>
      <c r="O214" s="87">
        <v>787236764809</v>
      </c>
      <c r="P214" s="87">
        <v>1262823895343</v>
      </c>
      <c r="Q214" s="87">
        <v>1065516278344</v>
      </c>
      <c r="R214" s="87">
        <v>960105279642</v>
      </c>
      <c r="S214" s="87">
        <v>897286244506</v>
      </c>
      <c r="T214" s="87">
        <v>1110938954374</v>
      </c>
      <c r="U214" s="87">
        <v>1440046352913</v>
      </c>
      <c r="V214" s="87">
        <v>1502786987142</v>
      </c>
      <c r="W214" s="87">
        <v>785358353181</v>
      </c>
      <c r="X214" s="87">
        <v>1755022990892</v>
      </c>
      <c r="Y214" s="87">
        <v>1435514104461</v>
      </c>
      <c r="Z214" s="87">
        <v>1489180606867</v>
      </c>
      <c r="AA214" s="87">
        <v>1168640578742</v>
      </c>
      <c r="AB214" s="87">
        <v>1657221975106</v>
      </c>
      <c r="AC214" s="87">
        <v>1298489073884</v>
      </c>
      <c r="AD214" s="87">
        <v>1546135334827</v>
      </c>
      <c r="AE214" s="87">
        <v>1398226021279</v>
      </c>
      <c r="AF214" s="87">
        <v>3464499628661</v>
      </c>
      <c r="AG214" s="87">
        <v>5120762732687</v>
      </c>
      <c r="AH214" s="87">
        <v>2919639318781</v>
      </c>
    </row>
    <row r="215" spans="2:34">
      <c r="B215" s="49" t="s">
        <v>1821</v>
      </c>
      <c r="C215" s="1275" t="s">
        <v>1821</v>
      </c>
      <c r="D215" s="86">
        <v>3093694571</v>
      </c>
      <c r="E215" s="86">
        <v>3345041002</v>
      </c>
      <c r="F215" s="86"/>
      <c r="G215" s="86">
        <v>3221307237</v>
      </c>
      <c r="H215" s="86">
        <v>3591871577</v>
      </c>
      <c r="I215" s="86">
        <v>3573311868</v>
      </c>
      <c r="J215" s="86">
        <v>3636440463</v>
      </c>
      <c r="K215" s="86">
        <v>3430265655</v>
      </c>
      <c r="L215" s="86">
        <v>3450137334</v>
      </c>
      <c r="M215" s="86">
        <v>3197644230</v>
      </c>
      <c r="N215" s="86">
        <v>2983198602</v>
      </c>
      <c r="O215" s="86">
        <v>2781748821</v>
      </c>
      <c r="P215" s="86">
        <v>2449903491</v>
      </c>
      <c r="Q215" s="86">
        <v>2285198883</v>
      </c>
      <c r="R215" s="86">
        <v>2335057386</v>
      </c>
      <c r="S215" s="86">
        <v>2200951126</v>
      </c>
      <c r="T215" s="86">
        <v>2072916623</v>
      </c>
      <c r="U215" s="86">
        <v>1994011568</v>
      </c>
      <c r="V215" s="86">
        <v>1786327325</v>
      </c>
      <c r="W215" s="86">
        <v>1542867236</v>
      </c>
      <c r="X215" s="86">
        <v>1622962769</v>
      </c>
      <c r="Y215" s="86">
        <v>1529617638</v>
      </c>
      <c r="Z215" s="86">
        <v>1388761605</v>
      </c>
      <c r="AA215" s="86">
        <v>1283544933</v>
      </c>
      <c r="AB215" s="86">
        <v>1199380716</v>
      </c>
      <c r="AC215" s="86">
        <v>1067792596</v>
      </c>
      <c r="AD215" s="86">
        <v>1000571241</v>
      </c>
      <c r="AE215" s="86">
        <v>876756990</v>
      </c>
      <c r="AF215" s="86">
        <v>1006077683</v>
      </c>
      <c r="AG215" s="86">
        <v>952824392</v>
      </c>
      <c r="AH215" s="86">
        <v>928674994</v>
      </c>
    </row>
    <row r="216" spans="2:34" ht="15">
      <c r="B216" s="49" t="s">
        <v>1822</v>
      </c>
      <c r="C216" s="1275" t="s">
        <v>1822</v>
      </c>
      <c r="D216" s="86">
        <v>0</v>
      </c>
      <c r="E216" s="86">
        <v>0</v>
      </c>
      <c r="F216" s="86"/>
      <c r="G216" s="86">
        <v>0</v>
      </c>
      <c r="H216" s="86">
        <v>0</v>
      </c>
      <c r="I216" s="86">
        <v>0</v>
      </c>
      <c r="J216" s="86">
        <v>0</v>
      </c>
      <c r="K216" s="86">
        <v>0</v>
      </c>
      <c r="L216" s="86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</row>
    <row r="217" spans="2:34">
      <c r="B217" s="49" t="s">
        <v>1895</v>
      </c>
      <c r="C217" s="1275" t="s">
        <v>1895</v>
      </c>
      <c r="D217" s="86">
        <v>691753045511</v>
      </c>
      <c r="E217" s="86">
        <v>753166043294</v>
      </c>
      <c r="F217" s="86"/>
      <c r="G217" s="86">
        <v>469404316537</v>
      </c>
      <c r="H217" s="86">
        <v>390279893570</v>
      </c>
      <c r="I217" s="86">
        <v>894619278101</v>
      </c>
      <c r="J217" s="86">
        <v>1104275075006</v>
      </c>
      <c r="K217" s="86">
        <v>388491632228</v>
      </c>
      <c r="L217" s="86">
        <v>700798767949</v>
      </c>
      <c r="M217" s="86">
        <v>663864761444</v>
      </c>
      <c r="N217" s="86">
        <v>861062967565</v>
      </c>
      <c r="O217" s="86">
        <v>349747214851</v>
      </c>
      <c r="P217" s="86">
        <v>830711024932</v>
      </c>
      <c r="Q217" s="86">
        <v>668646470616</v>
      </c>
      <c r="R217" s="86">
        <v>582031590017</v>
      </c>
      <c r="S217" s="86">
        <v>523065775241</v>
      </c>
      <c r="T217" s="86">
        <v>723033752382</v>
      </c>
      <c r="U217" s="86">
        <v>1087942873267</v>
      </c>
      <c r="V217" s="86">
        <v>1112061165297</v>
      </c>
      <c r="W217" s="86">
        <v>419917191697</v>
      </c>
      <c r="X217" s="86">
        <v>1346575582062</v>
      </c>
      <c r="Y217" s="86">
        <v>1086283331852</v>
      </c>
      <c r="Z217" s="86">
        <v>1145506749795</v>
      </c>
      <c r="AA217" s="86">
        <v>828345038000</v>
      </c>
      <c r="AB217" s="86">
        <v>1251343069431</v>
      </c>
      <c r="AC217" s="86">
        <v>967235250701</v>
      </c>
      <c r="AD217" s="86">
        <v>1173754295598</v>
      </c>
      <c r="AE217" s="86">
        <v>1054265408546</v>
      </c>
      <c r="AF217" s="86">
        <v>3006790233243</v>
      </c>
      <c r="AG217" s="86">
        <v>4757922474081</v>
      </c>
      <c r="AH217" s="86">
        <v>2549390175791</v>
      </c>
    </row>
    <row r="218" spans="2:34">
      <c r="B218" s="50" t="s">
        <v>1896</v>
      </c>
      <c r="C218" s="1275" t="s">
        <v>1896</v>
      </c>
      <c r="D218" s="86">
        <v>86686544516</v>
      </c>
      <c r="E218" s="86">
        <v>459438831097</v>
      </c>
      <c r="F218" s="86"/>
      <c r="G218" s="86">
        <v>88025569768</v>
      </c>
      <c r="H218" s="86">
        <v>120792237451</v>
      </c>
      <c r="I218" s="86">
        <v>395613469568</v>
      </c>
      <c r="J218" s="86">
        <v>248995342222</v>
      </c>
      <c r="K218" s="86">
        <v>46103979615</v>
      </c>
      <c r="L218" s="86">
        <v>93376776234</v>
      </c>
      <c r="M218" s="86">
        <v>287845632472</v>
      </c>
      <c r="N218" s="86">
        <v>279627865390</v>
      </c>
      <c r="O218" s="86">
        <v>37018977217</v>
      </c>
      <c r="P218" s="86">
        <v>358643513485</v>
      </c>
      <c r="Q218" s="86">
        <v>144450411086</v>
      </c>
      <c r="R218" s="86">
        <v>203866362288</v>
      </c>
      <c r="S218" s="86">
        <v>68929908643</v>
      </c>
      <c r="T218" s="86">
        <v>315298570258</v>
      </c>
      <c r="U218" s="86">
        <v>343378832447</v>
      </c>
      <c r="V218" s="86">
        <v>534394114434</v>
      </c>
      <c r="W218" s="86">
        <v>37160173269</v>
      </c>
      <c r="X218" s="86">
        <v>510139161550</v>
      </c>
      <c r="Y218" s="86">
        <v>603372146867</v>
      </c>
      <c r="Z218" s="86">
        <v>487245000379</v>
      </c>
      <c r="AA218" s="86">
        <v>230563031318</v>
      </c>
      <c r="AB218" s="86">
        <v>520312480155</v>
      </c>
      <c r="AC218" s="86">
        <v>413116436074</v>
      </c>
      <c r="AD218" s="86">
        <v>287640152117</v>
      </c>
      <c r="AE218" s="86">
        <v>119690909570</v>
      </c>
      <c r="AF218" s="86">
        <v>551851698283</v>
      </c>
      <c r="AG218" s="86">
        <v>353974218768</v>
      </c>
      <c r="AH218" s="86">
        <v>495515305125</v>
      </c>
    </row>
    <row r="219" spans="2:34" ht="15">
      <c r="B219" s="51" t="s">
        <v>1897</v>
      </c>
      <c r="C219" s="1275" t="s">
        <v>1897</v>
      </c>
      <c r="D219" s="86">
        <v>18881541173</v>
      </c>
      <c r="E219" s="86">
        <v>1423156</v>
      </c>
      <c r="F219" s="86"/>
      <c r="G219" s="86">
        <v>143850</v>
      </c>
      <c r="H219" s="86">
        <v>0</v>
      </c>
      <c r="I219" s="86">
        <v>485300</v>
      </c>
      <c r="J219" s="86">
        <v>287700</v>
      </c>
      <c r="K219" s="86">
        <v>617450</v>
      </c>
      <c r="L219" s="86">
        <v>1072230</v>
      </c>
      <c r="M219" s="85">
        <v>0</v>
      </c>
      <c r="N219" s="85">
        <v>0</v>
      </c>
      <c r="O219" s="85">
        <v>0</v>
      </c>
      <c r="P219" s="85">
        <v>0</v>
      </c>
      <c r="Q219" s="85">
        <v>0</v>
      </c>
      <c r="R219" s="85">
        <v>0</v>
      </c>
      <c r="S219" s="85">
        <v>0</v>
      </c>
      <c r="T219" s="85">
        <v>0</v>
      </c>
      <c r="U219" s="85">
        <v>0</v>
      </c>
      <c r="V219" s="85">
        <v>0</v>
      </c>
      <c r="W219" s="85">
        <v>0</v>
      </c>
      <c r="X219" s="85">
        <v>0</v>
      </c>
      <c r="Y219" s="85">
        <v>0</v>
      </c>
      <c r="Z219" s="85">
        <v>0</v>
      </c>
      <c r="AA219" s="85">
        <v>0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</row>
    <row r="220" spans="2:34">
      <c r="B220" s="51" t="s">
        <v>1898</v>
      </c>
      <c r="C220" s="1275" t="s">
        <v>1898</v>
      </c>
      <c r="D220" s="86">
        <v>58139035830</v>
      </c>
      <c r="E220" s="86">
        <v>425613300000</v>
      </c>
      <c r="F220" s="86"/>
      <c r="G220" s="86">
        <v>70975000000</v>
      </c>
      <c r="H220" s="86">
        <v>95837480890</v>
      </c>
      <c r="I220" s="86">
        <v>327954500000</v>
      </c>
      <c r="J220" s="86">
        <v>214930757000</v>
      </c>
      <c r="K220" s="86">
        <v>10116135000</v>
      </c>
      <c r="L220" s="86">
        <v>60304500000</v>
      </c>
      <c r="M220" s="86">
        <v>260557206900</v>
      </c>
      <c r="N220" s="86">
        <v>246922000000</v>
      </c>
      <c r="O220" s="86">
        <v>0</v>
      </c>
      <c r="P220" s="86">
        <v>339203700000</v>
      </c>
      <c r="Q220" s="86">
        <v>136067400000</v>
      </c>
      <c r="R220" s="86">
        <v>177980380000</v>
      </c>
      <c r="S220" s="86">
        <v>57378064642</v>
      </c>
      <c r="T220" s="86">
        <v>310552884197</v>
      </c>
      <c r="U220" s="86">
        <v>322559708405</v>
      </c>
      <c r="V220" s="86">
        <v>474370881645</v>
      </c>
      <c r="W220" s="86">
        <v>20142000000</v>
      </c>
      <c r="X220" s="86">
        <v>470963973976</v>
      </c>
      <c r="Y220" s="86">
        <v>584735285000</v>
      </c>
      <c r="Z220" s="86">
        <v>389850700264</v>
      </c>
      <c r="AA220" s="86">
        <v>27886780000</v>
      </c>
      <c r="AB220" s="86">
        <v>504711970000</v>
      </c>
      <c r="AC220" s="86">
        <v>386704709897</v>
      </c>
      <c r="AD220" s="86">
        <v>273218890000</v>
      </c>
      <c r="AE220" s="86">
        <v>59502903422</v>
      </c>
      <c r="AF220" s="86">
        <v>485246982712</v>
      </c>
      <c r="AG220" s="86">
        <v>256500700000</v>
      </c>
      <c r="AH220" s="86">
        <v>474272829232</v>
      </c>
    </row>
    <row r="221" spans="2:34">
      <c r="B221" s="51" t="s">
        <v>1899</v>
      </c>
      <c r="C221" s="1275" t="s">
        <v>1899</v>
      </c>
      <c r="D221" s="86">
        <v>1010343523</v>
      </c>
      <c r="E221" s="86">
        <v>0</v>
      </c>
      <c r="F221" s="86"/>
      <c r="G221" s="86">
        <v>0</v>
      </c>
      <c r="H221" s="86">
        <v>0</v>
      </c>
      <c r="I221" s="86">
        <v>0</v>
      </c>
      <c r="J221" s="86">
        <v>0</v>
      </c>
      <c r="K221" s="86">
        <v>0</v>
      </c>
      <c r="L221" s="86">
        <v>0</v>
      </c>
      <c r="M221" s="86">
        <v>0</v>
      </c>
      <c r="N221" s="86">
        <v>0</v>
      </c>
      <c r="O221" s="86">
        <v>0</v>
      </c>
      <c r="P221" s="86">
        <v>0</v>
      </c>
      <c r="Q221" s="86">
        <v>0</v>
      </c>
      <c r="R221" s="86">
        <v>0</v>
      </c>
      <c r="S221" s="86">
        <v>0</v>
      </c>
      <c r="T221" s="86">
        <v>0</v>
      </c>
      <c r="U221" s="86">
        <v>0</v>
      </c>
      <c r="V221" s="86">
        <v>0</v>
      </c>
      <c r="W221" s="86">
        <v>0</v>
      </c>
      <c r="X221" s="86">
        <v>0</v>
      </c>
      <c r="Y221" s="86">
        <v>0</v>
      </c>
      <c r="Z221" s="86">
        <v>0</v>
      </c>
      <c r="AA221" s="86">
        <v>0</v>
      </c>
      <c r="AB221" s="86">
        <v>0</v>
      </c>
      <c r="AC221" s="86">
        <v>0</v>
      </c>
      <c r="AD221" s="86">
        <v>0</v>
      </c>
      <c r="AE221" s="86">
        <v>0</v>
      </c>
      <c r="AF221" s="86">
        <v>0</v>
      </c>
      <c r="AG221" s="86">
        <v>0</v>
      </c>
      <c r="AH221" s="86">
        <v>0</v>
      </c>
    </row>
    <row r="222" spans="2:34" ht="15">
      <c r="B222" s="51" t="s">
        <v>932</v>
      </c>
      <c r="C222" s="1275" t="s">
        <v>932</v>
      </c>
      <c r="D222" s="86">
        <v>8655623990</v>
      </c>
      <c r="E222" s="86">
        <v>33824107941</v>
      </c>
      <c r="F222" s="86"/>
      <c r="G222" s="86">
        <v>17050425918</v>
      </c>
      <c r="H222" s="86">
        <v>24954756561</v>
      </c>
      <c r="I222" s="86">
        <v>67658484268</v>
      </c>
      <c r="J222" s="86">
        <v>34064297522</v>
      </c>
      <c r="K222" s="86">
        <v>35987227165</v>
      </c>
      <c r="L222" s="86">
        <v>33071204004</v>
      </c>
      <c r="M222" s="85">
        <v>27288425572</v>
      </c>
      <c r="N222" s="85">
        <v>32705865390</v>
      </c>
      <c r="O222" s="85">
        <v>37018977217</v>
      </c>
      <c r="P222" s="85">
        <v>19439813485</v>
      </c>
      <c r="Q222" s="85">
        <v>8383011086</v>
      </c>
      <c r="R222" s="85">
        <v>25885982288</v>
      </c>
      <c r="S222" s="85">
        <v>11551844001</v>
      </c>
      <c r="T222" s="85">
        <v>4745686061</v>
      </c>
      <c r="U222" s="85">
        <v>20819124042</v>
      </c>
      <c r="V222" s="85">
        <v>60023232789</v>
      </c>
      <c r="W222" s="85">
        <v>17018173269</v>
      </c>
      <c r="X222" s="85">
        <v>39175187574</v>
      </c>
      <c r="Y222" s="85">
        <v>18636861867</v>
      </c>
      <c r="Z222" s="85">
        <v>97394300115</v>
      </c>
      <c r="AA222" s="85">
        <v>202676251318</v>
      </c>
      <c r="AB222" s="85">
        <v>15600510155</v>
      </c>
      <c r="AC222" s="85">
        <v>26411726177</v>
      </c>
      <c r="AD222" s="85">
        <v>14421262117</v>
      </c>
      <c r="AE222" s="85">
        <v>60188006148</v>
      </c>
      <c r="AF222" s="85">
        <v>66604715571</v>
      </c>
      <c r="AG222" s="85">
        <v>97473518768</v>
      </c>
      <c r="AH222" s="85">
        <v>21242475893</v>
      </c>
    </row>
    <row r="223" spans="2:34">
      <c r="B223" s="50" t="s">
        <v>1900</v>
      </c>
      <c r="C223" s="1275" t="s">
        <v>1900</v>
      </c>
      <c r="D223" s="86">
        <v>14319563696</v>
      </c>
      <c r="E223" s="86">
        <v>6286609239</v>
      </c>
      <c r="F223" s="86"/>
      <c r="G223" s="86">
        <v>5692684495</v>
      </c>
      <c r="H223" s="86">
        <v>3830429396</v>
      </c>
      <c r="I223" s="86">
        <v>8396785601</v>
      </c>
      <c r="J223" s="86">
        <v>4009241251</v>
      </c>
      <c r="K223" s="86">
        <v>6274490169</v>
      </c>
      <c r="L223" s="86">
        <v>5774546649</v>
      </c>
      <c r="M223" s="86">
        <v>6792576589</v>
      </c>
      <c r="N223" s="86">
        <v>5850258100</v>
      </c>
      <c r="O223" s="86">
        <v>7724136044</v>
      </c>
      <c r="P223" s="86">
        <v>4770750077</v>
      </c>
      <c r="Q223" s="86">
        <v>6467489974</v>
      </c>
      <c r="R223" s="86">
        <v>10243812249</v>
      </c>
      <c r="S223" s="86">
        <v>7940402080</v>
      </c>
      <c r="T223" s="86">
        <v>4110069493</v>
      </c>
      <c r="U223" s="86">
        <v>6011521264</v>
      </c>
      <c r="V223" s="86">
        <v>5270073060</v>
      </c>
      <c r="W223" s="86">
        <v>7356511833</v>
      </c>
      <c r="X223" s="86">
        <v>5080365866</v>
      </c>
      <c r="Y223" s="86">
        <v>7201967026</v>
      </c>
      <c r="Z223" s="86">
        <v>4892995315</v>
      </c>
      <c r="AA223" s="86">
        <v>6749899689</v>
      </c>
      <c r="AB223" s="86">
        <v>18464027454</v>
      </c>
      <c r="AC223" s="86">
        <v>15332053842</v>
      </c>
      <c r="AD223" s="86">
        <v>15731007214</v>
      </c>
      <c r="AE223" s="86">
        <v>16185263559</v>
      </c>
      <c r="AF223" s="86">
        <v>14468230710</v>
      </c>
      <c r="AG223" s="86">
        <v>13798411968</v>
      </c>
      <c r="AH223" s="86">
        <v>18475340418</v>
      </c>
    </row>
    <row r="224" spans="2:34">
      <c r="B224" s="51" t="s">
        <v>1897</v>
      </c>
      <c r="C224" s="1275" t="s">
        <v>1897</v>
      </c>
      <c r="D224" s="86">
        <v>14086113159</v>
      </c>
      <c r="E224" s="86">
        <v>6133219387</v>
      </c>
      <c r="F224" s="86"/>
      <c r="G224" s="86">
        <v>5561918684</v>
      </c>
      <c r="H224" s="86">
        <v>3703457725</v>
      </c>
      <c r="I224" s="86">
        <v>8288707776</v>
      </c>
      <c r="J224" s="86">
        <v>3901341443</v>
      </c>
      <c r="K224" s="86">
        <v>6155153469</v>
      </c>
      <c r="L224" s="86">
        <v>5625515069</v>
      </c>
      <c r="M224" s="86">
        <v>6689954231</v>
      </c>
      <c r="N224" s="86">
        <v>5770375677</v>
      </c>
      <c r="O224" s="86">
        <v>7596400909</v>
      </c>
      <c r="P224" s="86">
        <v>4617529798</v>
      </c>
      <c r="Q224" s="86">
        <v>6315608484</v>
      </c>
      <c r="R224" s="86">
        <v>10098476977</v>
      </c>
      <c r="S224" s="86">
        <v>7808158875</v>
      </c>
      <c r="T224" s="86">
        <v>3962935755</v>
      </c>
      <c r="U224" s="86">
        <v>5837876030</v>
      </c>
      <c r="V224" s="86">
        <v>5072171905</v>
      </c>
      <c r="W224" s="86">
        <v>7225610136</v>
      </c>
      <c r="X224" s="86">
        <v>4963146172</v>
      </c>
      <c r="Y224" s="86">
        <v>7063073734</v>
      </c>
      <c r="Z224" s="86">
        <v>4769652478</v>
      </c>
      <c r="AA224" s="86">
        <v>6637130448</v>
      </c>
      <c r="AB224" s="86">
        <v>8345886888</v>
      </c>
      <c r="AC224" s="86">
        <v>4995974305</v>
      </c>
      <c r="AD224" s="86">
        <v>5802554074</v>
      </c>
      <c r="AE224" s="86">
        <v>5627035884</v>
      </c>
      <c r="AF224" s="86">
        <v>4635071373</v>
      </c>
      <c r="AG224" s="86">
        <v>3721406652</v>
      </c>
      <c r="AH224" s="86">
        <v>7889431072</v>
      </c>
    </row>
    <row r="225" spans="2:34" ht="15">
      <c r="B225" s="51" t="s">
        <v>1898</v>
      </c>
      <c r="C225" s="1275" t="s">
        <v>1898</v>
      </c>
      <c r="D225" s="86">
        <v>0</v>
      </c>
      <c r="E225" s="86">
        <v>0</v>
      </c>
      <c r="F225" s="86"/>
      <c r="G225" s="86">
        <v>0</v>
      </c>
      <c r="H225" s="86">
        <v>0</v>
      </c>
      <c r="I225" s="86">
        <v>0</v>
      </c>
      <c r="J225" s="86">
        <v>0</v>
      </c>
      <c r="K225" s="86">
        <v>0</v>
      </c>
      <c r="L225" s="86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</row>
    <row r="226" spans="2:34">
      <c r="B226" s="51" t="s">
        <v>1899</v>
      </c>
      <c r="C226" s="1275" t="s">
        <v>1899</v>
      </c>
      <c r="D226" s="86">
        <v>233450537</v>
      </c>
      <c r="E226" s="86">
        <v>153389852</v>
      </c>
      <c r="F226" s="86"/>
      <c r="G226" s="86">
        <v>130765811</v>
      </c>
      <c r="H226" s="86">
        <v>126946797</v>
      </c>
      <c r="I226" s="86">
        <v>106633297</v>
      </c>
      <c r="J226" s="86">
        <v>107293358</v>
      </c>
      <c r="K226" s="86">
        <v>118601317</v>
      </c>
      <c r="L226" s="86">
        <v>121354843</v>
      </c>
      <c r="M226" s="86">
        <v>83916291</v>
      </c>
      <c r="N226" s="86">
        <v>56694260</v>
      </c>
      <c r="O226" s="86">
        <v>58150532</v>
      </c>
      <c r="P226" s="86">
        <v>74050953</v>
      </c>
      <c r="Q226" s="86">
        <v>64070325</v>
      </c>
      <c r="R226" s="86">
        <v>54098483</v>
      </c>
      <c r="S226" s="86">
        <v>41596876</v>
      </c>
      <c r="T226" s="86">
        <v>53098206</v>
      </c>
      <c r="U226" s="86">
        <v>76311624</v>
      </c>
      <c r="V226" s="86">
        <v>106669495</v>
      </c>
      <c r="W226" s="86">
        <v>51822974</v>
      </c>
      <c r="X226" s="86">
        <v>42209968</v>
      </c>
      <c r="Y226" s="86">
        <v>57389689</v>
      </c>
      <c r="Z226" s="86">
        <v>42917986</v>
      </c>
      <c r="AA226" s="86">
        <v>41622187</v>
      </c>
      <c r="AB226" s="86">
        <v>51969534</v>
      </c>
      <c r="AC226" s="86">
        <v>42610875</v>
      </c>
      <c r="AD226" s="86">
        <v>51296210</v>
      </c>
      <c r="AE226" s="86">
        <v>167822927</v>
      </c>
      <c r="AF226" s="86">
        <v>164276909</v>
      </c>
      <c r="AG226" s="86">
        <v>166021031</v>
      </c>
      <c r="AH226" s="86">
        <v>171106144</v>
      </c>
    </row>
    <row r="227" spans="2:34" ht="15">
      <c r="B227" s="51" t="s">
        <v>932</v>
      </c>
      <c r="C227" s="1275" t="s">
        <v>932</v>
      </c>
      <c r="D227" s="86">
        <v>0</v>
      </c>
      <c r="E227" s="86">
        <v>0</v>
      </c>
      <c r="F227" s="86"/>
      <c r="G227" s="86">
        <v>0</v>
      </c>
      <c r="H227" s="86">
        <v>24874</v>
      </c>
      <c r="I227" s="86">
        <v>1444528</v>
      </c>
      <c r="J227" s="86">
        <v>606450</v>
      </c>
      <c r="K227" s="86">
        <v>735383</v>
      </c>
      <c r="L227" s="86">
        <v>27676737</v>
      </c>
      <c r="M227" s="85">
        <v>18706067</v>
      </c>
      <c r="N227" s="85">
        <v>23188163</v>
      </c>
      <c r="O227" s="85">
        <v>69584603</v>
      </c>
      <c r="P227" s="85">
        <v>79169326</v>
      </c>
      <c r="Q227" s="85">
        <v>87811165</v>
      </c>
      <c r="R227" s="85">
        <v>91236789</v>
      </c>
      <c r="S227" s="85">
        <v>90646329</v>
      </c>
      <c r="T227" s="85">
        <v>94035532</v>
      </c>
      <c r="U227" s="85">
        <v>97333610</v>
      </c>
      <c r="V227" s="85">
        <v>91231660</v>
      </c>
      <c r="W227" s="85">
        <v>79078723</v>
      </c>
      <c r="X227" s="85">
        <v>75009726</v>
      </c>
      <c r="Y227" s="85">
        <v>81503603</v>
      </c>
      <c r="Z227" s="85">
        <v>80424851</v>
      </c>
      <c r="AA227" s="85">
        <v>71147054</v>
      </c>
      <c r="AB227" s="85">
        <v>10066171032</v>
      </c>
      <c r="AC227" s="85">
        <v>10293468662</v>
      </c>
      <c r="AD227" s="85">
        <v>9877156930</v>
      </c>
      <c r="AE227" s="85">
        <v>10390404748</v>
      </c>
      <c r="AF227" s="85">
        <v>9668882428</v>
      </c>
      <c r="AG227" s="85">
        <v>9910984285</v>
      </c>
      <c r="AH227" s="85">
        <v>10414803202</v>
      </c>
    </row>
    <row r="228" spans="2:34">
      <c r="B228" s="50" t="s">
        <v>1901</v>
      </c>
      <c r="C228" s="1275" t="s">
        <v>1901</v>
      </c>
      <c r="D228" s="86">
        <v>327313259876</v>
      </c>
      <c r="E228" s="86">
        <v>243415795299</v>
      </c>
      <c r="F228" s="86"/>
      <c r="G228" s="86">
        <v>297312150904</v>
      </c>
      <c r="H228" s="86">
        <v>264810475628</v>
      </c>
      <c r="I228" s="86">
        <v>300495318973</v>
      </c>
      <c r="J228" s="86">
        <v>389111218330</v>
      </c>
      <c r="K228" s="86">
        <v>292900139347</v>
      </c>
      <c r="L228" s="86">
        <v>371505563887</v>
      </c>
      <c r="M228" s="86">
        <v>225201728099</v>
      </c>
      <c r="N228" s="86">
        <v>218713898237</v>
      </c>
      <c r="O228" s="86">
        <v>251706270278</v>
      </c>
      <c r="P228" s="86">
        <v>414971439786</v>
      </c>
      <c r="Q228" s="86">
        <v>471603221201</v>
      </c>
      <c r="R228" s="86">
        <v>350264868186</v>
      </c>
      <c r="S228" s="86">
        <v>393456555398</v>
      </c>
      <c r="T228" s="86">
        <v>366361808729</v>
      </c>
      <c r="U228" s="86">
        <v>479405348035</v>
      </c>
      <c r="V228" s="86">
        <v>396644143079</v>
      </c>
      <c r="W228" s="86">
        <v>360421647710</v>
      </c>
      <c r="X228" s="86">
        <v>470855782113</v>
      </c>
      <c r="Y228" s="86">
        <v>400510029491</v>
      </c>
      <c r="Z228" s="86">
        <v>313817875320</v>
      </c>
      <c r="AA228" s="86">
        <v>560556717083</v>
      </c>
      <c r="AB228" s="86">
        <v>414541311477</v>
      </c>
      <c r="AC228" s="86">
        <v>369543605349</v>
      </c>
      <c r="AD228" s="86">
        <v>420301208209</v>
      </c>
      <c r="AE228" s="86">
        <v>172124227726</v>
      </c>
      <c r="AF228" s="86">
        <v>275447921244</v>
      </c>
      <c r="AG228" s="86">
        <v>343955032894</v>
      </c>
      <c r="AH228" s="86">
        <v>288116577445</v>
      </c>
    </row>
    <row r="229" spans="2:34">
      <c r="B229" s="51" t="s">
        <v>1902</v>
      </c>
      <c r="C229" s="1275" t="s">
        <v>1902</v>
      </c>
      <c r="D229" s="86">
        <v>278734719305</v>
      </c>
      <c r="E229" s="86">
        <v>205152449403</v>
      </c>
      <c r="F229" s="86"/>
      <c r="G229" s="86">
        <v>217819677475</v>
      </c>
      <c r="H229" s="86">
        <v>244618258896</v>
      </c>
      <c r="I229" s="86">
        <v>288023675650</v>
      </c>
      <c r="J229" s="86">
        <v>357336603712</v>
      </c>
      <c r="K229" s="86">
        <v>286866862893</v>
      </c>
      <c r="L229" s="86">
        <v>344533580084</v>
      </c>
      <c r="M229" s="86">
        <v>154737038863</v>
      </c>
      <c r="N229" s="86">
        <v>203152127501</v>
      </c>
      <c r="O229" s="86">
        <v>248559929583</v>
      </c>
      <c r="P229" s="86">
        <v>346580389538</v>
      </c>
      <c r="Q229" s="86">
        <v>427558364122</v>
      </c>
      <c r="R229" s="86">
        <v>285789322618</v>
      </c>
      <c r="S229" s="86">
        <v>353298020259</v>
      </c>
      <c r="T229" s="86">
        <v>322533967442</v>
      </c>
      <c r="U229" s="86">
        <v>332657562795</v>
      </c>
      <c r="V229" s="86">
        <v>353939834007</v>
      </c>
      <c r="W229" s="86">
        <v>287152933002</v>
      </c>
      <c r="X229" s="86">
        <v>341525853441</v>
      </c>
      <c r="Y229" s="86">
        <v>350085109134</v>
      </c>
      <c r="Z229" s="86">
        <v>185499785622</v>
      </c>
      <c r="AA229" s="86">
        <v>456558615698</v>
      </c>
      <c r="AB229" s="86">
        <v>317389849456</v>
      </c>
      <c r="AC229" s="86">
        <v>269477940679</v>
      </c>
      <c r="AD229" s="86">
        <v>372735608502</v>
      </c>
      <c r="AE229" s="86">
        <v>99883229338</v>
      </c>
      <c r="AF229" s="86">
        <v>205484574121</v>
      </c>
      <c r="AG229" s="86">
        <v>237842849433</v>
      </c>
      <c r="AH229" s="86">
        <v>233031493603</v>
      </c>
    </row>
    <row r="230" spans="2:34" ht="15">
      <c r="B230" s="51" t="s">
        <v>1903</v>
      </c>
      <c r="C230" s="1275" t="s">
        <v>1903</v>
      </c>
      <c r="D230" s="86">
        <v>48578540571</v>
      </c>
      <c r="E230" s="86">
        <v>38263345896</v>
      </c>
      <c r="F230" s="86"/>
      <c r="G230" s="86">
        <v>79492473429</v>
      </c>
      <c r="H230" s="86">
        <v>20192216732</v>
      </c>
      <c r="I230" s="86">
        <v>12471643323</v>
      </c>
      <c r="J230" s="86">
        <v>31774614618</v>
      </c>
      <c r="K230" s="86">
        <v>6033276454</v>
      </c>
      <c r="L230" s="86">
        <v>26971983803</v>
      </c>
      <c r="M230" s="85">
        <v>70464689236</v>
      </c>
      <c r="N230" s="85">
        <v>15561770736</v>
      </c>
      <c r="O230" s="85">
        <v>3146340695</v>
      </c>
      <c r="P230" s="85">
        <v>68391050248</v>
      </c>
      <c r="Q230" s="85">
        <v>44044857079</v>
      </c>
      <c r="R230" s="85">
        <v>64475545568</v>
      </c>
      <c r="S230" s="85">
        <v>40158535139</v>
      </c>
      <c r="T230" s="85">
        <v>43827841287</v>
      </c>
      <c r="U230" s="85">
        <v>146747785240</v>
      </c>
      <c r="V230" s="85">
        <v>42704309072</v>
      </c>
      <c r="W230" s="85">
        <v>73268714708</v>
      </c>
      <c r="X230" s="85">
        <v>129329928672</v>
      </c>
      <c r="Y230" s="85">
        <v>50424920357</v>
      </c>
      <c r="Z230" s="85">
        <v>128318089698</v>
      </c>
      <c r="AA230" s="85">
        <v>103998101385</v>
      </c>
      <c r="AB230" s="85">
        <v>97151462021</v>
      </c>
      <c r="AC230" s="85">
        <v>100065664670</v>
      </c>
      <c r="AD230" s="85">
        <v>47565599707</v>
      </c>
      <c r="AE230" s="85">
        <v>72240998388</v>
      </c>
      <c r="AF230" s="85">
        <v>69963347123</v>
      </c>
      <c r="AG230" s="85">
        <v>106112183461</v>
      </c>
      <c r="AH230" s="85">
        <v>55085083842</v>
      </c>
    </row>
    <row r="231" spans="2:34" ht="15">
      <c r="B231" s="50" t="s">
        <v>1904</v>
      </c>
      <c r="C231" s="1275" t="s">
        <v>1904</v>
      </c>
      <c r="D231" s="86">
        <v>0</v>
      </c>
      <c r="E231" s="86">
        <v>0</v>
      </c>
      <c r="F231" s="86"/>
      <c r="G231" s="86">
        <v>0</v>
      </c>
      <c r="H231" s="86">
        <v>0</v>
      </c>
      <c r="I231" s="86">
        <v>0</v>
      </c>
      <c r="J231" s="86">
        <v>0</v>
      </c>
      <c r="K231" s="86">
        <v>0</v>
      </c>
      <c r="L231" s="86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</row>
    <row r="232" spans="2:34">
      <c r="B232" s="50" t="s">
        <v>1830</v>
      </c>
      <c r="C232" s="1275" t="s">
        <v>1830</v>
      </c>
      <c r="D232" s="86">
        <v>263433677423</v>
      </c>
      <c r="E232" s="86">
        <v>44024807659</v>
      </c>
      <c r="F232" s="86"/>
      <c r="G232" s="86">
        <v>78373911370</v>
      </c>
      <c r="H232" s="86">
        <v>846751095</v>
      </c>
      <c r="I232" s="86">
        <v>190113703959</v>
      </c>
      <c r="J232" s="86">
        <v>462159273203</v>
      </c>
      <c r="K232" s="86">
        <v>43213023097</v>
      </c>
      <c r="L232" s="86">
        <v>230141881179</v>
      </c>
      <c r="M232" s="86">
        <v>144024824284</v>
      </c>
      <c r="N232" s="86">
        <v>356870945838</v>
      </c>
      <c r="O232" s="86">
        <v>53297831312</v>
      </c>
      <c r="P232" s="86">
        <v>52325321584</v>
      </c>
      <c r="Q232" s="86">
        <v>46125348355</v>
      </c>
      <c r="R232" s="86">
        <v>17656547294</v>
      </c>
      <c r="S232" s="86">
        <v>52738909120</v>
      </c>
      <c r="T232" s="86">
        <v>37263303902</v>
      </c>
      <c r="U232" s="86">
        <v>259147171521</v>
      </c>
      <c r="V232" s="86">
        <v>175752834724</v>
      </c>
      <c r="W232" s="86">
        <v>14978858885</v>
      </c>
      <c r="X232" s="86">
        <v>360500272533</v>
      </c>
      <c r="Y232" s="86">
        <v>75199188468</v>
      </c>
      <c r="Z232" s="86">
        <v>339550878781</v>
      </c>
      <c r="AA232" s="86">
        <v>30475389910</v>
      </c>
      <c r="AB232" s="86">
        <v>298025250345</v>
      </c>
      <c r="AC232" s="86">
        <v>169243155436</v>
      </c>
      <c r="AD232" s="86">
        <v>450081928058</v>
      </c>
      <c r="AE232" s="86">
        <v>746265007691</v>
      </c>
      <c r="AF232" s="86">
        <v>2165022383006</v>
      </c>
      <c r="AG232" s="86">
        <v>4046194810451</v>
      </c>
      <c r="AH232" s="86">
        <v>1747282952803</v>
      </c>
    </row>
    <row r="233" spans="2:34">
      <c r="B233" s="49" t="s">
        <v>1905</v>
      </c>
      <c r="C233" s="1275" t="s">
        <v>1905</v>
      </c>
      <c r="D233" s="86">
        <v>134843973169</v>
      </c>
      <c r="E233" s="86">
        <v>105177772565</v>
      </c>
      <c r="F233" s="86"/>
      <c r="G233" s="86">
        <v>115475239339</v>
      </c>
      <c r="H233" s="86">
        <v>112234958362</v>
      </c>
      <c r="I233" s="86">
        <v>97507912404</v>
      </c>
      <c r="J233" s="86">
        <v>101437140169</v>
      </c>
      <c r="K233" s="86">
        <v>105558996532</v>
      </c>
      <c r="L233" s="86">
        <v>119970975094</v>
      </c>
      <c r="M233" s="86">
        <v>101870954345</v>
      </c>
      <c r="N233" s="86">
        <v>112612569682</v>
      </c>
      <c r="O233" s="86">
        <v>111862584811</v>
      </c>
      <c r="P233" s="86">
        <v>164886402068</v>
      </c>
      <c r="Q233" s="86">
        <v>129859341252</v>
      </c>
      <c r="R233" s="86">
        <v>118996172348</v>
      </c>
      <c r="S233" s="86">
        <v>126161368993</v>
      </c>
      <c r="T233" s="86">
        <v>153418620143</v>
      </c>
      <c r="U233" s="86">
        <v>114545424386</v>
      </c>
      <c r="V233" s="86">
        <v>126858985999</v>
      </c>
      <c r="W233" s="86">
        <v>109348175345</v>
      </c>
      <c r="X233" s="86">
        <v>161964192187</v>
      </c>
      <c r="Y233" s="86">
        <v>112241413319</v>
      </c>
      <c r="Z233" s="86">
        <v>123801736339</v>
      </c>
      <c r="AA233" s="86">
        <v>128502636550</v>
      </c>
      <c r="AB233" s="86">
        <v>200191677967</v>
      </c>
      <c r="AC233" s="86">
        <v>130091008098</v>
      </c>
      <c r="AD233" s="86">
        <v>166562162965</v>
      </c>
      <c r="AE233" s="86">
        <v>148212270329</v>
      </c>
      <c r="AF233" s="86">
        <v>256525499613</v>
      </c>
      <c r="AG233" s="86">
        <v>159541030970</v>
      </c>
      <c r="AH233" s="86">
        <v>183420921442</v>
      </c>
    </row>
    <row r="234" spans="2:34">
      <c r="B234" s="50" t="s">
        <v>1906</v>
      </c>
      <c r="C234" s="1275" t="s">
        <v>1906</v>
      </c>
      <c r="D234" s="86">
        <v>19529816135</v>
      </c>
      <c r="E234" s="86">
        <v>18784756374</v>
      </c>
      <c r="F234" s="86"/>
      <c r="G234" s="86">
        <v>16347914575</v>
      </c>
      <c r="H234" s="86">
        <v>18931477078</v>
      </c>
      <c r="I234" s="86">
        <v>19594712539</v>
      </c>
      <c r="J234" s="86">
        <v>16321242014</v>
      </c>
      <c r="K234" s="86">
        <v>15980234724</v>
      </c>
      <c r="L234" s="86">
        <v>14620246850</v>
      </c>
      <c r="M234" s="86">
        <v>14848888081</v>
      </c>
      <c r="N234" s="86">
        <v>16778517325</v>
      </c>
      <c r="O234" s="86">
        <v>16538958620</v>
      </c>
      <c r="P234" s="86">
        <v>16123080608</v>
      </c>
      <c r="Q234" s="86">
        <v>21160355224</v>
      </c>
      <c r="R234" s="86">
        <v>22222465572</v>
      </c>
      <c r="S234" s="86">
        <v>23367089297</v>
      </c>
      <c r="T234" s="86">
        <v>21020071477</v>
      </c>
      <c r="U234" s="86">
        <v>23058354969</v>
      </c>
      <c r="V234" s="86">
        <v>25261928770</v>
      </c>
      <c r="W234" s="86">
        <v>27391181979</v>
      </c>
      <c r="X234" s="86">
        <v>21018403625</v>
      </c>
      <c r="Y234" s="86">
        <v>24290030359</v>
      </c>
      <c r="Z234" s="86">
        <v>28964848629</v>
      </c>
      <c r="AA234" s="86">
        <v>31330652552</v>
      </c>
      <c r="AB234" s="86">
        <v>29479845529</v>
      </c>
      <c r="AC234" s="86">
        <v>31180013568</v>
      </c>
      <c r="AD234" s="86">
        <v>32426470373</v>
      </c>
      <c r="AE234" s="86">
        <v>29189318687</v>
      </c>
      <c r="AF234" s="86">
        <v>26582107862</v>
      </c>
      <c r="AG234" s="86">
        <v>30304587715</v>
      </c>
      <c r="AH234" s="86">
        <v>30794233947</v>
      </c>
    </row>
    <row r="235" spans="2:34" ht="15">
      <c r="B235" s="51" t="s">
        <v>1907</v>
      </c>
      <c r="C235" s="1275" t="s">
        <v>1907</v>
      </c>
      <c r="D235" s="86">
        <v>15516863</v>
      </c>
      <c r="E235" s="86">
        <v>17140921</v>
      </c>
      <c r="F235" s="86"/>
      <c r="G235" s="86">
        <v>74578722</v>
      </c>
      <c r="H235" s="86">
        <v>43819647</v>
      </c>
      <c r="I235" s="86">
        <v>359307966</v>
      </c>
      <c r="J235" s="86">
        <v>41437078</v>
      </c>
      <c r="K235" s="86">
        <v>86205628</v>
      </c>
      <c r="L235" s="86">
        <v>178467902</v>
      </c>
      <c r="M235" s="85">
        <v>97778742</v>
      </c>
      <c r="N235" s="85">
        <v>188417684</v>
      </c>
      <c r="O235" s="85">
        <v>237409733</v>
      </c>
      <c r="P235" s="85">
        <v>236547988</v>
      </c>
      <c r="Q235" s="85">
        <v>365701560</v>
      </c>
      <c r="R235" s="85">
        <v>3369368896</v>
      </c>
      <c r="S235" s="85">
        <v>3626869825</v>
      </c>
      <c r="T235" s="85">
        <v>438457451</v>
      </c>
      <c r="U235" s="85">
        <v>354198037</v>
      </c>
      <c r="V235" s="85">
        <v>199243570</v>
      </c>
      <c r="W235" s="85">
        <v>251364283</v>
      </c>
      <c r="X235" s="85">
        <v>2864555192</v>
      </c>
      <c r="Y235" s="85">
        <v>675257713</v>
      </c>
      <c r="Z235" s="85">
        <v>643692310</v>
      </c>
      <c r="AA235" s="85">
        <v>600303492</v>
      </c>
      <c r="AB235" s="85">
        <v>500291932</v>
      </c>
      <c r="AC235" s="85">
        <v>451826315</v>
      </c>
      <c r="AD235" s="85">
        <v>666036120</v>
      </c>
      <c r="AE235" s="85">
        <v>454805897</v>
      </c>
      <c r="AF235" s="85">
        <v>453041842</v>
      </c>
      <c r="AG235" s="85">
        <v>391174945</v>
      </c>
      <c r="AH235" s="85">
        <v>646895526</v>
      </c>
    </row>
    <row r="236" spans="2:34" ht="15">
      <c r="B236" s="51" t="s">
        <v>1908</v>
      </c>
      <c r="C236" s="1275" t="s">
        <v>1908</v>
      </c>
      <c r="D236" s="86">
        <v>0</v>
      </c>
      <c r="E236" s="86">
        <v>0</v>
      </c>
      <c r="F236" s="86"/>
      <c r="G236" s="86">
        <v>0</v>
      </c>
      <c r="H236" s="86">
        <v>0</v>
      </c>
      <c r="I236" s="86">
        <v>0</v>
      </c>
      <c r="J236" s="86">
        <v>0</v>
      </c>
      <c r="K236" s="86">
        <v>0</v>
      </c>
      <c r="L236" s="86">
        <v>0</v>
      </c>
      <c r="M236" s="86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</row>
    <row r="237" spans="2:34" ht="15">
      <c r="B237" s="51" t="s">
        <v>1909</v>
      </c>
      <c r="C237" s="1275" t="s">
        <v>1909</v>
      </c>
      <c r="D237" s="86">
        <v>9493246195</v>
      </c>
      <c r="E237" s="86">
        <v>9075787729</v>
      </c>
      <c r="F237" s="86"/>
      <c r="G237" s="86">
        <v>5397083860</v>
      </c>
      <c r="H237" s="86">
        <v>8841293626</v>
      </c>
      <c r="I237" s="86">
        <v>8632426083</v>
      </c>
      <c r="J237" s="86">
        <v>4534966225</v>
      </c>
      <c r="K237" s="86">
        <v>4606990116</v>
      </c>
      <c r="L237" s="86">
        <v>3991836963</v>
      </c>
      <c r="M237" s="85">
        <v>4109611637</v>
      </c>
      <c r="N237" s="85">
        <v>4009969417</v>
      </c>
      <c r="O237" s="85">
        <v>4037614201</v>
      </c>
      <c r="P237" s="85">
        <v>3702056320</v>
      </c>
      <c r="Q237" s="85">
        <v>4190757489</v>
      </c>
      <c r="R237" s="85">
        <v>3964432155</v>
      </c>
      <c r="S237" s="85">
        <v>4247944444</v>
      </c>
      <c r="T237" s="85">
        <v>4019166047</v>
      </c>
      <c r="U237" s="85">
        <v>4548994589</v>
      </c>
      <c r="V237" s="85">
        <v>4758959996</v>
      </c>
      <c r="W237" s="85">
        <v>7912823535</v>
      </c>
      <c r="X237" s="85">
        <v>4762417762</v>
      </c>
      <c r="Y237" s="85">
        <v>5581393245</v>
      </c>
      <c r="Z237" s="85">
        <v>8714032206</v>
      </c>
      <c r="AA237" s="85">
        <v>9503576704</v>
      </c>
      <c r="AB237" s="85">
        <v>9981240831</v>
      </c>
      <c r="AC237" s="85">
        <v>10785200513</v>
      </c>
      <c r="AD237" s="85">
        <v>9770491218</v>
      </c>
      <c r="AE237" s="85">
        <v>6640215124</v>
      </c>
      <c r="AF237" s="85">
        <v>9119615329</v>
      </c>
      <c r="AG237" s="85">
        <v>9905656258</v>
      </c>
      <c r="AH237" s="85">
        <v>7844289535</v>
      </c>
    </row>
    <row r="238" spans="2:34" ht="15">
      <c r="B238" s="51" t="s">
        <v>1910</v>
      </c>
      <c r="C238" s="1275" t="s">
        <v>1910</v>
      </c>
      <c r="D238" s="86">
        <v>0</v>
      </c>
      <c r="E238" s="86">
        <v>0</v>
      </c>
      <c r="F238" s="86"/>
      <c r="G238" s="86">
        <v>0</v>
      </c>
      <c r="H238" s="86">
        <v>0</v>
      </c>
      <c r="I238" s="86">
        <v>0</v>
      </c>
      <c r="J238" s="86">
        <v>0</v>
      </c>
      <c r="K238" s="86">
        <v>0</v>
      </c>
      <c r="L238" s="86">
        <v>0</v>
      </c>
      <c r="M238" s="85">
        <v>0</v>
      </c>
      <c r="N238" s="85">
        <v>0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 s="85">
        <v>0</v>
      </c>
      <c r="U238" s="85">
        <v>0</v>
      </c>
      <c r="V238" s="85">
        <v>0</v>
      </c>
      <c r="W238" s="85">
        <v>0</v>
      </c>
      <c r="X238" s="85">
        <v>0</v>
      </c>
      <c r="Y238" s="85">
        <v>0</v>
      </c>
      <c r="Z238" s="85">
        <v>0</v>
      </c>
      <c r="AA238" s="85">
        <v>0</v>
      </c>
      <c r="AB238" s="85">
        <v>0</v>
      </c>
      <c r="AC238" s="85">
        <v>0</v>
      </c>
      <c r="AD238" s="85">
        <v>0</v>
      </c>
      <c r="AE238" s="85">
        <v>0</v>
      </c>
      <c r="AF238" s="85">
        <v>0</v>
      </c>
      <c r="AG238" s="85">
        <v>0</v>
      </c>
      <c r="AH238" s="85">
        <v>0</v>
      </c>
    </row>
    <row r="239" spans="2:34">
      <c r="B239" s="51" t="s">
        <v>1911</v>
      </c>
      <c r="C239" s="1275" t="s">
        <v>1911</v>
      </c>
      <c r="D239" s="86">
        <v>0</v>
      </c>
      <c r="E239" s="86">
        <v>0</v>
      </c>
      <c r="F239" s="86"/>
      <c r="G239" s="86">
        <v>0</v>
      </c>
      <c r="H239" s="86">
        <v>0</v>
      </c>
      <c r="I239" s="86">
        <v>0</v>
      </c>
      <c r="J239" s="86">
        <v>0</v>
      </c>
      <c r="K239" s="86">
        <v>0</v>
      </c>
      <c r="L239" s="86">
        <v>0</v>
      </c>
      <c r="M239" s="86">
        <v>0</v>
      </c>
      <c r="N239" s="86">
        <v>0</v>
      </c>
      <c r="O239" s="86">
        <v>0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6">
        <v>0</v>
      </c>
      <c r="V239" s="86">
        <v>0</v>
      </c>
      <c r="W239" s="86">
        <v>0</v>
      </c>
      <c r="X239" s="86">
        <v>0</v>
      </c>
      <c r="Y239" s="86">
        <v>0</v>
      </c>
      <c r="Z239" s="86">
        <v>0</v>
      </c>
      <c r="AA239" s="86">
        <v>0</v>
      </c>
      <c r="AB239" s="86">
        <v>0</v>
      </c>
      <c r="AC239" s="86">
        <v>0</v>
      </c>
      <c r="AD239" s="86">
        <v>0</v>
      </c>
      <c r="AE239" s="86">
        <v>0</v>
      </c>
      <c r="AF239" s="86">
        <v>0</v>
      </c>
      <c r="AG239" s="86">
        <v>0</v>
      </c>
      <c r="AH239" s="86">
        <v>0</v>
      </c>
    </row>
    <row r="240" spans="2:34" ht="15">
      <c r="B240" s="51" t="s">
        <v>1912</v>
      </c>
      <c r="C240" s="1275" t="s">
        <v>1912</v>
      </c>
      <c r="D240" s="86">
        <v>4914863478</v>
      </c>
      <c r="E240" s="86">
        <v>4041149720</v>
      </c>
      <c r="F240" s="86"/>
      <c r="G240" s="86">
        <v>4059166912</v>
      </c>
      <c r="H240" s="86">
        <v>4056238190</v>
      </c>
      <c r="I240" s="86">
        <v>3882807419</v>
      </c>
      <c r="J240" s="86">
        <v>3873613497</v>
      </c>
      <c r="K240" s="86">
        <v>3517756073</v>
      </c>
      <c r="L240" s="86">
        <v>2871711516</v>
      </c>
      <c r="M240" s="85">
        <v>2789949509</v>
      </c>
      <c r="N240" s="85">
        <v>3152715915</v>
      </c>
      <c r="O240" s="85">
        <v>2892943475</v>
      </c>
      <c r="P240" s="85">
        <v>3312631628</v>
      </c>
      <c r="Q240" s="85">
        <v>5100943723</v>
      </c>
      <c r="R240" s="85">
        <v>6864002009</v>
      </c>
      <c r="S240" s="85">
        <v>8002086425</v>
      </c>
      <c r="T240" s="85">
        <v>6721438405</v>
      </c>
      <c r="U240" s="85">
        <v>6868898819</v>
      </c>
      <c r="V240" s="85">
        <v>7491952434</v>
      </c>
      <c r="W240" s="85">
        <v>6421439445</v>
      </c>
      <c r="X240" s="85">
        <v>6043428204</v>
      </c>
      <c r="Y240" s="85">
        <v>6272501546</v>
      </c>
      <c r="Z240" s="85">
        <v>6286415588</v>
      </c>
      <c r="AA240" s="85">
        <v>6051022306</v>
      </c>
      <c r="AB240" s="85">
        <v>5727980884</v>
      </c>
      <c r="AC240" s="85">
        <v>5380529769</v>
      </c>
      <c r="AD240" s="85">
        <v>4672573812</v>
      </c>
      <c r="AE240" s="85">
        <v>3218355649</v>
      </c>
      <c r="AF240" s="85">
        <v>3067441410</v>
      </c>
      <c r="AG240" s="85">
        <v>3594927708</v>
      </c>
      <c r="AH240" s="85">
        <v>3523127030</v>
      </c>
    </row>
    <row r="241" spans="2:34" ht="15">
      <c r="B241" s="51" t="s">
        <v>1913</v>
      </c>
      <c r="C241" s="1275" t="s">
        <v>1913</v>
      </c>
      <c r="D241" s="86">
        <v>0</v>
      </c>
      <c r="E241" s="86">
        <v>0</v>
      </c>
      <c r="F241" s="86"/>
      <c r="G241" s="86">
        <v>0</v>
      </c>
      <c r="H241" s="86">
        <v>0</v>
      </c>
      <c r="I241" s="86">
        <v>0</v>
      </c>
      <c r="J241" s="86">
        <v>0</v>
      </c>
      <c r="K241" s="86">
        <v>0</v>
      </c>
      <c r="L241" s="86">
        <v>0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 s="85">
        <v>0</v>
      </c>
      <c r="AF241" s="85">
        <v>0</v>
      </c>
      <c r="AG241" s="85">
        <v>0</v>
      </c>
      <c r="AH241" s="85">
        <v>0</v>
      </c>
    </row>
    <row r="242" spans="2:34">
      <c r="B242" s="51" t="s">
        <v>1914</v>
      </c>
      <c r="C242" s="1275" t="s">
        <v>1914</v>
      </c>
      <c r="D242" s="86">
        <v>0</v>
      </c>
      <c r="E242" s="86">
        <v>0</v>
      </c>
      <c r="F242" s="86"/>
      <c r="G242" s="86">
        <v>0</v>
      </c>
      <c r="H242" s="86">
        <v>0</v>
      </c>
      <c r="I242" s="86">
        <v>0</v>
      </c>
      <c r="J242" s="86">
        <v>0</v>
      </c>
      <c r="K242" s="86">
        <v>0</v>
      </c>
      <c r="L242" s="86">
        <v>0</v>
      </c>
      <c r="M242" s="86">
        <v>0</v>
      </c>
      <c r="N242" s="86">
        <v>0</v>
      </c>
      <c r="O242" s="86">
        <v>0</v>
      </c>
      <c r="P242" s="86">
        <v>0</v>
      </c>
      <c r="Q242" s="86">
        <v>0</v>
      </c>
      <c r="R242" s="86">
        <v>0</v>
      </c>
      <c r="S242" s="86">
        <v>0</v>
      </c>
      <c r="T242" s="86">
        <v>0</v>
      </c>
      <c r="U242" s="86">
        <v>0</v>
      </c>
      <c r="V242" s="86">
        <v>0</v>
      </c>
      <c r="W242" s="86">
        <v>0</v>
      </c>
      <c r="X242" s="86">
        <v>0</v>
      </c>
      <c r="Y242" s="86">
        <v>0</v>
      </c>
      <c r="Z242" s="86">
        <v>0</v>
      </c>
      <c r="AA242" s="86">
        <v>0</v>
      </c>
      <c r="AB242" s="86">
        <v>0</v>
      </c>
      <c r="AC242" s="86">
        <v>0</v>
      </c>
      <c r="AD242" s="86">
        <v>0</v>
      </c>
      <c r="AE242" s="86">
        <v>0</v>
      </c>
      <c r="AF242" s="86">
        <v>0</v>
      </c>
      <c r="AG242" s="86">
        <v>0</v>
      </c>
      <c r="AH242" s="86">
        <v>0</v>
      </c>
    </row>
    <row r="243" spans="2:34">
      <c r="B243" s="51" t="s">
        <v>1915</v>
      </c>
      <c r="C243" s="1275" t="s">
        <v>1915</v>
      </c>
      <c r="D243" s="86">
        <v>0</v>
      </c>
      <c r="E243" s="86">
        <v>4908596731</v>
      </c>
      <c r="F243" s="86"/>
      <c r="G243" s="86">
        <v>5554518962</v>
      </c>
      <c r="H243" s="86">
        <v>4975400863</v>
      </c>
      <c r="I243" s="86">
        <v>5700367699</v>
      </c>
      <c r="J243" s="86">
        <v>6547262725</v>
      </c>
      <c r="K243" s="86">
        <v>6412873066</v>
      </c>
      <c r="L243" s="86">
        <v>5583560785</v>
      </c>
      <c r="M243" s="86">
        <v>6168150839</v>
      </c>
      <c r="N243" s="86">
        <v>7685483480</v>
      </c>
      <c r="O243" s="86">
        <v>7894588902</v>
      </c>
      <c r="P243" s="86">
        <v>6917698809</v>
      </c>
      <c r="Q243" s="86">
        <v>9200812773</v>
      </c>
      <c r="R243" s="86">
        <v>5816734337</v>
      </c>
      <c r="S243" s="86">
        <v>5579855942</v>
      </c>
      <c r="T243" s="86">
        <v>7138563546</v>
      </c>
      <c r="U243" s="86">
        <v>8626995039</v>
      </c>
      <c r="V243" s="86">
        <v>10337749204</v>
      </c>
      <c r="W243" s="86">
        <v>10825861161</v>
      </c>
      <c r="X243" s="86">
        <v>3741192656</v>
      </c>
      <c r="Y243" s="86">
        <v>4417128446</v>
      </c>
      <c r="Z243" s="86">
        <v>5530534038</v>
      </c>
      <c r="AA243" s="86">
        <v>6254496951</v>
      </c>
      <c r="AB243" s="86">
        <v>5593191449</v>
      </c>
      <c r="AC243" s="86">
        <v>6443988092</v>
      </c>
      <c r="AD243" s="86">
        <v>7324203355</v>
      </c>
      <c r="AE243" s="86">
        <v>8300248092</v>
      </c>
      <c r="AF243" s="86">
        <v>6304904860</v>
      </c>
      <c r="AG243" s="86">
        <v>7657792079</v>
      </c>
      <c r="AH243" s="86">
        <v>8585753655</v>
      </c>
    </row>
    <row r="244" spans="2:34">
      <c r="B244" s="51" t="s">
        <v>1916</v>
      </c>
      <c r="C244" s="1275" t="s">
        <v>1916</v>
      </c>
      <c r="D244" s="86">
        <v>5106189599</v>
      </c>
      <c r="E244" s="86">
        <v>742081273</v>
      </c>
      <c r="F244" s="86"/>
      <c r="G244" s="86">
        <v>1262566119</v>
      </c>
      <c r="H244" s="86">
        <v>1014724752</v>
      </c>
      <c r="I244" s="86">
        <v>1019803372</v>
      </c>
      <c r="J244" s="86">
        <v>1323962489</v>
      </c>
      <c r="K244" s="86">
        <v>1356409841</v>
      </c>
      <c r="L244" s="86">
        <v>1994669684</v>
      </c>
      <c r="M244" s="86">
        <v>1683397354</v>
      </c>
      <c r="N244" s="86">
        <v>1741930829</v>
      </c>
      <c r="O244" s="86">
        <v>1476402309</v>
      </c>
      <c r="P244" s="86">
        <v>1954145863</v>
      </c>
      <c r="Q244" s="86">
        <v>2302139679</v>
      </c>
      <c r="R244" s="86">
        <v>2207928175</v>
      </c>
      <c r="S244" s="86">
        <v>1910332661</v>
      </c>
      <c r="T244" s="86">
        <v>2702446028</v>
      </c>
      <c r="U244" s="86">
        <v>2659268485</v>
      </c>
      <c r="V244" s="86">
        <v>2474023566</v>
      </c>
      <c r="W244" s="86">
        <v>1979693555</v>
      </c>
      <c r="X244" s="86">
        <v>3606809811</v>
      </c>
      <c r="Y244" s="86">
        <v>7343749409</v>
      </c>
      <c r="Z244" s="86">
        <v>7790174487</v>
      </c>
      <c r="AA244" s="86">
        <v>8921253099</v>
      </c>
      <c r="AB244" s="86">
        <v>7677140433</v>
      </c>
      <c r="AC244" s="86">
        <v>8118468879</v>
      </c>
      <c r="AD244" s="86">
        <v>9993165868</v>
      </c>
      <c r="AE244" s="86">
        <v>10575693925</v>
      </c>
      <c r="AF244" s="86">
        <v>7637104421</v>
      </c>
      <c r="AG244" s="86">
        <v>8755036725</v>
      </c>
      <c r="AH244" s="86">
        <v>10194168201</v>
      </c>
    </row>
    <row r="245" spans="2:34">
      <c r="B245" s="50" t="s">
        <v>1917</v>
      </c>
      <c r="C245" s="1275" t="s">
        <v>1917</v>
      </c>
      <c r="D245" s="86">
        <v>61123821062</v>
      </c>
      <c r="E245" s="86">
        <v>60302881105</v>
      </c>
      <c r="F245" s="86"/>
      <c r="G245" s="86">
        <v>65543734150</v>
      </c>
      <c r="H245" s="86">
        <v>63574541777</v>
      </c>
      <c r="I245" s="86">
        <v>60926718868</v>
      </c>
      <c r="J245" s="86">
        <v>62071444372</v>
      </c>
      <c r="K245" s="86">
        <v>68016488840</v>
      </c>
      <c r="L245" s="86">
        <v>74084875673</v>
      </c>
      <c r="M245" s="86">
        <v>67622176410</v>
      </c>
      <c r="N245" s="86">
        <v>64118153955</v>
      </c>
      <c r="O245" s="86">
        <v>68655848334</v>
      </c>
      <c r="P245" s="86">
        <v>64827781245</v>
      </c>
      <c r="Q245" s="86">
        <v>69663644727</v>
      </c>
      <c r="R245" s="86">
        <v>69398199136</v>
      </c>
      <c r="S245" s="86">
        <v>60726760856</v>
      </c>
      <c r="T245" s="86">
        <v>62341992560</v>
      </c>
      <c r="U245" s="86">
        <v>60608335619</v>
      </c>
      <c r="V245" s="86">
        <v>65494940557</v>
      </c>
      <c r="W245" s="86">
        <v>68857328107</v>
      </c>
      <c r="X245" s="86">
        <v>68822406612</v>
      </c>
      <c r="Y245" s="86">
        <v>63497087093</v>
      </c>
      <c r="Z245" s="86">
        <v>67030786375</v>
      </c>
      <c r="AA245" s="86">
        <v>79564890189</v>
      </c>
      <c r="AB245" s="86">
        <v>89165143657</v>
      </c>
      <c r="AC245" s="86">
        <v>79710854188</v>
      </c>
      <c r="AD245" s="86">
        <v>100669730265</v>
      </c>
      <c r="AE245" s="86">
        <v>85845938913</v>
      </c>
      <c r="AF245" s="86">
        <v>104278962283</v>
      </c>
      <c r="AG245" s="86">
        <v>103480485836</v>
      </c>
      <c r="AH245" s="86">
        <v>123815298118</v>
      </c>
    </row>
    <row r="246" spans="2:34">
      <c r="B246" s="51" t="s">
        <v>1918</v>
      </c>
      <c r="C246" s="1275" t="s">
        <v>1918</v>
      </c>
      <c r="D246" s="86">
        <v>5412439010</v>
      </c>
      <c r="E246" s="86">
        <v>5020290325</v>
      </c>
      <c r="F246" s="86"/>
      <c r="G246" s="86">
        <v>5345714140</v>
      </c>
      <c r="H246" s="86">
        <v>5570885330</v>
      </c>
      <c r="I246" s="86">
        <v>5654305529</v>
      </c>
      <c r="J246" s="86">
        <v>5405767689</v>
      </c>
      <c r="K246" s="86">
        <v>5924467179</v>
      </c>
      <c r="L246" s="86">
        <v>5812901993</v>
      </c>
      <c r="M246" s="86">
        <v>6242441309</v>
      </c>
      <c r="N246" s="86">
        <v>5784963766</v>
      </c>
      <c r="O246" s="86">
        <v>5715621302</v>
      </c>
      <c r="P246" s="86">
        <v>5548134991</v>
      </c>
      <c r="Q246" s="86">
        <v>6785262147</v>
      </c>
      <c r="R246" s="86">
        <v>6909972754</v>
      </c>
      <c r="S246" s="86">
        <v>7260032513</v>
      </c>
      <c r="T246" s="86">
        <v>7349433111</v>
      </c>
      <c r="U246" s="86">
        <v>7442945260</v>
      </c>
      <c r="V246" s="86">
        <v>8845313994</v>
      </c>
      <c r="W246" s="86">
        <v>8456227433</v>
      </c>
      <c r="X246" s="86">
        <v>9094286759</v>
      </c>
      <c r="Y246" s="86">
        <v>9705264182</v>
      </c>
      <c r="Z246" s="86">
        <v>10637149824</v>
      </c>
      <c r="AA246" s="86">
        <v>13054603710</v>
      </c>
      <c r="AB246" s="86">
        <v>14690583940</v>
      </c>
      <c r="AC246" s="86">
        <v>16423227319</v>
      </c>
      <c r="AD246" s="86">
        <v>18092216122</v>
      </c>
      <c r="AE246" s="86">
        <v>17244931731</v>
      </c>
      <c r="AF246" s="86">
        <v>19714149864</v>
      </c>
      <c r="AG246" s="86">
        <v>21444023363</v>
      </c>
      <c r="AH246" s="86">
        <v>21140893387</v>
      </c>
    </row>
    <row r="247" spans="2:34">
      <c r="B247" s="51" t="s">
        <v>1919</v>
      </c>
      <c r="C247" s="1275" t="s">
        <v>1919</v>
      </c>
      <c r="D247" s="86">
        <v>55608809541</v>
      </c>
      <c r="E247" s="86">
        <v>55047393275</v>
      </c>
      <c r="F247" s="86"/>
      <c r="G247" s="86">
        <v>59835830648</v>
      </c>
      <c r="H247" s="86">
        <v>57635571100</v>
      </c>
      <c r="I247" s="86">
        <v>54862193550</v>
      </c>
      <c r="J247" s="86">
        <v>56308442669</v>
      </c>
      <c r="K247" s="86">
        <v>61739420604</v>
      </c>
      <c r="L247" s="86">
        <v>67493012829</v>
      </c>
      <c r="M247" s="86">
        <v>60462510679</v>
      </c>
      <c r="N247" s="86">
        <v>58032674477</v>
      </c>
      <c r="O247" s="86">
        <v>62573857146</v>
      </c>
      <c r="P247" s="86">
        <v>59113123487</v>
      </c>
      <c r="Q247" s="86">
        <v>62688210538</v>
      </c>
      <c r="R247" s="86">
        <v>61580356372</v>
      </c>
      <c r="S247" s="86">
        <v>53114849826</v>
      </c>
      <c r="T247" s="86">
        <v>54567823681</v>
      </c>
      <c r="U247" s="86">
        <v>51982485845</v>
      </c>
      <c r="V247" s="86">
        <v>54662021939</v>
      </c>
      <c r="W247" s="86">
        <v>58997953345</v>
      </c>
      <c r="X247" s="86">
        <v>57654823896</v>
      </c>
      <c r="Y247" s="86">
        <v>49564806440</v>
      </c>
      <c r="Z247" s="86">
        <v>52452381299</v>
      </c>
      <c r="AA247" s="86">
        <v>60270122886</v>
      </c>
      <c r="AB247" s="86">
        <v>66531640790</v>
      </c>
      <c r="AC247" s="86">
        <v>52847865078</v>
      </c>
      <c r="AD247" s="86">
        <v>69250574439</v>
      </c>
      <c r="AE247" s="86">
        <v>57610238778</v>
      </c>
      <c r="AF247" s="86">
        <v>68989748598</v>
      </c>
      <c r="AG247" s="86">
        <v>74829036158</v>
      </c>
      <c r="AH247" s="86">
        <v>92752619615</v>
      </c>
    </row>
    <row r="248" spans="2:34" ht="15">
      <c r="B248" s="51" t="s">
        <v>1920</v>
      </c>
      <c r="C248" s="1275" t="s">
        <v>1920</v>
      </c>
      <c r="D248" s="86">
        <v>0</v>
      </c>
      <c r="E248" s="86">
        <v>0</v>
      </c>
      <c r="F248" s="86"/>
      <c r="G248" s="86">
        <v>0</v>
      </c>
      <c r="H248" s="86">
        <v>0</v>
      </c>
      <c r="I248" s="86">
        <v>0</v>
      </c>
      <c r="J248" s="86">
        <v>0</v>
      </c>
      <c r="K248" s="86">
        <v>0</v>
      </c>
      <c r="L248" s="86">
        <v>0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 s="85">
        <v>0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 s="85">
        <v>0</v>
      </c>
    </row>
    <row r="249" spans="2:34">
      <c r="B249" s="51" t="s">
        <v>932</v>
      </c>
      <c r="C249" s="1275" t="s">
        <v>932</v>
      </c>
      <c r="D249" s="86">
        <v>102572511</v>
      </c>
      <c r="E249" s="86">
        <v>235197505</v>
      </c>
      <c r="F249" s="86"/>
      <c r="G249" s="86">
        <v>362189362</v>
      </c>
      <c r="H249" s="86">
        <v>368085347</v>
      </c>
      <c r="I249" s="86">
        <v>410219789</v>
      </c>
      <c r="J249" s="86">
        <v>357234014</v>
      </c>
      <c r="K249" s="86">
        <v>352601057</v>
      </c>
      <c r="L249" s="86">
        <v>778960851</v>
      </c>
      <c r="M249" s="86">
        <v>917224422</v>
      </c>
      <c r="N249" s="86">
        <v>300515712</v>
      </c>
      <c r="O249" s="86">
        <v>366369886</v>
      </c>
      <c r="P249" s="86">
        <v>166522767</v>
      </c>
      <c r="Q249" s="86">
        <v>190172042</v>
      </c>
      <c r="R249" s="86">
        <v>907870010</v>
      </c>
      <c r="S249" s="86">
        <v>351878517</v>
      </c>
      <c r="T249" s="86">
        <v>424735768</v>
      </c>
      <c r="U249" s="86">
        <v>1182904514</v>
      </c>
      <c r="V249" s="86">
        <v>1987604624</v>
      </c>
      <c r="W249" s="86">
        <v>1403147329</v>
      </c>
      <c r="X249" s="86">
        <v>2073295957</v>
      </c>
      <c r="Y249" s="86">
        <v>4227016471</v>
      </c>
      <c r="Z249" s="86">
        <v>3941255252</v>
      </c>
      <c r="AA249" s="86">
        <v>6240163593</v>
      </c>
      <c r="AB249" s="86">
        <v>7942918927</v>
      </c>
      <c r="AC249" s="86">
        <v>10439761791</v>
      </c>
      <c r="AD249" s="86">
        <v>13326939704</v>
      </c>
      <c r="AE249" s="86">
        <v>10990768404</v>
      </c>
      <c r="AF249" s="86">
        <v>15575063821</v>
      </c>
      <c r="AG249" s="86">
        <v>7207426315</v>
      </c>
      <c r="AH249" s="86">
        <v>9921785116</v>
      </c>
    </row>
    <row r="250" spans="2:34">
      <c r="B250" s="50" t="s">
        <v>1921</v>
      </c>
      <c r="C250" s="1275" t="s">
        <v>1921</v>
      </c>
      <c r="D250" s="86">
        <v>34071659136</v>
      </c>
      <c r="E250" s="86">
        <v>1387377049</v>
      </c>
      <c r="F250" s="86"/>
      <c r="G250" s="86">
        <v>2815065894</v>
      </c>
      <c r="H250" s="86">
        <v>12982159576</v>
      </c>
      <c r="I250" s="86">
        <v>1383535207</v>
      </c>
      <c r="J250" s="86">
        <v>2086768083</v>
      </c>
      <c r="K250" s="86">
        <v>2790000000</v>
      </c>
      <c r="L250" s="86">
        <v>17950299295</v>
      </c>
      <c r="M250" s="86">
        <v>1383534247</v>
      </c>
      <c r="N250" s="86">
        <v>2086767123</v>
      </c>
      <c r="O250" s="86">
        <v>2790000000</v>
      </c>
      <c r="P250" s="86">
        <v>45558335292</v>
      </c>
      <c r="Q250" s="86">
        <v>1383534247</v>
      </c>
      <c r="R250" s="86">
        <v>2086767123</v>
      </c>
      <c r="S250" s="86">
        <v>2790000000</v>
      </c>
      <c r="T250" s="86">
        <v>45773166036</v>
      </c>
      <c r="U250" s="86">
        <v>0</v>
      </c>
      <c r="V250" s="86">
        <v>0</v>
      </c>
      <c r="W250" s="86">
        <v>0</v>
      </c>
      <c r="X250" s="86">
        <v>55746254476</v>
      </c>
      <c r="Y250" s="86">
        <v>0</v>
      </c>
      <c r="Z250" s="86">
        <v>0</v>
      </c>
      <c r="AA250" s="86">
        <v>14281762</v>
      </c>
      <c r="AB250" s="86">
        <v>60479790134</v>
      </c>
      <c r="AC250" s="86">
        <v>0</v>
      </c>
      <c r="AD250" s="86">
        <v>0</v>
      </c>
      <c r="AE250" s="86">
        <v>0</v>
      </c>
      <c r="AF250" s="86">
        <v>68389394980</v>
      </c>
      <c r="AG250" s="86">
        <v>0</v>
      </c>
      <c r="AH250" s="86">
        <v>0</v>
      </c>
    </row>
    <row r="251" spans="2:34" ht="15">
      <c r="B251" s="50" t="s">
        <v>1922</v>
      </c>
      <c r="C251" s="1275" t="s">
        <v>1922</v>
      </c>
      <c r="D251" s="86">
        <v>0</v>
      </c>
      <c r="E251" s="86">
        <v>0</v>
      </c>
      <c r="F251" s="86"/>
      <c r="G251" s="86">
        <v>0</v>
      </c>
      <c r="H251" s="86">
        <v>0</v>
      </c>
      <c r="I251" s="86">
        <v>0</v>
      </c>
      <c r="J251" s="86">
        <v>0</v>
      </c>
      <c r="K251" s="86">
        <v>0</v>
      </c>
      <c r="L251" s="86">
        <v>0</v>
      </c>
      <c r="M251" s="86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</row>
    <row r="252" spans="2:34">
      <c r="B252" s="50" t="s">
        <v>1830</v>
      </c>
      <c r="C252" s="1275" t="s">
        <v>1830</v>
      </c>
      <c r="D252" s="86">
        <v>20118676836</v>
      </c>
      <c r="E252" s="86">
        <v>24702758037</v>
      </c>
      <c r="F252" s="86"/>
      <c r="G252" s="86">
        <v>30768524720</v>
      </c>
      <c r="H252" s="86">
        <v>16746779931</v>
      </c>
      <c r="I252" s="86">
        <v>15602945790</v>
      </c>
      <c r="J252" s="86">
        <v>20957685700</v>
      </c>
      <c r="K252" s="86">
        <v>18772272968</v>
      </c>
      <c r="L252" s="86">
        <v>13315553276</v>
      </c>
      <c r="M252" s="86">
        <v>18016355607</v>
      </c>
      <c r="N252" s="86">
        <v>29629131279</v>
      </c>
      <c r="O252" s="86">
        <v>23877777857</v>
      </c>
      <c r="P252" s="86">
        <v>38377204923</v>
      </c>
      <c r="Q252" s="86">
        <v>37651807054</v>
      </c>
      <c r="R252" s="86">
        <v>25288740517</v>
      </c>
      <c r="S252" s="86">
        <v>39277518840</v>
      </c>
      <c r="T252" s="86">
        <v>24283390070</v>
      </c>
      <c r="U252" s="86">
        <v>30878733798</v>
      </c>
      <c r="V252" s="86">
        <v>36102116672</v>
      </c>
      <c r="W252" s="86">
        <v>13099665259</v>
      </c>
      <c r="X252" s="86">
        <v>16377127474</v>
      </c>
      <c r="Y252" s="86">
        <v>24454295867</v>
      </c>
      <c r="Z252" s="86">
        <v>27806101335</v>
      </c>
      <c r="AA252" s="86">
        <v>17592812047</v>
      </c>
      <c r="AB252" s="86">
        <v>21066898647</v>
      </c>
      <c r="AC252" s="86">
        <v>19200140342</v>
      </c>
      <c r="AD252" s="86">
        <v>33465962327</v>
      </c>
      <c r="AE252" s="86">
        <v>33177012729</v>
      </c>
      <c r="AF252" s="86">
        <v>57275034488</v>
      </c>
      <c r="AG252" s="86">
        <v>25755957419</v>
      </c>
      <c r="AH252" s="86">
        <v>28811389377</v>
      </c>
    </row>
    <row r="253" spans="2:34">
      <c r="B253" s="49" t="s">
        <v>1923</v>
      </c>
      <c r="C253" s="1275" t="s">
        <v>1923</v>
      </c>
      <c r="D253" s="86">
        <v>35719530896</v>
      </c>
      <c r="E253" s="86">
        <v>40806868575</v>
      </c>
      <c r="F253" s="86"/>
      <c r="G253" s="86">
        <v>43319028874</v>
      </c>
      <c r="H253" s="86">
        <v>54705668037</v>
      </c>
      <c r="I253" s="86">
        <v>52431801073</v>
      </c>
      <c r="J253" s="86">
        <v>48905768489</v>
      </c>
      <c r="K253" s="86">
        <v>53841771934</v>
      </c>
      <c r="L253" s="86">
        <v>49369542404</v>
      </c>
      <c r="M253" s="86">
        <v>42596627778</v>
      </c>
      <c r="N253" s="86">
        <v>38811759513</v>
      </c>
      <c r="O253" s="86">
        <v>88152773431</v>
      </c>
      <c r="P253" s="86">
        <v>39395110297</v>
      </c>
      <c r="Q253" s="86">
        <v>41320002434</v>
      </c>
      <c r="R253" s="86">
        <v>33743935404</v>
      </c>
      <c r="S253" s="86">
        <v>31844223647</v>
      </c>
      <c r="T253" s="86">
        <v>36980104082</v>
      </c>
      <c r="U253" s="86">
        <v>43753095856</v>
      </c>
      <c r="V253" s="86">
        <v>74044764956</v>
      </c>
      <c r="W253" s="86">
        <v>71551929881</v>
      </c>
      <c r="X253" s="86">
        <v>78239024387</v>
      </c>
      <c r="Y253" s="86">
        <v>67333545118</v>
      </c>
      <c r="Z253" s="86">
        <v>51563184926</v>
      </c>
      <c r="AA253" s="86">
        <v>58136723945</v>
      </c>
      <c r="AB253" s="86">
        <v>67719293005</v>
      </c>
      <c r="AC253" s="86">
        <v>59848238523</v>
      </c>
      <c r="AD253" s="86">
        <v>65005773565</v>
      </c>
      <c r="AE253" s="86">
        <v>58300560373</v>
      </c>
      <c r="AF253" s="86">
        <v>68006683813</v>
      </c>
      <c r="AG253" s="86">
        <v>61560071412</v>
      </c>
      <c r="AH253" s="86">
        <v>58436475673</v>
      </c>
    </row>
    <row r="254" spans="2:34">
      <c r="B254" s="50" t="s">
        <v>1924</v>
      </c>
      <c r="C254" s="1275" t="s">
        <v>1924</v>
      </c>
      <c r="D254" s="86">
        <v>32260873400</v>
      </c>
      <c r="E254" s="86">
        <v>39705977679</v>
      </c>
      <c r="F254" s="86"/>
      <c r="G254" s="86">
        <v>42214554446</v>
      </c>
      <c r="H254" s="86">
        <v>53920411306</v>
      </c>
      <c r="I254" s="86">
        <v>51180375030</v>
      </c>
      <c r="J254" s="86">
        <v>45824556497</v>
      </c>
      <c r="K254" s="86">
        <v>51947892395</v>
      </c>
      <c r="L254" s="86">
        <v>47699373841</v>
      </c>
      <c r="M254" s="86">
        <v>39191506520</v>
      </c>
      <c r="N254" s="86">
        <v>35561545986</v>
      </c>
      <c r="O254" s="86">
        <v>41807929598</v>
      </c>
      <c r="P254" s="86">
        <v>36727697765</v>
      </c>
      <c r="Q254" s="86">
        <v>40226746084</v>
      </c>
      <c r="R254" s="86">
        <v>32099809747</v>
      </c>
      <c r="S254" s="86">
        <v>30605956655</v>
      </c>
      <c r="T254" s="86">
        <v>35774537214</v>
      </c>
      <c r="U254" s="86">
        <v>42502637782</v>
      </c>
      <c r="V254" s="86">
        <v>35702281608</v>
      </c>
      <c r="W254" s="86">
        <v>32427059871</v>
      </c>
      <c r="X254" s="86">
        <v>35862464998</v>
      </c>
      <c r="Y254" s="86">
        <v>27402540487</v>
      </c>
      <c r="Z254" s="86">
        <v>11223233502</v>
      </c>
      <c r="AA254" s="86">
        <v>17107083061</v>
      </c>
      <c r="AB254" s="86">
        <v>22756071321</v>
      </c>
      <c r="AC254" s="86">
        <v>18689119731</v>
      </c>
      <c r="AD254" s="86">
        <v>23891541410</v>
      </c>
      <c r="AE254" s="86">
        <v>19342382298</v>
      </c>
      <c r="AF254" s="86">
        <v>22566206980</v>
      </c>
      <c r="AG254" s="86">
        <v>20926367623</v>
      </c>
      <c r="AH254" s="86">
        <v>15449460421</v>
      </c>
    </row>
    <row r="255" spans="2:34" ht="15">
      <c r="B255" s="50" t="s">
        <v>1925</v>
      </c>
      <c r="C255" s="1275" t="s">
        <v>1925</v>
      </c>
      <c r="D255" s="86">
        <v>0</v>
      </c>
      <c r="E255" s="86">
        <v>0</v>
      </c>
      <c r="F255" s="86"/>
      <c r="G255" s="86">
        <v>0</v>
      </c>
      <c r="H255" s="86">
        <v>0</v>
      </c>
      <c r="I255" s="86">
        <v>0</v>
      </c>
      <c r="J255" s="86">
        <v>0</v>
      </c>
      <c r="K255" s="86">
        <v>0</v>
      </c>
      <c r="L255" s="86">
        <v>0</v>
      </c>
      <c r="M255" s="85">
        <v>0</v>
      </c>
      <c r="N255" s="85">
        <v>0</v>
      </c>
      <c r="O255" s="85">
        <v>0</v>
      </c>
      <c r="P255" s="85">
        <v>0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 s="85">
        <v>0</v>
      </c>
      <c r="W255" s="85">
        <v>0</v>
      </c>
      <c r="X255" s="85">
        <v>0</v>
      </c>
      <c r="Y255" s="85">
        <v>0</v>
      </c>
      <c r="Z255" s="85">
        <v>0</v>
      </c>
      <c r="AA255" s="85">
        <v>0</v>
      </c>
      <c r="AB255" s="85">
        <v>0</v>
      </c>
      <c r="AC255" s="85">
        <v>0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</row>
    <row r="256" spans="2:34" ht="15">
      <c r="B256" s="50" t="s">
        <v>1926</v>
      </c>
      <c r="C256" s="1275" t="s">
        <v>1926</v>
      </c>
      <c r="D256" s="86">
        <v>0</v>
      </c>
      <c r="E256" s="86">
        <v>0</v>
      </c>
      <c r="F256" s="86"/>
      <c r="G256" s="86">
        <v>0</v>
      </c>
      <c r="H256" s="86">
        <v>0</v>
      </c>
      <c r="I256" s="86">
        <v>0</v>
      </c>
      <c r="J256" s="86">
        <v>0</v>
      </c>
      <c r="K256" s="86">
        <v>0</v>
      </c>
      <c r="L256" s="86">
        <v>0</v>
      </c>
      <c r="M256" s="85">
        <v>0</v>
      </c>
      <c r="N256" s="85">
        <v>0</v>
      </c>
      <c r="O256" s="85">
        <v>0</v>
      </c>
      <c r="P256" s="85">
        <v>0</v>
      </c>
      <c r="Q256" s="85">
        <v>0</v>
      </c>
      <c r="R256" s="85">
        <v>0</v>
      </c>
      <c r="S256" s="85">
        <v>0</v>
      </c>
      <c r="T256" s="85">
        <v>0</v>
      </c>
      <c r="U256" s="85">
        <v>0</v>
      </c>
      <c r="V256" s="85">
        <v>0</v>
      </c>
      <c r="W256" s="85">
        <v>0</v>
      </c>
      <c r="X256" s="85">
        <v>0</v>
      </c>
      <c r="Y256" s="85">
        <v>0</v>
      </c>
      <c r="Z256" s="85">
        <v>0</v>
      </c>
      <c r="AA256" s="85">
        <v>0</v>
      </c>
      <c r="AB256" s="85">
        <v>0</v>
      </c>
      <c r="AC256" s="85">
        <v>0</v>
      </c>
      <c r="AD256" s="85">
        <v>0</v>
      </c>
      <c r="AE256" s="85">
        <v>0</v>
      </c>
      <c r="AF256" s="85">
        <v>0</v>
      </c>
      <c r="AG256" s="85">
        <v>0</v>
      </c>
      <c r="AH256" s="85">
        <v>0</v>
      </c>
    </row>
    <row r="257" spans="2:34">
      <c r="B257" s="50" t="s">
        <v>1148</v>
      </c>
      <c r="C257" s="1275" t="s">
        <v>1148</v>
      </c>
      <c r="D257" s="86">
        <v>3458657496</v>
      </c>
      <c r="E257" s="86">
        <v>1100890896</v>
      </c>
      <c r="F257" s="86"/>
      <c r="G257" s="86">
        <v>1104474428</v>
      </c>
      <c r="H257" s="86">
        <v>785256731</v>
      </c>
      <c r="I257" s="86">
        <v>1251426043</v>
      </c>
      <c r="J257" s="86">
        <v>3081211992</v>
      </c>
      <c r="K257" s="86">
        <v>1893879539</v>
      </c>
      <c r="L257" s="86">
        <v>1670168563</v>
      </c>
      <c r="M257" s="86">
        <v>3405121258</v>
      </c>
      <c r="N257" s="86">
        <v>3250213527</v>
      </c>
      <c r="O257" s="86">
        <v>46344843833</v>
      </c>
      <c r="P257" s="86">
        <v>2667412532</v>
      </c>
      <c r="Q257" s="86">
        <v>1093256350</v>
      </c>
      <c r="R257" s="86">
        <v>1644125657</v>
      </c>
      <c r="S257" s="86">
        <v>1238266992</v>
      </c>
      <c r="T257" s="86">
        <v>1205566868</v>
      </c>
      <c r="U257" s="86">
        <v>1250458074</v>
      </c>
      <c r="V257" s="86">
        <v>38342483348</v>
      </c>
      <c r="W257" s="86">
        <v>39124870010</v>
      </c>
      <c r="X257" s="86">
        <v>42376559389</v>
      </c>
      <c r="Y257" s="86">
        <v>39931004631</v>
      </c>
      <c r="Z257" s="86">
        <v>40339951424</v>
      </c>
      <c r="AA257" s="86">
        <v>41029640884</v>
      </c>
      <c r="AB257" s="86">
        <v>44963221684</v>
      </c>
      <c r="AC257" s="86">
        <v>41159118792</v>
      </c>
      <c r="AD257" s="86">
        <v>41114232155</v>
      </c>
      <c r="AE257" s="86">
        <v>38958178075</v>
      </c>
      <c r="AF257" s="86">
        <v>45440476833</v>
      </c>
      <c r="AG257" s="86">
        <v>40633703789</v>
      </c>
      <c r="AH257" s="86">
        <v>42987015252</v>
      </c>
    </row>
    <row r="258" spans="2:34">
      <c r="B258" s="49" t="s">
        <v>1927</v>
      </c>
      <c r="C258" s="1275" t="s">
        <v>1927</v>
      </c>
      <c r="D258" s="86">
        <v>5265344800</v>
      </c>
      <c r="E258" s="86">
        <v>5265862217</v>
      </c>
      <c r="F258" s="86"/>
      <c r="G258" s="86">
        <v>5328070016</v>
      </c>
      <c r="H258" s="86">
        <v>4493653416</v>
      </c>
      <c r="I258" s="86">
        <v>3910261717</v>
      </c>
      <c r="J258" s="86">
        <v>5163400629</v>
      </c>
      <c r="K258" s="86">
        <v>4980859227</v>
      </c>
      <c r="L258" s="86">
        <v>4066432513</v>
      </c>
      <c r="M258" s="86">
        <v>3455326711</v>
      </c>
      <c r="N258" s="86">
        <v>4493311760</v>
      </c>
      <c r="O258" s="86">
        <v>3670061172</v>
      </c>
      <c r="P258" s="86">
        <v>2887525439</v>
      </c>
      <c r="Q258" s="86">
        <v>2347275039</v>
      </c>
      <c r="R258" s="86">
        <v>3637106632</v>
      </c>
      <c r="S258" s="86">
        <v>3070157774</v>
      </c>
      <c r="T258" s="86">
        <v>2496719306</v>
      </c>
      <c r="U258" s="86">
        <v>2007319911</v>
      </c>
      <c r="V258" s="86">
        <v>3137681678</v>
      </c>
      <c r="W258" s="86">
        <v>2391111819</v>
      </c>
      <c r="X258" s="86">
        <v>2067243761</v>
      </c>
      <c r="Y258" s="86">
        <v>1554853463</v>
      </c>
      <c r="Z258" s="86">
        <v>3091782020</v>
      </c>
      <c r="AA258" s="86">
        <v>2299881872</v>
      </c>
      <c r="AB258" s="86">
        <v>1723640107</v>
      </c>
      <c r="AC258" s="86">
        <v>1697241067</v>
      </c>
      <c r="AD258" s="86">
        <v>2806697914</v>
      </c>
      <c r="AE258" s="86">
        <v>2326746648</v>
      </c>
      <c r="AF258" s="86">
        <v>2016964206</v>
      </c>
      <c r="AG258" s="86">
        <v>1434773070</v>
      </c>
      <c r="AH258" s="86">
        <v>2849497336</v>
      </c>
    </row>
    <row r="259" spans="2:34">
      <c r="B259" s="49" t="s">
        <v>1928</v>
      </c>
      <c r="C259" s="1275" t="s">
        <v>1928</v>
      </c>
      <c r="D259" s="86">
        <v>0</v>
      </c>
      <c r="E259" s="86">
        <v>0</v>
      </c>
      <c r="F259" s="86"/>
      <c r="G259" s="86">
        <v>0</v>
      </c>
      <c r="H259" s="86">
        <v>0</v>
      </c>
      <c r="I259" s="86">
        <v>0</v>
      </c>
      <c r="J259" s="86">
        <v>0</v>
      </c>
      <c r="K259" s="86">
        <v>0</v>
      </c>
      <c r="L259" s="86">
        <v>0</v>
      </c>
      <c r="M259" s="86">
        <v>0</v>
      </c>
      <c r="N259" s="86">
        <v>0</v>
      </c>
      <c r="O259" s="86">
        <v>0</v>
      </c>
      <c r="P259" s="86">
        <v>0</v>
      </c>
      <c r="Q259" s="86">
        <v>345184915</v>
      </c>
      <c r="R259" s="86">
        <v>358168535</v>
      </c>
      <c r="S259" s="86">
        <v>359729735</v>
      </c>
      <c r="T259" s="86">
        <v>0</v>
      </c>
      <c r="U259" s="86">
        <v>0</v>
      </c>
      <c r="V259" s="86">
        <v>0</v>
      </c>
      <c r="W259" s="86">
        <v>0</v>
      </c>
      <c r="X259" s="86">
        <v>0</v>
      </c>
      <c r="Y259" s="86">
        <v>0</v>
      </c>
      <c r="Z259" s="86">
        <v>0</v>
      </c>
      <c r="AA259" s="86">
        <v>0</v>
      </c>
      <c r="AB259" s="86">
        <v>0</v>
      </c>
      <c r="AC259" s="86">
        <v>0</v>
      </c>
      <c r="AD259" s="86">
        <v>0</v>
      </c>
      <c r="AE259" s="86">
        <v>0</v>
      </c>
      <c r="AF259" s="86">
        <v>0</v>
      </c>
      <c r="AG259" s="86">
        <v>0</v>
      </c>
      <c r="AH259" s="86">
        <v>0</v>
      </c>
    </row>
    <row r="260" spans="2:34">
      <c r="B260" s="50" t="s">
        <v>1929</v>
      </c>
      <c r="C260" s="1275" t="s">
        <v>1929</v>
      </c>
      <c r="D260" s="86">
        <v>0</v>
      </c>
      <c r="E260" s="86">
        <v>0</v>
      </c>
      <c r="F260" s="86"/>
      <c r="G260" s="86">
        <v>0</v>
      </c>
      <c r="H260" s="86">
        <v>0</v>
      </c>
      <c r="I260" s="86">
        <v>0</v>
      </c>
      <c r="J260" s="86">
        <v>0</v>
      </c>
      <c r="K260" s="86">
        <v>0</v>
      </c>
      <c r="L260" s="86">
        <v>0</v>
      </c>
      <c r="M260" s="86">
        <v>0</v>
      </c>
      <c r="N260" s="86">
        <v>0</v>
      </c>
      <c r="O260" s="86">
        <v>0</v>
      </c>
      <c r="P260" s="86">
        <v>0</v>
      </c>
      <c r="Q260" s="86">
        <v>345184915</v>
      </c>
      <c r="R260" s="86">
        <v>358168535</v>
      </c>
      <c r="S260" s="86">
        <v>359729735</v>
      </c>
      <c r="T260" s="86">
        <v>0</v>
      </c>
      <c r="U260" s="86">
        <v>0</v>
      </c>
      <c r="V260" s="86">
        <v>0</v>
      </c>
      <c r="W260" s="86">
        <v>0</v>
      </c>
      <c r="X260" s="86">
        <v>0</v>
      </c>
      <c r="Y260" s="86">
        <v>0</v>
      </c>
      <c r="Z260" s="86">
        <v>0</v>
      </c>
      <c r="AA260" s="86">
        <v>0</v>
      </c>
      <c r="AB260" s="86">
        <v>0</v>
      </c>
      <c r="AC260" s="86">
        <v>0</v>
      </c>
      <c r="AD260" s="86">
        <v>0</v>
      </c>
      <c r="AE260" s="86">
        <v>0</v>
      </c>
      <c r="AF260" s="86">
        <v>0</v>
      </c>
      <c r="AG260" s="86">
        <v>0</v>
      </c>
      <c r="AH260" s="86">
        <v>0</v>
      </c>
    </row>
    <row r="261" spans="2:34">
      <c r="B261" s="50" t="s">
        <v>1930</v>
      </c>
      <c r="C261" s="1275" t="s">
        <v>1930</v>
      </c>
      <c r="D261" s="86">
        <v>0</v>
      </c>
      <c r="E261" s="86">
        <v>0</v>
      </c>
      <c r="F261" s="86"/>
      <c r="G261" s="86">
        <v>0</v>
      </c>
      <c r="H261" s="86">
        <v>0</v>
      </c>
      <c r="I261" s="86">
        <v>0</v>
      </c>
      <c r="J261" s="86">
        <v>0</v>
      </c>
      <c r="K261" s="86">
        <v>0</v>
      </c>
      <c r="L261" s="86">
        <v>0</v>
      </c>
      <c r="M261" s="86">
        <v>0</v>
      </c>
      <c r="N261" s="86">
        <v>0</v>
      </c>
      <c r="O261" s="86">
        <v>0</v>
      </c>
      <c r="P261" s="86">
        <v>0</v>
      </c>
      <c r="Q261" s="86">
        <v>0</v>
      </c>
      <c r="R261" s="86">
        <v>0</v>
      </c>
      <c r="S261" s="86">
        <v>0</v>
      </c>
      <c r="T261" s="86">
        <v>0</v>
      </c>
      <c r="U261" s="86">
        <v>0</v>
      </c>
      <c r="V261" s="86">
        <v>0</v>
      </c>
      <c r="W261" s="86">
        <v>0</v>
      </c>
      <c r="X261" s="86">
        <v>0</v>
      </c>
      <c r="Y261" s="86">
        <v>0</v>
      </c>
      <c r="Z261" s="86">
        <v>0</v>
      </c>
      <c r="AA261" s="86">
        <v>0</v>
      </c>
      <c r="AB261" s="86">
        <v>0</v>
      </c>
      <c r="AC261" s="86">
        <v>0</v>
      </c>
      <c r="AD261" s="86">
        <v>0</v>
      </c>
      <c r="AE261" s="86">
        <v>0</v>
      </c>
      <c r="AF261" s="86">
        <v>0</v>
      </c>
      <c r="AG261" s="86">
        <v>0</v>
      </c>
      <c r="AH261" s="86">
        <v>0</v>
      </c>
    </row>
    <row r="262" spans="2:34" ht="15">
      <c r="B262" s="50" t="s">
        <v>1794</v>
      </c>
      <c r="C262" s="1275" t="s">
        <v>1794</v>
      </c>
      <c r="D262" s="86">
        <v>0</v>
      </c>
      <c r="E262" s="86">
        <v>0</v>
      </c>
      <c r="F262" s="86"/>
      <c r="G262" s="86">
        <v>0</v>
      </c>
      <c r="H262" s="86">
        <v>0</v>
      </c>
      <c r="I262" s="86">
        <v>0</v>
      </c>
      <c r="J262" s="86">
        <v>0</v>
      </c>
      <c r="K262" s="86">
        <v>0</v>
      </c>
      <c r="L262" s="86">
        <v>0</v>
      </c>
      <c r="M262" s="85">
        <v>0</v>
      </c>
      <c r="N262" s="85">
        <v>0</v>
      </c>
      <c r="O262" s="85">
        <v>0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 s="85">
        <v>0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</row>
    <row r="263" spans="2:34" ht="15">
      <c r="B263" s="49" t="s">
        <v>1931</v>
      </c>
      <c r="C263" s="1275" t="s">
        <v>1931</v>
      </c>
      <c r="D263" s="86">
        <v>0</v>
      </c>
      <c r="E263" s="86">
        <v>0</v>
      </c>
      <c r="F263" s="86"/>
      <c r="G263" s="86">
        <v>0</v>
      </c>
      <c r="H263" s="86">
        <v>0</v>
      </c>
      <c r="I263" s="86">
        <v>0</v>
      </c>
      <c r="J263" s="86">
        <v>0</v>
      </c>
      <c r="K263" s="86">
        <v>0</v>
      </c>
      <c r="L263" s="86">
        <v>0</v>
      </c>
      <c r="M263" s="85">
        <v>0</v>
      </c>
      <c r="N263" s="85">
        <v>0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 s="85">
        <v>0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</row>
    <row r="264" spans="2:34" ht="15">
      <c r="B264" s="49" t="s">
        <v>1932</v>
      </c>
      <c r="C264" s="1275" t="s">
        <v>1932</v>
      </c>
      <c r="D264" s="86">
        <v>0</v>
      </c>
      <c r="E264" s="86">
        <v>0</v>
      </c>
      <c r="F264" s="86"/>
      <c r="G264" s="86">
        <v>0</v>
      </c>
      <c r="H264" s="86">
        <v>0</v>
      </c>
      <c r="I264" s="86">
        <v>0</v>
      </c>
      <c r="J264" s="86">
        <v>0</v>
      </c>
      <c r="K264" s="86">
        <v>0</v>
      </c>
      <c r="L264" s="86">
        <v>0</v>
      </c>
      <c r="M264" s="85">
        <v>0</v>
      </c>
      <c r="N264" s="85">
        <v>0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 s="85">
        <v>0</v>
      </c>
      <c r="AA264" s="85">
        <v>0</v>
      </c>
      <c r="AB264" s="85">
        <v>0</v>
      </c>
      <c r="AC264" s="85">
        <v>0</v>
      </c>
      <c r="AD264" s="85">
        <v>0</v>
      </c>
      <c r="AE264" s="85">
        <v>0</v>
      </c>
      <c r="AF264" s="85">
        <v>0</v>
      </c>
      <c r="AG264" s="85">
        <v>0</v>
      </c>
      <c r="AH264" s="85">
        <v>0</v>
      </c>
    </row>
    <row r="265" spans="2:34">
      <c r="B265" s="49" t="s">
        <v>1933</v>
      </c>
      <c r="C265" s="1275" t="s">
        <v>1933</v>
      </c>
      <c r="D265" s="86">
        <v>0</v>
      </c>
      <c r="E265" s="86">
        <v>0</v>
      </c>
      <c r="F265" s="86"/>
      <c r="G265" s="86">
        <v>0</v>
      </c>
      <c r="H265" s="86">
        <v>0</v>
      </c>
      <c r="I265" s="86">
        <v>0</v>
      </c>
      <c r="J265" s="86">
        <v>0</v>
      </c>
      <c r="K265" s="86">
        <v>0</v>
      </c>
      <c r="L265" s="86">
        <v>0</v>
      </c>
      <c r="M265" s="86">
        <v>0</v>
      </c>
      <c r="N265" s="86">
        <v>0</v>
      </c>
      <c r="O265" s="86">
        <v>0</v>
      </c>
      <c r="P265" s="86">
        <v>0</v>
      </c>
      <c r="Q265" s="86">
        <v>0</v>
      </c>
      <c r="R265" s="86">
        <v>0</v>
      </c>
      <c r="S265" s="86">
        <v>0</v>
      </c>
      <c r="T265" s="86">
        <v>0</v>
      </c>
      <c r="U265" s="86">
        <v>0</v>
      </c>
      <c r="V265" s="86">
        <v>0</v>
      </c>
      <c r="W265" s="86">
        <v>0</v>
      </c>
      <c r="X265" s="86">
        <v>0</v>
      </c>
      <c r="Y265" s="86">
        <v>0</v>
      </c>
      <c r="Z265" s="86">
        <v>0</v>
      </c>
      <c r="AA265" s="86">
        <v>0</v>
      </c>
      <c r="AB265" s="86">
        <v>0</v>
      </c>
      <c r="AC265" s="86">
        <v>0</v>
      </c>
      <c r="AD265" s="86">
        <v>0</v>
      </c>
      <c r="AE265" s="86">
        <v>0</v>
      </c>
      <c r="AF265" s="86">
        <v>0</v>
      </c>
      <c r="AG265" s="86">
        <v>0</v>
      </c>
      <c r="AH265" s="86">
        <v>0</v>
      </c>
    </row>
    <row r="266" spans="2:34" ht="15">
      <c r="B266" s="50" t="s">
        <v>1934</v>
      </c>
      <c r="C266" s="1275" t="s">
        <v>1934</v>
      </c>
      <c r="D266" s="86">
        <v>0</v>
      </c>
      <c r="E266" s="86">
        <v>0</v>
      </c>
      <c r="F266" s="86"/>
      <c r="G266" s="86">
        <v>0</v>
      </c>
      <c r="H266" s="86">
        <v>0</v>
      </c>
      <c r="I266" s="86">
        <v>0</v>
      </c>
      <c r="J266" s="86">
        <v>0</v>
      </c>
      <c r="K266" s="86">
        <v>0</v>
      </c>
      <c r="L266" s="86">
        <v>0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</row>
    <row r="267" spans="2:34" ht="15">
      <c r="B267" s="50" t="s">
        <v>1935</v>
      </c>
      <c r="C267" s="1275" t="s">
        <v>1935</v>
      </c>
      <c r="D267" s="86">
        <v>0</v>
      </c>
      <c r="E267" s="86">
        <v>0</v>
      </c>
      <c r="F267" s="86"/>
      <c r="G267" s="86">
        <v>0</v>
      </c>
      <c r="H267" s="86">
        <v>0</v>
      </c>
      <c r="I267" s="86">
        <v>0</v>
      </c>
      <c r="J267" s="86">
        <v>0</v>
      </c>
      <c r="K267" s="86">
        <v>0</v>
      </c>
      <c r="L267" s="86">
        <v>0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 s="85">
        <v>0</v>
      </c>
    </row>
    <row r="268" spans="2:34">
      <c r="B268" s="49" t="s">
        <v>1936</v>
      </c>
      <c r="C268" s="1275" t="s">
        <v>1936</v>
      </c>
      <c r="D268" s="86">
        <v>80422709021</v>
      </c>
      <c r="E268" s="86">
        <v>80036379327</v>
      </c>
      <c r="F268" s="86"/>
      <c r="G268" s="86">
        <v>78803405692</v>
      </c>
      <c r="H268" s="86">
        <v>79880765308</v>
      </c>
      <c r="I268" s="86">
        <v>80427885425</v>
      </c>
      <c r="J268" s="86">
        <v>80936685130</v>
      </c>
      <c r="K268" s="86">
        <v>81101738978</v>
      </c>
      <c r="L268" s="86">
        <v>81152567791</v>
      </c>
      <c r="M268" s="86">
        <v>81612028695</v>
      </c>
      <c r="N268" s="86">
        <v>79577804744</v>
      </c>
      <c r="O268" s="86">
        <v>78297889793</v>
      </c>
      <c r="P268" s="86">
        <v>71173982083</v>
      </c>
      <c r="Q268" s="86">
        <v>69909686691</v>
      </c>
      <c r="R268" s="86">
        <v>68280402545</v>
      </c>
      <c r="S268" s="86">
        <v>69790248128</v>
      </c>
      <c r="T268" s="86">
        <v>64477534653</v>
      </c>
      <c r="U268" s="86">
        <v>63786439708</v>
      </c>
      <c r="V268" s="86">
        <v>64856804296</v>
      </c>
      <c r="W268" s="86">
        <v>66198842385</v>
      </c>
      <c r="X268" s="86">
        <v>63357924011</v>
      </c>
      <c r="Y268" s="86">
        <v>61369871442</v>
      </c>
      <c r="Z268" s="86">
        <v>61660032583</v>
      </c>
      <c r="AA268" s="86">
        <v>60812535370</v>
      </c>
      <c r="AB268" s="86">
        <v>55938579587</v>
      </c>
      <c r="AC268" s="86">
        <v>56311630729</v>
      </c>
      <c r="AD268" s="86">
        <v>57078750963</v>
      </c>
      <c r="AE268" s="86">
        <v>55184330556</v>
      </c>
      <c r="AF268" s="86">
        <v>55153683943</v>
      </c>
      <c r="AG268" s="86">
        <v>55125029322</v>
      </c>
      <c r="AH268" s="86">
        <v>54561102066</v>
      </c>
    </row>
    <row r="269" spans="2:34">
      <c r="B269" s="50" t="s">
        <v>1937</v>
      </c>
      <c r="C269" s="1275" t="s">
        <v>1937</v>
      </c>
      <c r="D269" s="86">
        <v>0</v>
      </c>
      <c r="E269" s="86">
        <v>0</v>
      </c>
      <c r="F269" s="86"/>
      <c r="G269" s="86">
        <v>0</v>
      </c>
      <c r="H269" s="86">
        <v>0</v>
      </c>
      <c r="I269" s="86">
        <v>0</v>
      </c>
      <c r="J269" s="86">
        <v>0</v>
      </c>
      <c r="K269" s="86">
        <v>0</v>
      </c>
      <c r="L269" s="86">
        <v>0</v>
      </c>
      <c r="M269" s="86">
        <v>0</v>
      </c>
      <c r="N269" s="86">
        <v>0</v>
      </c>
      <c r="O269" s="86">
        <v>0</v>
      </c>
      <c r="P269" s="86">
        <v>0</v>
      </c>
      <c r="Q269" s="86">
        <v>0</v>
      </c>
      <c r="R269" s="86">
        <v>0</v>
      </c>
      <c r="S269" s="86">
        <v>0</v>
      </c>
      <c r="T269" s="86">
        <v>0</v>
      </c>
      <c r="U269" s="86">
        <v>0</v>
      </c>
      <c r="V269" s="86">
        <v>0</v>
      </c>
      <c r="W269" s="86">
        <v>0</v>
      </c>
      <c r="X269" s="86">
        <v>0</v>
      </c>
      <c r="Y269" s="86">
        <v>0</v>
      </c>
      <c r="Z269" s="86">
        <v>0</v>
      </c>
      <c r="AA269" s="86">
        <v>0</v>
      </c>
      <c r="AB269" s="86">
        <v>0</v>
      </c>
      <c r="AC269" s="86">
        <v>0</v>
      </c>
      <c r="AD269" s="86">
        <v>0</v>
      </c>
      <c r="AE269" s="86">
        <v>0</v>
      </c>
      <c r="AF269" s="86">
        <v>0</v>
      </c>
      <c r="AG269" s="86">
        <v>0</v>
      </c>
      <c r="AH269" s="86">
        <v>0</v>
      </c>
    </row>
    <row r="270" spans="2:34">
      <c r="B270" s="50" t="s">
        <v>1938</v>
      </c>
      <c r="C270" s="1275" t="s">
        <v>1938</v>
      </c>
      <c r="D270" s="86">
        <v>357728698</v>
      </c>
      <c r="E270" s="86">
        <v>351094698</v>
      </c>
      <c r="F270" s="86"/>
      <c r="G270" s="86">
        <v>351094698</v>
      </c>
      <c r="H270" s="86">
        <v>347464698</v>
      </c>
      <c r="I270" s="86">
        <v>346980698</v>
      </c>
      <c r="J270" s="86">
        <v>346980698</v>
      </c>
      <c r="K270" s="86">
        <v>346738698</v>
      </c>
      <c r="L270" s="86">
        <v>337228698</v>
      </c>
      <c r="M270" s="86">
        <v>336078698</v>
      </c>
      <c r="N270" s="86">
        <v>128022698</v>
      </c>
      <c r="O270" s="86">
        <v>56356698</v>
      </c>
      <c r="P270" s="86">
        <v>41648698</v>
      </c>
      <c r="Q270" s="86">
        <v>29848698</v>
      </c>
      <c r="R270" s="86">
        <v>29848698</v>
      </c>
      <c r="S270" s="86">
        <v>29848698</v>
      </c>
      <c r="T270" s="86">
        <v>29848698</v>
      </c>
      <c r="U270" s="86">
        <v>29848698</v>
      </c>
      <c r="V270" s="86">
        <v>29606698</v>
      </c>
      <c r="W270" s="86">
        <v>29606698</v>
      </c>
      <c r="X270" s="86">
        <v>29606698</v>
      </c>
      <c r="Y270" s="86">
        <v>28964698</v>
      </c>
      <c r="Z270" s="86">
        <v>28964698</v>
      </c>
      <c r="AA270" s="86">
        <v>28964698</v>
      </c>
      <c r="AB270" s="86">
        <v>28964698</v>
      </c>
      <c r="AC270" s="86">
        <v>28722698</v>
      </c>
      <c r="AD270" s="86">
        <v>28722698</v>
      </c>
      <c r="AE270" s="86">
        <v>23072698</v>
      </c>
      <c r="AF270" s="86">
        <v>22648698</v>
      </c>
      <c r="AG270" s="86">
        <v>22062698</v>
      </c>
      <c r="AH270" s="86">
        <v>22062698</v>
      </c>
    </row>
    <row r="271" spans="2:34">
      <c r="B271" s="50" t="s">
        <v>1939</v>
      </c>
      <c r="C271" s="1275" t="s">
        <v>1939</v>
      </c>
      <c r="D271" s="86">
        <v>80057639363</v>
      </c>
      <c r="E271" s="86">
        <v>79677943669</v>
      </c>
      <c r="F271" s="86"/>
      <c r="G271" s="86">
        <v>78416160034</v>
      </c>
      <c r="H271" s="86">
        <v>79483138650</v>
      </c>
      <c r="I271" s="86">
        <v>80030742767</v>
      </c>
      <c r="J271" s="86">
        <v>78543388326</v>
      </c>
      <c r="K271" s="86">
        <v>78714925134</v>
      </c>
      <c r="L271" s="86">
        <v>78775263947</v>
      </c>
      <c r="M271" s="86">
        <v>79235874851</v>
      </c>
      <c r="N271" s="86">
        <v>77409706900</v>
      </c>
      <c r="O271" s="86">
        <v>76196354481</v>
      </c>
      <c r="P271" s="86">
        <v>71088412385</v>
      </c>
      <c r="Q271" s="86">
        <v>69835916993</v>
      </c>
      <c r="R271" s="86">
        <v>68206632847</v>
      </c>
      <c r="S271" s="86">
        <v>69684894850</v>
      </c>
      <c r="T271" s="86">
        <v>64372181375</v>
      </c>
      <c r="U271" s="86">
        <v>63681086430</v>
      </c>
      <c r="V271" s="86">
        <v>64751693018</v>
      </c>
      <c r="W271" s="86">
        <v>66093731107</v>
      </c>
      <c r="X271" s="86">
        <v>63252812733</v>
      </c>
      <c r="Y271" s="86">
        <v>61265402164</v>
      </c>
      <c r="Z271" s="86">
        <v>61555563305</v>
      </c>
      <c r="AA271" s="86">
        <v>60708066092</v>
      </c>
      <c r="AB271" s="86">
        <v>55834110309</v>
      </c>
      <c r="AC271" s="86">
        <v>55139403451</v>
      </c>
      <c r="AD271" s="86">
        <v>55906523685</v>
      </c>
      <c r="AE271" s="86">
        <v>55085753278</v>
      </c>
      <c r="AF271" s="86">
        <v>55053130785</v>
      </c>
      <c r="AG271" s="86">
        <v>55025062164</v>
      </c>
      <c r="AH271" s="86">
        <v>54460587438</v>
      </c>
    </row>
    <row r="272" spans="2:34">
      <c r="B272" s="50" t="s">
        <v>1940</v>
      </c>
      <c r="C272" s="1275" t="s">
        <v>1940</v>
      </c>
      <c r="D272" s="86">
        <v>0</v>
      </c>
      <c r="E272" s="86">
        <v>0</v>
      </c>
      <c r="F272" s="86"/>
      <c r="G272" s="86">
        <v>0</v>
      </c>
      <c r="H272" s="86">
        <v>0</v>
      </c>
      <c r="I272" s="86">
        <v>0</v>
      </c>
      <c r="J272" s="86">
        <v>0</v>
      </c>
      <c r="K272" s="86">
        <v>0</v>
      </c>
      <c r="L272" s="86">
        <v>0</v>
      </c>
      <c r="M272" s="86">
        <v>0</v>
      </c>
      <c r="N272" s="86">
        <v>0</v>
      </c>
      <c r="O272" s="86">
        <v>0</v>
      </c>
      <c r="P272" s="86">
        <v>0</v>
      </c>
      <c r="Q272" s="86">
        <v>0</v>
      </c>
      <c r="R272" s="86">
        <v>0</v>
      </c>
      <c r="S272" s="86">
        <v>0</v>
      </c>
      <c r="T272" s="86">
        <v>0</v>
      </c>
      <c r="U272" s="86">
        <v>0</v>
      </c>
      <c r="V272" s="86">
        <v>0</v>
      </c>
      <c r="W272" s="86">
        <v>0</v>
      </c>
      <c r="X272" s="86">
        <v>0</v>
      </c>
      <c r="Y272" s="86">
        <v>0</v>
      </c>
      <c r="Z272" s="86">
        <v>0</v>
      </c>
      <c r="AA272" s="86">
        <v>0</v>
      </c>
      <c r="AB272" s="86">
        <v>0</v>
      </c>
      <c r="AC272" s="86">
        <v>0</v>
      </c>
      <c r="AD272" s="86">
        <v>0</v>
      </c>
      <c r="AE272" s="86">
        <v>0</v>
      </c>
      <c r="AF272" s="86">
        <v>0</v>
      </c>
      <c r="AG272" s="86">
        <v>0</v>
      </c>
      <c r="AH272" s="86">
        <v>0</v>
      </c>
    </row>
    <row r="273" spans="2:34" ht="15">
      <c r="B273" s="50" t="s">
        <v>1830</v>
      </c>
      <c r="C273" s="1275" t="s">
        <v>1830</v>
      </c>
      <c r="D273" s="86">
        <v>7340960</v>
      </c>
      <c r="E273" s="86">
        <v>7340960</v>
      </c>
      <c r="F273" s="86"/>
      <c r="G273" s="86">
        <v>36150960</v>
      </c>
      <c r="H273" s="86">
        <v>50161960</v>
      </c>
      <c r="I273" s="86">
        <v>50161960</v>
      </c>
      <c r="J273" s="86">
        <v>2046316106</v>
      </c>
      <c r="K273" s="86">
        <v>2040075146</v>
      </c>
      <c r="L273" s="86">
        <v>2040075146</v>
      </c>
      <c r="M273" s="85">
        <v>2040075146</v>
      </c>
      <c r="N273" s="85">
        <v>2040075146</v>
      </c>
      <c r="O273" s="85">
        <v>2045178614</v>
      </c>
      <c r="P273" s="85">
        <v>43921000</v>
      </c>
      <c r="Q273" s="85">
        <v>43921000</v>
      </c>
      <c r="R273" s="85">
        <v>43921000</v>
      </c>
      <c r="S273" s="85">
        <v>75504580</v>
      </c>
      <c r="T273" s="85">
        <v>75504580</v>
      </c>
      <c r="U273" s="85">
        <v>75504580</v>
      </c>
      <c r="V273" s="85">
        <v>75504580</v>
      </c>
      <c r="W273" s="85">
        <v>75504580</v>
      </c>
      <c r="X273" s="85">
        <v>75504580</v>
      </c>
      <c r="Y273" s="85">
        <v>75504580</v>
      </c>
      <c r="Z273" s="85">
        <v>75504580</v>
      </c>
      <c r="AA273" s="85">
        <v>75504580</v>
      </c>
      <c r="AB273" s="85">
        <v>75504580</v>
      </c>
      <c r="AC273" s="85">
        <v>1143504580</v>
      </c>
      <c r="AD273" s="85">
        <v>1143504580</v>
      </c>
      <c r="AE273" s="85">
        <v>75504580</v>
      </c>
      <c r="AF273" s="85">
        <v>77904460</v>
      </c>
      <c r="AG273" s="85">
        <v>77904460</v>
      </c>
      <c r="AH273" s="85">
        <v>78451930</v>
      </c>
    </row>
    <row r="274" spans="2:34">
      <c r="B274" s="49" t="s">
        <v>1941</v>
      </c>
      <c r="C274" s="1275" t="s">
        <v>1941</v>
      </c>
      <c r="D274" s="86">
        <v>119313642839</v>
      </c>
      <c r="E274" s="86">
        <v>118991637364</v>
      </c>
      <c r="F274" s="86"/>
      <c r="G274" s="86">
        <v>99544914303</v>
      </c>
      <c r="H274" s="86">
        <v>95771142266</v>
      </c>
      <c r="I274" s="86">
        <v>95661610690</v>
      </c>
      <c r="J274" s="86">
        <v>94518886065</v>
      </c>
      <c r="K274" s="86">
        <v>88236415556</v>
      </c>
      <c r="L274" s="86">
        <v>87952125039</v>
      </c>
      <c r="M274" s="86">
        <v>85710561769</v>
      </c>
      <c r="N274" s="86">
        <v>85438770177</v>
      </c>
      <c r="O274" s="86">
        <v>85401027352</v>
      </c>
      <c r="P274" s="86">
        <v>88354386862</v>
      </c>
      <c r="Q274" s="86">
        <v>87497407805</v>
      </c>
      <c r="R274" s="86">
        <v>90752857307</v>
      </c>
      <c r="S274" s="86">
        <v>86758106071</v>
      </c>
      <c r="T274" s="86">
        <v>86435877409</v>
      </c>
      <c r="U274" s="86">
        <v>86250106267</v>
      </c>
      <c r="V274" s="86">
        <v>79446117780</v>
      </c>
      <c r="W274" s="86">
        <v>79286326805</v>
      </c>
      <c r="X274" s="86">
        <v>63119871860</v>
      </c>
      <c r="Y274" s="86">
        <v>62947695764</v>
      </c>
      <c r="Z274" s="86">
        <v>62721335340</v>
      </c>
      <c r="AA274" s="86">
        <v>52836733724</v>
      </c>
      <c r="AB274" s="86">
        <v>49485861837</v>
      </c>
      <c r="AC274" s="86">
        <v>49408659668</v>
      </c>
      <c r="AD274" s="86">
        <v>49230846464</v>
      </c>
      <c r="AE274" s="86">
        <v>41354873392</v>
      </c>
      <c r="AF274" s="86">
        <v>41227136221</v>
      </c>
      <c r="AG274" s="86">
        <v>41099404003</v>
      </c>
      <c r="AH274" s="86">
        <v>40971671785</v>
      </c>
    </row>
    <row r="275" spans="2:34" ht="15">
      <c r="B275" s="50" t="s">
        <v>1942</v>
      </c>
      <c r="C275" s="1275" t="s">
        <v>1942</v>
      </c>
      <c r="D275" s="86">
        <v>0</v>
      </c>
      <c r="E275" s="86">
        <v>0</v>
      </c>
      <c r="F275" s="86"/>
      <c r="G275" s="86">
        <v>0</v>
      </c>
      <c r="H275" s="86">
        <v>0</v>
      </c>
      <c r="I275" s="86">
        <v>0</v>
      </c>
      <c r="J275" s="86">
        <v>0</v>
      </c>
      <c r="K275" s="86">
        <v>0</v>
      </c>
      <c r="L275" s="86">
        <v>0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 s="85">
        <v>0</v>
      </c>
      <c r="T275" s="85">
        <v>0</v>
      </c>
      <c r="U275" s="85">
        <v>0</v>
      </c>
      <c r="V275" s="85">
        <v>0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 s="85">
        <v>0</v>
      </c>
      <c r="AE275" s="85">
        <v>0</v>
      </c>
      <c r="AF275" s="85">
        <v>0</v>
      </c>
      <c r="AG275" s="85">
        <v>0</v>
      </c>
      <c r="AH275" s="85">
        <v>0</v>
      </c>
    </row>
    <row r="276" spans="2:34">
      <c r="B276" s="50" t="s">
        <v>1943</v>
      </c>
      <c r="C276" s="1275" t="s">
        <v>1943</v>
      </c>
      <c r="D276" s="86">
        <v>87066956990</v>
      </c>
      <c r="E276" s="86">
        <v>87066956990</v>
      </c>
      <c r="F276" s="86"/>
      <c r="G276" s="86">
        <v>69240968072</v>
      </c>
      <c r="H276" s="86">
        <v>66471287394</v>
      </c>
      <c r="I276" s="86">
        <v>66586523394</v>
      </c>
      <c r="J276" s="86">
        <v>65951955192</v>
      </c>
      <c r="K276" s="86">
        <v>61352731192</v>
      </c>
      <c r="L276" s="86">
        <v>61352731192</v>
      </c>
      <c r="M276" s="86">
        <v>59963697592</v>
      </c>
      <c r="N276" s="86">
        <v>59963697592</v>
      </c>
      <c r="O276" s="86">
        <v>60225133035</v>
      </c>
      <c r="P276" s="86">
        <v>63076660884</v>
      </c>
      <c r="Q276" s="86">
        <v>63076660884</v>
      </c>
      <c r="R276" s="86">
        <v>64628358865</v>
      </c>
      <c r="S276" s="86">
        <v>62549225583</v>
      </c>
      <c r="T276" s="86">
        <v>62549225583</v>
      </c>
      <c r="U276" s="86">
        <v>62549225582</v>
      </c>
      <c r="V276" s="86">
        <v>59381481983</v>
      </c>
      <c r="W276" s="86">
        <v>59381481982</v>
      </c>
      <c r="X276" s="86">
        <v>47797813617</v>
      </c>
      <c r="Y276" s="86">
        <v>47797813617</v>
      </c>
      <c r="Z276" s="86">
        <v>47694726085</v>
      </c>
      <c r="AA276" s="86">
        <v>38892497085</v>
      </c>
      <c r="AB276" s="86">
        <v>36649867173</v>
      </c>
      <c r="AC276" s="86">
        <v>36649867173</v>
      </c>
      <c r="AD276" s="86">
        <v>36649867173</v>
      </c>
      <c r="AE276" s="86">
        <v>30909333005</v>
      </c>
      <c r="AF276" s="86">
        <v>30909333005</v>
      </c>
      <c r="AG276" s="86">
        <v>30909333005</v>
      </c>
      <c r="AH276" s="86">
        <v>30909333005</v>
      </c>
    </row>
    <row r="277" spans="2:34">
      <c r="B277" s="50" t="s">
        <v>1944</v>
      </c>
      <c r="C277" s="1275" t="s">
        <v>1944</v>
      </c>
      <c r="D277" s="86">
        <v>50515384867</v>
      </c>
      <c r="E277" s="86">
        <v>50515384867</v>
      </c>
      <c r="F277" s="86"/>
      <c r="G277" s="86">
        <v>48456575085</v>
      </c>
      <c r="H277" s="86">
        <v>47491652053</v>
      </c>
      <c r="I277" s="86">
        <v>47524854473</v>
      </c>
      <c r="J277" s="86">
        <v>47126686072</v>
      </c>
      <c r="K277" s="86">
        <v>44516007118</v>
      </c>
      <c r="L277" s="86">
        <v>44516007118</v>
      </c>
      <c r="M277" s="86">
        <v>43541680647</v>
      </c>
      <c r="N277" s="86">
        <v>43545756451</v>
      </c>
      <c r="O277" s="86">
        <v>43712906367</v>
      </c>
      <c r="P277" s="86">
        <v>44314509048</v>
      </c>
      <c r="Q277" s="86">
        <v>43739112339</v>
      </c>
      <c r="R277" s="86">
        <v>45941828024</v>
      </c>
      <c r="S277" s="86">
        <v>43584468068</v>
      </c>
      <c r="T277" s="86">
        <v>43304501656</v>
      </c>
      <c r="U277" s="86">
        <v>43268242462</v>
      </c>
      <c r="V277" s="86">
        <v>36927210255</v>
      </c>
      <c r="W277" s="86">
        <v>37122052146</v>
      </c>
      <c r="X277" s="86">
        <v>27548238347</v>
      </c>
      <c r="Y277" s="86">
        <v>27548238347</v>
      </c>
      <c r="Z277" s="86">
        <v>27479417112</v>
      </c>
      <c r="AA277" s="86">
        <v>25678907852</v>
      </c>
      <c r="AB277" s="86">
        <v>24184005109</v>
      </c>
      <c r="AC277" s="86">
        <v>24284280667</v>
      </c>
      <c r="AD277" s="86">
        <v>24284280667</v>
      </c>
      <c r="AE277" s="86">
        <v>20440877169</v>
      </c>
      <c r="AF277" s="86">
        <v>20440877169</v>
      </c>
      <c r="AG277" s="86">
        <v>20440877169</v>
      </c>
      <c r="AH277" s="86">
        <v>20440877169</v>
      </c>
    </row>
    <row r="278" spans="2:34">
      <c r="B278" s="50" t="s">
        <v>1945</v>
      </c>
      <c r="C278" s="1275" t="s">
        <v>1945</v>
      </c>
      <c r="D278" s="86">
        <v>18268699018</v>
      </c>
      <c r="E278" s="86">
        <v>18590704493</v>
      </c>
      <c r="F278" s="86"/>
      <c r="G278" s="86">
        <v>18152628854</v>
      </c>
      <c r="H278" s="86">
        <v>18191797181</v>
      </c>
      <c r="I278" s="86">
        <v>18449767177</v>
      </c>
      <c r="J278" s="86">
        <v>18559755199</v>
      </c>
      <c r="K278" s="86">
        <v>17632322754</v>
      </c>
      <c r="L278" s="86">
        <v>17916613271</v>
      </c>
      <c r="M278" s="86">
        <v>17794816470</v>
      </c>
      <c r="N278" s="86">
        <v>18070683866</v>
      </c>
      <c r="O278" s="86">
        <v>18537012050</v>
      </c>
      <c r="P278" s="86">
        <v>19036783070</v>
      </c>
      <c r="Q278" s="86">
        <v>19318365418</v>
      </c>
      <c r="R278" s="86">
        <v>19817329582</v>
      </c>
      <c r="S278" s="86">
        <v>19375587580</v>
      </c>
      <c r="T278" s="86">
        <v>19417849830</v>
      </c>
      <c r="U278" s="86">
        <v>19567361777</v>
      </c>
      <c r="V278" s="86">
        <v>16862574458</v>
      </c>
      <c r="W278" s="86">
        <v>17217207323</v>
      </c>
      <c r="X278" s="86">
        <v>12226180104</v>
      </c>
      <c r="Y278" s="86">
        <v>12398356200</v>
      </c>
      <c r="Z278" s="86">
        <v>12452807857</v>
      </c>
      <c r="AA278" s="86">
        <v>11734671213</v>
      </c>
      <c r="AB278" s="86">
        <v>11348010445</v>
      </c>
      <c r="AC278" s="86">
        <v>11525488172</v>
      </c>
      <c r="AD278" s="86">
        <v>11703301376</v>
      </c>
      <c r="AE278" s="86">
        <v>9995336782</v>
      </c>
      <c r="AF278" s="86">
        <v>10123073953</v>
      </c>
      <c r="AG278" s="86">
        <v>10250806171</v>
      </c>
      <c r="AH278" s="86">
        <v>10378538389</v>
      </c>
    </row>
    <row r="279" spans="2:34">
      <c r="B279" s="49" t="s">
        <v>1946</v>
      </c>
      <c r="C279" s="1275" t="s">
        <v>1946</v>
      </c>
      <c r="D279" s="86">
        <v>7355696838</v>
      </c>
      <c r="E279" s="86">
        <v>7364769920</v>
      </c>
      <c r="F279" s="86"/>
      <c r="G279" s="86">
        <v>7501147696</v>
      </c>
      <c r="H279" s="86">
        <v>7367083493</v>
      </c>
      <c r="I279" s="86">
        <v>7324418575</v>
      </c>
      <c r="J279" s="86">
        <v>7407714936</v>
      </c>
      <c r="K279" s="86">
        <v>6350371724</v>
      </c>
      <c r="L279" s="86">
        <v>7957778121</v>
      </c>
      <c r="M279" s="86">
        <v>8164939140</v>
      </c>
      <c r="N279" s="86">
        <v>8254723965</v>
      </c>
      <c r="O279" s="86">
        <v>8135668810</v>
      </c>
      <c r="P279" s="86">
        <v>8313510965</v>
      </c>
      <c r="Q279" s="86">
        <v>8649080100</v>
      </c>
      <c r="R279" s="86">
        <v>8986285040</v>
      </c>
      <c r="S279" s="86">
        <v>9013584730</v>
      </c>
      <c r="T279" s="86">
        <v>0</v>
      </c>
      <c r="U279" s="86">
        <v>0</v>
      </c>
      <c r="V279" s="86">
        <v>0</v>
      </c>
      <c r="W279" s="86">
        <v>0</v>
      </c>
      <c r="X279" s="86">
        <v>0</v>
      </c>
      <c r="Y279" s="86">
        <v>0</v>
      </c>
      <c r="Z279" s="86">
        <v>0</v>
      </c>
      <c r="AA279" s="86">
        <v>0</v>
      </c>
      <c r="AB279" s="86">
        <v>0</v>
      </c>
      <c r="AC279" s="86">
        <v>0</v>
      </c>
      <c r="AD279" s="86">
        <v>0</v>
      </c>
      <c r="AE279" s="86">
        <v>0</v>
      </c>
      <c r="AF279" s="86">
        <v>0</v>
      </c>
      <c r="AG279" s="86">
        <v>0</v>
      </c>
      <c r="AH279" s="86">
        <v>0</v>
      </c>
    </row>
    <row r="280" spans="2:34">
      <c r="B280" s="50" t="s">
        <v>1947</v>
      </c>
      <c r="C280" s="1275" t="s">
        <v>1947</v>
      </c>
      <c r="D280" s="86">
        <v>4584024193</v>
      </c>
      <c r="E280" s="86">
        <v>4576815984</v>
      </c>
      <c r="F280" s="86"/>
      <c r="G280" s="86">
        <v>4670074935</v>
      </c>
      <c r="H280" s="86">
        <v>4613695401</v>
      </c>
      <c r="I280" s="86">
        <v>4588469625</v>
      </c>
      <c r="J280" s="86">
        <v>4574401866</v>
      </c>
      <c r="K280" s="86">
        <v>4545085390</v>
      </c>
      <c r="L280" s="86">
        <v>4653988951</v>
      </c>
      <c r="M280" s="86">
        <v>4690183210</v>
      </c>
      <c r="N280" s="86">
        <v>4668376090</v>
      </c>
      <c r="O280" s="86">
        <v>4553306720</v>
      </c>
      <c r="P280" s="86">
        <v>4483469440</v>
      </c>
      <c r="Q280" s="86">
        <v>4466332650</v>
      </c>
      <c r="R280" s="86">
        <v>4534708520</v>
      </c>
      <c r="S280" s="86">
        <v>4566117900</v>
      </c>
      <c r="T280" s="86">
        <v>0</v>
      </c>
      <c r="U280" s="86">
        <v>0</v>
      </c>
      <c r="V280" s="86">
        <v>0</v>
      </c>
      <c r="W280" s="86">
        <v>0</v>
      </c>
      <c r="X280" s="86">
        <v>0</v>
      </c>
      <c r="Y280" s="86">
        <v>0</v>
      </c>
      <c r="Z280" s="86">
        <v>0</v>
      </c>
      <c r="AA280" s="86">
        <v>0</v>
      </c>
      <c r="AB280" s="86">
        <v>0</v>
      </c>
      <c r="AC280" s="86">
        <v>0</v>
      </c>
      <c r="AD280" s="86">
        <v>0</v>
      </c>
      <c r="AE280" s="86">
        <v>0</v>
      </c>
      <c r="AF280" s="86">
        <v>0</v>
      </c>
      <c r="AG280" s="86">
        <v>0</v>
      </c>
      <c r="AH280" s="86">
        <v>0</v>
      </c>
    </row>
    <row r="281" spans="2:34">
      <c r="B281" s="50" t="s">
        <v>1948</v>
      </c>
      <c r="C281" s="1275" t="s">
        <v>1948</v>
      </c>
      <c r="D281" s="86">
        <v>2771672645</v>
      </c>
      <c r="E281" s="86">
        <v>2787953936</v>
      </c>
      <c r="F281" s="86"/>
      <c r="G281" s="86">
        <v>2831072761</v>
      </c>
      <c r="H281" s="86">
        <v>2753388092</v>
      </c>
      <c r="I281" s="86">
        <v>2735948950</v>
      </c>
      <c r="J281" s="86">
        <v>2833313070</v>
      </c>
      <c r="K281" s="86">
        <v>1805286334</v>
      </c>
      <c r="L281" s="86">
        <v>3303789170</v>
      </c>
      <c r="M281" s="86">
        <v>3474755930</v>
      </c>
      <c r="N281" s="86">
        <v>3586347875</v>
      </c>
      <c r="O281" s="86">
        <v>3582362090</v>
      </c>
      <c r="P281" s="86">
        <v>3830041525</v>
      </c>
      <c r="Q281" s="86">
        <v>4182747450</v>
      </c>
      <c r="R281" s="86">
        <v>4451576520</v>
      </c>
      <c r="S281" s="86">
        <v>4447466830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6">
        <v>0</v>
      </c>
      <c r="AA281" s="86">
        <v>0</v>
      </c>
      <c r="AB281" s="86">
        <v>0</v>
      </c>
      <c r="AC281" s="86">
        <v>0</v>
      </c>
      <c r="AD281" s="86">
        <v>0</v>
      </c>
      <c r="AE281" s="86">
        <v>0</v>
      </c>
      <c r="AF281" s="86">
        <v>0</v>
      </c>
      <c r="AG281" s="86">
        <v>0</v>
      </c>
      <c r="AH281" s="86">
        <v>0</v>
      </c>
    </row>
    <row r="282" spans="2:34" ht="15">
      <c r="B282" s="50" t="s">
        <v>1794</v>
      </c>
      <c r="C282" s="1275" t="s">
        <v>1794</v>
      </c>
      <c r="D282" s="86">
        <v>0</v>
      </c>
      <c r="E282" s="86">
        <v>0</v>
      </c>
      <c r="F282" s="86"/>
      <c r="G282" s="86">
        <v>0</v>
      </c>
      <c r="H282" s="86">
        <v>0</v>
      </c>
      <c r="I282" s="86">
        <v>0</v>
      </c>
      <c r="J282" s="86">
        <v>0</v>
      </c>
      <c r="K282" s="86">
        <v>0</v>
      </c>
      <c r="L282" s="86">
        <v>0</v>
      </c>
      <c r="M282" s="85">
        <v>0</v>
      </c>
      <c r="N282" s="85">
        <v>0</v>
      </c>
      <c r="O282" s="85">
        <v>0</v>
      </c>
      <c r="P282" s="85">
        <v>0</v>
      </c>
      <c r="Q282" s="85">
        <v>0</v>
      </c>
      <c r="R282" s="85">
        <v>0</v>
      </c>
      <c r="S282" s="85">
        <v>0</v>
      </c>
      <c r="T282" s="85">
        <v>0</v>
      </c>
      <c r="U282" s="85">
        <v>0</v>
      </c>
      <c r="V282" s="85">
        <v>0</v>
      </c>
      <c r="W282" s="85">
        <v>0</v>
      </c>
      <c r="X282" s="85">
        <v>0</v>
      </c>
      <c r="Y282" s="85">
        <v>0</v>
      </c>
      <c r="Z282" s="85">
        <v>0</v>
      </c>
      <c r="AA282" s="85">
        <v>0</v>
      </c>
      <c r="AB282" s="85">
        <v>0</v>
      </c>
      <c r="AC282" s="85">
        <v>0</v>
      </c>
      <c r="AD282" s="85">
        <v>0</v>
      </c>
      <c r="AE282" s="85">
        <v>0</v>
      </c>
      <c r="AF282" s="85">
        <v>0</v>
      </c>
      <c r="AG282" s="85">
        <v>0</v>
      </c>
      <c r="AH282" s="85">
        <v>0</v>
      </c>
    </row>
    <row r="283" spans="2:34">
      <c r="B283" s="49" t="s">
        <v>1949</v>
      </c>
      <c r="C283" s="1275" t="s">
        <v>1949</v>
      </c>
      <c r="D283" s="86">
        <v>96669214038</v>
      </c>
      <c r="E283" s="86">
        <v>102394554985</v>
      </c>
      <c r="F283" s="86"/>
      <c r="G283" s="86">
        <v>96336430768</v>
      </c>
      <c r="H283" s="86">
        <v>92304463022</v>
      </c>
      <c r="I283" s="86">
        <v>88620354755</v>
      </c>
      <c r="J283" s="86">
        <v>86049127682</v>
      </c>
      <c r="K283" s="86">
        <v>85559012953</v>
      </c>
      <c r="L283" s="86">
        <v>83532122796</v>
      </c>
      <c r="M283" s="86">
        <v>79967944697</v>
      </c>
      <c r="N283" s="86">
        <v>76087058943</v>
      </c>
      <c r="O283" s="86">
        <v>73282673536</v>
      </c>
      <c r="P283" s="86">
        <v>69879413504</v>
      </c>
      <c r="Q283" s="86">
        <v>69740752230</v>
      </c>
      <c r="R283" s="86">
        <v>66862647006</v>
      </c>
      <c r="S283" s="86">
        <v>60614515380</v>
      </c>
      <c r="T283" s="86">
        <v>57529703917</v>
      </c>
      <c r="U283" s="86">
        <v>54893593143</v>
      </c>
      <c r="V283" s="86">
        <v>52746279765</v>
      </c>
      <c r="W283" s="86">
        <v>49982028885</v>
      </c>
      <c r="X283" s="86">
        <v>48749525157</v>
      </c>
      <c r="Y283" s="86">
        <v>50068502023</v>
      </c>
      <c r="Z283" s="86">
        <v>50690678807</v>
      </c>
      <c r="AA283" s="86">
        <v>50305879196</v>
      </c>
      <c r="AB283" s="86">
        <v>50539869907</v>
      </c>
      <c r="AC283" s="86">
        <v>54023728310</v>
      </c>
      <c r="AD283" s="86">
        <v>53905175730</v>
      </c>
      <c r="AE283" s="86">
        <v>56512796888</v>
      </c>
      <c r="AF283" s="86">
        <v>55059180223</v>
      </c>
      <c r="AG283" s="86">
        <v>55636109304</v>
      </c>
      <c r="AH283" s="86">
        <v>54984916488</v>
      </c>
    </row>
    <row r="284" spans="2:34">
      <c r="B284" s="50" t="s">
        <v>1942</v>
      </c>
      <c r="C284" s="1275" t="s">
        <v>1942</v>
      </c>
      <c r="D284" s="86">
        <v>0</v>
      </c>
      <c r="E284" s="86">
        <v>3986558800</v>
      </c>
      <c r="F284" s="86"/>
      <c r="G284" s="86">
        <v>3986558800</v>
      </c>
      <c r="H284" s="86">
        <v>4342418107</v>
      </c>
      <c r="I284" s="86">
        <v>4342418107</v>
      </c>
      <c r="J284" s="86">
        <v>4342418107</v>
      </c>
      <c r="K284" s="86">
        <v>4739250440</v>
      </c>
      <c r="L284" s="86">
        <v>4739250440</v>
      </c>
      <c r="M284" s="86">
        <v>4739250440</v>
      </c>
      <c r="N284" s="86">
        <v>4739250440</v>
      </c>
      <c r="O284" s="86">
        <v>5359483553</v>
      </c>
      <c r="P284" s="86">
        <v>4790215223</v>
      </c>
      <c r="Q284" s="86">
        <v>4790215223</v>
      </c>
      <c r="R284" s="86">
        <v>4790215223</v>
      </c>
      <c r="S284" s="86">
        <v>9159551247</v>
      </c>
      <c r="T284" s="86">
        <v>8093738644</v>
      </c>
      <c r="U284" s="86">
        <v>8093738644</v>
      </c>
      <c r="V284" s="86">
        <v>7931738644</v>
      </c>
      <c r="W284" s="86">
        <v>8217738646</v>
      </c>
      <c r="X284" s="86">
        <v>8217738646</v>
      </c>
      <c r="Y284" s="86">
        <v>8217738646</v>
      </c>
      <c r="Z284" s="86">
        <v>8217738646</v>
      </c>
      <c r="AA284" s="86">
        <v>8297605313</v>
      </c>
      <c r="AB284" s="86">
        <v>7974187553</v>
      </c>
      <c r="AC284" s="86">
        <v>7974187553</v>
      </c>
      <c r="AD284" s="86">
        <v>7974187553</v>
      </c>
      <c r="AE284" s="86">
        <v>7623595933</v>
      </c>
      <c r="AF284" s="86">
        <v>7623595933</v>
      </c>
      <c r="AG284" s="86">
        <v>7623595933</v>
      </c>
      <c r="AH284" s="86">
        <v>7623595933</v>
      </c>
    </row>
    <row r="285" spans="2:34" ht="15">
      <c r="B285" s="50" t="s">
        <v>1950</v>
      </c>
      <c r="C285" s="1275" t="s">
        <v>1950</v>
      </c>
      <c r="D285" s="86">
        <v>0</v>
      </c>
      <c r="E285" s="86">
        <v>0</v>
      </c>
      <c r="F285" s="86"/>
      <c r="G285" s="86">
        <v>0</v>
      </c>
      <c r="H285" s="86">
        <v>0</v>
      </c>
      <c r="I285" s="86">
        <v>0</v>
      </c>
      <c r="J285" s="86">
        <v>0</v>
      </c>
      <c r="K285" s="86">
        <v>0</v>
      </c>
      <c r="L285" s="86">
        <v>0</v>
      </c>
      <c r="M285" s="85">
        <v>0</v>
      </c>
      <c r="N285" s="85">
        <v>0</v>
      </c>
      <c r="O285" s="85">
        <v>0</v>
      </c>
      <c r="P285" s="85">
        <v>0</v>
      </c>
      <c r="Q285" s="85">
        <v>0</v>
      </c>
      <c r="R285" s="85">
        <v>0</v>
      </c>
      <c r="S285" s="85">
        <v>0</v>
      </c>
      <c r="T285" s="85">
        <v>0</v>
      </c>
      <c r="U285" s="85">
        <v>0</v>
      </c>
      <c r="V285" s="85">
        <v>0</v>
      </c>
      <c r="W285" s="85">
        <v>0</v>
      </c>
      <c r="X285" s="85">
        <v>0</v>
      </c>
      <c r="Y285" s="85">
        <v>0</v>
      </c>
      <c r="Z285" s="85">
        <v>0</v>
      </c>
      <c r="AA285" s="85">
        <v>0</v>
      </c>
      <c r="AB285" s="85">
        <v>0</v>
      </c>
      <c r="AC285" s="85">
        <v>0</v>
      </c>
      <c r="AD285" s="85">
        <v>0</v>
      </c>
      <c r="AE285" s="85">
        <v>0</v>
      </c>
      <c r="AF285" s="85">
        <v>0</v>
      </c>
      <c r="AG285" s="85">
        <v>0</v>
      </c>
      <c r="AH285" s="85">
        <v>0</v>
      </c>
    </row>
    <row r="286" spans="2:34" ht="15">
      <c r="B286" s="50" t="s">
        <v>1951</v>
      </c>
      <c r="C286" s="1275" t="s">
        <v>1951</v>
      </c>
      <c r="D286" s="86">
        <v>51358431540</v>
      </c>
      <c r="E286" s="86">
        <v>56404555819</v>
      </c>
      <c r="F286" s="86"/>
      <c r="G286" s="86">
        <v>50233771594</v>
      </c>
      <c r="H286" s="86">
        <v>46583063153</v>
      </c>
      <c r="I286" s="86">
        <v>42944629638</v>
      </c>
      <c r="J286" s="86">
        <v>40396902564</v>
      </c>
      <c r="K286" s="86">
        <v>37566896967</v>
      </c>
      <c r="L286" s="86">
        <v>35591339269</v>
      </c>
      <c r="M286" s="85">
        <v>32050661169</v>
      </c>
      <c r="N286" s="85">
        <v>28653175414</v>
      </c>
      <c r="O286" s="85">
        <v>26744634364</v>
      </c>
      <c r="P286" s="85">
        <v>23657284131</v>
      </c>
      <c r="Q286" s="85">
        <v>23620176656</v>
      </c>
      <c r="R286" s="85">
        <v>20765571431</v>
      </c>
      <c r="S286" s="85">
        <v>18910275828</v>
      </c>
      <c r="T286" s="85">
        <v>16376103031</v>
      </c>
      <c r="U286" s="85">
        <v>13744742256</v>
      </c>
      <c r="V286" s="85">
        <v>11599610877</v>
      </c>
      <c r="W286" s="85">
        <v>9126109998</v>
      </c>
      <c r="X286" s="85">
        <v>7922884269</v>
      </c>
      <c r="Y286" s="85">
        <v>8439199404</v>
      </c>
      <c r="Z286" s="85">
        <v>8477504188</v>
      </c>
      <c r="AA286" s="85">
        <v>8172571244</v>
      </c>
      <c r="AB286" s="85">
        <v>8754770345</v>
      </c>
      <c r="AC286" s="85">
        <v>12798628748</v>
      </c>
      <c r="AD286" s="85">
        <v>12926076168</v>
      </c>
      <c r="AE286" s="85">
        <v>15833045706</v>
      </c>
      <c r="AF286" s="85">
        <v>14725609041</v>
      </c>
      <c r="AG286" s="85">
        <v>15325538122</v>
      </c>
      <c r="AH286" s="85">
        <v>14785845306</v>
      </c>
    </row>
    <row r="287" spans="2:34" ht="15">
      <c r="B287" s="50" t="s">
        <v>1952</v>
      </c>
      <c r="C287" s="1275" t="s">
        <v>1952</v>
      </c>
      <c r="D287" s="86">
        <v>1882334</v>
      </c>
      <c r="E287" s="86">
        <v>1882334</v>
      </c>
      <c r="F287" s="86"/>
      <c r="G287" s="86">
        <v>1882334</v>
      </c>
      <c r="H287" s="86">
        <v>1882334</v>
      </c>
      <c r="I287" s="86">
        <v>719000</v>
      </c>
      <c r="J287" s="86">
        <v>719000</v>
      </c>
      <c r="K287" s="86">
        <v>719000</v>
      </c>
      <c r="L287" s="86">
        <v>719000</v>
      </c>
      <c r="M287" s="85">
        <v>719000</v>
      </c>
      <c r="N287" s="85">
        <v>719000</v>
      </c>
      <c r="O287" s="85">
        <v>719000</v>
      </c>
      <c r="P287" s="85">
        <v>719000</v>
      </c>
      <c r="Q287" s="85">
        <v>719000</v>
      </c>
      <c r="R287" s="85">
        <v>719000</v>
      </c>
      <c r="S287" s="85">
        <v>719000</v>
      </c>
      <c r="T287" s="85">
        <v>719000</v>
      </c>
      <c r="U287" s="85">
        <v>719000</v>
      </c>
      <c r="V287" s="85">
        <v>719000</v>
      </c>
      <c r="W287" s="85">
        <v>719000</v>
      </c>
      <c r="X287" s="85">
        <v>719000</v>
      </c>
      <c r="Y287" s="85">
        <v>719000</v>
      </c>
      <c r="Z287" s="85">
        <v>7000</v>
      </c>
      <c r="AA287" s="85">
        <v>7000</v>
      </c>
      <c r="AB287" s="85">
        <v>7000</v>
      </c>
      <c r="AC287" s="85">
        <v>7000</v>
      </c>
      <c r="AD287" s="85">
        <v>7000</v>
      </c>
      <c r="AE287" s="85">
        <v>7000</v>
      </c>
      <c r="AF287" s="85">
        <v>7000</v>
      </c>
      <c r="AG287" s="85">
        <v>7000</v>
      </c>
      <c r="AH287" s="85">
        <v>7000</v>
      </c>
    </row>
    <row r="288" spans="2:34">
      <c r="B288" s="50" t="s">
        <v>1953</v>
      </c>
      <c r="C288" s="1275" t="s">
        <v>1953</v>
      </c>
      <c r="D288" s="86">
        <v>23975153565</v>
      </c>
      <c r="E288" s="86">
        <v>24588353565</v>
      </c>
      <c r="F288" s="86"/>
      <c r="G288" s="86">
        <v>24772313565</v>
      </c>
      <c r="H288" s="86">
        <v>24416454258</v>
      </c>
      <c r="I288" s="86">
        <v>24397342858</v>
      </c>
      <c r="J288" s="86">
        <v>24397342858</v>
      </c>
      <c r="K288" s="86">
        <v>26760733725</v>
      </c>
      <c r="L288" s="86">
        <v>26732901265</v>
      </c>
      <c r="M288" s="86">
        <v>26732901265</v>
      </c>
      <c r="N288" s="86">
        <v>26273001265</v>
      </c>
      <c r="O288" s="86">
        <v>25400656907</v>
      </c>
      <c r="P288" s="86">
        <v>25108247107</v>
      </c>
      <c r="Q288" s="86">
        <v>25030193307</v>
      </c>
      <c r="R288" s="86">
        <v>25030193307</v>
      </c>
      <c r="S288" s="86">
        <v>20660857283</v>
      </c>
      <c r="T288" s="86">
        <v>20133718616</v>
      </c>
      <c r="U288" s="86">
        <v>20133718616</v>
      </c>
      <c r="V288" s="86">
        <v>20136286616</v>
      </c>
      <c r="W288" s="86">
        <v>19850286614</v>
      </c>
      <c r="X288" s="86">
        <v>19825758614</v>
      </c>
      <c r="Y288" s="86">
        <v>20631587031</v>
      </c>
      <c r="Z288" s="86">
        <v>21216171031</v>
      </c>
      <c r="AA288" s="86">
        <v>21136304364</v>
      </c>
      <c r="AB288" s="86">
        <v>20788095974</v>
      </c>
      <c r="AC288" s="86">
        <v>20228095974</v>
      </c>
      <c r="AD288" s="86">
        <v>19982095974</v>
      </c>
      <c r="AE288" s="86">
        <v>19682747594</v>
      </c>
      <c r="AF288" s="86">
        <v>19336567594</v>
      </c>
      <c r="AG288" s="86">
        <v>19313567594</v>
      </c>
      <c r="AH288" s="86">
        <v>19202067594</v>
      </c>
    </row>
    <row r="289" spans="2:34">
      <c r="B289" s="50" t="s">
        <v>1830</v>
      </c>
      <c r="C289" s="1275" t="s">
        <v>1830</v>
      </c>
      <c r="D289" s="86">
        <v>21333746599</v>
      </c>
      <c r="E289" s="86">
        <v>21399763267</v>
      </c>
      <c r="F289" s="86"/>
      <c r="G289" s="86">
        <v>21328463275</v>
      </c>
      <c r="H289" s="86">
        <v>21303063277</v>
      </c>
      <c r="I289" s="86">
        <v>21277663259</v>
      </c>
      <c r="J289" s="86">
        <v>21254163260</v>
      </c>
      <c r="K289" s="86">
        <v>21230663261</v>
      </c>
      <c r="L289" s="86">
        <v>21207163262</v>
      </c>
      <c r="M289" s="86">
        <v>21183663263</v>
      </c>
      <c r="N289" s="86">
        <v>21160163264</v>
      </c>
      <c r="O289" s="86">
        <v>21136663265</v>
      </c>
      <c r="P289" s="86">
        <v>21113163266</v>
      </c>
      <c r="Q289" s="86">
        <v>21089663267</v>
      </c>
      <c r="R289" s="86">
        <v>21066163268</v>
      </c>
      <c r="S289" s="86">
        <v>21042663269</v>
      </c>
      <c r="T289" s="86">
        <v>21019163270</v>
      </c>
      <c r="U289" s="86">
        <v>21014413271</v>
      </c>
      <c r="V289" s="86">
        <v>21009663272</v>
      </c>
      <c r="W289" s="86">
        <v>21004913273</v>
      </c>
      <c r="X289" s="86">
        <v>21000163274</v>
      </c>
      <c r="Y289" s="86">
        <v>20996996588</v>
      </c>
      <c r="Z289" s="86">
        <v>20996996588</v>
      </c>
      <c r="AA289" s="86">
        <v>20996996588</v>
      </c>
      <c r="AB289" s="86">
        <v>20996996588</v>
      </c>
      <c r="AC289" s="86">
        <v>20996996588</v>
      </c>
      <c r="AD289" s="86">
        <v>20996996588</v>
      </c>
      <c r="AE289" s="86">
        <v>20996996588</v>
      </c>
      <c r="AF289" s="86">
        <v>20996996588</v>
      </c>
      <c r="AG289" s="86">
        <v>20996996588</v>
      </c>
      <c r="AH289" s="86">
        <v>20996996588</v>
      </c>
    </row>
    <row r="290" spans="2:34" ht="15">
      <c r="B290" s="49" t="s">
        <v>1954</v>
      </c>
      <c r="C290" s="1275" t="s">
        <v>1954</v>
      </c>
      <c r="D290" s="86">
        <v>0</v>
      </c>
      <c r="E290" s="86">
        <v>0</v>
      </c>
      <c r="F290" s="86"/>
      <c r="G290" s="86">
        <v>0</v>
      </c>
      <c r="H290" s="86">
        <v>0</v>
      </c>
      <c r="I290" s="86">
        <v>0</v>
      </c>
      <c r="J290" s="86">
        <v>0</v>
      </c>
      <c r="K290" s="86">
        <v>0</v>
      </c>
      <c r="L290" s="86">
        <v>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 s="85">
        <v>0</v>
      </c>
      <c r="U290" s="85">
        <v>0</v>
      </c>
      <c r="V290" s="85">
        <v>0</v>
      </c>
      <c r="W290" s="85">
        <v>0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 s="85">
        <v>0</v>
      </c>
      <c r="AD290" s="85">
        <v>0</v>
      </c>
      <c r="AE290" s="85">
        <v>0</v>
      </c>
      <c r="AF290" s="85">
        <v>0</v>
      </c>
      <c r="AG290" s="85">
        <v>0</v>
      </c>
      <c r="AH290" s="85">
        <v>0</v>
      </c>
    </row>
    <row r="291" spans="2:34" ht="15">
      <c r="B291" s="49" t="s">
        <v>1955</v>
      </c>
      <c r="C291" s="1275" t="s">
        <v>1955</v>
      </c>
      <c r="D291" s="86">
        <v>0</v>
      </c>
      <c r="E291" s="86">
        <v>0</v>
      </c>
      <c r="F291" s="86"/>
      <c r="G291" s="86">
        <v>0</v>
      </c>
      <c r="H291" s="86">
        <v>0</v>
      </c>
      <c r="I291" s="86">
        <v>18430185544</v>
      </c>
      <c r="J291" s="86">
        <v>0</v>
      </c>
      <c r="K291" s="86">
        <v>0</v>
      </c>
      <c r="L291" s="86">
        <v>0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 s="85">
        <v>0</v>
      </c>
      <c r="AB291" s="85">
        <v>0</v>
      </c>
      <c r="AC291" s="85">
        <v>0</v>
      </c>
      <c r="AD291" s="85">
        <v>0</v>
      </c>
      <c r="AE291" s="85">
        <v>0</v>
      </c>
      <c r="AF291" s="85">
        <v>0</v>
      </c>
      <c r="AG291" s="85">
        <v>0</v>
      </c>
      <c r="AH291" s="85">
        <v>0</v>
      </c>
    </row>
    <row r="292" spans="2:34">
      <c r="B292" s="49" t="s">
        <v>1956</v>
      </c>
      <c r="C292" s="1275" t="s">
        <v>1956</v>
      </c>
      <c r="D292" s="86">
        <v>0</v>
      </c>
      <c r="E292" s="86">
        <v>0</v>
      </c>
      <c r="F292" s="86"/>
      <c r="G292" s="86">
        <v>0</v>
      </c>
      <c r="H292" s="86">
        <v>0</v>
      </c>
      <c r="I292" s="86">
        <v>0</v>
      </c>
      <c r="J292" s="86">
        <v>0</v>
      </c>
      <c r="K292" s="86">
        <v>0</v>
      </c>
      <c r="L292" s="86">
        <v>0</v>
      </c>
      <c r="M292" s="86">
        <v>0</v>
      </c>
      <c r="N292" s="86">
        <v>0</v>
      </c>
      <c r="O292" s="86">
        <v>0</v>
      </c>
      <c r="P292" s="86">
        <v>0</v>
      </c>
      <c r="Q292" s="86">
        <v>0</v>
      </c>
      <c r="R292" s="86">
        <v>0</v>
      </c>
      <c r="S292" s="86">
        <v>0</v>
      </c>
      <c r="T292" s="86">
        <v>0</v>
      </c>
      <c r="U292" s="86">
        <v>330585880</v>
      </c>
      <c r="V292" s="86">
        <v>2930979750</v>
      </c>
      <c r="W292" s="86">
        <v>0</v>
      </c>
      <c r="X292" s="86">
        <v>3563754400</v>
      </c>
      <c r="Y292" s="86">
        <v>6474867210</v>
      </c>
      <c r="Z292" s="86">
        <v>2402326800</v>
      </c>
      <c r="AA292" s="86">
        <v>155937500</v>
      </c>
      <c r="AB292" s="86">
        <v>3093016150</v>
      </c>
      <c r="AC292" s="86">
        <v>2039272650</v>
      </c>
      <c r="AD292" s="86">
        <v>167312520</v>
      </c>
      <c r="AE292" s="86">
        <v>5227386610</v>
      </c>
      <c r="AF292" s="86">
        <v>3320489130</v>
      </c>
      <c r="AG292" s="86">
        <v>11556952760</v>
      </c>
      <c r="AH292" s="86">
        <v>2862178940</v>
      </c>
    </row>
    <row r="293" spans="2:34">
      <c r="B293" s="49" t="s">
        <v>1957</v>
      </c>
      <c r="C293" s="1275" t="s">
        <v>1957</v>
      </c>
      <c r="D293" s="86">
        <v>1818030688</v>
      </c>
      <c r="E293" s="86">
        <v>1539730688</v>
      </c>
      <c r="F293" s="86"/>
      <c r="G293" s="86">
        <v>413248938</v>
      </c>
      <c r="H293" s="86">
        <v>402625805</v>
      </c>
      <c r="I293" s="86">
        <v>256895795</v>
      </c>
      <c r="J293" s="86">
        <v>260070900</v>
      </c>
      <c r="K293" s="86">
        <v>250041151</v>
      </c>
      <c r="L293" s="86">
        <v>311352601</v>
      </c>
      <c r="M293" s="86">
        <v>240256190</v>
      </c>
      <c r="N293" s="86">
        <v>235981540</v>
      </c>
      <c r="O293" s="86">
        <v>231990202</v>
      </c>
      <c r="P293" s="86">
        <v>233155200</v>
      </c>
      <c r="Q293" s="86">
        <v>228324180</v>
      </c>
      <c r="R293" s="86">
        <v>218062896</v>
      </c>
      <c r="S293" s="86">
        <v>174529076</v>
      </c>
      <c r="T293" s="86">
        <v>157234976</v>
      </c>
      <c r="U293" s="86">
        <v>153253429</v>
      </c>
      <c r="V293" s="86">
        <v>231240370</v>
      </c>
      <c r="W293" s="86">
        <v>270533153</v>
      </c>
      <c r="X293" s="86">
        <v>285703424</v>
      </c>
      <c r="Y293" s="86">
        <v>275326964</v>
      </c>
      <c r="Z293" s="86">
        <v>251025224</v>
      </c>
      <c r="AA293" s="86">
        <v>260134116</v>
      </c>
      <c r="AB293" s="86">
        <v>552189944</v>
      </c>
      <c r="AC293" s="86">
        <v>1670621574</v>
      </c>
      <c r="AD293" s="86">
        <v>1670422304</v>
      </c>
      <c r="AE293" s="86">
        <v>1663504664</v>
      </c>
      <c r="AF293" s="86">
        <v>1789669384</v>
      </c>
      <c r="AG293" s="86">
        <v>2082751744</v>
      </c>
      <c r="AH293" s="86">
        <v>2105412924</v>
      </c>
    </row>
    <row r="294" spans="2:34">
      <c r="B294" s="49" t="s">
        <v>1958</v>
      </c>
      <c r="C294" s="1275" t="s">
        <v>1958</v>
      </c>
      <c r="D294" s="86">
        <v>1590555157</v>
      </c>
      <c r="E294" s="86">
        <v>1806846240</v>
      </c>
      <c r="F294" s="86"/>
      <c r="G294" s="86">
        <v>1716394256</v>
      </c>
      <c r="H294" s="86">
        <v>1768540733</v>
      </c>
      <c r="I294" s="86">
        <v>1763893847</v>
      </c>
      <c r="J294" s="86">
        <v>1772921148</v>
      </c>
      <c r="K294" s="86">
        <v>1783417304</v>
      </c>
      <c r="L294" s="86">
        <v>2079907781</v>
      </c>
      <c r="M294" s="86">
        <v>2050407897</v>
      </c>
      <c r="N294" s="86">
        <v>14160882921</v>
      </c>
      <c r="O294" s="86">
        <v>11545119149</v>
      </c>
      <c r="P294" s="86">
        <v>13010616007</v>
      </c>
      <c r="Q294" s="86">
        <v>13027246918</v>
      </c>
      <c r="R294" s="86">
        <v>13761948088</v>
      </c>
      <c r="S294" s="86">
        <v>13565994269</v>
      </c>
      <c r="T294" s="86">
        <v>13590592494</v>
      </c>
      <c r="U294" s="86">
        <v>13616338934</v>
      </c>
      <c r="V294" s="86">
        <v>13527032749</v>
      </c>
      <c r="W294" s="86">
        <v>13587786789</v>
      </c>
      <c r="X294" s="86">
        <v>12899830357</v>
      </c>
      <c r="Y294" s="86">
        <v>13035302694</v>
      </c>
      <c r="Z294" s="86">
        <v>12508244967</v>
      </c>
      <c r="AA294" s="86">
        <v>13014921531</v>
      </c>
      <c r="AB294" s="86">
        <v>23365222829</v>
      </c>
      <c r="AC294" s="86">
        <v>23836577436</v>
      </c>
      <c r="AD294" s="86">
        <v>24046103196</v>
      </c>
      <c r="AE294" s="86">
        <v>24821856727</v>
      </c>
      <c r="AF294" s="86">
        <v>25389911115</v>
      </c>
      <c r="AG294" s="86">
        <v>25195863979</v>
      </c>
      <c r="AH294" s="86">
        <v>29943033664</v>
      </c>
    </row>
    <row r="295" spans="2:34">
      <c r="B295" s="50" t="s">
        <v>1959</v>
      </c>
      <c r="C295" s="1275" t="s">
        <v>1959</v>
      </c>
      <c r="D295" s="86">
        <v>683168331</v>
      </c>
      <c r="E295" s="86">
        <v>877849501</v>
      </c>
      <c r="F295" s="86"/>
      <c r="G295" s="86">
        <v>780731687</v>
      </c>
      <c r="H295" s="86">
        <v>829760968</v>
      </c>
      <c r="I295" s="86">
        <v>814743398</v>
      </c>
      <c r="J295" s="86">
        <v>812724716</v>
      </c>
      <c r="K295" s="86">
        <v>812723498</v>
      </c>
      <c r="L295" s="86">
        <v>1001267020</v>
      </c>
      <c r="M295" s="86">
        <v>971722198</v>
      </c>
      <c r="N295" s="86">
        <v>13075517876</v>
      </c>
      <c r="O295" s="86">
        <v>10752480262</v>
      </c>
      <c r="P295" s="86">
        <v>12215069915</v>
      </c>
      <c r="Q295" s="86">
        <v>12228774844</v>
      </c>
      <c r="R295" s="86">
        <v>12952972657</v>
      </c>
      <c r="S295" s="86">
        <v>12735632295</v>
      </c>
      <c r="T295" s="86">
        <v>12738433969</v>
      </c>
      <c r="U295" s="86">
        <v>12742547454</v>
      </c>
      <c r="V295" s="86">
        <v>12634927835</v>
      </c>
      <c r="W295" s="86">
        <v>12664361257</v>
      </c>
      <c r="X295" s="86">
        <v>12744531531</v>
      </c>
      <c r="Y295" s="86">
        <v>12856456445</v>
      </c>
      <c r="Z295" s="86">
        <v>12303289879</v>
      </c>
      <c r="AA295" s="86">
        <v>12794551341</v>
      </c>
      <c r="AB295" s="86">
        <v>22938106595</v>
      </c>
      <c r="AC295" s="86">
        <v>23156548426</v>
      </c>
      <c r="AD295" s="86">
        <v>23128236785</v>
      </c>
      <c r="AE295" s="86">
        <v>23718357341</v>
      </c>
      <c r="AF295" s="86">
        <v>24403817462</v>
      </c>
      <c r="AG295" s="86">
        <v>24049728494</v>
      </c>
      <c r="AH295" s="86">
        <v>28392886435</v>
      </c>
    </row>
    <row r="296" spans="2:34">
      <c r="B296" s="50" t="s">
        <v>1960</v>
      </c>
      <c r="C296" s="1275" t="s">
        <v>1960</v>
      </c>
      <c r="D296" s="86">
        <v>907386826</v>
      </c>
      <c r="E296" s="86">
        <v>928996739</v>
      </c>
      <c r="F296" s="86"/>
      <c r="G296" s="86">
        <v>935662569</v>
      </c>
      <c r="H296" s="86">
        <v>938779765</v>
      </c>
      <c r="I296" s="86">
        <v>949150449</v>
      </c>
      <c r="J296" s="86">
        <v>960196432</v>
      </c>
      <c r="K296" s="86">
        <v>970693806</v>
      </c>
      <c r="L296" s="86">
        <v>1078640761</v>
      </c>
      <c r="M296" s="86">
        <v>1078685699</v>
      </c>
      <c r="N296" s="86">
        <v>1085365045</v>
      </c>
      <c r="O296" s="86">
        <v>792638887</v>
      </c>
      <c r="P296" s="86">
        <v>795546092</v>
      </c>
      <c r="Q296" s="86">
        <v>798472074</v>
      </c>
      <c r="R296" s="86">
        <v>808975431</v>
      </c>
      <c r="S296" s="86">
        <v>830361974</v>
      </c>
      <c r="T296" s="86">
        <v>852158525</v>
      </c>
      <c r="U296" s="86">
        <v>873791480</v>
      </c>
      <c r="V296" s="86">
        <v>892104914</v>
      </c>
      <c r="W296" s="86">
        <v>923425532</v>
      </c>
      <c r="X296" s="86">
        <v>155298826</v>
      </c>
      <c r="Y296" s="86">
        <v>178846249</v>
      </c>
      <c r="Z296" s="86">
        <v>204955088</v>
      </c>
      <c r="AA296" s="86">
        <v>220370190</v>
      </c>
      <c r="AB296" s="86">
        <v>427116234</v>
      </c>
      <c r="AC296" s="86">
        <v>680029010</v>
      </c>
      <c r="AD296" s="86">
        <v>917866411</v>
      </c>
      <c r="AE296" s="86">
        <v>1103499386</v>
      </c>
      <c r="AF296" s="86">
        <v>986093653</v>
      </c>
      <c r="AG296" s="86">
        <v>1146135485</v>
      </c>
      <c r="AH296" s="86">
        <v>1550147229</v>
      </c>
    </row>
    <row r="297" spans="2:34">
      <c r="B297" s="51" t="s">
        <v>1961</v>
      </c>
      <c r="C297" s="1275" t="s">
        <v>1961</v>
      </c>
      <c r="D297" s="86">
        <v>0</v>
      </c>
      <c r="E297" s="86">
        <v>0</v>
      </c>
      <c r="F297" s="86"/>
      <c r="G297" s="86">
        <v>0</v>
      </c>
      <c r="H297" s="86">
        <v>0</v>
      </c>
      <c r="I297" s="86">
        <v>0</v>
      </c>
      <c r="J297" s="86">
        <v>0</v>
      </c>
      <c r="K297" s="86">
        <v>0</v>
      </c>
      <c r="L297" s="86">
        <v>0</v>
      </c>
      <c r="M297" s="86">
        <v>0</v>
      </c>
      <c r="N297" s="86">
        <v>0</v>
      </c>
      <c r="O297" s="86">
        <v>0</v>
      </c>
      <c r="P297" s="86">
        <v>0</v>
      </c>
      <c r="Q297" s="86">
        <v>0</v>
      </c>
      <c r="R297" s="86">
        <v>0</v>
      </c>
      <c r="S297" s="86">
        <v>0</v>
      </c>
      <c r="T297" s="86">
        <v>0</v>
      </c>
      <c r="U297" s="86">
        <v>0</v>
      </c>
      <c r="V297" s="86">
        <v>0</v>
      </c>
      <c r="W297" s="86">
        <v>0</v>
      </c>
      <c r="X297" s="86">
        <v>0</v>
      </c>
      <c r="Y297" s="86">
        <v>0</v>
      </c>
      <c r="Z297" s="86">
        <v>0</v>
      </c>
      <c r="AA297" s="86">
        <v>0</v>
      </c>
      <c r="AB297" s="86">
        <v>0</v>
      </c>
      <c r="AC297" s="86">
        <v>0</v>
      </c>
      <c r="AD297" s="86">
        <v>0</v>
      </c>
      <c r="AE297" s="86">
        <v>0</v>
      </c>
      <c r="AF297" s="86">
        <v>0</v>
      </c>
      <c r="AG297" s="86">
        <v>0</v>
      </c>
      <c r="AH297" s="86">
        <v>0</v>
      </c>
    </row>
    <row r="298" spans="2:34" ht="15">
      <c r="B298" s="51" t="s">
        <v>1962</v>
      </c>
      <c r="C298" s="1275" t="s">
        <v>1962</v>
      </c>
      <c r="D298" s="86">
        <v>117954466</v>
      </c>
      <c r="E298" s="86">
        <v>139564379</v>
      </c>
      <c r="F298" s="86"/>
      <c r="G298" s="86">
        <v>146230209</v>
      </c>
      <c r="H298" s="86">
        <v>149347405</v>
      </c>
      <c r="I298" s="86">
        <v>159718089</v>
      </c>
      <c r="J298" s="86">
        <v>170764072</v>
      </c>
      <c r="K298" s="86">
        <v>181261446</v>
      </c>
      <c r="L298" s="86">
        <v>289208401</v>
      </c>
      <c r="M298" s="85">
        <v>289253339</v>
      </c>
      <c r="N298" s="85">
        <v>295932685</v>
      </c>
      <c r="O298" s="85">
        <v>3206527</v>
      </c>
      <c r="P298" s="85">
        <v>6113732</v>
      </c>
      <c r="Q298" s="85">
        <v>9039714</v>
      </c>
      <c r="R298" s="85">
        <v>19543071</v>
      </c>
      <c r="S298" s="85">
        <v>40929614</v>
      </c>
      <c r="T298" s="85">
        <v>62726165</v>
      </c>
      <c r="U298" s="85">
        <v>84359120</v>
      </c>
      <c r="V298" s="85">
        <v>102672554</v>
      </c>
      <c r="W298" s="85">
        <v>133993172</v>
      </c>
      <c r="X298" s="85">
        <v>155298826</v>
      </c>
      <c r="Y298" s="85">
        <v>178846249</v>
      </c>
      <c r="Z298" s="85">
        <v>204955088</v>
      </c>
      <c r="AA298" s="85">
        <v>220370190</v>
      </c>
      <c r="AB298" s="85">
        <v>427116234</v>
      </c>
      <c r="AC298" s="85">
        <v>680029010</v>
      </c>
      <c r="AD298" s="85">
        <v>917866411</v>
      </c>
      <c r="AE298" s="85">
        <v>1103499386</v>
      </c>
      <c r="AF298" s="85">
        <v>986093653</v>
      </c>
      <c r="AG298" s="85">
        <v>1146135485</v>
      </c>
      <c r="AH298" s="85">
        <v>1550147229</v>
      </c>
    </row>
    <row r="299" spans="2:34">
      <c r="B299" s="51" t="s">
        <v>1963</v>
      </c>
      <c r="C299" s="1275" t="s">
        <v>1963</v>
      </c>
      <c r="D299" s="86">
        <v>789432360</v>
      </c>
      <c r="E299" s="86">
        <v>789432360</v>
      </c>
      <c r="F299" s="86"/>
      <c r="G299" s="86">
        <v>789432360</v>
      </c>
      <c r="H299" s="86">
        <v>789432360</v>
      </c>
      <c r="I299" s="86">
        <v>789432360</v>
      </c>
      <c r="J299" s="86">
        <v>789432360</v>
      </c>
      <c r="K299" s="86">
        <v>789432360</v>
      </c>
      <c r="L299" s="86">
        <v>789432360</v>
      </c>
      <c r="M299" s="86">
        <v>789432360</v>
      </c>
      <c r="N299" s="86">
        <v>789432360</v>
      </c>
      <c r="O299" s="86">
        <v>789432360</v>
      </c>
      <c r="P299" s="86">
        <v>789432360</v>
      </c>
      <c r="Q299" s="86">
        <v>789432360</v>
      </c>
      <c r="R299" s="86">
        <v>789432360</v>
      </c>
      <c r="S299" s="86">
        <v>789432360</v>
      </c>
      <c r="T299" s="86">
        <v>789432360</v>
      </c>
      <c r="U299" s="86">
        <v>789432360</v>
      </c>
      <c r="V299" s="86">
        <v>789432360</v>
      </c>
      <c r="W299" s="86">
        <v>789432360</v>
      </c>
      <c r="X299" s="86">
        <v>0</v>
      </c>
      <c r="Y299" s="86">
        <v>0</v>
      </c>
      <c r="Z299" s="86">
        <v>0</v>
      </c>
      <c r="AA299" s="86">
        <v>0</v>
      </c>
      <c r="AB299" s="86">
        <v>0</v>
      </c>
      <c r="AC299" s="86">
        <v>0</v>
      </c>
      <c r="AD299" s="86">
        <v>0</v>
      </c>
      <c r="AE299" s="86">
        <v>0</v>
      </c>
      <c r="AF299" s="86">
        <v>0</v>
      </c>
      <c r="AG299" s="86">
        <v>0</v>
      </c>
      <c r="AH299" s="86">
        <v>0</v>
      </c>
    </row>
    <row r="300" spans="2:34" ht="15">
      <c r="B300" s="50" t="s">
        <v>1964</v>
      </c>
      <c r="C300" s="1275" t="s">
        <v>1964</v>
      </c>
      <c r="D300" s="86">
        <v>0</v>
      </c>
      <c r="E300" s="86">
        <v>0</v>
      </c>
      <c r="F300" s="86"/>
      <c r="G300" s="86">
        <v>0</v>
      </c>
      <c r="H300" s="86">
        <v>0</v>
      </c>
      <c r="I300" s="86">
        <v>0</v>
      </c>
      <c r="J300" s="86">
        <v>0</v>
      </c>
      <c r="K300" s="86">
        <v>0</v>
      </c>
      <c r="L300" s="86">
        <v>0</v>
      </c>
      <c r="M300" s="85">
        <v>0</v>
      </c>
      <c r="N300" s="85">
        <v>0</v>
      </c>
      <c r="O300" s="85">
        <v>0</v>
      </c>
      <c r="P300" s="85">
        <v>0</v>
      </c>
      <c r="Q300" s="85">
        <v>0</v>
      </c>
      <c r="R300" s="85">
        <v>0</v>
      </c>
      <c r="S300" s="85">
        <v>0</v>
      </c>
      <c r="T300" s="85">
        <v>0</v>
      </c>
      <c r="U300" s="85">
        <v>0</v>
      </c>
      <c r="V300" s="85">
        <v>0</v>
      </c>
      <c r="W300" s="85">
        <v>0</v>
      </c>
      <c r="X300" s="85">
        <v>0</v>
      </c>
      <c r="Y300" s="85">
        <v>0</v>
      </c>
      <c r="Z300" s="85">
        <v>0</v>
      </c>
      <c r="AA300" s="85">
        <v>0</v>
      </c>
      <c r="AB300" s="85">
        <v>0</v>
      </c>
      <c r="AC300" s="85">
        <v>0</v>
      </c>
      <c r="AD300" s="85">
        <v>0</v>
      </c>
      <c r="AE300" s="85">
        <v>0</v>
      </c>
      <c r="AF300" s="85">
        <v>0</v>
      </c>
      <c r="AG300" s="85">
        <v>0</v>
      </c>
      <c r="AH300" s="85">
        <v>0</v>
      </c>
    </row>
    <row r="301" spans="2:34">
      <c r="B301" s="50" t="s">
        <v>1965</v>
      </c>
      <c r="C301" s="1275" t="s">
        <v>1965</v>
      </c>
      <c r="D301" s="86">
        <v>0</v>
      </c>
      <c r="E301" s="86">
        <v>0</v>
      </c>
      <c r="F301" s="86"/>
      <c r="G301" s="86">
        <v>0</v>
      </c>
      <c r="H301" s="86">
        <v>0</v>
      </c>
      <c r="I301" s="86">
        <v>0</v>
      </c>
      <c r="J301" s="86">
        <v>0</v>
      </c>
      <c r="K301" s="86">
        <v>0</v>
      </c>
      <c r="L301" s="86">
        <v>0</v>
      </c>
      <c r="M301" s="86">
        <v>0</v>
      </c>
      <c r="N301" s="86">
        <v>0</v>
      </c>
      <c r="O301" s="86">
        <v>0</v>
      </c>
      <c r="P301" s="86">
        <v>0</v>
      </c>
      <c r="Q301" s="86">
        <v>0</v>
      </c>
      <c r="R301" s="86">
        <v>0</v>
      </c>
      <c r="S301" s="86">
        <v>0</v>
      </c>
      <c r="T301" s="86">
        <v>0</v>
      </c>
      <c r="U301" s="86">
        <v>0</v>
      </c>
      <c r="V301" s="86">
        <v>0</v>
      </c>
      <c r="W301" s="86">
        <v>0</v>
      </c>
      <c r="X301" s="86">
        <v>0</v>
      </c>
      <c r="Y301" s="86">
        <v>0</v>
      </c>
      <c r="Z301" s="86">
        <v>0</v>
      </c>
      <c r="AA301" s="86">
        <v>0</v>
      </c>
      <c r="AB301" s="86">
        <v>0</v>
      </c>
      <c r="AC301" s="86">
        <v>0</v>
      </c>
      <c r="AD301" s="86">
        <v>0</v>
      </c>
      <c r="AE301" s="86">
        <v>0</v>
      </c>
      <c r="AF301" s="86">
        <v>0</v>
      </c>
      <c r="AG301" s="86">
        <v>0</v>
      </c>
      <c r="AH301" s="86">
        <v>0</v>
      </c>
    </row>
    <row r="302" spans="2:34">
      <c r="B302" s="39" t="s">
        <v>58</v>
      </c>
      <c r="C302" s="39" t="s">
        <v>58</v>
      </c>
      <c r="D302" s="88">
        <v>13662769055925</v>
      </c>
      <c r="E302" s="88">
        <v>15467040685535</v>
      </c>
      <c r="F302" s="88"/>
      <c r="G302" s="88">
        <v>16468924240991</v>
      </c>
      <c r="H302" s="88">
        <v>16078795568819</v>
      </c>
      <c r="I302" s="88">
        <v>16514767910536</v>
      </c>
      <c r="J302" s="88">
        <v>17366147982266</v>
      </c>
      <c r="K302" s="88">
        <v>16770955792246</v>
      </c>
      <c r="L302" s="88">
        <v>18517777937411</v>
      </c>
      <c r="M302" s="88">
        <v>18746350027451</v>
      </c>
      <c r="N302" s="88">
        <v>19891108877625</v>
      </c>
      <c r="O302" s="88">
        <v>20298327356010</v>
      </c>
      <c r="P302" s="88">
        <v>23002350862258</v>
      </c>
      <c r="Q302" s="88">
        <v>23177429282485</v>
      </c>
      <c r="R302" s="88">
        <v>24243188245258</v>
      </c>
      <c r="S302" s="88">
        <v>25184796435556</v>
      </c>
      <c r="T302" s="88">
        <v>28259181621228</v>
      </c>
      <c r="U302" s="88">
        <v>28746669029218</v>
      </c>
      <c r="V302" s="88">
        <v>29307853426201</v>
      </c>
      <c r="W302" s="88">
        <v>28752074697025</v>
      </c>
      <c r="X302" s="88">
        <v>31070385776901</v>
      </c>
      <c r="Y302" s="88">
        <v>31557789178071</v>
      </c>
      <c r="Z302" s="88">
        <v>32589647288520</v>
      </c>
      <c r="AA302" s="88">
        <v>33303350683554</v>
      </c>
      <c r="AB302" s="88">
        <v>35852467033734</v>
      </c>
      <c r="AC302" s="88">
        <v>36957424535371</v>
      </c>
      <c r="AD302" s="88">
        <v>38460078131111</v>
      </c>
      <c r="AE302" s="88">
        <v>40000835499708</v>
      </c>
      <c r="AF302" s="88">
        <v>42792898356769</v>
      </c>
      <c r="AG302" s="88">
        <v>45132965026618</v>
      </c>
      <c r="AH302" s="88">
        <v>43293529635334</v>
      </c>
    </row>
    <row r="303" spans="2:34">
      <c r="B303" s="43" t="s">
        <v>1966</v>
      </c>
      <c r="C303" s="43" t="s">
        <v>1966</v>
      </c>
      <c r="D303" s="87">
        <v>1420789612840</v>
      </c>
      <c r="E303" s="87">
        <v>1230614704970</v>
      </c>
      <c r="F303" s="87"/>
      <c r="G303" s="87">
        <v>1529490428908</v>
      </c>
      <c r="H303" s="87">
        <v>1294957943165</v>
      </c>
      <c r="I303" s="87">
        <v>1465780483702</v>
      </c>
      <c r="J303" s="87">
        <v>1519741296441</v>
      </c>
      <c r="K303" s="87">
        <v>1464090978652</v>
      </c>
      <c r="L303" s="87">
        <v>1625598108840</v>
      </c>
      <c r="M303" s="87">
        <v>1763239710279</v>
      </c>
      <c r="N303" s="87">
        <v>2231549196727</v>
      </c>
      <c r="O303" s="87">
        <v>2227705616642</v>
      </c>
      <c r="P303" s="87">
        <v>2419533534819</v>
      </c>
      <c r="Q303" s="87">
        <v>2583474134255</v>
      </c>
      <c r="R303" s="87">
        <v>3625712428913</v>
      </c>
      <c r="S303" s="87">
        <v>3479407378679</v>
      </c>
      <c r="T303" s="87">
        <v>4343491314538</v>
      </c>
      <c r="U303" s="87">
        <v>4307147347568</v>
      </c>
      <c r="V303" s="87">
        <v>4108313062483</v>
      </c>
      <c r="W303" s="87">
        <v>3660974945220</v>
      </c>
      <c r="X303" s="87">
        <v>3391628987594</v>
      </c>
      <c r="Y303" s="87">
        <v>3561712620612</v>
      </c>
      <c r="Z303" s="87">
        <v>3502919940520</v>
      </c>
      <c r="AA303" s="87">
        <v>3342489327561</v>
      </c>
      <c r="AB303" s="87">
        <v>3852071857386</v>
      </c>
      <c r="AC303" s="87">
        <v>4017503635638</v>
      </c>
      <c r="AD303" s="87">
        <v>3827977406562</v>
      </c>
      <c r="AE303" s="87">
        <v>3897332240814</v>
      </c>
      <c r="AF303" s="87">
        <v>3940396532478</v>
      </c>
      <c r="AG303" s="87">
        <v>3738125846987</v>
      </c>
      <c r="AH303" s="87">
        <v>3802902480731</v>
      </c>
    </row>
    <row r="304" spans="2:34">
      <c r="B304" s="49" t="s">
        <v>1967</v>
      </c>
      <c r="C304" s="1275" t="s">
        <v>1967</v>
      </c>
      <c r="D304" s="86">
        <v>1420789612840</v>
      </c>
      <c r="E304" s="86">
        <v>1230614704970</v>
      </c>
      <c r="F304" s="86"/>
      <c r="G304" s="86">
        <v>1529490428908</v>
      </c>
      <c r="H304" s="86">
        <v>1294957943165</v>
      </c>
      <c r="I304" s="86">
        <v>1465780483702</v>
      </c>
      <c r="J304" s="86">
        <v>1519741296441</v>
      </c>
      <c r="K304" s="86">
        <v>1464090978652</v>
      </c>
      <c r="L304" s="86">
        <v>1625598108840</v>
      </c>
      <c r="M304" s="86">
        <v>1763239710279</v>
      </c>
      <c r="N304" s="86">
        <v>2231549196727</v>
      </c>
      <c r="O304" s="86">
        <v>2227705616642</v>
      </c>
      <c r="P304" s="86">
        <v>2419533534819</v>
      </c>
      <c r="Q304" s="86">
        <v>2583474134255</v>
      </c>
      <c r="R304" s="86">
        <v>3625712428913</v>
      </c>
      <c r="S304" s="86">
        <v>3479407378679</v>
      </c>
      <c r="T304" s="86">
        <v>4343491314538</v>
      </c>
      <c r="U304" s="86">
        <v>4307147347568</v>
      </c>
      <c r="V304" s="86">
        <v>4108313062483</v>
      </c>
      <c r="W304" s="86">
        <v>3660974945220</v>
      </c>
      <c r="X304" s="86">
        <v>3391628987594</v>
      </c>
      <c r="Y304" s="86">
        <v>3561712620612</v>
      </c>
      <c r="Z304" s="86">
        <v>3502919940520</v>
      </c>
      <c r="AA304" s="86">
        <v>3342489327561</v>
      </c>
      <c r="AB304" s="86">
        <v>3852071857386</v>
      </c>
      <c r="AC304" s="86">
        <v>4017503635638</v>
      </c>
      <c r="AD304" s="86">
        <v>3827977406562</v>
      </c>
      <c r="AE304" s="86">
        <v>3897332240814</v>
      </c>
      <c r="AF304" s="86">
        <v>3940396532478</v>
      </c>
      <c r="AG304" s="86">
        <v>3738125846987</v>
      </c>
      <c r="AH304" s="86">
        <v>3802902480731</v>
      </c>
    </row>
    <row r="305" spans="2:34">
      <c r="B305" s="50" t="s">
        <v>1968</v>
      </c>
      <c r="C305" s="1275" t="s">
        <v>1968</v>
      </c>
      <c r="D305" s="86">
        <v>1123581454409</v>
      </c>
      <c r="E305" s="86">
        <v>943206225106</v>
      </c>
      <c r="F305" s="86"/>
      <c r="G305" s="86">
        <v>986295843913</v>
      </c>
      <c r="H305" s="86">
        <v>981958567354</v>
      </c>
      <c r="I305" s="86">
        <v>1000917564296</v>
      </c>
      <c r="J305" s="86">
        <v>1072688840071</v>
      </c>
      <c r="K305" s="86">
        <v>1009993983218</v>
      </c>
      <c r="L305" s="86">
        <v>920360575605</v>
      </c>
      <c r="M305" s="86">
        <v>934192450601</v>
      </c>
      <c r="N305" s="86">
        <v>990010818098</v>
      </c>
      <c r="O305" s="86">
        <v>1101653893512</v>
      </c>
      <c r="P305" s="86">
        <v>1317790362477</v>
      </c>
      <c r="Q305" s="86">
        <v>1532673440325</v>
      </c>
      <c r="R305" s="86">
        <v>1419395558488</v>
      </c>
      <c r="S305" s="86">
        <v>1473429490217</v>
      </c>
      <c r="T305" s="86">
        <v>1675978103615</v>
      </c>
      <c r="U305" s="86">
        <v>1647310899450</v>
      </c>
      <c r="V305" s="86">
        <v>1494265867963</v>
      </c>
      <c r="W305" s="86">
        <v>1560386432235</v>
      </c>
      <c r="X305" s="86">
        <v>1413916163021</v>
      </c>
      <c r="Y305" s="86">
        <v>1525884684492</v>
      </c>
      <c r="Z305" s="86">
        <v>1426524743213</v>
      </c>
      <c r="AA305" s="86">
        <v>1675127397153</v>
      </c>
      <c r="AB305" s="86">
        <v>1704026996931</v>
      </c>
      <c r="AC305" s="86">
        <v>1687545943601</v>
      </c>
      <c r="AD305" s="86">
        <v>1595514649396</v>
      </c>
      <c r="AE305" s="86">
        <v>1565894845734</v>
      </c>
      <c r="AF305" s="86">
        <v>1749036963303</v>
      </c>
      <c r="AG305" s="86">
        <v>1620104056992</v>
      </c>
      <c r="AH305" s="86">
        <v>1564789832432</v>
      </c>
    </row>
    <row r="306" spans="2:34">
      <c r="B306" s="50" t="s">
        <v>1969</v>
      </c>
      <c r="C306" s="1275" t="s">
        <v>1969</v>
      </c>
      <c r="D306" s="86">
        <v>222320429893</v>
      </c>
      <c r="E306" s="86">
        <v>224146720481</v>
      </c>
      <c r="F306" s="86"/>
      <c r="G306" s="86">
        <v>264682102388</v>
      </c>
      <c r="H306" s="86">
        <v>238351017673</v>
      </c>
      <c r="I306" s="86">
        <v>275671284443</v>
      </c>
      <c r="J306" s="86">
        <v>373277378618</v>
      </c>
      <c r="K306" s="86">
        <v>328806307553</v>
      </c>
      <c r="L306" s="86">
        <v>597107058228</v>
      </c>
      <c r="M306" s="86">
        <v>696699283215</v>
      </c>
      <c r="N306" s="86">
        <v>796124070464</v>
      </c>
      <c r="O306" s="86">
        <v>1041390141437</v>
      </c>
      <c r="P306" s="86">
        <v>939677708113</v>
      </c>
      <c r="Q306" s="86">
        <v>976901502286</v>
      </c>
      <c r="R306" s="86">
        <v>1937668211142</v>
      </c>
      <c r="S306" s="86">
        <v>1913269339099</v>
      </c>
      <c r="T306" s="86">
        <v>2509539182142</v>
      </c>
      <c r="U306" s="86">
        <v>2367618448710</v>
      </c>
      <c r="V306" s="86">
        <v>2162330705039</v>
      </c>
      <c r="W306" s="86">
        <v>1933519938403</v>
      </c>
      <c r="X306" s="86">
        <v>1786163733462</v>
      </c>
      <c r="Y306" s="86">
        <v>1758454315367</v>
      </c>
      <c r="Z306" s="86">
        <v>1712567960428</v>
      </c>
      <c r="AA306" s="86">
        <v>1480844011211</v>
      </c>
      <c r="AB306" s="86">
        <v>1975314910540</v>
      </c>
      <c r="AC306" s="86">
        <v>1744558910878</v>
      </c>
      <c r="AD306" s="86">
        <v>1836604760626</v>
      </c>
      <c r="AE306" s="86">
        <v>2208299982831</v>
      </c>
      <c r="AF306" s="86">
        <v>1840448725005</v>
      </c>
      <c r="AG306" s="86">
        <v>1876557894306</v>
      </c>
      <c r="AH306" s="86">
        <v>2080871383289</v>
      </c>
    </row>
    <row r="307" spans="2:34" ht="15">
      <c r="B307" s="50" t="s">
        <v>1970</v>
      </c>
      <c r="C307" s="1275" t="s">
        <v>1970</v>
      </c>
      <c r="D307" s="86">
        <v>24283900</v>
      </c>
      <c r="E307" s="86">
        <v>354283900</v>
      </c>
      <c r="F307" s="86"/>
      <c r="G307" s="86">
        <v>24283900</v>
      </c>
      <c r="H307" s="86">
        <v>529283900</v>
      </c>
      <c r="I307" s="86">
        <v>24283900</v>
      </c>
      <c r="J307" s="86">
        <v>30283900</v>
      </c>
      <c r="K307" s="86">
        <v>24283900</v>
      </c>
      <c r="L307" s="86">
        <v>24283900</v>
      </c>
      <c r="M307" s="85">
        <v>2523283900</v>
      </c>
      <c r="N307" s="85">
        <v>24283900</v>
      </c>
      <c r="O307" s="85">
        <v>24283900</v>
      </c>
      <c r="P307" s="85">
        <v>1434283900</v>
      </c>
      <c r="Q307" s="85">
        <v>24283900</v>
      </c>
      <c r="R307" s="85">
        <v>24283900</v>
      </c>
      <c r="S307" s="85">
        <v>24283900</v>
      </c>
      <c r="T307" s="85">
        <v>24283900</v>
      </c>
      <c r="U307" s="85">
        <v>1096283900</v>
      </c>
      <c r="V307" s="85">
        <v>346272207900</v>
      </c>
      <c r="W307" s="85">
        <v>24283900</v>
      </c>
      <c r="X307" s="85">
        <v>24283900</v>
      </c>
      <c r="Y307" s="85">
        <v>678283900</v>
      </c>
      <c r="Z307" s="85">
        <v>24283900</v>
      </c>
      <c r="AA307" s="85">
        <v>24283900</v>
      </c>
      <c r="AB307" s="85">
        <v>3051283900</v>
      </c>
      <c r="AC307" s="85">
        <v>2489283900</v>
      </c>
      <c r="AD307" s="85">
        <v>24283900</v>
      </c>
      <c r="AE307" s="85">
        <v>24283900</v>
      </c>
      <c r="AF307" s="85">
        <v>24283900</v>
      </c>
      <c r="AG307" s="85">
        <v>49646413900</v>
      </c>
      <c r="AH307" s="85">
        <v>796533631</v>
      </c>
    </row>
    <row r="308" spans="2:34">
      <c r="B308" s="50" t="s">
        <v>1971</v>
      </c>
      <c r="C308" s="1275" t="s">
        <v>1971</v>
      </c>
      <c r="D308" s="86">
        <v>10105843615</v>
      </c>
      <c r="E308" s="86">
        <v>7550470249</v>
      </c>
      <c r="F308" s="86"/>
      <c r="G308" s="86">
        <v>11570270304</v>
      </c>
      <c r="H308" s="86">
        <v>10815532787</v>
      </c>
      <c r="I308" s="86">
        <v>7982281869</v>
      </c>
      <c r="J308" s="86">
        <v>10155049564</v>
      </c>
      <c r="K308" s="86">
        <v>9834680359</v>
      </c>
      <c r="L308" s="86">
        <v>7621314112</v>
      </c>
      <c r="M308" s="86">
        <v>8337881244</v>
      </c>
      <c r="N308" s="86">
        <v>10593512905</v>
      </c>
      <c r="O308" s="86">
        <v>11320888015</v>
      </c>
      <c r="P308" s="86">
        <v>12888328558</v>
      </c>
      <c r="Q308" s="86">
        <v>18204084363</v>
      </c>
      <c r="R308" s="86">
        <v>13320788414</v>
      </c>
      <c r="S308" s="86">
        <v>11855866588</v>
      </c>
      <c r="T308" s="86">
        <v>11524889921</v>
      </c>
      <c r="U308" s="86">
        <v>11369983374</v>
      </c>
      <c r="V308" s="86">
        <v>11982343321</v>
      </c>
      <c r="W308" s="86">
        <v>12350906745</v>
      </c>
      <c r="X308" s="86">
        <v>22445299108</v>
      </c>
      <c r="Y308" s="86">
        <v>14118182618</v>
      </c>
      <c r="Z308" s="86">
        <v>20275484846</v>
      </c>
      <c r="AA308" s="86">
        <v>23999255265</v>
      </c>
      <c r="AB308" s="86">
        <v>18862526272</v>
      </c>
      <c r="AC308" s="86">
        <v>22214943746</v>
      </c>
      <c r="AD308" s="86">
        <v>15791179745</v>
      </c>
      <c r="AE308" s="86">
        <v>14438283469</v>
      </c>
      <c r="AF308" s="86">
        <v>16086634798</v>
      </c>
      <c r="AG308" s="86">
        <v>15236718317</v>
      </c>
      <c r="AH308" s="86">
        <v>15021850841</v>
      </c>
    </row>
    <row r="309" spans="2:34" ht="15">
      <c r="B309" s="50" t="s">
        <v>1972</v>
      </c>
      <c r="C309" s="1275" t="s">
        <v>1972</v>
      </c>
      <c r="D309" s="86">
        <v>13825906</v>
      </c>
      <c r="E309" s="86">
        <v>13809272</v>
      </c>
      <c r="F309" s="86"/>
      <c r="G309" s="86">
        <v>13675355</v>
      </c>
      <c r="H309" s="86">
        <v>13574900</v>
      </c>
      <c r="I309" s="86">
        <v>13564210</v>
      </c>
      <c r="J309" s="86">
        <v>13554210</v>
      </c>
      <c r="K309" s="86">
        <v>13552880</v>
      </c>
      <c r="L309" s="86">
        <v>13534722</v>
      </c>
      <c r="M309" s="85">
        <v>11407513</v>
      </c>
      <c r="N309" s="85">
        <v>11403948</v>
      </c>
      <c r="O309" s="85">
        <v>11391633</v>
      </c>
      <c r="P309" s="85">
        <v>11381028</v>
      </c>
      <c r="Q309" s="85">
        <v>11381028</v>
      </c>
      <c r="R309" s="85">
        <v>11373464</v>
      </c>
      <c r="S309" s="85">
        <v>11372512</v>
      </c>
      <c r="T309" s="85">
        <v>11197328</v>
      </c>
      <c r="U309" s="85">
        <v>11191480</v>
      </c>
      <c r="V309" s="85">
        <v>11191480</v>
      </c>
      <c r="W309" s="85">
        <v>11186589</v>
      </c>
      <c r="X309" s="85">
        <v>11181464</v>
      </c>
      <c r="Y309" s="85">
        <v>11090123</v>
      </c>
      <c r="Z309" s="85">
        <v>10924795</v>
      </c>
      <c r="AA309" s="85">
        <v>10923827</v>
      </c>
      <c r="AB309" s="85">
        <v>10906349</v>
      </c>
      <c r="AC309" s="85">
        <v>10900827</v>
      </c>
      <c r="AD309" s="85">
        <v>10898847</v>
      </c>
      <c r="AE309" s="85">
        <v>10897934</v>
      </c>
      <c r="AF309" s="85">
        <v>10897741</v>
      </c>
      <c r="AG309" s="85">
        <v>10619425</v>
      </c>
      <c r="AH309" s="85">
        <v>10492811</v>
      </c>
    </row>
    <row r="310" spans="2:34">
      <c r="B310" s="50" t="s">
        <v>1973</v>
      </c>
      <c r="C310" s="1275" t="s">
        <v>1973</v>
      </c>
      <c r="D310" s="86">
        <v>64723272921</v>
      </c>
      <c r="E310" s="86">
        <v>55316642336</v>
      </c>
      <c r="F310" s="86"/>
      <c r="G310" s="86">
        <v>266883750852</v>
      </c>
      <c r="H310" s="86">
        <v>63269464355</v>
      </c>
      <c r="I310" s="86">
        <v>181151002788</v>
      </c>
      <c r="J310" s="86">
        <v>63555687882</v>
      </c>
      <c r="K310" s="86">
        <v>115397593729</v>
      </c>
      <c r="L310" s="86">
        <v>100446471086</v>
      </c>
      <c r="M310" s="86">
        <v>121450581610</v>
      </c>
      <c r="N310" s="86">
        <v>434438672977</v>
      </c>
      <c r="O310" s="86">
        <v>73284515949</v>
      </c>
      <c r="P310" s="86">
        <v>147710968547</v>
      </c>
      <c r="Q310" s="86">
        <v>55638940157</v>
      </c>
      <c r="R310" s="86">
        <v>255271711309</v>
      </c>
      <c r="S310" s="86">
        <v>80796524167</v>
      </c>
      <c r="T310" s="86">
        <v>146388845436</v>
      </c>
      <c r="U310" s="86">
        <v>279315766773</v>
      </c>
      <c r="V310" s="86">
        <v>93430244584</v>
      </c>
      <c r="W310" s="86">
        <v>154661695152</v>
      </c>
      <c r="X310" s="86">
        <v>169043564443</v>
      </c>
      <c r="Y310" s="86">
        <v>262545561916</v>
      </c>
      <c r="Z310" s="86">
        <v>343496041142</v>
      </c>
      <c r="AA310" s="86">
        <v>162462954009</v>
      </c>
      <c r="AB310" s="86">
        <v>150784731198</v>
      </c>
      <c r="AC310" s="86">
        <v>560663150490</v>
      </c>
      <c r="AD310" s="86">
        <v>380011131852</v>
      </c>
      <c r="AE310" s="86">
        <v>108643444750</v>
      </c>
      <c r="AF310" s="86">
        <v>334768525535</v>
      </c>
      <c r="AG310" s="86">
        <v>176549641851</v>
      </c>
      <c r="AH310" s="86">
        <v>141391885531</v>
      </c>
    </row>
    <row r="311" spans="2:34">
      <c r="B311" s="50" t="s">
        <v>1974</v>
      </c>
      <c r="C311" s="1275" t="s">
        <v>1974</v>
      </c>
      <c r="D311" s="86">
        <v>20502196</v>
      </c>
      <c r="E311" s="86">
        <v>26553626</v>
      </c>
      <c r="F311" s="86"/>
      <c r="G311" s="86">
        <v>20502196</v>
      </c>
      <c r="H311" s="86">
        <v>20502196</v>
      </c>
      <c r="I311" s="86">
        <v>20502196</v>
      </c>
      <c r="J311" s="86">
        <v>20502196</v>
      </c>
      <c r="K311" s="86">
        <v>20577013</v>
      </c>
      <c r="L311" s="86">
        <v>24871187</v>
      </c>
      <c r="M311" s="86">
        <v>24822196</v>
      </c>
      <c r="N311" s="86">
        <v>346434435</v>
      </c>
      <c r="O311" s="86">
        <v>20502196</v>
      </c>
      <c r="P311" s="86">
        <v>20502196</v>
      </c>
      <c r="Q311" s="86">
        <v>20502196</v>
      </c>
      <c r="R311" s="86">
        <v>20502196</v>
      </c>
      <c r="S311" s="86">
        <v>20502196</v>
      </c>
      <c r="T311" s="86">
        <v>24812196</v>
      </c>
      <c r="U311" s="86">
        <v>424773881</v>
      </c>
      <c r="V311" s="86">
        <v>20502196</v>
      </c>
      <c r="W311" s="86">
        <v>20502196</v>
      </c>
      <c r="X311" s="86">
        <v>24762196</v>
      </c>
      <c r="Y311" s="86">
        <v>20502196</v>
      </c>
      <c r="Z311" s="86">
        <v>20502196</v>
      </c>
      <c r="AA311" s="86">
        <v>20502196</v>
      </c>
      <c r="AB311" s="86">
        <v>20502196</v>
      </c>
      <c r="AC311" s="86">
        <v>20502196</v>
      </c>
      <c r="AD311" s="86">
        <v>20502196</v>
      </c>
      <c r="AE311" s="86">
        <v>20502196</v>
      </c>
      <c r="AF311" s="86">
        <v>20502196</v>
      </c>
      <c r="AG311" s="86">
        <v>20502196</v>
      </c>
      <c r="AH311" s="86">
        <v>20502196</v>
      </c>
    </row>
    <row r="312" spans="2:34">
      <c r="B312" s="49" t="s">
        <v>1975</v>
      </c>
      <c r="C312" s="1275" t="s">
        <v>1975</v>
      </c>
      <c r="D312" s="86">
        <v>0</v>
      </c>
      <c r="E312" s="86">
        <v>0</v>
      </c>
      <c r="F312" s="86"/>
      <c r="G312" s="86">
        <v>0</v>
      </c>
      <c r="H312" s="86">
        <v>0</v>
      </c>
      <c r="I312" s="86">
        <v>0</v>
      </c>
      <c r="J312" s="86">
        <v>0</v>
      </c>
      <c r="K312" s="86">
        <v>0</v>
      </c>
      <c r="L312" s="86">
        <v>0</v>
      </c>
      <c r="M312" s="86">
        <v>0</v>
      </c>
      <c r="N312" s="86">
        <v>0</v>
      </c>
      <c r="O312" s="86">
        <v>0</v>
      </c>
      <c r="P312" s="86">
        <v>0</v>
      </c>
      <c r="Q312" s="86">
        <v>0</v>
      </c>
      <c r="R312" s="86">
        <v>0</v>
      </c>
      <c r="S312" s="86">
        <v>0</v>
      </c>
      <c r="T312" s="86">
        <v>0</v>
      </c>
      <c r="U312" s="86">
        <v>0</v>
      </c>
      <c r="V312" s="86">
        <v>0</v>
      </c>
      <c r="W312" s="86">
        <v>0</v>
      </c>
      <c r="X312" s="86">
        <v>0</v>
      </c>
      <c r="Y312" s="86">
        <v>0</v>
      </c>
      <c r="Z312" s="86">
        <v>0</v>
      </c>
      <c r="AA312" s="86">
        <v>0</v>
      </c>
      <c r="AB312" s="86">
        <v>0</v>
      </c>
      <c r="AC312" s="86">
        <v>0</v>
      </c>
      <c r="AD312" s="86">
        <v>0</v>
      </c>
      <c r="AE312" s="86">
        <v>0</v>
      </c>
      <c r="AF312" s="86">
        <v>0</v>
      </c>
      <c r="AG312" s="86">
        <v>0</v>
      </c>
      <c r="AH312" s="86">
        <v>0</v>
      </c>
    </row>
    <row r="313" spans="2:34" ht="15">
      <c r="B313" s="50" t="s">
        <v>1976</v>
      </c>
      <c r="C313" s="1275" t="s">
        <v>1976</v>
      </c>
      <c r="D313" s="86">
        <v>0</v>
      </c>
      <c r="E313" s="86">
        <v>0</v>
      </c>
      <c r="F313" s="86"/>
      <c r="G313" s="86">
        <v>0</v>
      </c>
      <c r="H313" s="86">
        <v>0</v>
      </c>
      <c r="I313" s="86">
        <v>0</v>
      </c>
      <c r="J313" s="86">
        <v>0</v>
      </c>
      <c r="K313" s="86">
        <v>0</v>
      </c>
      <c r="L313" s="86">
        <v>0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 s="85">
        <v>0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 s="85">
        <v>0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</row>
    <row r="314" spans="2:34">
      <c r="B314" s="50" t="s">
        <v>1977</v>
      </c>
      <c r="C314" s="1275" t="s">
        <v>1977</v>
      </c>
      <c r="D314" s="86">
        <v>0</v>
      </c>
      <c r="E314" s="86">
        <v>0</v>
      </c>
      <c r="F314" s="86"/>
      <c r="G314" s="86">
        <v>0</v>
      </c>
      <c r="H314" s="86">
        <v>0</v>
      </c>
      <c r="I314" s="86">
        <v>0</v>
      </c>
      <c r="J314" s="86">
        <v>0</v>
      </c>
      <c r="K314" s="86">
        <v>0</v>
      </c>
      <c r="L314" s="86">
        <v>0</v>
      </c>
      <c r="M314" s="86">
        <v>0</v>
      </c>
      <c r="N314" s="86">
        <v>0</v>
      </c>
      <c r="O314" s="86">
        <v>0</v>
      </c>
      <c r="P314" s="86">
        <v>0</v>
      </c>
      <c r="Q314" s="86">
        <v>0</v>
      </c>
      <c r="R314" s="86">
        <v>0</v>
      </c>
      <c r="S314" s="86">
        <v>0</v>
      </c>
      <c r="T314" s="86">
        <v>0</v>
      </c>
      <c r="U314" s="86">
        <v>0</v>
      </c>
      <c r="V314" s="86">
        <v>0</v>
      </c>
      <c r="W314" s="86">
        <v>0</v>
      </c>
      <c r="X314" s="86">
        <v>0</v>
      </c>
      <c r="Y314" s="86">
        <v>0</v>
      </c>
      <c r="Z314" s="86">
        <v>0</v>
      </c>
      <c r="AA314" s="86">
        <v>0</v>
      </c>
      <c r="AB314" s="86">
        <v>0</v>
      </c>
      <c r="AC314" s="86">
        <v>0</v>
      </c>
      <c r="AD314" s="86">
        <v>0</v>
      </c>
      <c r="AE314" s="86">
        <v>0</v>
      </c>
      <c r="AF314" s="86">
        <v>0</v>
      </c>
      <c r="AG314" s="86">
        <v>0</v>
      </c>
      <c r="AH314" s="86">
        <v>0</v>
      </c>
    </row>
    <row r="315" spans="2:34" ht="15">
      <c r="B315" s="50" t="s">
        <v>1978</v>
      </c>
      <c r="C315" s="1275" t="s">
        <v>1978</v>
      </c>
      <c r="D315" s="86">
        <v>0</v>
      </c>
      <c r="E315" s="86">
        <v>0</v>
      </c>
      <c r="F315" s="86"/>
      <c r="G315" s="86">
        <v>0</v>
      </c>
      <c r="H315" s="86">
        <v>0</v>
      </c>
      <c r="I315" s="86">
        <v>0</v>
      </c>
      <c r="J315" s="86">
        <v>0</v>
      </c>
      <c r="K315" s="86">
        <v>0</v>
      </c>
      <c r="L315" s="86">
        <v>0</v>
      </c>
      <c r="M315" s="85">
        <v>0</v>
      </c>
      <c r="N315" s="85">
        <v>0</v>
      </c>
      <c r="O315" s="85">
        <v>0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 s="85">
        <v>0</v>
      </c>
    </row>
    <row r="316" spans="2:34" ht="15">
      <c r="B316" s="50" t="s">
        <v>1148</v>
      </c>
      <c r="C316" s="1275" t="s">
        <v>1148</v>
      </c>
      <c r="D316" s="86">
        <v>0</v>
      </c>
      <c r="E316" s="86">
        <v>0</v>
      </c>
      <c r="F316" s="86"/>
      <c r="G316" s="86">
        <v>0</v>
      </c>
      <c r="H316" s="86">
        <v>0</v>
      </c>
      <c r="I316" s="86">
        <v>0</v>
      </c>
      <c r="J316" s="86">
        <v>0</v>
      </c>
      <c r="K316" s="86">
        <v>0</v>
      </c>
      <c r="L316" s="86">
        <v>0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 s="85">
        <v>0</v>
      </c>
    </row>
    <row r="317" spans="2:34" ht="15">
      <c r="B317" s="49" t="s">
        <v>1979</v>
      </c>
      <c r="C317" s="1275" t="s">
        <v>1979</v>
      </c>
      <c r="D317" s="86">
        <v>0</v>
      </c>
      <c r="E317" s="86">
        <v>0</v>
      </c>
      <c r="F317" s="86"/>
      <c r="G317" s="86">
        <v>0</v>
      </c>
      <c r="H317" s="86">
        <v>0</v>
      </c>
      <c r="I317" s="86">
        <v>0</v>
      </c>
      <c r="J317" s="86">
        <v>0</v>
      </c>
      <c r="K317" s="86">
        <v>0</v>
      </c>
      <c r="L317" s="86">
        <v>0</v>
      </c>
      <c r="M317" s="85">
        <v>0</v>
      </c>
      <c r="N317" s="85">
        <v>0</v>
      </c>
      <c r="O317" s="85">
        <v>0</v>
      </c>
      <c r="P317" s="85">
        <v>0</v>
      </c>
      <c r="Q317" s="85">
        <v>0</v>
      </c>
      <c r="R317" s="85">
        <v>0</v>
      </c>
      <c r="S317" s="85">
        <v>0</v>
      </c>
      <c r="T317" s="85">
        <v>0</v>
      </c>
      <c r="U317" s="85">
        <v>0</v>
      </c>
      <c r="V317" s="85">
        <v>0</v>
      </c>
      <c r="W317" s="85">
        <v>0</v>
      </c>
      <c r="X317" s="85">
        <v>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</row>
    <row r="318" spans="2:34" ht="15">
      <c r="B318" s="49" t="s">
        <v>1980</v>
      </c>
      <c r="C318" s="1275" t="s">
        <v>1980</v>
      </c>
      <c r="D318" s="86">
        <v>0</v>
      </c>
      <c r="E318" s="86">
        <v>0</v>
      </c>
      <c r="F318" s="86"/>
      <c r="G318" s="86">
        <v>0</v>
      </c>
      <c r="H318" s="86">
        <v>0</v>
      </c>
      <c r="I318" s="86">
        <v>0</v>
      </c>
      <c r="J318" s="86">
        <v>0</v>
      </c>
      <c r="K318" s="86">
        <v>0</v>
      </c>
      <c r="L318" s="86">
        <v>0</v>
      </c>
      <c r="M318" s="85">
        <v>0</v>
      </c>
      <c r="N318" s="85">
        <v>0</v>
      </c>
      <c r="O318" s="85">
        <v>0</v>
      </c>
      <c r="P318" s="85">
        <v>0</v>
      </c>
      <c r="Q318" s="85">
        <v>0</v>
      </c>
      <c r="R318" s="85">
        <v>0</v>
      </c>
      <c r="S318" s="85">
        <v>0</v>
      </c>
      <c r="T318" s="85">
        <v>0</v>
      </c>
      <c r="U318" s="85">
        <v>0</v>
      </c>
      <c r="V318" s="85">
        <v>0</v>
      </c>
      <c r="W318" s="85">
        <v>0</v>
      </c>
      <c r="X318" s="85">
        <v>0</v>
      </c>
      <c r="Y318" s="85">
        <v>0</v>
      </c>
      <c r="Z318" s="85">
        <v>0</v>
      </c>
      <c r="AA318" s="85">
        <v>0</v>
      </c>
      <c r="AB318" s="85">
        <v>0</v>
      </c>
      <c r="AC318" s="85">
        <v>0</v>
      </c>
      <c r="AD318" s="85">
        <v>0</v>
      </c>
      <c r="AE318" s="85">
        <v>0</v>
      </c>
      <c r="AF318" s="85">
        <v>0</v>
      </c>
      <c r="AG318" s="85">
        <v>0</v>
      </c>
      <c r="AH318" s="85">
        <v>0</v>
      </c>
    </row>
    <row r="319" spans="2:34" ht="15">
      <c r="B319" s="49" t="s">
        <v>1981</v>
      </c>
      <c r="C319" s="1275" t="s">
        <v>1981</v>
      </c>
      <c r="D319" s="86">
        <v>0</v>
      </c>
      <c r="E319" s="86">
        <v>0</v>
      </c>
      <c r="F319" s="86"/>
      <c r="G319" s="86">
        <v>0</v>
      </c>
      <c r="H319" s="86">
        <v>0</v>
      </c>
      <c r="I319" s="86">
        <v>0</v>
      </c>
      <c r="J319" s="86">
        <v>0</v>
      </c>
      <c r="K319" s="86">
        <v>0</v>
      </c>
      <c r="L319" s="86">
        <v>0</v>
      </c>
      <c r="M319" s="85">
        <v>0</v>
      </c>
      <c r="N319" s="85">
        <v>0</v>
      </c>
      <c r="O319" s="85">
        <v>0</v>
      </c>
      <c r="P319" s="85">
        <v>0</v>
      </c>
      <c r="Q319" s="85">
        <v>0</v>
      </c>
      <c r="R319" s="85">
        <v>0</v>
      </c>
      <c r="S319" s="85">
        <v>0</v>
      </c>
      <c r="T319" s="85">
        <v>0</v>
      </c>
      <c r="U319" s="85">
        <v>0</v>
      </c>
      <c r="V319" s="85">
        <v>0</v>
      </c>
      <c r="W319" s="85">
        <v>0</v>
      </c>
      <c r="X319" s="85">
        <v>0</v>
      </c>
      <c r="Y319" s="85">
        <v>0</v>
      </c>
      <c r="Z319" s="85">
        <v>0</v>
      </c>
      <c r="AA319" s="85">
        <v>0</v>
      </c>
      <c r="AB319" s="85">
        <v>0</v>
      </c>
      <c r="AC319" s="85">
        <v>0</v>
      </c>
      <c r="AD319" s="85">
        <v>0</v>
      </c>
      <c r="AE319" s="85">
        <v>0</v>
      </c>
      <c r="AF319" s="85">
        <v>0</v>
      </c>
      <c r="AG319" s="85">
        <v>0</v>
      </c>
      <c r="AH319" s="85">
        <v>0</v>
      </c>
    </row>
    <row r="320" spans="2:34">
      <c r="B320" s="43" t="s">
        <v>1982</v>
      </c>
      <c r="C320" s="43" t="s">
        <v>1982</v>
      </c>
      <c r="D320" s="87">
        <v>11327130424385</v>
      </c>
      <c r="E320" s="87">
        <v>12894401842232</v>
      </c>
      <c r="F320" s="87"/>
      <c r="G320" s="87">
        <v>14209053220583</v>
      </c>
      <c r="H320" s="87">
        <v>13922310311296</v>
      </c>
      <c r="I320" s="87">
        <v>13737667160013</v>
      </c>
      <c r="J320" s="87">
        <v>14692210654875</v>
      </c>
      <c r="K320" s="87">
        <v>14390569572682</v>
      </c>
      <c r="L320" s="87">
        <v>15746044660031</v>
      </c>
      <c r="M320" s="87">
        <v>16069945805333</v>
      </c>
      <c r="N320" s="87">
        <v>16468617106065</v>
      </c>
      <c r="O320" s="87">
        <v>17030987366757</v>
      </c>
      <c r="P320" s="87">
        <v>19073153032322</v>
      </c>
      <c r="Q320" s="87">
        <v>19160781495827</v>
      </c>
      <c r="R320" s="87">
        <v>18342795647332</v>
      </c>
      <c r="S320" s="87">
        <v>20140693546746</v>
      </c>
      <c r="T320" s="87">
        <v>21865016664935</v>
      </c>
      <c r="U320" s="87">
        <v>22316382654437</v>
      </c>
      <c r="V320" s="87">
        <v>23080333676817</v>
      </c>
      <c r="W320" s="87">
        <v>23446663864126</v>
      </c>
      <c r="X320" s="87">
        <v>25602153109531</v>
      </c>
      <c r="Y320" s="87">
        <v>26072575755882</v>
      </c>
      <c r="Z320" s="87">
        <v>27263831019360</v>
      </c>
      <c r="AA320" s="87">
        <v>27820386462106</v>
      </c>
      <c r="AB320" s="87">
        <v>29145662504786</v>
      </c>
      <c r="AC320" s="87">
        <v>30135493833053</v>
      </c>
      <c r="AD320" s="87">
        <v>31237396073622</v>
      </c>
      <c r="AE320" s="87">
        <v>32379675807802</v>
      </c>
      <c r="AF320" s="87">
        <v>33555137987915</v>
      </c>
      <c r="AG320" s="87">
        <v>34033400099783</v>
      </c>
      <c r="AH320" s="87">
        <v>34768146239668</v>
      </c>
    </row>
    <row r="321" spans="2:34">
      <c r="B321" s="49" t="s">
        <v>1821</v>
      </c>
      <c r="C321" s="1275" t="s">
        <v>1821</v>
      </c>
      <c r="D321" s="86">
        <v>0</v>
      </c>
      <c r="E321" s="86">
        <v>0</v>
      </c>
      <c r="F321" s="86"/>
      <c r="G321" s="86">
        <v>0</v>
      </c>
      <c r="H321" s="86">
        <v>0</v>
      </c>
      <c r="I321" s="86">
        <v>0</v>
      </c>
      <c r="J321" s="86">
        <v>0</v>
      </c>
      <c r="K321" s="86">
        <v>0</v>
      </c>
      <c r="L321" s="86">
        <v>0</v>
      </c>
      <c r="M321" s="86">
        <v>0</v>
      </c>
      <c r="N321" s="86">
        <v>0</v>
      </c>
      <c r="O321" s="86">
        <v>0</v>
      </c>
      <c r="P321" s="86">
        <v>0</v>
      </c>
      <c r="Q321" s="86">
        <v>0</v>
      </c>
      <c r="R321" s="86">
        <v>0</v>
      </c>
      <c r="S321" s="86">
        <v>0</v>
      </c>
      <c r="T321" s="86">
        <v>0</v>
      </c>
      <c r="U321" s="86">
        <v>0</v>
      </c>
      <c r="V321" s="86">
        <v>0</v>
      </c>
      <c r="W321" s="86">
        <v>0</v>
      </c>
      <c r="X321" s="86">
        <v>0</v>
      </c>
      <c r="Y321" s="86">
        <v>0</v>
      </c>
      <c r="Z321" s="86">
        <v>0</v>
      </c>
      <c r="AA321" s="86">
        <v>0</v>
      </c>
      <c r="AB321" s="86">
        <v>0</v>
      </c>
      <c r="AC321" s="86">
        <v>0</v>
      </c>
      <c r="AD321" s="86">
        <v>0</v>
      </c>
      <c r="AE321" s="86">
        <v>0</v>
      </c>
      <c r="AF321" s="86">
        <v>0</v>
      </c>
      <c r="AG321" s="86">
        <v>0</v>
      </c>
      <c r="AH321" s="86">
        <v>0</v>
      </c>
    </row>
    <row r="322" spans="2:34" ht="15">
      <c r="B322" s="49" t="s">
        <v>1822</v>
      </c>
      <c r="C322" s="1275" t="s">
        <v>1822</v>
      </c>
      <c r="D322" s="86">
        <v>0</v>
      </c>
      <c r="E322" s="86">
        <v>0</v>
      </c>
      <c r="F322" s="86"/>
      <c r="G322" s="86">
        <v>0</v>
      </c>
      <c r="H322" s="86">
        <v>0</v>
      </c>
      <c r="I322" s="86">
        <v>0</v>
      </c>
      <c r="J322" s="86">
        <v>0</v>
      </c>
      <c r="K322" s="86">
        <v>0</v>
      </c>
      <c r="L322" s="86">
        <v>0</v>
      </c>
      <c r="M322" s="85">
        <v>0</v>
      </c>
      <c r="N322" s="85">
        <v>0</v>
      </c>
      <c r="O322" s="85">
        <v>0</v>
      </c>
      <c r="P322" s="85">
        <v>0</v>
      </c>
      <c r="Q322" s="85">
        <v>0</v>
      </c>
      <c r="R322" s="85">
        <v>0</v>
      </c>
      <c r="S322" s="85">
        <v>0</v>
      </c>
      <c r="T322" s="85">
        <v>0</v>
      </c>
      <c r="U322" s="85">
        <v>0</v>
      </c>
      <c r="V322" s="85">
        <v>0</v>
      </c>
      <c r="W322" s="85">
        <v>0</v>
      </c>
      <c r="X322" s="85">
        <v>0</v>
      </c>
      <c r="Y322" s="85">
        <v>0</v>
      </c>
      <c r="Z322" s="85">
        <v>0</v>
      </c>
      <c r="AA322" s="85">
        <v>0</v>
      </c>
      <c r="AB322" s="85">
        <v>0</v>
      </c>
      <c r="AC322" s="85">
        <v>0</v>
      </c>
      <c r="AD322" s="85">
        <v>0</v>
      </c>
      <c r="AE322" s="85">
        <v>0</v>
      </c>
      <c r="AF322" s="85">
        <v>0</v>
      </c>
      <c r="AG322" s="85">
        <v>0</v>
      </c>
      <c r="AH322" s="85">
        <v>0</v>
      </c>
    </row>
    <row r="323" spans="2:34">
      <c r="B323" s="49" t="s">
        <v>1983</v>
      </c>
      <c r="C323" s="1275" t="s">
        <v>1983</v>
      </c>
      <c r="D323" s="86">
        <v>515900000000</v>
      </c>
      <c r="E323" s="86">
        <v>530000000000</v>
      </c>
      <c r="F323" s="86"/>
      <c r="G323" s="86">
        <v>374300000000</v>
      </c>
      <c r="H323" s="86">
        <v>903000000000</v>
      </c>
      <c r="I323" s="86">
        <v>323000000000</v>
      </c>
      <c r="J323" s="86">
        <v>714000000000</v>
      </c>
      <c r="K323" s="86">
        <v>776000000000</v>
      </c>
      <c r="L323" s="86">
        <v>783000000000</v>
      </c>
      <c r="M323" s="86">
        <v>385000000000</v>
      </c>
      <c r="N323" s="86">
        <v>369500000000</v>
      </c>
      <c r="O323" s="86">
        <v>400000000000</v>
      </c>
      <c r="P323" s="86">
        <v>175000000000</v>
      </c>
      <c r="Q323" s="86">
        <v>170000000000</v>
      </c>
      <c r="R323" s="86">
        <v>250000000000</v>
      </c>
      <c r="S323" s="86">
        <v>238700000000</v>
      </c>
      <c r="T323" s="86">
        <v>205000000000</v>
      </c>
      <c r="U323" s="86">
        <v>200000000000</v>
      </c>
      <c r="V323" s="86">
        <v>200000000000</v>
      </c>
      <c r="W323" s="86">
        <v>40000000000</v>
      </c>
      <c r="X323" s="86">
        <v>100000000000</v>
      </c>
      <c r="Y323" s="86">
        <v>250000000000</v>
      </c>
      <c r="Z323" s="86">
        <v>431000000000</v>
      </c>
      <c r="AA323" s="86">
        <v>202800000000</v>
      </c>
      <c r="AB323" s="86">
        <v>268000000000</v>
      </c>
      <c r="AC323" s="86">
        <v>220000000000</v>
      </c>
      <c r="AD323" s="86">
        <v>205000000000</v>
      </c>
      <c r="AE323" s="86">
        <v>630000000000</v>
      </c>
      <c r="AF323" s="86">
        <v>300000000000</v>
      </c>
      <c r="AG323" s="86">
        <v>580000000000</v>
      </c>
      <c r="AH323" s="86">
        <v>540000000000</v>
      </c>
    </row>
    <row r="324" spans="2:34">
      <c r="B324" s="49" t="s">
        <v>1984</v>
      </c>
      <c r="C324" s="1275" t="s">
        <v>1984</v>
      </c>
      <c r="D324" s="86">
        <v>955924945561</v>
      </c>
      <c r="E324" s="86">
        <v>837230091579</v>
      </c>
      <c r="F324" s="86"/>
      <c r="G324" s="86">
        <v>1128189642238</v>
      </c>
      <c r="H324" s="86">
        <v>615513898671</v>
      </c>
      <c r="I324" s="86">
        <v>490390883428</v>
      </c>
      <c r="J324" s="86">
        <v>462158603477</v>
      </c>
      <c r="K324" s="86">
        <v>424442378072</v>
      </c>
      <c r="L324" s="86">
        <v>481835474506</v>
      </c>
      <c r="M324" s="86">
        <v>514465272905</v>
      </c>
      <c r="N324" s="86">
        <v>549734322241</v>
      </c>
      <c r="O324" s="86">
        <v>770517172072</v>
      </c>
      <c r="P324" s="86">
        <v>611147290134</v>
      </c>
      <c r="Q324" s="86">
        <v>754834460415</v>
      </c>
      <c r="R324" s="86">
        <v>563546234735</v>
      </c>
      <c r="S324" s="86">
        <v>593477355849</v>
      </c>
      <c r="T324" s="86">
        <v>619840645110</v>
      </c>
      <c r="U324" s="86">
        <v>618301239318</v>
      </c>
      <c r="V324" s="86">
        <v>1063015181246</v>
      </c>
      <c r="W324" s="86">
        <v>619475229616</v>
      </c>
      <c r="X324" s="86">
        <v>663578111218</v>
      </c>
      <c r="Y324" s="86">
        <v>838252395380</v>
      </c>
      <c r="Z324" s="86">
        <v>868199994747</v>
      </c>
      <c r="AA324" s="86">
        <v>270440476804</v>
      </c>
      <c r="AB324" s="86">
        <v>180000000000</v>
      </c>
      <c r="AC324" s="86">
        <v>380000000000</v>
      </c>
      <c r="AD324" s="86">
        <v>220000000000</v>
      </c>
      <c r="AE324" s="86">
        <v>370000000000</v>
      </c>
      <c r="AF324" s="86">
        <v>400000000000</v>
      </c>
      <c r="AG324" s="86">
        <v>449700000000</v>
      </c>
      <c r="AH324" s="86">
        <v>380000000000</v>
      </c>
    </row>
    <row r="325" spans="2:34" ht="15">
      <c r="B325" s="50" t="s">
        <v>1985</v>
      </c>
      <c r="C325" s="1275" t="s">
        <v>1985</v>
      </c>
      <c r="D325" s="86">
        <v>0</v>
      </c>
      <c r="E325" s="86">
        <v>0</v>
      </c>
      <c r="F325" s="86"/>
      <c r="G325" s="86">
        <v>0</v>
      </c>
      <c r="H325" s="86">
        <v>0</v>
      </c>
      <c r="I325" s="86">
        <v>0</v>
      </c>
      <c r="J325" s="86">
        <v>0</v>
      </c>
      <c r="K325" s="86">
        <v>0</v>
      </c>
      <c r="L325" s="86">
        <v>0</v>
      </c>
      <c r="M325" s="85">
        <v>0</v>
      </c>
      <c r="N325" s="85">
        <v>0</v>
      </c>
      <c r="O325" s="85">
        <v>0</v>
      </c>
      <c r="P325" s="85">
        <v>0</v>
      </c>
      <c r="Q325" s="85">
        <v>0</v>
      </c>
      <c r="R325" s="85">
        <v>0</v>
      </c>
      <c r="S325" s="85">
        <v>0</v>
      </c>
      <c r="T325" s="85">
        <v>0</v>
      </c>
      <c r="U325" s="85">
        <v>0</v>
      </c>
      <c r="V325" s="85">
        <v>0</v>
      </c>
      <c r="W325" s="85">
        <v>0</v>
      </c>
      <c r="X325" s="85">
        <v>0</v>
      </c>
      <c r="Y325" s="85">
        <v>0</v>
      </c>
      <c r="Z325" s="85">
        <v>0</v>
      </c>
      <c r="AA325" s="85">
        <v>0</v>
      </c>
      <c r="AB325" s="85">
        <v>0</v>
      </c>
      <c r="AC325" s="85">
        <v>0</v>
      </c>
      <c r="AD325" s="85">
        <v>0</v>
      </c>
      <c r="AE325" s="85">
        <v>0</v>
      </c>
      <c r="AF325" s="85">
        <v>0</v>
      </c>
      <c r="AG325" s="85">
        <v>0</v>
      </c>
      <c r="AH325" s="85">
        <v>0</v>
      </c>
    </row>
    <row r="326" spans="2:34" ht="15">
      <c r="B326" s="50" t="s">
        <v>1986</v>
      </c>
      <c r="C326" s="1275" t="s">
        <v>1986</v>
      </c>
      <c r="D326" s="86">
        <v>300000000000</v>
      </c>
      <c r="E326" s="86">
        <v>200000000000</v>
      </c>
      <c r="F326" s="86"/>
      <c r="G326" s="86">
        <v>320000000000</v>
      </c>
      <c r="H326" s="86">
        <v>100000000000</v>
      </c>
      <c r="I326" s="86">
        <v>0</v>
      </c>
      <c r="J326" s="86">
        <v>0</v>
      </c>
      <c r="K326" s="86">
        <v>0</v>
      </c>
      <c r="L326" s="86">
        <v>0</v>
      </c>
      <c r="M326" s="85">
        <v>0</v>
      </c>
      <c r="N326" s="85">
        <v>0</v>
      </c>
      <c r="O326" s="85">
        <v>100000000000</v>
      </c>
      <c r="P326" s="85">
        <v>0</v>
      </c>
      <c r="Q326" s="85">
        <v>0</v>
      </c>
      <c r="R326" s="85">
        <v>0</v>
      </c>
      <c r="S326" s="85">
        <v>0</v>
      </c>
      <c r="T326" s="85">
        <v>0</v>
      </c>
      <c r="U326" s="85">
        <v>0</v>
      </c>
      <c r="V326" s="85">
        <v>0</v>
      </c>
      <c r="W326" s="85">
        <v>0</v>
      </c>
      <c r="X326" s="85">
        <v>0</v>
      </c>
      <c r="Y326" s="85">
        <v>70000000000</v>
      </c>
      <c r="Z326" s="85">
        <v>0</v>
      </c>
      <c r="AA326" s="85">
        <v>69000000000</v>
      </c>
      <c r="AB326" s="85">
        <v>130000000000</v>
      </c>
      <c r="AC326" s="85">
        <v>130000000000</v>
      </c>
      <c r="AD326" s="85">
        <v>0</v>
      </c>
      <c r="AE326" s="85">
        <v>200000000000</v>
      </c>
      <c r="AF326" s="85">
        <v>80000000000</v>
      </c>
      <c r="AG326" s="85">
        <v>50000000000</v>
      </c>
      <c r="AH326" s="85">
        <v>80000000000</v>
      </c>
    </row>
    <row r="327" spans="2:34">
      <c r="B327" s="50" t="s">
        <v>1987</v>
      </c>
      <c r="C327" s="1275" t="s">
        <v>1987</v>
      </c>
      <c r="D327" s="86">
        <v>535924945561</v>
      </c>
      <c r="E327" s="86">
        <v>387230091579</v>
      </c>
      <c r="F327" s="86"/>
      <c r="G327" s="86">
        <v>413189642238</v>
      </c>
      <c r="H327" s="86">
        <v>485513898671</v>
      </c>
      <c r="I327" s="86">
        <v>470390883428</v>
      </c>
      <c r="J327" s="86">
        <v>462158603477</v>
      </c>
      <c r="K327" s="86">
        <v>424442378072</v>
      </c>
      <c r="L327" s="86">
        <v>481835474506</v>
      </c>
      <c r="M327" s="86">
        <v>514465272905</v>
      </c>
      <c r="N327" s="86">
        <v>549734322241</v>
      </c>
      <c r="O327" s="86">
        <v>670517172072</v>
      </c>
      <c r="P327" s="86">
        <v>611147290134</v>
      </c>
      <c r="Q327" s="86">
        <v>754834460415</v>
      </c>
      <c r="R327" s="86">
        <v>563546234735</v>
      </c>
      <c r="S327" s="86">
        <v>593477355849</v>
      </c>
      <c r="T327" s="86">
        <v>619840645110</v>
      </c>
      <c r="U327" s="86">
        <v>618301239318</v>
      </c>
      <c r="V327" s="86">
        <v>1063015181246</v>
      </c>
      <c r="W327" s="86">
        <v>619475229616</v>
      </c>
      <c r="X327" s="86">
        <v>663578111218</v>
      </c>
      <c r="Y327" s="86">
        <v>768252395380</v>
      </c>
      <c r="Z327" s="86">
        <v>273199994747</v>
      </c>
      <c r="AA327" s="86">
        <v>201440476804</v>
      </c>
      <c r="AB327" s="86">
        <v>50000000000</v>
      </c>
      <c r="AC327" s="86">
        <v>50000000000</v>
      </c>
      <c r="AD327" s="86">
        <v>100000000000</v>
      </c>
      <c r="AE327" s="86">
        <v>170000000000</v>
      </c>
      <c r="AF327" s="86">
        <v>200000000000</v>
      </c>
      <c r="AG327" s="86">
        <v>399700000000</v>
      </c>
      <c r="AH327" s="86">
        <v>300000000000</v>
      </c>
    </row>
    <row r="328" spans="2:34">
      <c r="B328" s="50" t="s">
        <v>1988</v>
      </c>
      <c r="C328" s="1275" t="s">
        <v>1988</v>
      </c>
      <c r="D328" s="86">
        <v>0</v>
      </c>
      <c r="E328" s="86">
        <v>0</v>
      </c>
      <c r="F328" s="86"/>
      <c r="G328" s="86">
        <v>0</v>
      </c>
      <c r="H328" s="86">
        <v>0</v>
      </c>
      <c r="I328" s="86">
        <v>0</v>
      </c>
      <c r="J328" s="86">
        <v>0</v>
      </c>
      <c r="K328" s="86">
        <v>0</v>
      </c>
      <c r="L328" s="86">
        <v>0</v>
      </c>
      <c r="M328" s="86">
        <v>0</v>
      </c>
      <c r="N328" s="86">
        <v>0</v>
      </c>
      <c r="O328" s="86">
        <v>0</v>
      </c>
      <c r="P328" s="86">
        <v>0</v>
      </c>
      <c r="Q328" s="86">
        <v>0</v>
      </c>
      <c r="R328" s="86">
        <v>0</v>
      </c>
      <c r="S328" s="86">
        <v>0</v>
      </c>
      <c r="T328" s="86">
        <v>0</v>
      </c>
      <c r="U328" s="86">
        <v>0</v>
      </c>
      <c r="V328" s="86">
        <v>0</v>
      </c>
      <c r="W328" s="86">
        <v>0</v>
      </c>
      <c r="X328" s="86">
        <v>0</v>
      </c>
      <c r="Y328" s="86">
        <v>0</v>
      </c>
      <c r="Z328" s="86">
        <v>0</v>
      </c>
      <c r="AA328" s="86">
        <v>0</v>
      </c>
      <c r="AB328" s="86">
        <v>0</v>
      </c>
      <c r="AC328" s="86">
        <v>0</v>
      </c>
      <c r="AD328" s="86">
        <v>0</v>
      </c>
      <c r="AE328" s="86">
        <v>0</v>
      </c>
      <c r="AF328" s="86">
        <v>0</v>
      </c>
      <c r="AG328" s="86">
        <v>0</v>
      </c>
      <c r="AH328" s="86">
        <v>0</v>
      </c>
    </row>
    <row r="329" spans="2:34">
      <c r="B329" s="50" t="s">
        <v>1830</v>
      </c>
      <c r="C329" s="1275" t="s">
        <v>1830</v>
      </c>
      <c r="D329" s="86">
        <v>120000000000</v>
      </c>
      <c r="E329" s="86">
        <v>250000000000</v>
      </c>
      <c r="F329" s="86"/>
      <c r="G329" s="86">
        <v>395000000000</v>
      </c>
      <c r="H329" s="86">
        <v>30000000000</v>
      </c>
      <c r="I329" s="86">
        <v>20000000000</v>
      </c>
      <c r="J329" s="86">
        <v>0</v>
      </c>
      <c r="K329" s="86">
        <v>0</v>
      </c>
      <c r="L329" s="86">
        <v>0</v>
      </c>
      <c r="M329" s="86">
        <v>0</v>
      </c>
      <c r="N329" s="86">
        <v>0</v>
      </c>
      <c r="O329" s="86">
        <v>0</v>
      </c>
      <c r="P329" s="86">
        <v>0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6">
        <v>595000000000</v>
      </c>
      <c r="AA329" s="86">
        <v>0</v>
      </c>
      <c r="AB329" s="86">
        <v>0</v>
      </c>
      <c r="AC329" s="86">
        <v>200000000000</v>
      </c>
      <c r="AD329" s="86">
        <v>120000000000</v>
      </c>
      <c r="AE329" s="86">
        <v>0</v>
      </c>
      <c r="AF329" s="86">
        <v>120000000000</v>
      </c>
      <c r="AG329" s="86">
        <v>0</v>
      </c>
      <c r="AH329" s="86">
        <v>0</v>
      </c>
    </row>
    <row r="330" spans="2:34">
      <c r="B330" s="49" t="s">
        <v>1989</v>
      </c>
      <c r="C330" s="1275" t="s">
        <v>1989</v>
      </c>
      <c r="D330" s="86">
        <v>5645987896387</v>
      </c>
      <c r="E330" s="86">
        <v>6225548970647</v>
      </c>
      <c r="F330" s="86"/>
      <c r="G330" s="86">
        <v>7170417490793</v>
      </c>
      <c r="H330" s="86">
        <v>6872338043851</v>
      </c>
      <c r="I330" s="86">
        <v>7714333156225</v>
      </c>
      <c r="J330" s="86">
        <v>7865654491601</v>
      </c>
      <c r="K330" s="86">
        <v>7753411532523</v>
      </c>
      <c r="L330" s="86">
        <v>8488600844668</v>
      </c>
      <c r="M330" s="86">
        <v>8859457545746</v>
      </c>
      <c r="N330" s="86">
        <v>9194732282009</v>
      </c>
      <c r="O330" s="86">
        <v>8312805013066</v>
      </c>
      <c r="P330" s="86">
        <v>9413407515944</v>
      </c>
      <c r="Q330" s="86">
        <v>9849739337280</v>
      </c>
      <c r="R330" s="86">
        <v>9868983181153</v>
      </c>
      <c r="S330" s="86">
        <v>10243554906067</v>
      </c>
      <c r="T330" s="86">
        <v>11475838085594</v>
      </c>
      <c r="U330" s="86">
        <v>11444863421549</v>
      </c>
      <c r="V330" s="86">
        <v>12080538129693</v>
      </c>
      <c r="W330" s="86">
        <v>11612437310368</v>
      </c>
      <c r="X330" s="86">
        <v>12658964758450</v>
      </c>
      <c r="Y330" s="86">
        <v>12238979777223</v>
      </c>
      <c r="Z330" s="86">
        <v>13045679003517</v>
      </c>
      <c r="AA330" s="86">
        <v>12993532550215</v>
      </c>
      <c r="AB330" s="86">
        <v>11720240036983</v>
      </c>
      <c r="AC330" s="86">
        <v>11675535845308</v>
      </c>
      <c r="AD330" s="86">
        <v>11329160464251</v>
      </c>
      <c r="AE330" s="86">
        <v>10300616178676</v>
      </c>
      <c r="AF330" s="86">
        <v>9774535807374</v>
      </c>
      <c r="AG330" s="86">
        <v>9294586951895</v>
      </c>
      <c r="AH330" s="86">
        <v>9594133617415</v>
      </c>
    </row>
    <row r="331" spans="2:34">
      <c r="B331" s="49" t="s">
        <v>1990</v>
      </c>
      <c r="C331" s="1275" t="s">
        <v>1990</v>
      </c>
      <c r="D331" s="86">
        <v>911069173250</v>
      </c>
      <c r="E331" s="86">
        <v>986256628800</v>
      </c>
      <c r="F331" s="86"/>
      <c r="G331" s="86">
        <v>1047424182700</v>
      </c>
      <c r="H331" s="86">
        <v>1284597167742</v>
      </c>
      <c r="I331" s="86">
        <v>713048453938</v>
      </c>
      <c r="J331" s="86">
        <v>699484837787</v>
      </c>
      <c r="K331" s="86">
        <v>440979522740</v>
      </c>
      <c r="L331" s="86">
        <v>594176152888</v>
      </c>
      <c r="M331" s="86">
        <v>706248034045</v>
      </c>
      <c r="N331" s="86">
        <v>715256847303</v>
      </c>
      <c r="O331" s="86">
        <v>1545180700424</v>
      </c>
      <c r="P331" s="86">
        <v>1771989319458</v>
      </c>
      <c r="Q331" s="86">
        <v>1794907660543</v>
      </c>
      <c r="R331" s="86">
        <v>1354074322226</v>
      </c>
      <c r="S331" s="86">
        <v>1730852403929</v>
      </c>
      <c r="T331" s="86">
        <v>2031422432900</v>
      </c>
      <c r="U331" s="86">
        <v>1963814259875</v>
      </c>
      <c r="V331" s="86">
        <v>1741720122280</v>
      </c>
      <c r="W331" s="86">
        <v>1969994562082</v>
      </c>
      <c r="X331" s="86">
        <v>2141253160773</v>
      </c>
      <c r="Y331" s="86">
        <v>2805322194168</v>
      </c>
      <c r="Z331" s="86">
        <v>3255052153853</v>
      </c>
      <c r="AA331" s="86">
        <v>3091114438080</v>
      </c>
      <c r="AB331" s="86">
        <v>4092327698180</v>
      </c>
      <c r="AC331" s="86">
        <v>2994720067542</v>
      </c>
      <c r="AD331" s="86">
        <v>3279835170584</v>
      </c>
      <c r="AE331" s="86">
        <v>2867768763031</v>
      </c>
      <c r="AF331" s="86">
        <v>2241467730443</v>
      </c>
      <c r="AG331" s="86">
        <v>2168152161246</v>
      </c>
      <c r="AH331" s="86">
        <v>2950283440357</v>
      </c>
    </row>
    <row r="332" spans="2:34">
      <c r="B332" s="50" t="s">
        <v>1766</v>
      </c>
      <c r="C332" s="1275" t="s">
        <v>1766</v>
      </c>
      <c r="D332" s="86">
        <v>58699731250</v>
      </c>
      <c r="E332" s="86">
        <v>81414468800</v>
      </c>
      <c r="F332" s="86"/>
      <c r="G332" s="86">
        <v>129935933700</v>
      </c>
      <c r="H332" s="86">
        <v>130884349742</v>
      </c>
      <c r="I332" s="86">
        <v>143134903938</v>
      </c>
      <c r="J332" s="86">
        <v>120056286787</v>
      </c>
      <c r="K332" s="86">
        <v>136470328740</v>
      </c>
      <c r="L332" s="86">
        <v>153686157888</v>
      </c>
      <c r="M332" s="86">
        <v>177948364045</v>
      </c>
      <c r="N332" s="86">
        <v>201521771303</v>
      </c>
      <c r="O332" s="86">
        <v>198020732424</v>
      </c>
      <c r="P332" s="86">
        <v>222396356458</v>
      </c>
      <c r="Q332" s="86">
        <v>246727870543</v>
      </c>
      <c r="R332" s="86">
        <v>300260822226</v>
      </c>
      <c r="S332" s="86">
        <v>356915416929</v>
      </c>
      <c r="T332" s="86">
        <v>385097918900</v>
      </c>
      <c r="U332" s="86">
        <v>363038081875</v>
      </c>
      <c r="V332" s="86">
        <v>277701420280</v>
      </c>
      <c r="W332" s="86">
        <v>480829319082</v>
      </c>
      <c r="X332" s="86">
        <v>629067513773</v>
      </c>
      <c r="Y332" s="86">
        <v>328909464168</v>
      </c>
      <c r="Z332" s="86">
        <v>340590643853</v>
      </c>
      <c r="AA332" s="86">
        <v>315199632080</v>
      </c>
      <c r="AB332" s="86">
        <v>512754923180</v>
      </c>
      <c r="AC332" s="86">
        <v>513063097542</v>
      </c>
      <c r="AD332" s="86">
        <v>531495403584</v>
      </c>
      <c r="AE332" s="86">
        <v>369713105031</v>
      </c>
      <c r="AF332" s="86">
        <v>404958609443</v>
      </c>
      <c r="AG332" s="86">
        <v>419069599246</v>
      </c>
      <c r="AH332" s="86">
        <v>678068574357</v>
      </c>
    </row>
    <row r="333" spans="2:34">
      <c r="B333" s="50" t="s">
        <v>1991</v>
      </c>
      <c r="C333" s="1275" t="s">
        <v>1991</v>
      </c>
      <c r="D333" s="86">
        <v>852369442000</v>
      </c>
      <c r="E333" s="86">
        <v>874776190000</v>
      </c>
      <c r="F333" s="86"/>
      <c r="G333" s="86">
        <v>917488249000</v>
      </c>
      <c r="H333" s="86">
        <v>1153712818000</v>
      </c>
      <c r="I333" s="86">
        <v>569913550000</v>
      </c>
      <c r="J333" s="86">
        <v>579428551000</v>
      </c>
      <c r="K333" s="86">
        <v>304509194000</v>
      </c>
      <c r="L333" s="86">
        <v>440489995000</v>
      </c>
      <c r="M333" s="86">
        <v>478059570000</v>
      </c>
      <c r="N333" s="86">
        <v>402811546000</v>
      </c>
      <c r="O333" s="86">
        <v>834163268000</v>
      </c>
      <c r="P333" s="86">
        <v>905110073000</v>
      </c>
      <c r="Q333" s="86">
        <v>1285580870000</v>
      </c>
      <c r="R333" s="86">
        <v>711493030000</v>
      </c>
      <c r="S333" s="86">
        <v>600832377000</v>
      </c>
      <c r="T333" s="86">
        <v>690902104000</v>
      </c>
      <c r="U333" s="86">
        <v>433725818000</v>
      </c>
      <c r="V333" s="86">
        <v>388824612000</v>
      </c>
      <c r="W333" s="86">
        <v>465233133000</v>
      </c>
      <c r="X333" s="86">
        <v>639801507000</v>
      </c>
      <c r="Y333" s="86">
        <v>1402570170000</v>
      </c>
      <c r="Z333" s="86">
        <v>1973029030000</v>
      </c>
      <c r="AA333" s="86">
        <v>1274405776000</v>
      </c>
      <c r="AB333" s="86">
        <v>1527448415000</v>
      </c>
      <c r="AC333" s="86">
        <v>1469622780000</v>
      </c>
      <c r="AD333" s="86">
        <v>1715878257000</v>
      </c>
      <c r="AE333" s="86">
        <v>1515548028000</v>
      </c>
      <c r="AF333" s="86">
        <v>401848461000</v>
      </c>
      <c r="AG333" s="86">
        <v>493299992000</v>
      </c>
      <c r="AH333" s="86">
        <v>459638396000</v>
      </c>
    </row>
    <row r="334" spans="2:34" ht="15">
      <c r="B334" s="50" t="s">
        <v>1992</v>
      </c>
      <c r="C334" s="1275" t="s">
        <v>1992</v>
      </c>
      <c r="D334" s="86">
        <v>0</v>
      </c>
      <c r="E334" s="86">
        <v>30065970000</v>
      </c>
      <c r="F334" s="86"/>
      <c r="G334" s="86">
        <v>0</v>
      </c>
      <c r="H334" s="86">
        <v>0</v>
      </c>
      <c r="I334" s="86">
        <v>0</v>
      </c>
      <c r="J334" s="86">
        <v>0</v>
      </c>
      <c r="K334" s="86">
        <v>0</v>
      </c>
      <c r="L334" s="86">
        <v>0</v>
      </c>
      <c r="M334" s="85">
        <v>50240100000</v>
      </c>
      <c r="N334" s="85">
        <v>110923530000</v>
      </c>
      <c r="O334" s="85">
        <v>512996700000</v>
      </c>
      <c r="P334" s="85">
        <v>644482890000</v>
      </c>
      <c r="Q334" s="85">
        <v>262598920000</v>
      </c>
      <c r="R334" s="85">
        <v>342320470000</v>
      </c>
      <c r="S334" s="85">
        <v>773104610000</v>
      </c>
      <c r="T334" s="85">
        <v>955422410000</v>
      </c>
      <c r="U334" s="85">
        <v>1167050360000</v>
      </c>
      <c r="V334" s="85">
        <v>1075194090000</v>
      </c>
      <c r="W334" s="85">
        <v>1023932110000</v>
      </c>
      <c r="X334" s="85">
        <v>872384140000</v>
      </c>
      <c r="Y334" s="85">
        <v>1073842560000</v>
      </c>
      <c r="Z334" s="85">
        <v>941432480000</v>
      </c>
      <c r="AA334" s="85">
        <v>1501509030000</v>
      </c>
      <c r="AB334" s="85">
        <v>2052124360000</v>
      </c>
      <c r="AC334" s="85">
        <v>1012034190000</v>
      </c>
      <c r="AD334" s="85">
        <v>1032461510000</v>
      </c>
      <c r="AE334" s="85">
        <v>982507630000</v>
      </c>
      <c r="AF334" s="85">
        <v>1434660660000</v>
      </c>
      <c r="AG334" s="85">
        <v>1255782570000</v>
      </c>
      <c r="AH334" s="85">
        <v>1812576470000</v>
      </c>
    </row>
    <row r="335" spans="2:34" ht="15">
      <c r="B335" s="50" t="s">
        <v>1993</v>
      </c>
      <c r="C335" s="1275" t="s">
        <v>1993</v>
      </c>
      <c r="D335" s="86">
        <v>0</v>
      </c>
      <c r="E335" s="86">
        <v>0</v>
      </c>
      <c r="F335" s="86"/>
      <c r="G335" s="86">
        <v>0</v>
      </c>
      <c r="H335" s="86">
        <v>0</v>
      </c>
      <c r="I335" s="86">
        <v>0</v>
      </c>
      <c r="J335" s="86">
        <v>0</v>
      </c>
      <c r="K335" s="86">
        <v>0</v>
      </c>
      <c r="L335" s="86">
        <v>0</v>
      </c>
      <c r="M335" s="85">
        <v>0</v>
      </c>
      <c r="N335" s="85">
        <v>0</v>
      </c>
      <c r="O335" s="85">
        <v>0</v>
      </c>
      <c r="P335" s="85">
        <v>0</v>
      </c>
      <c r="Q335" s="85">
        <v>0</v>
      </c>
      <c r="R335" s="85">
        <v>0</v>
      </c>
      <c r="S335" s="85">
        <v>0</v>
      </c>
      <c r="T335" s="85">
        <v>0</v>
      </c>
      <c r="U335" s="85">
        <v>0</v>
      </c>
      <c r="V335" s="85">
        <v>0</v>
      </c>
      <c r="W335" s="85">
        <v>0</v>
      </c>
      <c r="X335" s="85">
        <v>0</v>
      </c>
      <c r="Y335" s="85">
        <v>0</v>
      </c>
      <c r="Z335" s="85">
        <v>0</v>
      </c>
      <c r="AA335" s="85">
        <v>0</v>
      </c>
      <c r="AB335" s="85">
        <v>0</v>
      </c>
      <c r="AC335" s="85">
        <v>0</v>
      </c>
      <c r="AD335" s="85">
        <v>0</v>
      </c>
      <c r="AE335" s="85">
        <v>0</v>
      </c>
      <c r="AF335" s="85">
        <v>0</v>
      </c>
      <c r="AG335" s="85">
        <v>0</v>
      </c>
      <c r="AH335" s="85">
        <v>0</v>
      </c>
    </row>
    <row r="336" spans="2:34">
      <c r="B336" s="50" t="s">
        <v>1830</v>
      </c>
      <c r="C336" s="1275" t="s">
        <v>1830</v>
      </c>
      <c r="D336" s="86">
        <v>0</v>
      </c>
      <c r="E336" s="86">
        <v>0</v>
      </c>
      <c r="F336" s="86"/>
      <c r="G336" s="86">
        <v>0</v>
      </c>
      <c r="H336" s="86">
        <v>0</v>
      </c>
      <c r="I336" s="86">
        <v>0</v>
      </c>
      <c r="J336" s="86">
        <v>0</v>
      </c>
      <c r="K336" s="86">
        <v>0</v>
      </c>
      <c r="L336" s="86">
        <v>0</v>
      </c>
      <c r="M336" s="86">
        <v>0</v>
      </c>
      <c r="N336" s="86">
        <v>0</v>
      </c>
      <c r="O336" s="86">
        <v>0</v>
      </c>
      <c r="P336" s="86">
        <v>0</v>
      </c>
      <c r="Q336" s="86">
        <v>0</v>
      </c>
      <c r="R336" s="86">
        <v>0</v>
      </c>
      <c r="S336" s="86">
        <v>0</v>
      </c>
      <c r="T336" s="86">
        <v>0</v>
      </c>
      <c r="U336" s="86">
        <v>0</v>
      </c>
      <c r="V336" s="86">
        <v>0</v>
      </c>
      <c r="W336" s="86">
        <v>0</v>
      </c>
      <c r="X336" s="86">
        <v>0</v>
      </c>
      <c r="Y336" s="86">
        <v>0</v>
      </c>
      <c r="Z336" s="86">
        <v>0</v>
      </c>
      <c r="AA336" s="86">
        <v>0</v>
      </c>
      <c r="AB336" s="86">
        <v>0</v>
      </c>
      <c r="AC336" s="86">
        <v>0</v>
      </c>
      <c r="AD336" s="86">
        <v>0</v>
      </c>
      <c r="AE336" s="86">
        <v>0</v>
      </c>
      <c r="AF336" s="86">
        <v>0</v>
      </c>
      <c r="AG336" s="86">
        <v>0</v>
      </c>
      <c r="AH336" s="86">
        <v>0</v>
      </c>
    </row>
    <row r="337" spans="2:34">
      <c r="B337" s="49" t="s">
        <v>1994</v>
      </c>
      <c r="C337" s="1275" t="s">
        <v>1994</v>
      </c>
      <c r="D337" s="86">
        <v>3235669409187</v>
      </c>
      <c r="E337" s="86">
        <v>4251907151206</v>
      </c>
      <c r="F337" s="86"/>
      <c r="G337" s="86">
        <v>4218721904852</v>
      </c>
      <c r="H337" s="86">
        <v>3976861201032</v>
      </c>
      <c r="I337" s="86">
        <v>4226894666422</v>
      </c>
      <c r="J337" s="86">
        <v>4680912722010</v>
      </c>
      <c r="K337" s="86">
        <v>4725736139347</v>
      </c>
      <c r="L337" s="86">
        <v>5128432187969</v>
      </c>
      <c r="M337" s="86">
        <v>5334774952637</v>
      </c>
      <c r="N337" s="86">
        <v>5369393654512</v>
      </c>
      <c r="O337" s="86">
        <v>5732484481195</v>
      </c>
      <c r="P337" s="86">
        <v>6831608906786</v>
      </c>
      <c r="Q337" s="86">
        <v>6321300037589</v>
      </c>
      <c r="R337" s="86">
        <v>5706191909218</v>
      </c>
      <c r="S337" s="86">
        <v>6754108880901</v>
      </c>
      <c r="T337" s="86">
        <v>6852915501331</v>
      </c>
      <c r="U337" s="86">
        <v>7309403733695</v>
      </c>
      <c r="V337" s="86">
        <v>7215060243598</v>
      </c>
      <c r="W337" s="86">
        <v>8424756762060</v>
      </c>
      <c r="X337" s="86">
        <v>9258357079090</v>
      </c>
      <c r="Y337" s="86">
        <v>9160021389111</v>
      </c>
      <c r="Z337" s="86">
        <v>8883899867243</v>
      </c>
      <c r="AA337" s="86">
        <v>8974804984628</v>
      </c>
      <c r="AB337" s="86">
        <v>9285131259702</v>
      </c>
      <c r="AC337" s="86">
        <v>10589420962780</v>
      </c>
      <c r="AD337" s="86">
        <v>11637317901825</v>
      </c>
      <c r="AE337" s="86">
        <v>12356841673821</v>
      </c>
      <c r="AF337" s="86">
        <v>14010296390030</v>
      </c>
      <c r="AG337" s="86">
        <v>14007134457828</v>
      </c>
      <c r="AH337" s="86">
        <v>12933646208752</v>
      </c>
    </row>
    <row r="338" spans="2:34">
      <c r="B338" s="50" t="s">
        <v>1995</v>
      </c>
      <c r="C338" s="1275" t="s">
        <v>1995</v>
      </c>
      <c r="D338" s="86">
        <v>2798819685668</v>
      </c>
      <c r="E338" s="86">
        <v>3282682375660</v>
      </c>
      <c r="F338" s="86"/>
      <c r="G338" s="86">
        <v>3492826782209</v>
      </c>
      <c r="H338" s="86">
        <v>3164161890279</v>
      </c>
      <c r="I338" s="86">
        <v>3277040542116</v>
      </c>
      <c r="J338" s="86">
        <v>3552268305744</v>
      </c>
      <c r="K338" s="86">
        <v>3615629080334</v>
      </c>
      <c r="L338" s="86">
        <v>4042195470616</v>
      </c>
      <c r="M338" s="86">
        <v>4273748337463</v>
      </c>
      <c r="N338" s="86">
        <v>4107531709669</v>
      </c>
      <c r="O338" s="86">
        <v>4468746852984</v>
      </c>
      <c r="P338" s="86">
        <v>5185292216769</v>
      </c>
      <c r="Q338" s="86">
        <v>5034660058319</v>
      </c>
      <c r="R338" s="86">
        <v>4895696773124</v>
      </c>
      <c r="S338" s="86">
        <v>5875026562257</v>
      </c>
      <c r="T338" s="86">
        <v>5860226788508</v>
      </c>
      <c r="U338" s="86">
        <v>6364476667849</v>
      </c>
      <c r="V338" s="86">
        <v>6258608114191</v>
      </c>
      <c r="W338" s="86">
        <v>7317464389203</v>
      </c>
      <c r="X338" s="86">
        <v>7785442811831</v>
      </c>
      <c r="Y338" s="86">
        <v>7065758229567</v>
      </c>
      <c r="Z338" s="86">
        <v>6637933710236</v>
      </c>
      <c r="AA338" s="86">
        <v>6940051066743</v>
      </c>
      <c r="AB338" s="86">
        <v>7113241727148</v>
      </c>
      <c r="AC338" s="86">
        <v>7985125928050</v>
      </c>
      <c r="AD338" s="86">
        <v>9048649497525</v>
      </c>
      <c r="AE338" s="86">
        <v>9341842309753</v>
      </c>
      <c r="AF338" s="86">
        <v>10946837016340</v>
      </c>
      <c r="AG338" s="86">
        <v>11180954016193</v>
      </c>
      <c r="AH338" s="86">
        <v>9376737389308</v>
      </c>
    </row>
    <row r="339" spans="2:34">
      <c r="B339" s="50" t="s">
        <v>1996</v>
      </c>
      <c r="C339" s="1275" t="s">
        <v>1996</v>
      </c>
      <c r="D339" s="86">
        <v>3985220304</v>
      </c>
      <c r="E339" s="86">
        <v>11887425850</v>
      </c>
      <c r="F339" s="86"/>
      <c r="G339" s="86">
        <v>29127695850</v>
      </c>
      <c r="H339" s="86">
        <v>22543550400</v>
      </c>
      <c r="I339" s="86">
        <v>34311443100</v>
      </c>
      <c r="J339" s="86">
        <v>16227854300</v>
      </c>
      <c r="K339" s="86">
        <v>31920006450</v>
      </c>
      <c r="L339" s="86">
        <v>49945120000</v>
      </c>
      <c r="M339" s="86">
        <v>26254783300</v>
      </c>
      <c r="N339" s="86">
        <v>45893046750</v>
      </c>
      <c r="O339" s="86">
        <v>27189595000</v>
      </c>
      <c r="P339" s="86">
        <v>34350748750</v>
      </c>
      <c r="Q339" s="86">
        <v>32199838400</v>
      </c>
      <c r="R339" s="86">
        <v>27192591200</v>
      </c>
      <c r="S339" s="86">
        <v>24909420050</v>
      </c>
      <c r="T339" s="86">
        <v>28301639450</v>
      </c>
      <c r="U339" s="86">
        <v>35235937200</v>
      </c>
      <c r="V339" s="86">
        <v>37188625150</v>
      </c>
      <c r="W339" s="86">
        <v>27659811150</v>
      </c>
      <c r="X339" s="86">
        <v>34881649850</v>
      </c>
      <c r="Y339" s="86">
        <v>35691238300</v>
      </c>
      <c r="Z339" s="86">
        <v>36176891350</v>
      </c>
      <c r="AA339" s="86">
        <v>35858652650</v>
      </c>
      <c r="AB339" s="86">
        <v>56826963150</v>
      </c>
      <c r="AC339" s="86">
        <v>52089129450</v>
      </c>
      <c r="AD339" s="86">
        <v>25145232450</v>
      </c>
      <c r="AE339" s="86">
        <v>23384106850</v>
      </c>
      <c r="AF339" s="86">
        <v>30902801650</v>
      </c>
      <c r="AG339" s="86">
        <v>36770618700</v>
      </c>
      <c r="AH339" s="86">
        <v>40197516950</v>
      </c>
    </row>
    <row r="340" spans="2:34">
      <c r="B340" s="50" t="s">
        <v>1794</v>
      </c>
      <c r="C340" s="1275" t="s">
        <v>1794</v>
      </c>
      <c r="D340" s="86">
        <v>395319300565</v>
      </c>
      <c r="E340" s="86">
        <v>912345908917</v>
      </c>
      <c r="F340" s="86"/>
      <c r="G340" s="86">
        <v>639947942093</v>
      </c>
      <c r="H340" s="86">
        <v>714428107159</v>
      </c>
      <c r="I340" s="86">
        <v>822144349858</v>
      </c>
      <c r="J340" s="86">
        <v>1041791271604</v>
      </c>
      <c r="K340" s="86">
        <v>1002395481726</v>
      </c>
      <c r="L340" s="86">
        <v>952734811109</v>
      </c>
      <c r="M340" s="86">
        <v>955695250505</v>
      </c>
      <c r="N340" s="86">
        <v>1130293526525</v>
      </c>
      <c r="O340" s="86">
        <v>1143549673605</v>
      </c>
      <c r="P340" s="86">
        <v>1506731801979</v>
      </c>
      <c r="Q340" s="86">
        <v>1161144469482</v>
      </c>
      <c r="R340" s="86">
        <v>683854596447</v>
      </c>
      <c r="S340" s="86">
        <v>747385700001</v>
      </c>
      <c r="T340" s="86">
        <v>858955400751</v>
      </c>
      <c r="U340" s="86">
        <v>796563373050</v>
      </c>
      <c r="V340" s="86">
        <v>820812676881</v>
      </c>
      <c r="W340" s="86">
        <v>973277257490</v>
      </c>
      <c r="X340" s="86">
        <v>1343757858104</v>
      </c>
      <c r="Y340" s="86">
        <v>1999219347608</v>
      </c>
      <c r="Z340" s="86">
        <v>2112797058908</v>
      </c>
      <c r="AA340" s="86">
        <v>1901970638887</v>
      </c>
      <c r="AB340" s="86">
        <v>2041881765838</v>
      </c>
      <c r="AC340" s="86">
        <v>2474497552324</v>
      </c>
      <c r="AD340" s="86">
        <v>2491596123688</v>
      </c>
      <c r="AE340" s="86">
        <v>2923678235802</v>
      </c>
      <c r="AF340" s="86">
        <v>2942608431232</v>
      </c>
      <c r="AG340" s="86">
        <v>2678184728083</v>
      </c>
      <c r="AH340" s="86">
        <v>3407296760875</v>
      </c>
    </row>
    <row r="341" spans="2:34">
      <c r="B341" s="50" t="s">
        <v>1997</v>
      </c>
      <c r="C341" s="1275" t="s">
        <v>1997</v>
      </c>
      <c r="D341" s="86">
        <v>0</v>
      </c>
      <c r="E341" s="86">
        <v>0</v>
      </c>
      <c r="F341" s="86"/>
      <c r="G341" s="86">
        <v>0</v>
      </c>
      <c r="H341" s="86">
        <v>0</v>
      </c>
      <c r="I341" s="86">
        <v>0</v>
      </c>
      <c r="J341" s="86">
        <v>0</v>
      </c>
      <c r="K341" s="86">
        <v>0</v>
      </c>
      <c r="L341" s="86">
        <v>0</v>
      </c>
      <c r="M341" s="86">
        <v>0</v>
      </c>
      <c r="N341" s="86">
        <v>0</v>
      </c>
      <c r="O341" s="86">
        <v>0</v>
      </c>
      <c r="P341" s="86">
        <v>0</v>
      </c>
      <c r="Q341" s="86">
        <v>0</v>
      </c>
      <c r="R341" s="86">
        <v>0</v>
      </c>
      <c r="S341" s="86">
        <v>0</v>
      </c>
      <c r="T341" s="86">
        <v>0</v>
      </c>
      <c r="U341" s="86">
        <v>0</v>
      </c>
      <c r="V341" s="86">
        <v>0</v>
      </c>
      <c r="W341" s="86">
        <v>0</v>
      </c>
      <c r="X341" s="86">
        <v>0</v>
      </c>
      <c r="Y341" s="86">
        <v>-3747726167</v>
      </c>
      <c r="Z341" s="86">
        <v>-3925285796</v>
      </c>
      <c r="AA341" s="86">
        <v>-15875208673</v>
      </c>
      <c r="AB341" s="86">
        <v>-24744154207</v>
      </c>
      <c r="AC341" s="86">
        <v>-31549695724</v>
      </c>
      <c r="AD341" s="86">
        <v>-36910229181</v>
      </c>
      <c r="AE341" s="86">
        <v>-42794370205</v>
      </c>
      <c r="AF341" s="86">
        <v>-43485251732</v>
      </c>
      <c r="AG341" s="86">
        <v>-28773039370</v>
      </c>
      <c r="AH341" s="86">
        <v>-25753727664</v>
      </c>
    </row>
    <row r="342" spans="2:34">
      <c r="B342" s="50" t="s">
        <v>1998</v>
      </c>
      <c r="C342" s="1275" t="s">
        <v>1998</v>
      </c>
      <c r="D342" s="86">
        <v>37545202650</v>
      </c>
      <c r="E342" s="86">
        <v>44991440779</v>
      </c>
      <c r="F342" s="86"/>
      <c r="G342" s="86">
        <v>56819484700</v>
      </c>
      <c r="H342" s="86">
        <v>75727653194</v>
      </c>
      <c r="I342" s="86">
        <v>93398331348</v>
      </c>
      <c r="J342" s="86">
        <v>70625290362</v>
      </c>
      <c r="K342" s="86">
        <v>75791570837</v>
      </c>
      <c r="L342" s="86">
        <v>83556786244</v>
      </c>
      <c r="M342" s="86">
        <v>79076581369</v>
      </c>
      <c r="N342" s="86">
        <v>85675371568</v>
      </c>
      <c r="O342" s="86">
        <v>92998359606</v>
      </c>
      <c r="P342" s="86">
        <v>105234139288</v>
      </c>
      <c r="Q342" s="86">
        <v>93295671388</v>
      </c>
      <c r="R342" s="86">
        <v>99447948447</v>
      </c>
      <c r="S342" s="86">
        <v>106787198593</v>
      </c>
      <c r="T342" s="86">
        <v>105431672622</v>
      </c>
      <c r="U342" s="86">
        <v>113127755596</v>
      </c>
      <c r="V342" s="86">
        <v>98450827376</v>
      </c>
      <c r="W342" s="86">
        <v>106355304217</v>
      </c>
      <c r="X342" s="86">
        <v>94274759305</v>
      </c>
      <c r="Y342" s="86">
        <v>63100299803</v>
      </c>
      <c r="Z342" s="86">
        <v>100917492545</v>
      </c>
      <c r="AA342" s="86">
        <v>112799835021</v>
      </c>
      <c r="AB342" s="86">
        <v>97924957773</v>
      </c>
      <c r="AC342" s="86">
        <v>109258048680</v>
      </c>
      <c r="AD342" s="86">
        <v>108837277343</v>
      </c>
      <c r="AE342" s="86">
        <v>110731391621</v>
      </c>
      <c r="AF342" s="86">
        <v>133433392540</v>
      </c>
      <c r="AG342" s="86">
        <v>139998134222</v>
      </c>
      <c r="AH342" s="86">
        <v>135168269283</v>
      </c>
    </row>
    <row r="343" spans="2:34">
      <c r="B343" s="49" t="s">
        <v>1999</v>
      </c>
      <c r="C343" s="1275" t="s">
        <v>1999</v>
      </c>
      <c r="D343" s="86">
        <v>62579000000</v>
      </c>
      <c r="E343" s="86">
        <v>63459000000</v>
      </c>
      <c r="F343" s="86"/>
      <c r="G343" s="86">
        <v>270000000000</v>
      </c>
      <c r="H343" s="86">
        <v>270000000000</v>
      </c>
      <c r="I343" s="86">
        <v>270000000000</v>
      </c>
      <c r="J343" s="86">
        <v>270000000000</v>
      </c>
      <c r="K343" s="86">
        <v>270000000000</v>
      </c>
      <c r="L343" s="86">
        <v>270000000000</v>
      </c>
      <c r="M343" s="86">
        <v>270000000000</v>
      </c>
      <c r="N343" s="86">
        <v>270000000000</v>
      </c>
      <c r="O343" s="86">
        <v>270000000000</v>
      </c>
      <c r="P343" s="86">
        <v>270000000000</v>
      </c>
      <c r="Q343" s="86">
        <v>270000000000</v>
      </c>
      <c r="R343" s="86">
        <v>600000000000</v>
      </c>
      <c r="S343" s="86">
        <v>580000000000</v>
      </c>
      <c r="T343" s="86">
        <v>680000000000</v>
      </c>
      <c r="U343" s="86">
        <v>780000000000</v>
      </c>
      <c r="V343" s="86">
        <v>780000000000</v>
      </c>
      <c r="W343" s="86">
        <v>780000000000</v>
      </c>
      <c r="X343" s="86">
        <v>780000000000</v>
      </c>
      <c r="Y343" s="86">
        <v>780000000000</v>
      </c>
      <c r="Z343" s="86">
        <v>780000000000</v>
      </c>
      <c r="AA343" s="86">
        <v>1435000000000</v>
      </c>
      <c r="AB343" s="86">
        <v>1324376190489</v>
      </c>
      <c r="AC343" s="86">
        <v>1539426918947</v>
      </c>
      <c r="AD343" s="86">
        <v>1118884011870</v>
      </c>
      <c r="AE343" s="86">
        <v>1618987124115</v>
      </c>
      <c r="AF343" s="86">
        <v>1771203778256</v>
      </c>
      <c r="AG343" s="86">
        <v>1816380913945</v>
      </c>
      <c r="AH343" s="86">
        <v>2135945683619</v>
      </c>
    </row>
    <row r="344" spans="2:34">
      <c r="B344" s="49" t="s">
        <v>2000</v>
      </c>
      <c r="C344" s="1275" t="s">
        <v>2000</v>
      </c>
      <c r="D344" s="86">
        <v>0</v>
      </c>
      <c r="E344" s="86">
        <v>0</v>
      </c>
      <c r="F344" s="86"/>
      <c r="G344" s="86">
        <v>0</v>
      </c>
      <c r="H344" s="86">
        <v>0</v>
      </c>
      <c r="I344" s="86">
        <v>0</v>
      </c>
      <c r="J344" s="86">
        <v>0</v>
      </c>
      <c r="K344" s="86">
        <v>0</v>
      </c>
      <c r="L344" s="86">
        <v>0</v>
      </c>
      <c r="M344" s="86">
        <v>0</v>
      </c>
      <c r="N344" s="86">
        <v>0</v>
      </c>
      <c r="O344" s="86">
        <v>0</v>
      </c>
      <c r="P344" s="86">
        <v>0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6">
        <v>0</v>
      </c>
      <c r="AA344" s="86">
        <v>0</v>
      </c>
      <c r="AB344" s="86">
        <v>-623809511</v>
      </c>
      <c r="AC344" s="86">
        <v>-573081053</v>
      </c>
      <c r="AD344" s="86">
        <v>-1115988130</v>
      </c>
      <c r="AE344" s="86">
        <v>-1012875885</v>
      </c>
      <c r="AF344" s="86">
        <v>-1796221744</v>
      </c>
      <c r="AG344" s="86">
        <v>-1619086055</v>
      </c>
      <c r="AH344" s="86">
        <v>-2054316381</v>
      </c>
    </row>
    <row r="345" spans="2:34">
      <c r="B345" s="1280" t="s">
        <v>1334</v>
      </c>
      <c r="C345" s="1275" t="s">
        <v>1334</v>
      </c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9">
        <v>735000000000</v>
      </c>
      <c r="AB345" s="89">
        <v>425000000000</v>
      </c>
      <c r="AC345" s="89">
        <v>640000000000</v>
      </c>
      <c r="AD345" s="89">
        <v>290000000000</v>
      </c>
      <c r="AE345" s="89">
        <v>820000000000</v>
      </c>
      <c r="AF345" s="89">
        <v>753000000000</v>
      </c>
      <c r="AG345" s="89">
        <v>818000000000</v>
      </c>
      <c r="AH345" s="89">
        <v>938000000000</v>
      </c>
    </row>
    <row r="346" spans="2:34">
      <c r="B346" s="49" t="s">
        <v>1335</v>
      </c>
      <c r="C346" s="1275" t="s">
        <v>1335</v>
      </c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9">
        <v>700000000000</v>
      </c>
      <c r="AB346" s="89">
        <v>899376190489</v>
      </c>
      <c r="AC346" s="89">
        <v>899426918947</v>
      </c>
      <c r="AD346" s="89">
        <v>828884011870</v>
      </c>
      <c r="AE346" s="89">
        <v>798987124115</v>
      </c>
      <c r="AF346" s="89">
        <v>1018203778256</v>
      </c>
      <c r="AG346" s="89">
        <v>998380913945</v>
      </c>
      <c r="AH346" s="89">
        <v>1197945683619</v>
      </c>
    </row>
    <row r="347" spans="2:34" ht="15">
      <c r="B347" s="49" t="s">
        <v>2001</v>
      </c>
      <c r="C347" s="1275" t="s">
        <v>2001</v>
      </c>
      <c r="D347" s="86">
        <v>0</v>
      </c>
      <c r="E347" s="86">
        <v>0</v>
      </c>
      <c r="F347" s="86"/>
      <c r="G347" s="86">
        <v>0</v>
      </c>
      <c r="H347" s="86">
        <v>0</v>
      </c>
      <c r="I347" s="86">
        <v>0</v>
      </c>
      <c r="J347" s="86">
        <v>0</v>
      </c>
      <c r="K347" s="86">
        <v>0</v>
      </c>
      <c r="L347" s="86">
        <v>0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 s="85">
        <v>0</v>
      </c>
      <c r="Y347" s="85">
        <v>0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</row>
    <row r="348" spans="2:34" ht="15">
      <c r="B348" s="49" t="s">
        <v>2000</v>
      </c>
      <c r="C348" s="1275" t="s">
        <v>2000</v>
      </c>
      <c r="D348" s="86">
        <v>0</v>
      </c>
      <c r="E348" s="86">
        <v>0</v>
      </c>
      <c r="F348" s="86"/>
      <c r="G348" s="86">
        <v>0</v>
      </c>
      <c r="H348" s="86">
        <v>0</v>
      </c>
      <c r="I348" s="86">
        <v>0</v>
      </c>
      <c r="J348" s="86">
        <v>0</v>
      </c>
      <c r="K348" s="86">
        <v>0</v>
      </c>
      <c r="L348" s="86">
        <v>0</v>
      </c>
      <c r="M348" s="85">
        <v>0</v>
      </c>
      <c r="N348" s="85">
        <v>0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 s="85">
        <v>0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</row>
    <row r="349" spans="2:34" ht="15">
      <c r="B349" s="49" t="s">
        <v>2002</v>
      </c>
      <c r="C349" s="1275" t="s">
        <v>2002</v>
      </c>
      <c r="D349" s="86">
        <v>0</v>
      </c>
      <c r="E349" s="86">
        <v>0</v>
      </c>
      <c r="F349" s="86"/>
      <c r="G349" s="86">
        <v>0</v>
      </c>
      <c r="H349" s="86">
        <v>0</v>
      </c>
      <c r="I349" s="86">
        <v>0</v>
      </c>
      <c r="J349" s="86">
        <v>0</v>
      </c>
      <c r="K349" s="86">
        <v>0</v>
      </c>
      <c r="L349" s="86">
        <v>0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</row>
    <row r="350" spans="2:34" ht="15">
      <c r="B350" s="49" t="s">
        <v>2003</v>
      </c>
      <c r="C350" s="1275" t="s">
        <v>2003</v>
      </c>
      <c r="D350" s="86">
        <v>0</v>
      </c>
      <c r="E350" s="86">
        <v>0</v>
      </c>
      <c r="F350" s="86"/>
      <c r="G350" s="86">
        <v>0</v>
      </c>
      <c r="H350" s="86">
        <v>0</v>
      </c>
      <c r="I350" s="86">
        <v>0</v>
      </c>
      <c r="J350" s="86">
        <v>0</v>
      </c>
      <c r="K350" s="86">
        <v>0</v>
      </c>
      <c r="L350" s="86">
        <v>0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</row>
    <row r="351" spans="2:34" ht="15">
      <c r="B351" s="1280" t="s">
        <v>1336</v>
      </c>
      <c r="C351" s="1275" t="s">
        <v>1336</v>
      </c>
      <c r="D351" s="86"/>
      <c r="E351" s="86"/>
      <c r="F351" s="86"/>
      <c r="G351" s="86"/>
      <c r="H351" s="86"/>
      <c r="I351" s="86"/>
      <c r="J351" s="86"/>
      <c r="K351" s="86"/>
      <c r="L351" s="86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531">
        <v>852694012379</v>
      </c>
      <c r="AB351" s="531">
        <v>2275587319432</v>
      </c>
      <c r="AC351" s="531">
        <v>2736390038476</v>
      </c>
      <c r="AD351" s="531">
        <v>3447198525092</v>
      </c>
      <c r="AE351" s="531">
        <v>4235462068159</v>
      </c>
      <c r="AF351" s="531">
        <v>5057634281812</v>
      </c>
      <c r="AG351" s="531">
        <v>5717445614869</v>
      </c>
      <c r="AH351" s="531">
        <v>6234137289525</v>
      </c>
    </row>
    <row r="352" spans="2:34" ht="15">
      <c r="B352" s="49" t="s">
        <v>1337</v>
      </c>
      <c r="C352" s="1275" t="s">
        <v>1337</v>
      </c>
      <c r="D352" s="86">
        <v>0</v>
      </c>
      <c r="E352" s="86">
        <v>0</v>
      </c>
      <c r="F352" s="86"/>
      <c r="G352" s="86">
        <v>0</v>
      </c>
      <c r="H352" s="86">
        <v>0</v>
      </c>
      <c r="I352" s="86">
        <v>0</v>
      </c>
      <c r="J352" s="86">
        <v>0</v>
      </c>
      <c r="K352" s="86">
        <v>0</v>
      </c>
      <c r="L352" s="86">
        <v>0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 s="85">
        <v>0</v>
      </c>
    </row>
    <row r="353" spans="2:34">
      <c r="B353" s="43" t="s">
        <v>2004</v>
      </c>
      <c r="C353" s="43" t="s">
        <v>2004</v>
      </c>
      <c r="D353" s="87">
        <v>297010367726</v>
      </c>
      <c r="E353" s="87">
        <v>399910458522</v>
      </c>
      <c r="F353" s="87"/>
      <c r="G353" s="87">
        <v>179303199712</v>
      </c>
      <c r="H353" s="87">
        <v>192049910009</v>
      </c>
      <c r="I353" s="87">
        <v>357588216711</v>
      </c>
      <c r="J353" s="87">
        <v>371285923045</v>
      </c>
      <c r="K353" s="87">
        <v>360558448054</v>
      </c>
      <c r="L353" s="87">
        <v>425357888174</v>
      </c>
      <c r="M353" s="87">
        <v>313434073646</v>
      </c>
      <c r="N353" s="87">
        <v>398796367795</v>
      </c>
      <c r="O353" s="87">
        <v>499357997071</v>
      </c>
      <c r="P353" s="87">
        <v>463996000563</v>
      </c>
      <c r="Q353" s="87">
        <v>574258683116</v>
      </c>
      <c r="R353" s="87">
        <v>1344525052213</v>
      </c>
      <c r="S353" s="87">
        <v>907229011965</v>
      </c>
      <c r="T353" s="87">
        <v>1101221583516</v>
      </c>
      <c r="U353" s="87">
        <v>1231737463966</v>
      </c>
      <c r="V353" s="87">
        <v>865737669286</v>
      </c>
      <c r="W353" s="87">
        <v>748147077271</v>
      </c>
      <c r="X353" s="87">
        <v>485917780816</v>
      </c>
      <c r="Y353" s="87">
        <v>442944082536</v>
      </c>
      <c r="Z353" s="87">
        <v>505638848887</v>
      </c>
      <c r="AA353" s="87">
        <v>453448723549</v>
      </c>
      <c r="AB353" s="87">
        <v>724336949150</v>
      </c>
      <c r="AC353" s="87">
        <v>821825715388</v>
      </c>
      <c r="AD353" s="87">
        <v>707425892771</v>
      </c>
      <c r="AE353" s="87">
        <v>1194981646424</v>
      </c>
      <c r="AF353" s="87">
        <v>725300463545</v>
      </c>
      <c r="AG353" s="87">
        <v>900283564708</v>
      </c>
      <c r="AH353" s="87">
        <v>1045232793621</v>
      </c>
    </row>
    <row r="354" spans="2:34">
      <c r="B354" s="49" t="s">
        <v>1798</v>
      </c>
      <c r="C354" s="1275" t="s">
        <v>1798</v>
      </c>
      <c r="D354" s="86">
        <v>20713937729</v>
      </c>
      <c r="E354" s="86">
        <v>28815872973</v>
      </c>
      <c r="F354" s="86"/>
      <c r="G354" s="86">
        <v>47989402951</v>
      </c>
      <c r="H354" s="86">
        <v>50989223675</v>
      </c>
      <c r="I354" s="86">
        <v>40649709269</v>
      </c>
      <c r="J354" s="86">
        <v>34468210410</v>
      </c>
      <c r="K354" s="86">
        <v>31247331362</v>
      </c>
      <c r="L354" s="86">
        <v>25480773888</v>
      </c>
      <c r="M354" s="86">
        <v>28154670790</v>
      </c>
      <c r="N354" s="86">
        <v>46282208416</v>
      </c>
      <c r="O354" s="86">
        <v>59843860181</v>
      </c>
      <c r="P354" s="86">
        <v>80290986779</v>
      </c>
      <c r="Q354" s="86">
        <v>64303735233</v>
      </c>
      <c r="R354" s="86">
        <v>74646351890</v>
      </c>
      <c r="S354" s="86">
        <v>60322000425</v>
      </c>
      <c r="T354" s="86">
        <v>71561372357</v>
      </c>
      <c r="U354" s="86">
        <v>79277683904</v>
      </c>
      <c r="V354" s="86">
        <v>72413342552</v>
      </c>
      <c r="W354" s="86">
        <v>44167535750</v>
      </c>
      <c r="X354" s="86">
        <v>37737851806</v>
      </c>
      <c r="Y354" s="86">
        <v>35078417993</v>
      </c>
      <c r="Z354" s="86">
        <v>30341935890</v>
      </c>
      <c r="AA354" s="86">
        <v>27499510466</v>
      </c>
      <c r="AB354" s="86">
        <v>27437659995</v>
      </c>
      <c r="AC354" s="86">
        <v>60149509308</v>
      </c>
      <c r="AD354" s="86">
        <v>81173023916</v>
      </c>
      <c r="AE354" s="86">
        <v>60161372378</v>
      </c>
      <c r="AF354" s="86">
        <v>85625086647</v>
      </c>
      <c r="AG354" s="86">
        <v>145271472707</v>
      </c>
      <c r="AH354" s="86">
        <v>192972271102</v>
      </c>
    </row>
    <row r="355" spans="2:34">
      <c r="B355" s="50" t="s">
        <v>1799</v>
      </c>
      <c r="C355" s="1275" t="s">
        <v>1799</v>
      </c>
      <c r="D355" s="86">
        <v>0</v>
      </c>
      <c r="E355" s="86">
        <v>0</v>
      </c>
      <c r="F355" s="86"/>
      <c r="G355" s="86">
        <v>0</v>
      </c>
      <c r="H355" s="86">
        <v>0</v>
      </c>
      <c r="I355" s="86">
        <v>0</v>
      </c>
      <c r="J355" s="86">
        <v>0</v>
      </c>
      <c r="K355" s="86">
        <v>0</v>
      </c>
      <c r="L355" s="86">
        <v>0</v>
      </c>
      <c r="M355" s="86">
        <v>0</v>
      </c>
      <c r="N355" s="86">
        <v>0</v>
      </c>
      <c r="O355" s="86">
        <v>0</v>
      </c>
      <c r="P355" s="86">
        <v>0</v>
      </c>
      <c r="Q355" s="86">
        <v>0</v>
      </c>
      <c r="R355" s="86">
        <v>0</v>
      </c>
      <c r="S355" s="86">
        <v>0</v>
      </c>
      <c r="T355" s="86">
        <v>0</v>
      </c>
      <c r="U355" s="86">
        <v>0</v>
      </c>
      <c r="V355" s="86">
        <v>0</v>
      </c>
      <c r="W355" s="86">
        <v>0</v>
      </c>
      <c r="X355" s="86">
        <v>0</v>
      </c>
      <c r="Y355" s="86">
        <v>0</v>
      </c>
      <c r="Z355" s="86">
        <v>0</v>
      </c>
      <c r="AA355" s="86">
        <v>0</v>
      </c>
      <c r="AB355" s="86">
        <v>0</v>
      </c>
      <c r="AC355" s="86">
        <v>0</v>
      </c>
      <c r="AD355" s="86">
        <v>0</v>
      </c>
      <c r="AE355" s="86">
        <v>0</v>
      </c>
      <c r="AF355" s="86">
        <v>0</v>
      </c>
      <c r="AG355" s="86">
        <v>0</v>
      </c>
      <c r="AH355" s="86">
        <v>0</v>
      </c>
    </row>
    <row r="356" spans="2:34">
      <c r="B356" s="50" t="s">
        <v>1800</v>
      </c>
      <c r="C356" s="1275" t="s">
        <v>1800</v>
      </c>
      <c r="D356" s="86">
        <v>20383481510</v>
      </c>
      <c r="E356" s="86">
        <v>28437598714</v>
      </c>
      <c r="F356" s="86"/>
      <c r="G356" s="86">
        <v>47495226130</v>
      </c>
      <c r="H356" s="86">
        <v>50469513276</v>
      </c>
      <c r="I356" s="86">
        <v>40264173804</v>
      </c>
      <c r="J356" s="86">
        <v>34144252868</v>
      </c>
      <c r="K356" s="86">
        <v>30913737515</v>
      </c>
      <c r="L356" s="86">
        <v>25201595635</v>
      </c>
      <c r="M356" s="86">
        <v>27934216765</v>
      </c>
      <c r="N356" s="86">
        <v>46114637580</v>
      </c>
      <c r="O356" s="86">
        <v>59743491948</v>
      </c>
      <c r="P356" s="86">
        <v>80290986779</v>
      </c>
      <c r="Q356" s="86">
        <v>64303735233</v>
      </c>
      <c r="R356" s="86">
        <v>74646351890</v>
      </c>
      <c r="S356" s="86">
        <v>60322000425</v>
      </c>
      <c r="T356" s="86">
        <v>71561372357</v>
      </c>
      <c r="U356" s="86">
        <v>79277683904</v>
      </c>
      <c r="V356" s="86">
        <v>72413342552</v>
      </c>
      <c r="W356" s="86">
        <v>44167535750</v>
      </c>
      <c r="X356" s="86">
        <v>37737851806</v>
      </c>
      <c r="Y356" s="86">
        <v>35078417993</v>
      </c>
      <c r="Z356" s="86">
        <v>30341935890</v>
      </c>
      <c r="AA356" s="86">
        <v>27499510466</v>
      </c>
      <c r="AB356" s="86">
        <v>27437659995</v>
      </c>
      <c r="AC356" s="86">
        <v>60149509308</v>
      </c>
      <c r="AD356" s="86">
        <v>81173023916</v>
      </c>
      <c r="AE356" s="86">
        <v>60161372378</v>
      </c>
      <c r="AF356" s="86">
        <v>85625086647</v>
      </c>
      <c r="AG356" s="86">
        <v>145271472707</v>
      </c>
      <c r="AH356" s="86">
        <v>192972271102</v>
      </c>
    </row>
    <row r="357" spans="2:34">
      <c r="B357" s="50" t="s">
        <v>2005</v>
      </c>
      <c r="C357" s="1275" t="s">
        <v>2005</v>
      </c>
      <c r="D357" s="86">
        <v>330456219</v>
      </c>
      <c r="E357" s="86">
        <v>378274259</v>
      </c>
      <c r="F357" s="86"/>
      <c r="G357" s="86">
        <v>494176821</v>
      </c>
      <c r="H357" s="86">
        <v>519710399</v>
      </c>
      <c r="I357" s="86">
        <v>385535465</v>
      </c>
      <c r="J357" s="86">
        <v>323957542</v>
      </c>
      <c r="K357" s="86">
        <v>333593847</v>
      </c>
      <c r="L357" s="86">
        <v>279178253</v>
      </c>
      <c r="M357" s="86">
        <v>220454025</v>
      </c>
      <c r="N357" s="86">
        <v>167570836</v>
      </c>
      <c r="O357" s="86">
        <v>100368233</v>
      </c>
      <c r="P357" s="86">
        <v>0</v>
      </c>
      <c r="Q357" s="86">
        <v>0</v>
      </c>
      <c r="R357" s="86">
        <v>0</v>
      </c>
      <c r="S357" s="86">
        <v>0</v>
      </c>
      <c r="T357" s="86">
        <v>0</v>
      </c>
      <c r="U357" s="86">
        <v>0</v>
      </c>
      <c r="V357" s="86">
        <v>0</v>
      </c>
      <c r="W357" s="86">
        <v>0</v>
      </c>
      <c r="X357" s="86">
        <v>0</v>
      </c>
      <c r="Y357" s="86">
        <v>0</v>
      </c>
      <c r="Z357" s="86">
        <v>0</v>
      </c>
      <c r="AA357" s="86">
        <v>0</v>
      </c>
      <c r="AB357" s="86">
        <v>0</v>
      </c>
      <c r="AC357" s="86">
        <v>0</v>
      </c>
      <c r="AD357" s="86">
        <v>0</v>
      </c>
      <c r="AE357" s="86">
        <v>0</v>
      </c>
      <c r="AF357" s="86">
        <v>0</v>
      </c>
      <c r="AG357" s="86">
        <v>0</v>
      </c>
      <c r="AH357" s="86">
        <v>0</v>
      </c>
    </row>
    <row r="358" spans="2:34">
      <c r="B358" s="49" t="s">
        <v>1802</v>
      </c>
      <c r="C358" s="1275" t="s">
        <v>1802</v>
      </c>
      <c r="D358" s="86">
        <v>207104330316</v>
      </c>
      <c r="E358" s="86">
        <v>218010788047</v>
      </c>
      <c r="F358" s="86"/>
      <c r="G358" s="86">
        <v>11293662126</v>
      </c>
      <c r="H358" s="86">
        <v>8691858222</v>
      </c>
      <c r="I358" s="86">
        <v>7580427023</v>
      </c>
      <c r="J358" s="86">
        <v>13894484522</v>
      </c>
      <c r="K358" s="86">
        <v>3798791017</v>
      </c>
      <c r="L358" s="86">
        <v>3287573443</v>
      </c>
      <c r="M358" s="86">
        <v>1233709256</v>
      </c>
      <c r="N358" s="86">
        <v>9564890716</v>
      </c>
      <c r="O358" s="86">
        <v>28096546218</v>
      </c>
      <c r="P358" s="86">
        <v>31429854690</v>
      </c>
      <c r="Q358" s="86">
        <v>24891467804</v>
      </c>
      <c r="R358" s="86">
        <v>40251170901</v>
      </c>
      <c r="S358" s="86">
        <v>22312047771</v>
      </c>
      <c r="T358" s="86">
        <v>10763658360</v>
      </c>
      <c r="U358" s="86">
        <v>20841126769</v>
      </c>
      <c r="V358" s="86">
        <v>6927664137</v>
      </c>
      <c r="W358" s="86">
        <v>23290890991</v>
      </c>
      <c r="X358" s="86">
        <v>10015917431</v>
      </c>
      <c r="Y358" s="86">
        <v>18389574836</v>
      </c>
      <c r="Z358" s="86">
        <v>28357384588</v>
      </c>
      <c r="AA358" s="86">
        <v>20914703858</v>
      </c>
      <c r="AB358" s="86">
        <v>24235708853</v>
      </c>
      <c r="AC358" s="86">
        <v>60379628339</v>
      </c>
      <c r="AD358" s="86">
        <v>27311131546</v>
      </c>
      <c r="AE358" s="86">
        <v>30909583513</v>
      </c>
      <c r="AF358" s="86">
        <v>49511461449</v>
      </c>
      <c r="AG358" s="86">
        <v>91702718813</v>
      </c>
      <c r="AH358" s="86">
        <v>120248580486</v>
      </c>
    </row>
    <row r="359" spans="2:34">
      <c r="B359" s="50" t="s">
        <v>1803</v>
      </c>
      <c r="C359" s="1275" t="s">
        <v>1803</v>
      </c>
      <c r="D359" s="86">
        <v>726474616</v>
      </c>
      <c r="E359" s="86">
        <v>1098068</v>
      </c>
      <c r="F359" s="86"/>
      <c r="G359" s="86">
        <v>446229886</v>
      </c>
      <c r="H359" s="86">
        <v>622152467</v>
      </c>
      <c r="I359" s="86">
        <v>2752824996</v>
      </c>
      <c r="J359" s="86">
        <v>2456330822</v>
      </c>
      <c r="K359" s="86">
        <v>3431858258</v>
      </c>
      <c r="L359" s="86">
        <v>2926670820</v>
      </c>
      <c r="M359" s="86">
        <v>1233709256</v>
      </c>
      <c r="N359" s="86">
        <v>9564890716</v>
      </c>
      <c r="O359" s="86">
        <v>27727448962</v>
      </c>
      <c r="P359" s="86">
        <v>31143620625</v>
      </c>
      <c r="Q359" s="86">
        <v>24403325579</v>
      </c>
      <c r="R359" s="86">
        <v>38479912987</v>
      </c>
      <c r="S359" s="86">
        <v>21346437091</v>
      </c>
      <c r="T359" s="86">
        <v>10280409719</v>
      </c>
      <c r="U359" s="86">
        <v>20268269309</v>
      </c>
      <c r="V359" s="86">
        <v>6927664137</v>
      </c>
      <c r="W359" s="86">
        <v>22268811535</v>
      </c>
      <c r="X359" s="86">
        <v>5141327041</v>
      </c>
      <c r="Y359" s="86">
        <v>14197811466</v>
      </c>
      <c r="Z359" s="86">
        <v>24786914319</v>
      </c>
      <c r="AA359" s="86">
        <v>17725899525</v>
      </c>
      <c r="AB359" s="86">
        <v>18302098548</v>
      </c>
      <c r="AC359" s="86">
        <v>57588259650</v>
      </c>
      <c r="AD359" s="86">
        <v>25503134189</v>
      </c>
      <c r="AE359" s="86">
        <v>25989669167</v>
      </c>
      <c r="AF359" s="86">
        <v>48285705103</v>
      </c>
      <c r="AG359" s="86">
        <v>90132353279</v>
      </c>
      <c r="AH359" s="86">
        <v>118863355487</v>
      </c>
    </row>
    <row r="360" spans="2:34">
      <c r="B360" s="50" t="s">
        <v>1804</v>
      </c>
      <c r="C360" s="1275" t="s">
        <v>1804</v>
      </c>
      <c r="D360" s="86">
        <v>206377855700</v>
      </c>
      <c r="E360" s="86">
        <v>218009689979</v>
      </c>
      <c r="F360" s="86"/>
      <c r="G360" s="86">
        <v>10847432240</v>
      </c>
      <c r="H360" s="86">
        <v>8069705755</v>
      </c>
      <c r="I360" s="86">
        <v>4827602027</v>
      </c>
      <c r="J360" s="86">
        <v>11438153700</v>
      </c>
      <c r="K360" s="86">
        <v>366932759</v>
      </c>
      <c r="L360" s="86">
        <v>360902623</v>
      </c>
      <c r="M360" s="86">
        <v>0</v>
      </c>
      <c r="N360" s="86">
        <v>0</v>
      </c>
      <c r="O360" s="86">
        <v>369097256</v>
      </c>
      <c r="P360" s="86">
        <v>286234065</v>
      </c>
      <c r="Q360" s="86">
        <v>488142225</v>
      </c>
      <c r="R360" s="86">
        <v>1771257914</v>
      </c>
      <c r="S360" s="86">
        <v>965610680</v>
      </c>
      <c r="T360" s="86">
        <v>483248641</v>
      </c>
      <c r="U360" s="86">
        <v>572857460</v>
      </c>
      <c r="V360" s="86">
        <v>0</v>
      </c>
      <c r="W360" s="86">
        <v>1022079456</v>
      </c>
      <c r="X360" s="86">
        <v>4874590390</v>
      </c>
      <c r="Y360" s="86">
        <v>4191763370</v>
      </c>
      <c r="Z360" s="86">
        <v>3570470269</v>
      </c>
      <c r="AA360" s="86">
        <v>3188804333</v>
      </c>
      <c r="AB360" s="86">
        <v>5907188091</v>
      </c>
      <c r="AC360" s="86">
        <v>2784286582</v>
      </c>
      <c r="AD360" s="86">
        <v>1807997357</v>
      </c>
      <c r="AE360" s="86">
        <v>4919697545</v>
      </c>
      <c r="AF360" s="86">
        <v>1225756346</v>
      </c>
      <c r="AG360" s="86">
        <v>1570365534</v>
      </c>
      <c r="AH360" s="86">
        <v>1376362243</v>
      </c>
    </row>
    <row r="361" spans="2:34" ht="15">
      <c r="B361" s="50" t="s">
        <v>2006</v>
      </c>
      <c r="C361" s="1275" t="s">
        <v>2006</v>
      </c>
      <c r="D361" s="86">
        <v>0</v>
      </c>
      <c r="E361" s="86">
        <v>0</v>
      </c>
      <c r="F361" s="86"/>
      <c r="G361" s="86">
        <v>0</v>
      </c>
      <c r="H361" s="86">
        <v>0</v>
      </c>
      <c r="I361" s="86">
        <v>0</v>
      </c>
      <c r="J361" s="86">
        <v>0</v>
      </c>
      <c r="K361" s="86">
        <v>0</v>
      </c>
      <c r="L361" s="86">
        <v>0</v>
      </c>
      <c r="M361" s="85">
        <v>0</v>
      </c>
      <c r="N361" s="85">
        <v>0</v>
      </c>
      <c r="O361" s="85">
        <v>0</v>
      </c>
      <c r="P361" s="85">
        <v>0</v>
      </c>
      <c r="Q361" s="85">
        <v>0</v>
      </c>
      <c r="R361" s="85">
        <v>0</v>
      </c>
      <c r="S361" s="85">
        <v>0</v>
      </c>
      <c r="T361" s="85">
        <v>0</v>
      </c>
      <c r="U361" s="85">
        <v>0</v>
      </c>
      <c r="V361" s="85">
        <v>0</v>
      </c>
      <c r="W361" s="85">
        <v>0</v>
      </c>
      <c r="X361" s="85">
        <v>0</v>
      </c>
      <c r="Y361" s="85">
        <v>0</v>
      </c>
      <c r="Z361" s="85">
        <v>0</v>
      </c>
      <c r="AA361" s="85">
        <v>0</v>
      </c>
      <c r="AB361" s="85">
        <v>26422214</v>
      </c>
      <c r="AC361" s="85">
        <v>7082107</v>
      </c>
      <c r="AD361" s="85">
        <v>0</v>
      </c>
      <c r="AE361" s="85">
        <v>216801</v>
      </c>
      <c r="AF361" s="85">
        <v>0</v>
      </c>
      <c r="AG361" s="85">
        <v>0</v>
      </c>
      <c r="AH361" s="85">
        <v>8862756</v>
      </c>
    </row>
    <row r="362" spans="2:34">
      <c r="B362" s="49" t="s">
        <v>1806</v>
      </c>
      <c r="C362" s="1275" t="s">
        <v>1806</v>
      </c>
      <c r="D362" s="86">
        <v>65571862641</v>
      </c>
      <c r="E362" s="86">
        <v>143310275938</v>
      </c>
      <c r="F362" s="86"/>
      <c r="G362" s="86">
        <v>110166056214</v>
      </c>
      <c r="H362" s="86">
        <v>122564307472</v>
      </c>
      <c r="I362" s="86">
        <v>300055272527</v>
      </c>
      <c r="J362" s="86">
        <v>315576124238</v>
      </c>
      <c r="K362" s="86">
        <v>318686340583</v>
      </c>
      <c r="L362" s="86">
        <v>389317961978</v>
      </c>
      <c r="M362" s="86">
        <v>278286593614</v>
      </c>
      <c r="N362" s="86">
        <v>340942899447</v>
      </c>
      <c r="O362" s="86">
        <v>408951744790</v>
      </c>
      <c r="P362" s="86">
        <v>350388013318</v>
      </c>
      <c r="Q362" s="86">
        <v>483979602477</v>
      </c>
      <c r="R362" s="86">
        <v>1228369022233</v>
      </c>
      <c r="S362" s="86">
        <v>824162595638</v>
      </c>
      <c r="T362" s="86">
        <v>1018674401335</v>
      </c>
      <c r="U362" s="86">
        <v>1131512657293</v>
      </c>
      <c r="V362" s="86">
        <v>790051085886</v>
      </c>
      <c r="W362" s="86">
        <v>685005322110</v>
      </c>
      <c r="X362" s="86">
        <v>442846628469</v>
      </c>
      <c r="Y362" s="86">
        <v>388570753231</v>
      </c>
      <c r="Z362" s="86">
        <v>445390430699</v>
      </c>
      <c r="AA362" s="86">
        <v>403235293388</v>
      </c>
      <c r="AB362" s="86">
        <v>671513408746</v>
      </c>
      <c r="AC362" s="86">
        <v>699830778057</v>
      </c>
      <c r="AD362" s="86">
        <v>598471344935</v>
      </c>
      <c r="AE362" s="86">
        <v>1095997293280</v>
      </c>
      <c r="AF362" s="86">
        <v>586905985135</v>
      </c>
      <c r="AG362" s="86">
        <v>651365396196</v>
      </c>
      <c r="AH362" s="86">
        <v>698207754093</v>
      </c>
    </row>
    <row r="363" spans="2:34">
      <c r="B363" s="50" t="s">
        <v>1807</v>
      </c>
      <c r="C363" s="1275" t="s">
        <v>1807</v>
      </c>
      <c r="D363" s="86">
        <v>54878040</v>
      </c>
      <c r="E363" s="86">
        <v>28052681</v>
      </c>
      <c r="F363" s="86"/>
      <c r="G363" s="86">
        <v>0</v>
      </c>
      <c r="H363" s="86">
        <v>0</v>
      </c>
      <c r="I363" s="86">
        <v>0</v>
      </c>
      <c r="J363" s="86">
        <v>0</v>
      </c>
      <c r="K363" s="86">
        <v>0</v>
      </c>
      <c r="L363" s="86">
        <v>0</v>
      </c>
      <c r="M363" s="86">
        <v>0</v>
      </c>
      <c r="N363" s="86">
        <v>0</v>
      </c>
      <c r="O363" s="86">
        <v>0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6">
        <v>0</v>
      </c>
      <c r="AA363" s="86">
        <v>0</v>
      </c>
      <c r="AB363" s="86">
        <v>0</v>
      </c>
      <c r="AC363" s="86">
        <v>0</v>
      </c>
      <c r="AD363" s="86">
        <v>0</v>
      </c>
      <c r="AE363" s="86">
        <v>0</v>
      </c>
      <c r="AF363" s="86">
        <v>0</v>
      </c>
      <c r="AG363" s="86">
        <v>0</v>
      </c>
      <c r="AH363" s="86">
        <v>0</v>
      </c>
    </row>
    <row r="364" spans="2:34">
      <c r="B364" s="50" t="s">
        <v>1808</v>
      </c>
      <c r="C364" s="1275" t="s">
        <v>1808</v>
      </c>
      <c r="D364" s="86">
        <v>50317713552</v>
      </c>
      <c r="E364" s="86">
        <v>95636041921</v>
      </c>
      <c r="F364" s="86"/>
      <c r="G364" s="86">
        <v>51244783507</v>
      </c>
      <c r="H364" s="86">
        <v>53988342527</v>
      </c>
      <c r="I364" s="86">
        <v>131210108473</v>
      </c>
      <c r="J364" s="86">
        <v>70557952529</v>
      </c>
      <c r="K364" s="86">
        <v>82724886498</v>
      </c>
      <c r="L364" s="86">
        <v>83950150366</v>
      </c>
      <c r="M364" s="86">
        <v>42430186180</v>
      </c>
      <c r="N364" s="86">
        <v>51986526810</v>
      </c>
      <c r="O364" s="86">
        <v>65647028890</v>
      </c>
      <c r="P364" s="86">
        <v>54040934376</v>
      </c>
      <c r="Q364" s="86">
        <v>104006150012</v>
      </c>
      <c r="R364" s="86">
        <v>452823538046</v>
      </c>
      <c r="S364" s="86">
        <v>305266013250</v>
      </c>
      <c r="T364" s="86">
        <v>371137696595</v>
      </c>
      <c r="U364" s="86">
        <v>400511049955</v>
      </c>
      <c r="V364" s="86">
        <v>226183953427</v>
      </c>
      <c r="W364" s="86">
        <v>207984457889</v>
      </c>
      <c r="X364" s="86">
        <v>138267357681</v>
      </c>
      <c r="Y364" s="86">
        <v>140423332134</v>
      </c>
      <c r="Z364" s="86">
        <v>161956109370</v>
      </c>
      <c r="AA364" s="86">
        <v>184471698850</v>
      </c>
      <c r="AB364" s="86">
        <v>335830421156</v>
      </c>
      <c r="AC364" s="86">
        <v>369636951763</v>
      </c>
      <c r="AD364" s="86">
        <v>322872346117</v>
      </c>
      <c r="AE364" s="86">
        <v>450067584614</v>
      </c>
      <c r="AF364" s="86">
        <v>247772907836</v>
      </c>
      <c r="AG364" s="86">
        <v>278159918951</v>
      </c>
      <c r="AH364" s="86">
        <v>265328176572</v>
      </c>
    </row>
    <row r="365" spans="2:34">
      <c r="B365" s="50" t="s">
        <v>2007</v>
      </c>
      <c r="C365" s="1275" t="s">
        <v>2007</v>
      </c>
      <c r="D365" s="86">
        <v>15199271049</v>
      </c>
      <c r="E365" s="86">
        <v>47646181336</v>
      </c>
      <c r="F365" s="86"/>
      <c r="G365" s="86">
        <v>58921272707</v>
      </c>
      <c r="H365" s="86">
        <v>68575964945</v>
      </c>
      <c r="I365" s="86">
        <v>168845164054</v>
      </c>
      <c r="J365" s="86">
        <v>245018171709</v>
      </c>
      <c r="K365" s="86">
        <v>235961454085</v>
      </c>
      <c r="L365" s="86">
        <v>305367811612</v>
      </c>
      <c r="M365" s="86">
        <v>235856407434</v>
      </c>
      <c r="N365" s="86">
        <v>288956372637</v>
      </c>
      <c r="O365" s="86">
        <v>343304715900</v>
      </c>
      <c r="P365" s="86">
        <v>296347078942</v>
      </c>
      <c r="Q365" s="86">
        <v>379973452465</v>
      </c>
      <c r="R365" s="86">
        <v>775545484187</v>
      </c>
      <c r="S365" s="86">
        <v>518896582388</v>
      </c>
      <c r="T365" s="86">
        <v>647536704740</v>
      </c>
      <c r="U365" s="86">
        <v>731001607338</v>
      </c>
      <c r="V365" s="86">
        <v>563867132459</v>
      </c>
      <c r="W365" s="86">
        <v>477020864221</v>
      </c>
      <c r="X365" s="86">
        <v>304579270788</v>
      </c>
      <c r="Y365" s="86">
        <v>248147421097</v>
      </c>
      <c r="Z365" s="86">
        <v>283434321329</v>
      </c>
      <c r="AA365" s="86">
        <v>218763594538</v>
      </c>
      <c r="AB365" s="86">
        <v>335682987590</v>
      </c>
      <c r="AC365" s="86">
        <v>330193826294</v>
      </c>
      <c r="AD365" s="86">
        <v>275598998818</v>
      </c>
      <c r="AE365" s="86">
        <v>645929708666</v>
      </c>
      <c r="AF365" s="86">
        <v>339133077299</v>
      </c>
      <c r="AG365" s="86">
        <v>373205477245</v>
      </c>
      <c r="AH365" s="86">
        <v>432879577521</v>
      </c>
    </row>
    <row r="366" spans="2:34">
      <c r="B366" s="49" t="s">
        <v>1810</v>
      </c>
      <c r="C366" s="1275" t="s">
        <v>1810</v>
      </c>
      <c r="D366" s="86">
        <v>3523269841</v>
      </c>
      <c r="E366" s="86">
        <v>9671939693</v>
      </c>
      <c r="F366" s="86"/>
      <c r="G366" s="86">
        <v>9820289656</v>
      </c>
      <c r="H366" s="86">
        <v>9753134594</v>
      </c>
      <c r="I366" s="86">
        <v>9247355369</v>
      </c>
      <c r="J366" s="86">
        <v>7299312129</v>
      </c>
      <c r="K366" s="86">
        <v>6770376687</v>
      </c>
      <c r="L366" s="86">
        <v>7151851683</v>
      </c>
      <c r="M366" s="86">
        <v>5668875814</v>
      </c>
      <c r="N366" s="86">
        <v>2006369216</v>
      </c>
      <c r="O366" s="86">
        <v>2279218722</v>
      </c>
      <c r="P366" s="86">
        <v>1600214623</v>
      </c>
      <c r="Q366" s="86">
        <v>1083877602</v>
      </c>
      <c r="R366" s="86">
        <v>1258507189</v>
      </c>
      <c r="S366" s="86">
        <v>398774724</v>
      </c>
      <c r="T366" s="86">
        <v>222151464</v>
      </c>
      <c r="U366" s="86">
        <v>105996000</v>
      </c>
      <c r="V366" s="86">
        <v>0</v>
      </c>
      <c r="W366" s="86">
        <v>0</v>
      </c>
      <c r="X366" s="86">
        <v>0</v>
      </c>
      <c r="Y366" s="86">
        <v>0</v>
      </c>
      <c r="Z366" s="86">
        <v>39639000</v>
      </c>
      <c r="AA366" s="86">
        <v>243791100</v>
      </c>
      <c r="AB366" s="86">
        <v>375928170</v>
      </c>
      <c r="AC366" s="86">
        <v>1614773131</v>
      </c>
      <c r="AD366" s="86">
        <v>111636447</v>
      </c>
      <c r="AE366" s="86">
        <v>1698403669</v>
      </c>
      <c r="AF366" s="86">
        <v>1450537905</v>
      </c>
      <c r="AG366" s="86">
        <v>3348090838</v>
      </c>
      <c r="AH366" s="86">
        <v>3896119174</v>
      </c>
    </row>
    <row r="367" spans="2:34">
      <c r="B367" s="50" t="s">
        <v>1811</v>
      </c>
      <c r="C367" s="1275" t="s">
        <v>1811</v>
      </c>
      <c r="D367" s="86">
        <v>3523269841</v>
      </c>
      <c r="E367" s="86">
        <v>9671939693</v>
      </c>
      <c r="F367" s="86"/>
      <c r="G367" s="86">
        <v>9820289656</v>
      </c>
      <c r="H367" s="86">
        <v>9753134594</v>
      </c>
      <c r="I367" s="86">
        <v>9247355369</v>
      </c>
      <c r="J367" s="86">
        <v>7299312129</v>
      </c>
      <c r="K367" s="86">
        <v>6770376687</v>
      </c>
      <c r="L367" s="86">
        <v>7151851683</v>
      </c>
      <c r="M367" s="86">
        <v>5668875814</v>
      </c>
      <c r="N367" s="86">
        <v>2006369216</v>
      </c>
      <c r="O367" s="86">
        <v>2279218722</v>
      </c>
      <c r="P367" s="86">
        <v>1600214623</v>
      </c>
      <c r="Q367" s="86">
        <v>1083877602</v>
      </c>
      <c r="R367" s="86">
        <v>1258507189</v>
      </c>
      <c r="S367" s="86">
        <v>398774724</v>
      </c>
      <c r="T367" s="86">
        <v>222151464</v>
      </c>
      <c r="U367" s="86">
        <v>105996000</v>
      </c>
      <c r="V367" s="86">
        <v>0</v>
      </c>
      <c r="W367" s="86">
        <v>0</v>
      </c>
      <c r="X367" s="86">
        <v>0</v>
      </c>
      <c r="Y367" s="86">
        <v>0</v>
      </c>
      <c r="Z367" s="86">
        <v>39639000</v>
      </c>
      <c r="AA367" s="86">
        <v>243791100</v>
      </c>
      <c r="AB367" s="86">
        <v>375928170</v>
      </c>
      <c r="AC367" s="86">
        <v>1614773131</v>
      </c>
      <c r="AD367" s="86">
        <v>111636447</v>
      </c>
      <c r="AE367" s="86">
        <v>1698403669</v>
      </c>
      <c r="AF367" s="86">
        <v>1450537905</v>
      </c>
      <c r="AG367" s="86">
        <v>3348090838</v>
      </c>
      <c r="AH367" s="86">
        <v>3896119174</v>
      </c>
    </row>
    <row r="368" spans="2:34" ht="15">
      <c r="B368" s="50" t="s">
        <v>2008</v>
      </c>
      <c r="C368" s="1275" t="s">
        <v>2008</v>
      </c>
      <c r="D368" s="86">
        <v>0</v>
      </c>
      <c r="E368" s="86">
        <v>0</v>
      </c>
      <c r="F368" s="86"/>
      <c r="G368" s="86">
        <v>0</v>
      </c>
      <c r="H368" s="86">
        <v>0</v>
      </c>
      <c r="I368" s="86">
        <v>0</v>
      </c>
      <c r="J368" s="86">
        <v>0</v>
      </c>
      <c r="K368" s="86">
        <v>0</v>
      </c>
      <c r="L368" s="86">
        <v>0</v>
      </c>
      <c r="M368" s="85">
        <v>0</v>
      </c>
      <c r="N368" s="85">
        <v>0</v>
      </c>
      <c r="O368" s="85">
        <v>0</v>
      </c>
      <c r="P368" s="85">
        <v>0</v>
      </c>
      <c r="Q368" s="85">
        <v>0</v>
      </c>
      <c r="R368" s="85">
        <v>0</v>
      </c>
      <c r="S368" s="85">
        <v>0</v>
      </c>
      <c r="T368" s="85">
        <v>0</v>
      </c>
      <c r="U368" s="85">
        <v>0</v>
      </c>
      <c r="V368" s="85">
        <v>0</v>
      </c>
      <c r="W368" s="85">
        <v>0</v>
      </c>
      <c r="X368" s="85">
        <v>0</v>
      </c>
      <c r="Y368" s="85">
        <v>0</v>
      </c>
      <c r="Z368" s="85">
        <v>0</v>
      </c>
      <c r="AA368" s="85">
        <v>0</v>
      </c>
      <c r="AB368" s="85">
        <v>0</v>
      </c>
      <c r="AC368" s="85">
        <v>0</v>
      </c>
      <c r="AD368" s="85">
        <v>0</v>
      </c>
      <c r="AE368" s="85">
        <v>0</v>
      </c>
      <c r="AF368" s="85">
        <v>0</v>
      </c>
      <c r="AG368" s="85">
        <v>0</v>
      </c>
      <c r="AH368" s="85">
        <v>0</v>
      </c>
    </row>
    <row r="369" spans="2:34" ht="15">
      <c r="B369" s="50" t="s">
        <v>1794</v>
      </c>
      <c r="C369" s="1275" t="s">
        <v>1794</v>
      </c>
      <c r="D369" s="86">
        <v>0</v>
      </c>
      <c r="E369" s="86">
        <v>0</v>
      </c>
      <c r="F369" s="86"/>
      <c r="G369" s="86">
        <v>0</v>
      </c>
      <c r="H369" s="86">
        <v>0</v>
      </c>
      <c r="I369" s="86">
        <v>0</v>
      </c>
      <c r="J369" s="86">
        <v>0</v>
      </c>
      <c r="K369" s="86">
        <v>0</v>
      </c>
      <c r="L369" s="86">
        <v>0</v>
      </c>
      <c r="M369" s="85">
        <v>0</v>
      </c>
      <c r="N369" s="85">
        <v>0</v>
      </c>
      <c r="O369" s="85">
        <v>0</v>
      </c>
      <c r="P369" s="85">
        <v>0</v>
      </c>
      <c r="Q369" s="85">
        <v>0</v>
      </c>
      <c r="R369" s="85">
        <v>0</v>
      </c>
      <c r="S369" s="85">
        <v>0</v>
      </c>
      <c r="T369" s="85">
        <v>0</v>
      </c>
      <c r="U369" s="85">
        <v>0</v>
      </c>
      <c r="V369" s="85">
        <v>0</v>
      </c>
      <c r="W369" s="85">
        <v>0</v>
      </c>
      <c r="X369" s="85">
        <v>0</v>
      </c>
      <c r="Y369" s="85">
        <v>0</v>
      </c>
      <c r="Z369" s="85">
        <v>0</v>
      </c>
      <c r="AA369" s="85">
        <v>0</v>
      </c>
      <c r="AB369" s="85">
        <v>0</v>
      </c>
      <c r="AC369" s="85">
        <v>0</v>
      </c>
      <c r="AD369" s="85">
        <v>0</v>
      </c>
      <c r="AE369" s="85">
        <v>0</v>
      </c>
      <c r="AF369" s="85">
        <v>0</v>
      </c>
      <c r="AG369" s="85">
        <v>0</v>
      </c>
      <c r="AH369" s="85">
        <v>0</v>
      </c>
    </row>
    <row r="370" spans="2:34">
      <c r="B370" s="49" t="s">
        <v>1813</v>
      </c>
      <c r="C370" s="1275" t="s">
        <v>1813</v>
      </c>
      <c r="D370" s="86">
        <v>96967199</v>
      </c>
      <c r="E370" s="86">
        <v>101581871</v>
      </c>
      <c r="F370" s="86"/>
      <c r="G370" s="86">
        <v>33788765</v>
      </c>
      <c r="H370" s="86">
        <v>51386046</v>
      </c>
      <c r="I370" s="86">
        <v>55452523</v>
      </c>
      <c r="J370" s="86">
        <v>47791746</v>
      </c>
      <c r="K370" s="86">
        <v>55608405</v>
      </c>
      <c r="L370" s="86">
        <v>119727182</v>
      </c>
      <c r="M370" s="86">
        <v>90224172</v>
      </c>
      <c r="N370" s="86">
        <v>0</v>
      </c>
      <c r="O370" s="86">
        <v>186627160</v>
      </c>
      <c r="P370" s="86">
        <v>286931153</v>
      </c>
      <c r="Q370" s="86">
        <v>0</v>
      </c>
      <c r="R370" s="86">
        <v>0</v>
      </c>
      <c r="S370" s="86">
        <v>33593407</v>
      </c>
      <c r="T370" s="86">
        <v>0</v>
      </c>
      <c r="U370" s="86">
        <v>0</v>
      </c>
      <c r="V370" s="86">
        <v>0</v>
      </c>
      <c r="W370" s="86">
        <v>0</v>
      </c>
      <c r="X370" s="86">
        <v>0</v>
      </c>
      <c r="Y370" s="86">
        <v>1163759520</v>
      </c>
      <c r="Z370" s="86">
        <v>1774815075</v>
      </c>
      <c r="AA370" s="86">
        <v>1428912223</v>
      </c>
      <c r="AB370" s="86">
        <v>1215810000</v>
      </c>
      <c r="AC370" s="86">
        <v>448680000</v>
      </c>
      <c r="AD370" s="86">
        <v>275393250</v>
      </c>
      <c r="AE370" s="86">
        <v>6580242120</v>
      </c>
      <c r="AF370" s="86">
        <v>1355697153</v>
      </c>
      <c r="AG370" s="86">
        <v>6810168950</v>
      </c>
      <c r="AH370" s="86">
        <v>27350597750</v>
      </c>
    </row>
    <row r="371" spans="2:34" ht="15">
      <c r="B371" s="50" t="s">
        <v>1814</v>
      </c>
      <c r="C371" s="1275" t="s">
        <v>1814</v>
      </c>
      <c r="D371" s="86">
        <v>0</v>
      </c>
      <c r="E371" s="86">
        <v>0</v>
      </c>
      <c r="F371" s="86"/>
      <c r="G371" s="86">
        <v>0</v>
      </c>
      <c r="H371" s="86">
        <v>0</v>
      </c>
      <c r="I371" s="86">
        <v>0</v>
      </c>
      <c r="J371" s="86">
        <v>0</v>
      </c>
      <c r="K371" s="86">
        <v>0</v>
      </c>
      <c r="L371" s="86">
        <v>0</v>
      </c>
      <c r="M371" s="85">
        <v>0</v>
      </c>
      <c r="N371" s="85">
        <v>0</v>
      </c>
      <c r="O371" s="85">
        <v>0</v>
      </c>
      <c r="P371" s="85">
        <v>0</v>
      </c>
      <c r="Q371" s="85">
        <v>0</v>
      </c>
      <c r="R371" s="85">
        <v>0</v>
      </c>
      <c r="S371" s="85">
        <v>0</v>
      </c>
      <c r="T371" s="85">
        <v>0</v>
      </c>
      <c r="U371" s="85">
        <v>0</v>
      </c>
      <c r="V371" s="85">
        <v>0</v>
      </c>
      <c r="W371" s="85">
        <v>0</v>
      </c>
      <c r="X371" s="85">
        <v>0</v>
      </c>
      <c r="Y371" s="85">
        <v>0</v>
      </c>
      <c r="Z371" s="85">
        <v>0</v>
      </c>
      <c r="AA371" s="85">
        <v>0</v>
      </c>
      <c r="AB371" s="85">
        <v>0</v>
      </c>
      <c r="AC371" s="85">
        <v>0</v>
      </c>
      <c r="AD371" s="85">
        <v>0</v>
      </c>
      <c r="AE371" s="85">
        <v>0</v>
      </c>
      <c r="AF371" s="85">
        <v>0</v>
      </c>
      <c r="AG371" s="85">
        <v>0</v>
      </c>
      <c r="AH371" s="85">
        <v>0</v>
      </c>
    </row>
    <row r="372" spans="2:34">
      <c r="B372" s="50" t="s">
        <v>1815</v>
      </c>
      <c r="C372" s="1275" t="s">
        <v>1815</v>
      </c>
      <c r="D372" s="86">
        <v>96967199</v>
      </c>
      <c r="E372" s="86">
        <v>86600905</v>
      </c>
      <c r="F372" s="86"/>
      <c r="G372" s="86">
        <v>33788765</v>
      </c>
      <c r="H372" s="86">
        <v>51386046</v>
      </c>
      <c r="I372" s="86">
        <v>55452523</v>
      </c>
      <c r="J372" s="86">
        <v>47791746</v>
      </c>
      <c r="K372" s="86">
        <v>55608405</v>
      </c>
      <c r="L372" s="86">
        <v>119727182</v>
      </c>
      <c r="M372" s="86">
        <v>90224172</v>
      </c>
      <c r="N372" s="86">
        <v>0</v>
      </c>
      <c r="O372" s="86">
        <v>186627160</v>
      </c>
      <c r="P372" s="86">
        <v>286931153</v>
      </c>
      <c r="Q372" s="86">
        <v>0</v>
      </c>
      <c r="R372" s="86">
        <v>0</v>
      </c>
      <c r="S372" s="86">
        <v>33593407</v>
      </c>
      <c r="T372" s="86">
        <v>0</v>
      </c>
      <c r="U372" s="86">
        <v>0</v>
      </c>
      <c r="V372" s="86">
        <v>0</v>
      </c>
      <c r="W372" s="86">
        <v>0</v>
      </c>
      <c r="X372" s="86">
        <v>0</v>
      </c>
      <c r="Y372" s="86">
        <v>0</v>
      </c>
      <c r="Z372" s="86">
        <v>13025195</v>
      </c>
      <c r="AA372" s="86">
        <v>49699003</v>
      </c>
      <c r="AB372" s="86">
        <v>0</v>
      </c>
      <c r="AC372" s="86">
        <v>0</v>
      </c>
      <c r="AD372" s="86">
        <v>0</v>
      </c>
      <c r="AE372" s="86">
        <v>0</v>
      </c>
      <c r="AF372" s="86">
        <v>32435753</v>
      </c>
      <c r="AG372" s="86">
        <v>7606550</v>
      </c>
      <c r="AH372" s="86">
        <v>0</v>
      </c>
    </row>
    <row r="373" spans="2:34" ht="15">
      <c r="B373" s="50" t="s">
        <v>2009</v>
      </c>
      <c r="C373" s="1275" t="s">
        <v>2009</v>
      </c>
      <c r="D373" s="86">
        <v>0</v>
      </c>
      <c r="E373" s="86">
        <v>14980966</v>
      </c>
      <c r="F373" s="86"/>
      <c r="G373" s="86">
        <v>0</v>
      </c>
      <c r="H373" s="86">
        <v>0</v>
      </c>
      <c r="I373" s="86">
        <v>0</v>
      </c>
      <c r="J373" s="86">
        <v>0</v>
      </c>
      <c r="K373" s="86">
        <v>0</v>
      </c>
      <c r="L373" s="86">
        <v>0</v>
      </c>
      <c r="M373" s="86">
        <v>0</v>
      </c>
      <c r="N373" s="85">
        <v>0</v>
      </c>
      <c r="O373" s="85">
        <v>0</v>
      </c>
      <c r="P373" s="85">
        <v>0</v>
      </c>
      <c r="Q373" s="85">
        <v>0</v>
      </c>
      <c r="R373" s="85">
        <v>0</v>
      </c>
      <c r="S373" s="85">
        <v>0</v>
      </c>
      <c r="T373" s="85">
        <v>0</v>
      </c>
      <c r="U373" s="85">
        <v>0</v>
      </c>
      <c r="V373" s="85">
        <v>0</v>
      </c>
      <c r="W373" s="85">
        <v>0</v>
      </c>
      <c r="X373" s="85">
        <v>0</v>
      </c>
      <c r="Y373" s="85">
        <v>1163759520</v>
      </c>
      <c r="Z373" s="85">
        <v>1761789880</v>
      </c>
      <c r="AA373" s="85">
        <v>1379213220</v>
      </c>
      <c r="AB373" s="85">
        <v>1215810000</v>
      </c>
      <c r="AC373" s="85">
        <v>448680000</v>
      </c>
      <c r="AD373" s="85">
        <v>275393250</v>
      </c>
      <c r="AE373" s="85">
        <v>6580242120</v>
      </c>
      <c r="AF373" s="85">
        <v>1323261400</v>
      </c>
      <c r="AG373" s="85">
        <v>6802562400</v>
      </c>
      <c r="AH373" s="85">
        <v>27350597750</v>
      </c>
    </row>
    <row r="374" spans="2:34" ht="15">
      <c r="B374" s="49" t="s">
        <v>2010</v>
      </c>
      <c r="C374" s="1275" t="s">
        <v>2010</v>
      </c>
      <c r="D374" s="86">
        <v>0</v>
      </c>
      <c r="E374" s="86">
        <v>0</v>
      </c>
      <c r="F374" s="86"/>
      <c r="G374" s="86">
        <v>0</v>
      </c>
      <c r="H374" s="86">
        <v>0</v>
      </c>
      <c r="I374" s="86">
        <v>0</v>
      </c>
      <c r="J374" s="86">
        <v>0</v>
      </c>
      <c r="K374" s="86">
        <v>0</v>
      </c>
      <c r="L374" s="86">
        <v>0</v>
      </c>
      <c r="M374" s="86">
        <v>0</v>
      </c>
      <c r="N374" s="86">
        <v>0</v>
      </c>
      <c r="O374" s="85">
        <v>0</v>
      </c>
      <c r="P374" s="85">
        <v>0</v>
      </c>
      <c r="Q374" s="85">
        <v>0</v>
      </c>
      <c r="R374" s="85">
        <v>0</v>
      </c>
      <c r="S374" s="85">
        <v>0</v>
      </c>
      <c r="T374" s="85">
        <v>0</v>
      </c>
      <c r="U374" s="85">
        <v>0</v>
      </c>
      <c r="V374" s="85">
        <v>0</v>
      </c>
      <c r="W374" s="85">
        <v>0</v>
      </c>
      <c r="X374" s="85">
        <v>0</v>
      </c>
      <c r="Y374" s="85">
        <v>0</v>
      </c>
      <c r="Z374" s="85">
        <v>0</v>
      </c>
      <c r="AA374" s="85">
        <v>428230334</v>
      </c>
      <c r="AB374" s="85">
        <v>411785859</v>
      </c>
      <c r="AC374" s="85">
        <v>907472794</v>
      </c>
      <c r="AD374" s="85">
        <v>1209979410</v>
      </c>
      <c r="AE374" s="85">
        <v>260880914</v>
      </c>
      <c r="AF374" s="85">
        <v>915922186</v>
      </c>
      <c r="AG374" s="85">
        <v>2319750249</v>
      </c>
      <c r="AH374" s="85">
        <v>3314299629</v>
      </c>
    </row>
    <row r="375" spans="2:34">
      <c r="B375" s="49" t="s">
        <v>1818</v>
      </c>
      <c r="C375" s="1275" t="s">
        <v>1818</v>
      </c>
      <c r="D375" s="86">
        <v>0</v>
      </c>
      <c r="E375" s="86">
        <v>0</v>
      </c>
      <c r="F375" s="86"/>
      <c r="G375" s="86">
        <v>0</v>
      </c>
      <c r="H375" s="86">
        <v>0</v>
      </c>
      <c r="I375" s="86">
        <v>0</v>
      </c>
      <c r="J375" s="86">
        <v>0</v>
      </c>
      <c r="K375" s="86">
        <v>0</v>
      </c>
      <c r="L375" s="86">
        <v>0</v>
      </c>
      <c r="M375" s="86">
        <v>0</v>
      </c>
      <c r="N375" s="86">
        <v>0</v>
      </c>
      <c r="O375" s="86">
        <v>0</v>
      </c>
      <c r="P375" s="86">
        <v>0</v>
      </c>
      <c r="Q375" s="86">
        <v>0</v>
      </c>
      <c r="R375" s="86">
        <v>0</v>
      </c>
      <c r="S375" s="86">
        <v>0</v>
      </c>
      <c r="T375" s="86">
        <v>0</v>
      </c>
      <c r="U375" s="86">
        <v>0</v>
      </c>
      <c r="V375" s="86">
        <v>-3654423289</v>
      </c>
      <c r="W375" s="86">
        <v>-4316671580</v>
      </c>
      <c r="X375" s="86">
        <v>-4682616890</v>
      </c>
      <c r="Y375" s="86">
        <v>-258423044</v>
      </c>
      <c r="Z375" s="86">
        <v>-265356365</v>
      </c>
      <c r="AA375" s="86">
        <v>-301717820</v>
      </c>
      <c r="AB375" s="86">
        <v>-853352473</v>
      </c>
      <c r="AC375" s="86">
        <v>-1505126241</v>
      </c>
      <c r="AD375" s="86">
        <v>-1126616733</v>
      </c>
      <c r="AE375" s="86">
        <v>-626129450</v>
      </c>
      <c r="AF375" s="86">
        <v>-464226930</v>
      </c>
      <c r="AG375" s="86">
        <v>-534033045</v>
      </c>
      <c r="AH375" s="86">
        <v>-756828613</v>
      </c>
    </row>
    <row r="376" spans="2:34">
      <c r="B376" s="49" t="s">
        <v>1819</v>
      </c>
      <c r="C376" s="1275" t="s">
        <v>1819</v>
      </c>
      <c r="D376" s="86">
        <v>0</v>
      </c>
      <c r="E376" s="86">
        <v>0</v>
      </c>
      <c r="F376" s="86"/>
      <c r="G376" s="86">
        <v>0</v>
      </c>
      <c r="H376" s="86">
        <v>0</v>
      </c>
      <c r="I376" s="86">
        <v>0</v>
      </c>
      <c r="J376" s="86">
        <v>0</v>
      </c>
      <c r="K376" s="86">
        <v>0</v>
      </c>
      <c r="L376" s="86">
        <v>0</v>
      </c>
      <c r="M376" s="86">
        <v>0</v>
      </c>
      <c r="N376" s="86">
        <v>0</v>
      </c>
      <c r="O376" s="86">
        <v>0</v>
      </c>
      <c r="P376" s="86">
        <v>0</v>
      </c>
      <c r="Q376" s="86">
        <v>0</v>
      </c>
      <c r="R376" s="86">
        <v>0</v>
      </c>
      <c r="S376" s="86">
        <v>0</v>
      </c>
      <c r="T376" s="86">
        <v>0</v>
      </c>
      <c r="U376" s="86">
        <v>0</v>
      </c>
      <c r="V376" s="86">
        <v>0</v>
      </c>
      <c r="W376" s="86">
        <v>0</v>
      </c>
      <c r="X376" s="86">
        <v>0</v>
      </c>
      <c r="Y376" s="86">
        <v>0</v>
      </c>
      <c r="Z376" s="86">
        <v>0</v>
      </c>
      <c r="AA376" s="86">
        <v>0</v>
      </c>
      <c r="AB376" s="86">
        <v>0</v>
      </c>
      <c r="AC376" s="86">
        <v>0</v>
      </c>
      <c r="AD376" s="86">
        <v>0</v>
      </c>
      <c r="AE376" s="86">
        <v>0</v>
      </c>
      <c r="AF376" s="86">
        <v>0</v>
      </c>
      <c r="AG376" s="86">
        <v>0</v>
      </c>
      <c r="AH376" s="86">
        <v>0</v>
      </c>
    </row>
    <row r="377" spans="2:34">
      <c r="B377" s="43" t="s">
        <v>2011</v>
      </c>
      <c r="C377" s="43" t="s">
        <v>2011</v>
      </c>
      <c r="D377" s="87">
        <v>617838650974</v>
      </c>
      <c r="E377" s="87">
        <v>942113679811</v>
      </c>
      <c r="F377" s="87"/>
      <c r="G377" s="87">
        <v>551077391788</v>
      </c>
      <c r="H377" s="87">
        <v>669477404349</v>
      </c>
      <c r="I377" s="87">
        <v>953732050110</v>
      </c>
      <c r="J377" s="87">
        <v>782910107905</v>
      </c>
      <c r="K377" s="87">
        <v>555736792858</v>
      </c>
      <c r="L377" s="87">
        <v>720777280366</v>
      </c>
      <c r="M377" s="87">
        <v>599730438193</v>
      </c>
      <c r="N377" s="87">
        <v>792146207038</v>
      </c>
      <c r="O377" s="87">
        <v>540276375540</v>
      </c>
      <c r="P377" s="87">
        <v>1045668294554</v>
      </c>
      <c r="Q377" s="87">
        <v>858914969287</v>
      </c>
      <c r="R377" s="87">
        <v>930155116800</v>
      </c>
      <c r="S377" s="87">
        <v>657466498166</v>
      </c>
      <c r="T377" s="87">
        <v>949452058239</v>
      </c>
      <c r="U377" s="87">
        <v>891401563247</v>
      </c>
      <c r="V377" s="87">
        <v>1253469017615</v>
      </c>
      <c r="W377" s="87">
        <v>896288810408</v>
      </c>
      <c r="X377" s="87">
        <v>1590685898960</v>
      </c>
      <c r="Y377" s="87">
        <v>1480556719041</v>
      </c>
      <c r="Z377" s="87">
        <v>1317257479753</v>
      </c>
      <c r="AA377" s="87">
        <v>1687026170338</v>
      </c>
      <c r="AB377" s="87">
        <v>2130395722412</v>
      </c>
      <c r="AC377" s="87">
        <v>1982601351292</v>
      </c>
      <c r="AD377" s="87">
        <v>2687278758156</v>
      </c>
      <c r="AE377" s="87">
        <v>2528845804668</v>
      </c>
      <c r="AF377" s="87">
        <v>4572063372831</v>
      </c>
      <c r="AG377" s="87">
        <v>6461155515140</v>
      </c>
      <c r="AH377" s="87">
        <v>3677248121314</v>
      </c>
    </row>
    <row r="378" spans="2:34">
      <c r="B378" s="49" t="s">
        <v>1821</v>
      </c>
      <c r="C378" s="1275" t="s">
        <v>1821</v>
      </c>
      <c r="D378" s="86">
        <v>198372844</v>
      </c>
      <c r="E378" s="86">
        <v>161132684</v>
      </c>
      <c r="F378" s="86"/>
      <c r="G378" s="86">
        <v>296604651</v>
      </c>
      <c r="H378" s="86">
        <v>275878456</v>
      </c>
      <c r="I378" s="86">
        <v>241679571</v>
      </c>
      <c r="J378" s="86">
        <v>275708911</v>
      </c>
      <c r="K378" s="86">
        <v>206558391</v>
      </c>
      <c r="L378" s="86">
        <v>175872796</v>
      </c>
      <c r="M378" s="86">
        <v>137165318</v>
      </c>
      <c r="N378" s="86">
        <v>94334165</v>
      </c>
      <c r="O378" s="86">
        <v>41028665</v>
      </c>
      <c r="P378" s="86">
        <v>114666506</v>
      </c>
      <c r="Q378" s="86">
        <v>89258317</v>
      </c>
      <c r="R378" s="86">
        <v>67313062</v>
      </c>
      <c r="S378" s="86">
        <v>79728988</v>
      </c>
      <c r="T378" s="86">
        <v>130519193</v>
      </c>
      <c r="U378" s="86">
        <v>108220034</v>
      </c>
      <c r="V378" s="86">
        <v>79210991</v>
      </c>
      <c r="W378" s="86">
        <v>6320630</v>
      </c>
      <c r="X378" s="86">
        <v>77083767</v>
      </c>
      <c r="Y378" s="86">
        <v>59999272</v>
      </c>
      <c r="Z378" s="86">
        <v>43074593</v>
      </c>
      <c r="AA378" s="86">
        <v>1508710</v>
      </c>
      <c r="AB378" s="86">
        <v>38134408</v>
      </c>
      <c r="AC378" s="86">
        <v>26385004</v>
      </c>
      <c r="AD378" s="86">
        <v>16047187</v>
      </c>
      <c r="AE378" s="86">
        <v>1439985</v>
      </c>
      <c r="AF378" s="86">
        <v>37212052</v>
      </c>
      <c r="AG378" s="86">
        <v>25551988</v>
      </c>
      <c r="AH378" s="86">
        <v>16603358</v>
      </c>
    </row>
    <row r="379" spans="2:34" ht="15">
      <c r="B379" s="49" t="s">
        <v>1822</v>
      </c>
      <c r="C379" s="1275" t="s">
        <v>1822</v>
      </c>
      <c r="D379" s="86">
        <v>0</v>
      </c>
      <c r="E379" s="86">
        <v>0</v>
      </c>
      <c r="F379" s="86"/>
      <c r="G379" s="86">
        <v>0</v>
      </c>
      <c r="H379" s="86">
        <v>0</v>
      </c>
      <c r="I379" s="86">
        <v>0</v>
      </c>
      <c r="J379" s="86">
        <v>0</v>
      </c>
      <c r="K379" s="86">
        <v>0</v>
      </c>
      <c r="L379" s="86">
        <v>0</v>
      </c>
      <c r="M379" s="85">
        <v>0</v>
      </c>
      <c r="N379" s="85">
        <v>0</v>
      </c>
      <c r="O379" s="85">
        <v>0</v>
      </c>
      <c r="P379" s="85">
        <v>0</v>
      </c>
      <c r="Q379" s="85">
        <v>0</v>
      </c>
      <c r="R379" s="85">
        <v>0</v>
      </c>
      <c r="S379" s="85">
        <v>0</v>
      </c>
      <c r="T379" s="85">
        <v>0</v>
      </c>
      <c r="U379" s="85">
        <v>0</v>
      </c>
      <c r="V379" s="85">
        <v>0</v>
      </c>
      <c r="W379" s="85">
        <v>0</v>
      </c>
      <c r="X379" s="85">
        <v>0</v>
      </c>
      <c r="Y379" s="85">
        <v>0</v>
      </c>
      <c r="Z379" s="85">
        <v>0</v>
      </c>
      <c r="AA379" s="85">
        <v>0</v>
      </c>
      <c r="AB379" s="85">
        <v>0</v>
      </c>
      <c r="AC379" s="85">
        <v>0</v>
      </c>
      <c r="AD379" s="85">
        <v>0</v>
      </c>
      <c r="AE379" s="85">
        <v>0</v>
      </c>
      <c r="AF379" s="85">
        <v>0</v>
      </c>
      <c r="AG379" s="85">
        <v>0</v>
      </c>
      <c r="AH379" s="85">
        <v>0</v>
      </c>
    </row>
    <row r="380" spans="2:34">
      <c r="B380" s="49" t="s">
        <v>2012</v>
      </c>
      <c r="C380" s="1275" t="s">
        <v>2012</v>
      </c>
      <c r="D380" s="86">
        <v>2590796868</v>
      </c>
      <c r="E380" s="86">
        <v>2488971908</v>
      </c>
      <c r="F380" s="86"/>
      <c r="G380" s="86">
        <v>1611647176</v>
      </c>
      <c r="H380" s="86">
        <v>5252542246</v>
      </c>
      <c r="I380" s="86">
        <v>8234491117</v>
      </c>
      <c r="J380" s="86">
        <v>8540801596</v>
      </c>
      <c r="K380" s="86">
        <v>6823755132</v>
      </c>
      <c r="L380" s="86">
        <v>8824315997</v>
      </c>
      <c r="M380" s="86">
        <v>10535155004</v>
      </c>
      <c r="N380" s="86">
        <v>5144875408</v>
      </c>
      <c r="O380" s="86">
        <v>9716325327</v>
      </c>
      <c r="P380" s="86">
        <v>11278203982</v>
      </c>
      <c r="Q380" s="86">
        <v>7465668835</v>
      </c>
      <c r="R380" s="86">
        <v>9352860021</v>
      </c>
      <c r="S380" s="86">
        <v>14404328096</v>
      </c>
      <c r="T380" s="86">
        <v>13360598631</v>
      </c>
      <c r="U380" s="86">
        <v>8246295550</v>
      </c>
      <c r="V380" s="86">
        <v>10472813036</v>
      </c>
      <c r="W380" s="86">
        <v>5916268129</v>
      </c>
      <c r="X380" s="86">
        <v>5154626256</v>
      </c>
      <c r="Y380" s="86">
        <v>4322808231</v>
      </c>
      <c r="Z380" s="86">
        <v>6577997972</v>
      </c>
      <c r="AA380" s="86">
        <v>60536575</v>
      </c>
      <c r="AB380" s="86">
        <v>2144033405</v>
      </c>
      <c r="AC380" s="86">
        <v>2400926496</v>
      </c>
      <c r="AD380" s="86">
        <v>2489947044</v>
      </c>
      <c r="AE380" s="86">
        <v>1910707328</v>
      </c>
      <c r="AF380" s="86">
        <v>4146106828</v>
      </c>
      <c r="AG380" s="86">
        <v>6168740908</v>
      </c>
      <c r="AH380" s="86">
        <v>8429885715</v>
      </c>
    </row>
    <row r="381" spans="2:34">
      <c r="B381" s="50" t="s">
        <v>2013</v>
      </c>
      <c r="C381" s="1275" t="s">
        <v>2013</v>
      </c>
      <c r="D381" s="86">
        <v>36282164930</v>
      </c>
      <c r="E381" s="86">
        <v>38313663406</v>
      </c>
      <c r="F381" s="86"/>
      <c r="G381" s="86">
        <v>40592640374</v>
      </c>
      <c r="H381" s="86">
        <v>45380147462</v>
      </c>
      <c r="I381" s="86">
        <v>46581928098</v>
      </c>
      <c r="J381" s="86">
        <v>48491854938</v>
      </c>
      <c r="K381" s="86">
        <v>46047713051</v>
      </c>
      <c r="L381" s="86">
        <v>46235377683</v>
      </c>
      <c r="M381" s="86">
        <v>47018656810</v>
      </c>
      <c r="N381" s="86">
        <v>48265446166</v>
      </c>
      <c r="O381" s="86">
        <v>51929376910</v>
      </c>
      <c r="P381" s="86">
        <v>52292679001</v>
      </c>
      <c r="Q381" s="86">
        <v>52495389930</v>
      </c>
      <c r="R381" s="86">
        <v>53848411318</v>
      </c>
      <c r="S381" s="86">
        <v>57899413008</v>
      </c>
      <c r="T381" s="86">
        <v>57543549996</v>
      </c>
      <c r="U381" s="86">
        <v>58118863931</v>
      </c>
      <c r="V381" s="86">
        <v>59828807504</v>
      </c>
      <c r="W381" s="86">
        <v>60622665924</v>
      </c>
      <c r="X381" s="86">
        <v>61558341383</v>
      </c>
      <c r="Y381" s="86">
        <v>61622966023</v>
      </c>
      <c r="Z381" s="86">
        <v>63179710081</v>
      </c>
      <c r="AA381" s="86">
        <v>62666005843</v>
      </c>
      <c r="AB381" s="86">
        <v>63567053814</v>
      </c>
      <c r="AC381" s="86">
        <v>63136589442</v>
      </c>
      <c r="AD381" s="86">
        <v>64270265550</v>
      </c>
      <c r="AE381" s="86">
        <v>67871144757</v>
      </c>
      <c r="AF381" s="86">
        <v>67786473505</v>
      </c>
      <c r="AG381" s="86">
        <v>69312577476</v>
      </c>
      <c r="AH381" s="86">
        <v>71248505184</v>
      </c>
    </row>
    <row r="382" spans="2:34" ht="15">
      <c r="B382" s="50" t="s">
        <v>2014</v>
      </c>
      <c r="C382" s="1275" t="s">
        <v>2014</v>
      </c>
      <c r="D382" s="86">
        <v>0</v>
      </c>
      <c r="E382" s="86">
        <v>0</v>
      </c>
      <c r="F382" s="86"/>
      <c r="G382" s="86">
        <v>0</v>
      </c>
      <c r="H382" s="86">
        <v>0</v>
      </c>
      <c r="I382" s="86">
        <v>0</v>
      </c>
      <c r="J382" s="86">
        <v>0</v>
      </c>
      <c r="K382" s="86">
        <v>0</v>
      </c>
      <c r="L382" s="86">
        <v>0</v>
      </c>
      <c r="M382" s="85">
        <v>0</v>
      </c>
      <c r="N382" s="85">
        <v>0</v>
      </c>
      <c r="O382" s="85">
        <v>0</v>
      </c>
      <c r="P382" s="85">
        <v>0</v>
      </c>
      <c r="Q382" s="85">
        <v>0</v>
      </c>
      <c r="R382" s="85">
        <v>0</v>
      </c>
      <c r="S382" s="85">
        <v>0</v>
      </c>
      <c r="T382" s="85">
        <v>0</v>
      </c>
      <c r="U382" s="85">
        <v>0</v>
      </c>
      <c r="V382" s="85">
        <v>0</v>
      </c>
      <c r="W382" s="85">
        <v>0</v>
      </c>
      <c r="X382" s="85">
        <v>0</v>
      </c>
      <c r="Y382" s="85">
        <v>0</v>
      </c>
      <c r="Z382" s="85">
        <v>0</v>
      </c>
      <c r="AA382" s="85">
        <v>0</v>
      </c>
      <c r="AB382" s="85">
        <v>0</v>
      </c>
      <c r="AC382" s="85">
        <v>0</v>
      </c>
      <c r="AD382" s="85">
        <v>0</v>
      </c>
      <c r="AE382" s="85">
        <v>0</v>
      </c>
      <c r="AF382" s="85">
        <v>0</v>
      </c>
      <c r="AG382" s="85">
        <v>0</v>
      </c>
      <c r="AH382" s="85">
        <v>0</v>
      </c>
    </row>
    <row r="383" spans="2:34" ht="15">
      <c r="B383" s="50" t="s">
        <v>2015</v>
      </c>
      <c r="C383" s="1275" t="s">
        <v>2015</v>
      </c>
      <c r="D383" s="86">
        <v>0</v>
      </c>
      <c r="E383" s="86">
        <v>0</v>
      </c>
      <c r="F383" s="86"/>
      <c r="G383" s="86">
        <v>0</v>
      </c>
      <c r="H383" s="86">
        <v>0</v>
      </c>
      <c r="I383" s="86">
        <v>0</v>
      </c>
      <c r="J383" s="86">
        <v>0</v>
      </c>
      <c r="K383" s="86">
        <v>0</v>
      </c>
      <c r="L383" s="86">
        <v>0</v>
      </c>
      <c r="M383" s="85">
        <v>0</v>
      </c>
      <c r="N383" s="85">
        <v>0</v>
      </c>
      <c r="O383" s="85">
        <v>0</v>
      </c>
      <c r="P383" s="85">
        <v>0</v>
      </c>
      <c r="Q383" s="85">
        <v>0</v>
      </c>
      <c r="R383" s="85">
        <v>0</v>
      </c>
      <c r="S383" s="85">
        <v>0</v>
      </c>
      <c r="T383" s="85">
        <v>0</v>
      </c>
      <c r="U383" s="85">
        <v>0</v>
      </c>
      <c r="V383" s="85">
        <v>0</v>
      </c>
      <c r="W383" s="85">
        <v>0</v>
      </c>
      <c r="X383" s="85">
        <v>0</v>
      </c>
      <c r="Y383" s="85">
        <v>0</v>
      </c>
      <c r="Z383" s="85">
        <v>0</v>
      </c>
      <c r="AA383" s="85">
        <v>0</v>
      </c>
      <c r="AB383" s="85">
        <v>0</v>
      </c>
      <c r="AC383" s="85">
        <v>0</v>
      </c>
      <c r="AD383" s="85">
        <v>0</v>
      </c>
      <c r="AE383" s="85">
        <v>0</v>
      </c>
      <c r="AF383" s="85">
        <v>0</v>
      </c>
      <c r="AG383" s="85">
        <v>0</v>
      </c>
      <c r="AH383" s="85">
        <v>0</v>
      </c>
    </row>
    <row r="384" spans="2:34">
      <c r="B384" s="50" t="s">
        <v>2016</v>
      </c>
      <c r="C384" s="1275" t="s">
        <v>2016</v>
      </c>
      <c r="D384" s="86">
        <v>33691368062</v>
      </c>
      <c r="E384" s="86">
        <v>35824691498</v>
      </c>
      <c r="F384" s="86"/>
      <c r="G384" s="86">
        <v>38980993198</v>
      </c>
      <c r="H384" s="86">
        <v>40127605216</v>
      </c>
      <c r="I384" s="86">
        <v>38347436981</v>
      </c>
      <c r="J384" s="86">
        <v>39951053342</v>
      </c>
      <c r="K384" s="86">
        <v>39223957919</v>
      </c>
      <c r="L384" s="86">
        <v>37411061686</v>
      </c>
      <c r="M384" s="86">
        <v>36483501806</v>
      </c>
      <c r="N384" s="86">
        <v>43120570758</v>
      </c>
      <c r="O384" s="86">
        <v>42213051583</v>
      </c>
      <c r="P384" s="86">
        <v>41014475019</v>
      </c>
      <c r="Q384" s="86">
        <v>45029721095</v>
      </c>
      <c r="R384" s="86">
        <v>44495551297</v>
      </c>
      <c r="S384" s="86">
        <v>43495084912</v>
      </c>
      <c r="T384" s="86">
        <v>44182951365</v>
      </c>
      <c r="U384" s="86">
        <v>49872568381</v>
      </c>
      <c r="V384" s="86">
        <v>49355994468</v>
      </c>
      <c r="W384" s="86">
        <v>54706397795</v>
      </c>
      <c r="X384" s="86">
        <v>56403715127</v>
      </c>
      <c r="Y384" s="86">
        <v>57300157792</v>
      </c>
      <c r="Z384" s="86">
        <v>56601712109</v>
      </c>
      <c r="AA384" s="86">
        <v>62605469268</v>
      </c>
      <c r="AB384" s="86">
        <v>61423020409</v>
      </c>
      <c r="AC384" s="86">
        <v>60735662946</v>
      </c>
      <c r="AD384" s="86">
        <v>61780318506</v>
      </c>
      <c r="AE384" s="86">
        <v>65960437429</v>
      </c>
      <c r="AF384" s="86">
        <v>63640366677</v>
      </c>
      <c r="AG384" s="86">
        <v>63143836568</v>
      </c>
      <c r="AH384" s="86">
        <v>62818619469</v>
      </c>
    </row>
    <row r="385" spans="2:34">
      <c r="B385" s="51" t="s">
        <v>2017</v>
      </c>
      <c r="C385" s="1275" t="s">
        <v>2017</v>
      </c>
      <c r="D385" s="86">
        <v>33691368062</v>
      </c>
      <c r="E385" s="86">
        <v>35824691498</v>
      </c>
      <c r="F385" s="86"/>
      <c r="G385" s="86">
        <v>38980993198</v>
      </c>
      <c r="H385" s="86">
        <v>40127605216</v>
      </c>
      <c r="I385" s="86">
        <v>38347436981</v>
      </c>
      <c r="J385" s="86">
        <v>39951053342</v>
      </c>
      <c r="K385" s="86">
        <v>39223957919</v>
      </c>
      <c r="L385" s="86">
        <v>37411061686</v>
      </c>
      <c r="M385" s="86">
        <v>36483501806</v>
      </c>
      <c r="N385" s="86">
        <v>43120570758</v>
      </c>
      <c r="O385" s="86">
        <v>42213051583</v>
      </c>
      <c r="P385" s="86">
        <v>41014475019</v>
      </c>
      <c r="Q385" s="86">
        <v>45029721095</v>
      </c>
      <c r="R385" s="86">
        <v>44495551297</v>
      </c>
      <c r="S385" s="86">
        <v>43495084912</v>
      </c>
      <c r="T385" s="86">
        <v>44182951365</v>
      </c>
      <c r="U385" s="86">
        <v>49872568381</v>
      </c>
      <c r="V385" s="86">
        <v>49355994468</v>
      </c>
      <c r="W385" s="86">
        <v>54706397795</v>
      </c>
      <c r="X385" s="86">
        <v>56403715127</v>
      </c>
      <c r="Y385" s="86">
        <v>57300157792</v>
      </c>
      <c r="Z385" s="86">
        <v>56601712109</v>
      </c>
      <c r="AA385" s="86">
        <v>62605469268</v>
      </c>
      <c r="AB385" s="86">
        <v>61423020409</v>
      </c>
      <c r="AC385" s="86">
        <v>60735662946</v>
      </c>
      <c r="AD385" s="86">
        <v>61733258777</v>
      </c>
      <c r="AE385" s="86">
        <v>65913377700</v>
      </c>
      <c r="AF385" s="86">
        <v>63593838848</v>
      </c>
      <c r="AG385" s="86">
        <v>63097308739</v>
      </c>
      <c r="AH385" s="86">
        <v>62772091640</v>
      </c>
    </row>
    <row r="386" spans="2:34" ht="15">
      <c r="B386" s="51" t="s">
        <v>2018</v>
      </c>
      <c r="C386" s="1275" t="s">
        <v>2018</v>
      </c>
      <c r="D386" s="86">
        <v>0</v>
      </c>
      <c r="E386" s="86">
        <v>0</v>
      </c>
      <c r="F386" s="86"/>
      <c r="G386" s="86">
        <v>0</v>
      </c>
      <c r="H386" s="86">
        <v>0</v>
      </c>
      <c r="I386" s="86">
        <v>0</v>
      </c>
      <c r="J386" s="86">
        <v>0</v>
      </c>
      <c r="K386" s="86">
        <v>0</v>
      </c>
      <c r="L386" s="86">
        <v>0</v>
      </c>
      <c r="M386" s="85">
        <v>0</v>
      </c>
      <c r="N386" s="85">
        <v>0</v>
      </c>
      <c r="O386" s="85">
        <v>0</v>
      </c>
      <c r="P386" s="85">
        <v>0</v>
      </c>
      <c r="Q386" s="85">
        <v>0</v>
      </c>
      <c r="R386" s="85">
        <v>0</v>
      </c>
      <c r="S386" s="85">
        <v>0</v>
      </c>
      <c r="T386" s="85">
        <v>0</v>
      </c>
      <c r="U386" s="85">
        <v>0</v>
      </c>
      <c r="V386" s="85">
        <v>0</v>
      </c>
      <c r="W386" s="85">
        <v>0</v>
      </c>
      <c r="X386" s="85">
        <v>0</v>
      </c>
      <c r="Y386" s="85">
        <v>0</v>
      </c>
      <c r="Z386" s="85">
        <v>0</v>
      </c>
      <c r="AA386" s="85">
        <v>0</v>
      </c>
      <c r="AB386" s="85">
        <v>0</v>
      </c>
      <c r="AC386" s="85">
        <v>0</v>
      </c>
      <c r="AD386" s="85">
        <v>47059729</v>
      </c>
      <c r="AE386" s="85">
        <v>47059729</v>
      </c>
      <c r="AF386" s="85">
        <v>46527829</v>
      </c>
      <c r="AG386" s="85">
        <v>46527829</v>
      </c>
      <c r="AH386" s="85">
        <v>46527829</v>
      </c>
    </row>
    <row r="387" spans="2:34">
      <c r="B387" s="49" t="s">
        <v>2019</v>
      </c>
      <c r="C387" s="1275" t="s">
        <v>2019</v>
      </c>
      <c r="D387" s="86">
        <v>4269578963</v>
      </c>
      <c r="E387" s="86">
        <v>4123510938</v>
      </c>
      <c r="F387" s="86"/>
      <c r="G387" s="86">
        <v>10544327877</v>
      </c>
      <c r="H387" s="86">
        <v>10447121666</v>
      </c>
      <c r="I387" s="86">
        <v>10443020111</v>
      </c>
      <c r="J387" s="86">
        <v>10514362242</v>
      </c>
      <c r="K387" s="86">
        <v>5090295977</v>
      </c>
      <c r="L387" s="86">
        <v>4918614428</v>
      </c>
      <c r="M387" s="86">
        <v>4889685681</v>
      </c>
      <c r="N387" s="86">
        <v>4822754718</v>
      </c>
      <c r="O387" s="86">
        <v>5935926383</v>
      </c>
      <c r="P387" s="86">
        <v>5728680083</v>
      </c>
      <c r="Q387" s="86">
        <v>5707127413</v>
      </c>
      <c r="R387" s="86">
        <v>5666394104</v>
      </c>
      <c r="S387" s="86">
        <v>6480539876</v>
      </c>
      <c r="T387" s="86">
        <v>5975950997</v>
      </c>
      <c r="U387" s="86">
        <v>5925647004</v>
      </c>
      <c r="V387" s="86">
        <v>43353081833</v>
      </c>
      <c r="W387" s="86">
        <v>41746933735</v>
      </c>
      <c r="X387" s="86">
        <v>41537527564</v>
      </c>
      <c r="Y387" s="86">
        <v>41263378373</v>
      </c>
      <c r="Z387" s="86">
        <v>41286047978</v>
      </c>
      <c r="AA387" s="86">
        <v>42139131083</v>
      </c>
      <c r="AB387" s="86">
        <v>42698680844</v>
      </c>
      <c r="AC387" s="86">
        <v>43209182545</v>
      </c>
      <c r="AD387" s="86">
        <v>43735689447</v>
      </c>
      <c r="AE387" s="86">
        <v>46385314828</v>
      </c>
      <c r="AF387" s="86">
        <v>45949725569</v>
      </c>
      <c r="AG387" s="86">
        <v>45703490425</v>
      </c>
      <c r="AH387" s="86">
        <v>46045146731</v>
      </c>
    </row>
    <row r="388" spans="2:34" ht="15">
      <c r="B388" s="50" t="s">
        <v>2020</v>
      </c>
      <c r="C388" s="1275" t="s">
        <v>2020</v>
      </c>
      <c r="D388" s="86">
        <v>0</v>
      </c>
      <c r="E388" s="86">
        <v>0</v>
      </c>
      <c r="F388" s="86"/>
      <c r="G388" s="86">
        <v>6354133867</v>
      </c>
      <c r="H388" s="86">
        <v>5131302596</v>
      </c>
      <c r="I388" s="86">
        <v>5101567521</v>
      </c>
      <c r="J388" s="86">
        <v>5071312895</v>
      </c>
      <c r="K388" s="86">
        <v>33116592</v>
      </c>
      <c r="L388" s="86">
        <v>33002068</v>
      </c>
      <c r="M388" s="85">
        <v>32884587</v>
      </c>
      <c r="N388" s="85">
        <v>32764068</v>
      </c>
      <c r="O388" s="85">
        <v>32641765</v>
      </c>
      <c r="P388" s="85">
        <v>32520370</v>
      </c>
      <c r="Q388" s="85">
        <v>32395840</v>
      </c>
      <c r="R388" s="85">
        <v>32268089</v>
      </c>
      <c r="S388" s="85">
        <v>32138448</v>
      </c>
      <c r="T388" s="85">
        <v>32008329</v>
      </c>
      <c r="U388" s="85">
        <v>31876307</v>
      </c>
      <c r="V388" s="85">
        <v>31740869</v>
      </c>
      <c r="W388" s="85">
        <v>31603428</v>
      </c>
      <c r="X388" s="85">
        <v>31467007</v>
      </c>
      <c r="Y388" s="85">
        <v>0</v>
      </c>
      <c r="Z388" s="85">
        <v>0</v>
      </c>
      <c r="AA388" s="85">
        <v>0</v>
      </c>
      <c r="AB388" s="85">
        <v>378620363</v>
      </c>
      <c r="AC388" s="85">
        <v>997107278</v>
      </c>
      <c r="AD388" s="85">
        <v>1435526037</v>
      </c>
      <c r="AE388" s="85">
        <v>2077953797</v>
      </c>
      <c r="AF388" s="85">
        <v>1564015161</v>
      </c>
      <c r="AG388" s="85">
        <v>1444368035</v>
      </c>
      <c r="AH388" s="85">
        <v>1805095374</v>
      </c>
    </row>
    <row r="389" spans="2:34">
      <c r="B389" s="50" t="s">
        <v>2021</v>
      </c>
      <c r="C389" s="1275" t="s">
        <v>2021</v>
      </c>
      <c r="D389" s="86">
        <v>4269578963</v>
      </c>
      <c r="E389" s="86">
        <v>4123510938</v>
      </c>
      <c r="F389" s="86"/>
      <c r="G389" s="86">
        <v>4190194010</v>
      </c>
      <c r="H389" s="86">
        <v>5315819070</v>
      </c>
      <c r="I389" s="86">
        <v>5341452590</v>
      </c>
      <c r="J389" s="86">
        <v>5443049347</v>
      </c>
      <c r="K389" s="86">
        <v>5057179385</v>
      </c>
      <c r="L389" s="86">
        <v>4885612360</v>
      </c>
      <c r="M389" s="86">
        <v>4856801094</v>
      </c>
      <c r="N389" s="86">
        <v>4789990650</v>
      </c>
      <c r="O389" s="86">
        <v>5903284618</v>
      </c>
      <c r="P389" s="86">
        <v>5696159713</v>
      </c>
      <c r="Q389" s="86">
        <v>5674731573</v>
      </c>
      <c r="R389" s="86">
        <v>5634126015</v>
      </c>
      <c r="S389" s="86">
        <v>6448401428</v>
      </c>
      <c r="T389" s="86">
        <v>5943942668</v>
      </c>
      <c r="U389" s="86">
        <v>5893770697</v>
      </c>
      <c r="V389" s="86">
        <v>6185433518</v>
      </c>
      <c r="W389" s="86">
        <v>4579422861</v>
      </c>
      <c r="X389" s="86">
        <v>4370153111</v>
      </c>
      <c r="Y389" s="86">
        <v>4072853909</v>
      </c>
      <c r="Z389" s="86">
        <v>4150140532</v>
      </c>
      <c r="AA389" s="86">
        <v>5003223637</v>
      </c>
      <c r="AB389" s="86">
        <v>5077251627</v>
      </c>
      <c r="AC389" s="86">
        <v>5076167821</v>
      </c>
      <c r="AD389" s="86">
        <v>5164255964</v>
      </c>
      <c r="AE389" s="86">
        <v>7171453585</v>
      </c>
      <c r="AF389" s="86">
        <v>7249802962</v>
      </c>
      <c r="AG389" s="86">
        <v>7123214944</v>
      </c>
      <c r="AH389" s="86">
        <v>7104143911</v>
      </c>
    </row>
    <row r="390" spans="2:34" ht="15">
      <c r="B390" s="50" t="s">
        <v>2022</v>
      </c>
      <c r="C390" s="1275" t="s">
        <v>2022</v>
      </c>
      <c r="D390" s="86">
        <v>0</v>
      </c>
      <c r="E390" s="86">
        <v>0</v>
      </c>
      <c r="F390" s="86"/>
      <c r="G390" s="86">
        <v>0</v>
      </c>
      <c r="H390" s="86">
        <v>0</v>
      </c>
      <c r="I390" s="86">
        <v>0</v>
      </c>
      <c r="J390" s="86">
        <v>0</v>
      </c>
      <c r="K390" s="86">
        <v>0</v>
      </c>
      <c r="L390" s="86">
        <v>0</v>
      </c>
      <c r="M390" s="85">
        <v>0</v>
      </c>
      <c r="N390" s="85">
        <v>0</v>
      </c>
      <c r="O390" s="85">
        <v>0</v>
      </c>
      <c r="P390" s="85">
        <v>0</v>
      </c>
      <c r="Q390" s="85">
        <v>0</v>
      </c>
      <c r="R390" s="85">
        <v>0</v>
      </c>
      <c r="S390" s="85">
        <v>0</v>
      </c>
      <c r="T390" s="85">
        <v>0</v>
      </c>
      <c r="U390" s="85">
        <v>0</v>
      </c>
      <c r="V390" s="85">
        <v>0</v>
      </c>
      <c r="W390" s="85">
        <v>0</v>
      </c>
      <c r="X390" s="85">
        <v>0</v>
      </c>
      <c r="Y390" s="85">
        <v>0</v>
      </c>
      <c r="Z390" s="85">
        <v>0</v>
      </c>
      <c r="AA390" s="85">
        <v>0</v>
      </c>
      <c r="AB390" s="85">
        <v>0</v>
      </c>
      <c r="AC390" s="85">
        <v>0</v>
      </c>
      <c r="AD390" s="85">
        <v>0</v>
      </c>
      <c r="AE390" s="85">
        <v>0</v>
      </c>
      <c r="AF390" s="85">
        <v>0</v>
      </c>
      <c r="AG390" s="85">
        <v>0</v>
      </c>
      <c r="AH390" s="85">
        <v>0</v>
      </c>
    </row>
    <row r="391" spans="2:34" ht="15">
      <c r="B391" s="50" t="s">
        <v>2023</v>
      </c>
      <c r="C391" s="1275" t="s">
        <v>2023</v>
      </c>
      <c r="D391" s="86">
        <v>0</v>
      </c>
      <c r="E391" s="86">
        <v>0</v>
      </c>
      <c r="F391" s="86"/>
      <c r="G391" s="86">
        <v>0</v>
      </c>
      <c r="H391" s="86">
        <v>0</v>
      </c>
      <c r="I391" s="86">
        <v>0</v>
      </c>
      <c r="J391" s="86">
        <v>0</v>
      </c>
      <c r="K391" s="86">
        <v>0</v>
      </c>
      <c r="L391" s="86">
        <v>0</v>
      </c>
      <c r="M391" s="85">
        <v>0</v>
      </c>
      <c r="N391" s="85">
        <v>0</v>
      </c>
      <c r="O391" s="85">
        <v>0</v>
      </c>
      <c r="P391" s="85">
        <v>0</v>
      </c>
      <c r="Q391" s="85">
        <v>0</v>
      </c>
      <c r="R391" s="85">
        <v>0</v>
      </c>
      <c r="S391" s="85">
        <v>0</v>
      </c>
      <c r="T391" s="85">
        <v>0</v>
      </c>
      <c r="U391" s="85">
        <v>0</v>
      </c>
      <c r="V391" s="85">
        <v>0</v>
      </c>
      <c r="W391" s="85">
        <v>0</v>
      </c>
      <c r="X391" s="85">
        <v>0</v>
      </c>
      <c r="Y391" s="85">
        <v>0</v>
      </c>
      <c r="Z391" s="85">
        <v>0</v>
      </c>
      <c r="AA391" s="85">
        <v>0</v>
      </c>
      <c r="AB391" s="85">
        <v>0</v>
      </c>
      <c r="AC391" s="85">
        <v>0</v>
      </c>
      <c r="AD391" s="85">
        <v>0</v>
      </c>
      <c r="AE391" s="85">
        <v>0</v>
      </c>
      <c r="AF391" s="85">
        <v>0</v>
      </c>
      <c r="AG391" s="85">
        <v>0</v>
      </c>
      <c r="AH391" s="85">
        <v>0</v>
      </c>
    </row>
    <row r="392" spans="2:34">
      <c r="B392" s="50" t="s">
        <v>1830</v>
      </c>
      <c r="C392" s="1275" t="s">
        <v>1830</v>
      </c>
      <c r="D392" s="86">
        <v>0</v>
      </c>
      <c r="E392" s="86">
        <v>0</v>
      </c>
      <c r="F392" s="86"/>
      <c r="G392" s="86">
        <v>0</v>
      </c>
      <c r="H392" s="86">
        <v>0</v>
      </c>
      <c r="I392" s="86">
        <v>0</v>
      </c>
      <c r="J392" s="86">
        <v>0</v>
      </c>
      <c r="K392" s="86">
        <v>0</v>
      </c>
      <c r="L392" s="86">
        <v>0</v>
      </c>
      <c r="M392" s="86">
        <v>0</v>
      </c>
      <c r="N392" s="86">
        <v>0</v>
      </c>
      <c r="O392" s="86">
        <v>0</v>
      </c>
      <c r="P392" s="86">
        <v>0</v>
      </c>
      <c r="Q392" s="86">
        <v>0</v>
      </c>
      <c r="R392" s="86">
        <v>0</v>
      </c>
      <c r="S392" s="86">
        <v>0</v>
      </c>
      <c r="T392" s="86">
        <v>0</v>
      </c>
      <c r="U392" s="86">
        <v>0</v>
      </c>
      <c r="V392" s="86">
        <v>37135907446</v>
      </c>
      <c r="W392" s="86">
        <v>37135907446</v>
      </c>
      <c r="X392" s="86">
        <v>37135907446</v>
      </c>
      <c r="Y392" s="86">
        <v>37190524464</v>
      </c>
      <c r="Z392" s="86">
        <v>37135907446</v>
      </c>
      <c r="AA392" s="86">
        <v>37135907446</v>
      </c>
      <c r="AB392" s="86">
        <v>37242808854</v>
      </c>
      <c r="AC392" s="86">
        <v>37135907446</v>
      </c>
      <c r="AD392" s="86">
        <v>37135907446</v>
      </c>
      <c r="AE392" s="86">
        <v>37135907446</v>
      </c>
      <c r="AF392" s="86">
        <v>37135907446</v>
      </c>
      <c r="AG392" s="86">
        <v>37135907446</v>
      </c>
      <c r="AH392" s="86">
        <v>37135907446</v>
      </c>
    </row>
    <row r="393" spans="2:34" ht="15">
      <c r="B393" s="49" t="s">
        <v>2024</v>
      </c>
      <c r="C393" s="1275" t="s">
        <v>2024</v>
      </c>
      <c r="D393" s="86">
        <v>0</v>
      </c>
      <c r="E393" s="86">
        <v>0</v>
      </c>
      <c r="F393" s="86"/>
      <c r="G393" s="86">
        <v>0</v>
      </c>
      <c r="H393" s="86">
        <v>0</v>
      </c>
      <c r="I393" s="86">
        <v>0</v>
      </c>
      <c r="J393" s="86">
        <v>0</v>
      </c>
      <c r="K393" s="86">
        <v>0</v>
      </c>
      <c r="L393" s="86">
        <v>0</v>
      </c>
      <c r="M393" s="85">
        <v>0</v>
      </c>
      <c r="N393" s="85">
        <v>0</v>
      </c>
      <c r="O393" s="85">
        <v>0</v>
      </c>
      <c r="P393" s="85">
        <v>0</v>
      </c>
      <c r="Q393" s="85">
        <v>0</v>
      </c>
      <c r="R393" s="85">
        <v>0</v>
      </c>
      <c r="S393" s="85">
        <v>0</v>
      </c>
      <c r="T393" s="85">
        <v>0</v>
      </c>
      <c r="U393" s="85">
        <v>0</v>
      </c>
      <c r="V393" s="85">
        <v>0</v>
      </c>
      <c r="W393" s="85">
        <v>0</v>
      </c>
      <c r="X393" s="85">
        <v>0</v>
      </c>
      <c r="Y393" s="85">
        <v>0</v>
      </c>
      <c r="Z393" s="85">
        <v>0</v>
      </c>
      <c r="AA393" s="85">
        <v>0</v>
      </c>
      <c r="AB393" s="85">
        <v>0</v>
      </c>
      <c r="AC393" s="85">
        <v>0</v>
      </c>
      <c r="AD393" s="85">
        <v>0</v>
      </c>
      <c r="AE393" s="85">
        <v>0</v>
      </c>
      <c r="AF393" s="85">
        <v>0</v>
      </c>
      <c r="AG393" s="85">
        <v>0</v>
      </c>
      <c r="AH393" s="85">
        <v>0</v>
      </c>
    </row>
    <row r="394" spans="2:34" ht="15">
      <c r="B394" s="49" t="s">
        <v>2025</v>
      </c>
      <c r="C394" s="1275" t="s">
        <v>2025</v>
      </c>
      <c r="D394" s="86">
        <v>0</v>
      </c>
      <c r="E394" s="86">
        <v>0</v>
      </c>
      <c r="F394" s="86"/>
      <c r="G394" s="86">
        <v>0</v>
      </c>
      <c r="H394" s="86">
        <v>0</v>
      </c>
      <c r="I394" s="86">
        <v>0</v>
      </c>
      <c r="J394" s="86">
        <v>0</v>
      </c>
      <c r="K394" s="86">
        <v>0</v>
      </c>
      <c r="L394" s="86">
        <v>60044871600</v>
      </c>
      <c r="M394" s="85">
        <v>0</v>
      </c>
      <c r="N394" s="85">
        <v>0</v>
      </c>
      <c r="O394" s="85">
        <v>0</v>
      </c>
      <c r="P394" s="85">
        <v>160119657600</v>
      </c>
      <c r="Q394" s="85">
        <v>0</v>
      </c>
      <c r="R394" s="85">
        <v>0</v>
      </c>
      <c r="S394" s="85">
        <v>0</v>
      </c>
      <c r="T394" s="85">
        <v>0</v>
      </c>
      <c r="U394" s="85">
        <v>0</v>
      </c>
      <c r="V394" s="85">
        <v>0</v>
      </c>
      <c r="W394" s="85">
        <v>0</v>
      </c>
      <c r="X394" s="85">
        <v>120205476000</v>
      </c>
      <c r="Y394" s="85">
        <v>0</v>
      </c>
      <c r="Z394" s="85">
        <v>0</v>
      </c>
      <c r="AA394" s="85">
        <v>0</v>
      </c>
      <c r="AB394" s="85">
        <v>0</v>
      </c>
      <c r="AC394" s="85">
        <v>0</v>
      </c>
      <c r="AD394" s="85">
        <v>0</v>
      </c>
      <c r="AE394" s="85">
        <v>0</v>
      </c>
      <c r="AF394" s="85">
        <v>180308214000</v>
      </c>
      <c r="AG394" s="85">
        <v>0</v>
      </c>
      <c r="AH394" s="85">
        <v>0</v>
      </c>
    </row>
    <row r="395" spans="2:34">
      <c r="B395" s="49" t="s">
        <v>2026</v>
      </c>
      <c r="C395" s="1275" t="s">
        <v>2026</v>
      </c>
      <c r="D395" s="86">
        <v>441847385750</v>
      </c>
      <c r="E395" s="86">
        <v>816988397854</v>
      </c>
      <c r="F395" s="86"/>
      <c r="G395" s="86">
        <v>433599318579</v>
      </c>
      <c r="H395" s="86">
        <v>498456107998</v>
      </c>
      <c r="I395" s="86">
        <v>840228807010</v>
      </c>
      <c r="J395" s="86">
        <v>666162015764</v>
      </c>
      <c r="K395" s="86">
        <v>394237605146</v>
      </c>
      <c r="L395" s="86">
        <v>526470474209</v>
      </c>
      <c r="M395" s="86">
        <v>449818818765</v>
      </c>
      <c r="N395" s="86">
        <v>629411561338</v>
      </c>
      <c r="O395" s="86">
        <v>332674167334</v>
      </c>
      <c r="P395" s="86">
        <v>675671014319</v>
      </c>
      <c r="Q395" s="86">
        <v>645858394613</v>
      </c>
      <c r="R395" s="86">
        <v>696819426879</v>
      </c>
      <c r="S395" s="86">
        <v>416998566969</v>
      </c>
      <c r="T395" s="86">
        <v>714526167033</v>
      </c>
      <c r="U395" s="86">
        <v>656859517079</v>
      </c>
      <c r="V395" s="86">
        <v>913160154971</v>
      </c>
      <c r="W395" s="86">
        <v>362024925685</v>
      </c>
      <c r="X395" s="86">
        <v>945852508061</v>
      </c>
      <c r="Y395" s="86">
        <v>880044103436</v>
      </c>
      <c r="Z395" s="86">
        <v>682528795859</v>
      </c>
      <c r="AA395" s="86">
        <v>795338235653</v>
      </c>
      <c r="AB395" s="86">
        <v>1176461460947</v>
      </c>
      <c r="AC395" s="86">
        <v>678442373800</v>
      </c>
      <c r="AD395" s="86">
        <v>873799810053</v>
      </c>
      <c r="AE395" s="86">
        <v>865036911731</v>
      </c>
      <c r="AF395" s="86">
        <v>2564109340241</v>
      </c>
      <c r="AG395" s="86">
        <v>4415893199986</v>
      </c>
      <c r="AH395" s="86">
        <v>1446591881176</v>
      </c>
    </row>
    <row r="396" spans="2:34">
      <c r="B396" s="49" t="s">
        <v>2027</v>
      </c>
      <c r="C396" s="1275" t="s">
        <v>2027</v>
      </c>
      <c r="D396" s="86">
        <v>93464058006</v>
      </c>
      <c r="E396" s="86">
        <v>48354158688</v>
      </c>
      <c r="F396" s="86"/>
      <c r="G396" s="86">
        <v>66629870116</v>
      </c>
      <c r="H396" s="86">
        <v>70560550537</v>
      </c>
      <c r="I396" s="86">
        <v>59640119660</v>
      </c>
      <c r="J396" s="86">
        <v>57173650330</v>
      </c>
      <c r="K396" s="86">
        <v>53671066779</v>
      </c>
      <c r="L396" s="86">
        <v>46255434415</v>
      </c>
      <c r="M396" s="86">
        <v>54136721750</v>
      </c>
      <c r="N396" s="86">
        <v>67316650399</v>
      </c>
      <c r="O396" s="86">
        <v>84397654398</v>
      </c>
      <c r="P396" s="86">
        <v>70086882520</v>
      </c>
      <c r="Q396" s="86">
        <v>95883410384</v>
      </c>
      <c r="R396" s="86">
        <v>95140659775</v>
      </c>
      <c r="S396" s="86">
        <v>117661414598</v>
      </c>
      <c r="T396" s="86">
        <v>75687040399</v>
      </c>
      <c r="U396" s="86">
        <v>92369100158</v>
      </c>
      <c r="V396" s="86">
        <v>108612497174</v>
      </c>
      <c r="W396" s="86">
        <v>130474559472</v>
      </c>
      <c r="X396" s="86">
        <v>97268982206</v>
      </c>
      <c r="Y396" s="86">
        <v>120166453218</v>
      </c>
      <c r="Z396" s="86">
        <v>147200342000</v>
      </c>
      <c r="AA396" s="86">
        <v>247452594297</v>
      </c>
      <c r="AB396" s="86">
        <v>163991587160</v>
      </c>
      <c r="AC396" s="86">
        <v>182555720175</v>
      </c>
      <c r="AD396" s="86">
        <v>213004364390</v>
      </c>
      <c r="AE396" s="86">
        <v>263152567976</v>
      </c>
      <c r="AF396" s="86">
        <v>227835562675</v>
      </c>
      <c r="AG396" s="86">
        <v>260867401947</v>
      </c>
      <c r="AH396" s="86">
        <v>285837441083</v>
      </c>
    </row>
    <row r="397" spans="2:34">
      <c r="B397" s="49" t="s">
        <v>2028</v>
      </c>
      <c r="C397" s="1275" t="s">
        <v>2028</v>
      </c>
      <c r="D397" s="86">
        <v>9813697696</v>
      </c>
      <c r="E397" s="86">
        <v>9997085856</v>
      </c>
      <c r="F397" s="86"/>
      <c r="G397" s="86">
        <v>8422970635</v>
      </c>
      <c r="H397" s="86">
        <v>8459032330</v>
      </c>
      <c r="I397" s="86">
        <v>7735431215</v>
      </c>
      <c r="J397" s="86">
        <v>7995494975</v>
      </c>
      <c r="K397" s="86">
        <v>7979495495</v>
      </c>
      <c r="L397" s="86">
        <v>7894005090</v>
      </c>
      <c r="M397" s="86">
        <v>7776764568</v>
      </c>
      <c r="N397" s="86">
        <v>7767579721</v>
      </c>
      <c r="O397" s="86">
        <v>7591900421</v>
      </c>
      <c r="P397" s="86">
        <v>7567167280</v>
      </c>
      <c r="Q397" s="86">
        <v>7492425469</v>
      </c>
      <c r="R397" s="86">
        <v>7497997624</v>
      </c>
      <c r="S397" s="86">
        <v>7882691698</v>
      </c>
      <c r="T397" s="86">
        <v>7683796493</v>
      </c>
      <c r="U397" s="86">
        <v>7667846652</v>
      </c>
      <c r="V397" s="86">
        <v>7140994295</v>
      </c>
      <c r="W397" s="86">
        <v>6433302656</v>
      </c>
      <c r="X397" s="86">
        <v>5720731019</v>
      </c>
      <c r="Y397" s="86">
        <v>5737815514</v>
      </c>
      <c r="Z397" s="86">
        <v>5688570443</v>
      </c>
      <c r="AA397" s="86">
        <v>4980236326</v>
      </c>
      <c r="AB397" s="86">
        <v>4706432778</v>
      </c>
      <c r="AC397" s="86">
        <v>4698182182</v>
      </c>
      <c r="AD397" s="86">
        <v>4708519999</v>
      </c>
      <c r="AE397" s="86">
        <v>4374022601</v>
      </c>
      <c r="AF397" s="86">
        <v>3868930534</v>
      </c>
      <c r="AG397" s="86">
        <v>3880590598</v>
      </c>
      <c r="AH397" s="86">
        <v>3909539228</v>
      </c>
    </row>
    <row r="398" spans="2:34" ht="15">
      <c r="B398" s="49" t="s">
        <v>2029</v>
      </c>
      <c r="C398" s="1275" t="s">
        <v>2029</v>
      </c>
      <c r="D398" s="86">
        <v>0</v>
      </c>
      <c r="E398" s="86">
        <v>0</v>
      </c>
      <c r="F398" s="86"/>
      <c r="G398" s="86">
        <v>0</v>
      </c>
      <c r="H398" s="86">
        <v>0</v>
      </c>
      <c r="I398" s="86">
        <v>0</v>
      </c>
      <c r="J398" s="86">
        <v>0</v>
      </c>
      <c r="K398" s="86">
        <v>0</v>
      </c>
      <c r="L398" s="86">
        <v>0</v>
      </c>
      <c r="M398" s="85">
        <v>0</v>
      </c>
      <c r="N398" s="85">
        <v>0</v>
      </c>
      <c r="O398" s="85">
        <v>0</v>
      </c>
      <c r="P398" s="85">
        <v>0</v>
      </c>
      <c r="Q398" s="85">
        <v>0</v>
      </c>
      <c r="R398" s="85">
        <v>0</v>
      </c>
      <c r="S398" s="85">
        <v>0</v>
      </c>
      <c r="T398" s="85">
        <v>0</v>
      </c>
      <c r="U398" s="85">
        <v>0</v>
      </c>
      <c r="V398" s="85">
        <v>0</v>
      </c>
      <c r="W398" s="85">
        <v>0</v>
      </c>
      <c r="X398" s="85">
        <v>0</v>
      </c>
      <c r="Y398" s="85">
        <v>0</v>
      </c>
      <c r="Z398" s="85">
        <v>0</v>
      </c>
      <c r="AA398" s="85">
        <v>0</v>
      </c>
      <c r="AB398" s="85">
        <v>0</v>
      </c>
      <c r="AC398" s="85">
        <v>0</v>
      </c>
      <c r="AD398" s="85">
        <v>0</v>
      </c>
      <c r="AE398" s="85">
        <v>0</v>
      </c>
      <c r="AF398" s="85">
        <v>0</v>
      </c>
      <c r="AG398" s="85">
        <v>0</v>
      </c>
      <c r="AH398" s="85">
        <v>0</v>
      </c>
    </row>
    <row r="399" spans="2:34">
      <c r="B399" s="49" t="s">
        <v>2030</v>
      </c>
      <c r="C399" s="1275" t="s">
        <v>2030</v>
      </c>
      <c r="D399" s="86">
        <v>7846778179</v>
      </c>
      <c r="E399" s="86">
        <v>7637061082</v>
      </c>
      <c r="F399" s="86"/>
      <c r="G399" s="86">
        <v>4738043719</v>
      </c>
      <c r="H399" s="86">
        <v>10739608350</v>
      </c>
      <c r="I399" s="86">
        <v>6555850082</v>
      </c>
      <c r="J399" s="86">
        <v>5766592560</v>
      </c>
      <c r="K399" s="86">
        <v>7958028251</v>
      </c>
      <c r="L399" s="86">
        <v>9985998055</v>
      </c>
      <c r="M399" s="86">
        <v>9511207728</v>
      </c>
      <c r="N399" s="86">
        <v>13911958808</v>
      </c>
      <c r="O399" s="86">
        <v>11169261662</v>
      </c>
      <c r="P399" s="86">
        <v>7156261216</v>
      </c>
      <c r="Q399" s="86">
        <v>6123642096</v>
      </c>
      <c r="R399" s="86">
        <v>5430447030</v>
      </c>
      <c r="S399" s="86">
        <v>7261395563</v>
      </c>
      <c r="T399" s="86">
        <v>7477149486</v>
      </c>
      <c r="U399" s="86">
        <v>9235649353</v>
      </c>
      <c r="V399" s="86">
        <v>7547313543</v>
      </c>
      <c r="W399" s="86">
        <v>6914626812</v>
      </c>
      <c r="X399" s="86">
        <v>8795178657</v>
      </c>
      <c r="Y399" s="86">
        <v>9878020822</v>
      </c>
      <c r="Z399" s="86">
        <v>16726603787</v>
      </c>
      <c r="AA399" s="86">
        <v>17847901442</v>
      </c>
      <c r="AB399" s="86">
        <v>27314331466</v>
      </c>
      <c r="AC399" s="86">
        <v>40587093876</v>
      </c>
      <c r="AD399" s="86">
        <v>42379322054</v>
      </c>
      <c r="AE399" s="86">
        <v>53052374733</v>
      </c>
      <c r="AF399" s="86">
        <v>38508337280</v>
      </c>
      <c r="AG399" s="86">
        <v>36564209975</v>
      </c>
      <c r="AH399" s="86">
        <v>53504062531</v>
      </c>
    </row>
    <row r="400" spans="2:34" ht="15">
      <c r="B400" s="49" t="s">
        <v>2031</v>
      </c>
      <c r="C400" s="1275" t="s">
        <v>2031</v>
      </c>
      <c r="D400" s="86">
        <v>0</v>
      </c>
      <c r="E400" s="86">
        <v>0</v>
      </c>
      <c r="F400" s="86"/>
      <c r="G400" s="86">
        <v>0</v>
      </c>
      <c r="H400" s="86">
        <v>0</v>
      </c>
      <c r="I400" s="86">
        <v>0</v>
      </c>
      <c r="J400" s="86">
        <v>0</v>
      </c>
      <c r="K400" s="86">
        <v>0</v>
      </c>
      <c r="L400" s="86">
        <v>0</v>
      </c>
      <c r="M400" s="85">
        <v>0</v>
      </c>
      <c r="N400" s="85">
        <v>0</v>
      </c>
      <c r="O400" s="85">
        <v>0</v>
      </c>
      <c r="P400" s="85">
        <v>0</v>
      </c>
      <c r="Q400" s="85">
        <v>0</v>
      </c>
      <c r="R400" s="85">
        <v>0</v>
      </c>
      <c r="S400" s="85">
        <v>0</v>
      </c>
      <c r="T400" s="85">
        <v>0</v>
      </c>
      <c r="U400" s="85">
        <v>0</v>
      </c>
      <c r="V400" s="85">
        <v>0</v>
      </c>
      <c r="W400" s="85">
        <v>0</v>
      </c>
      <c r="X400" s="85">
        <v>0</v>
      </c>
      <c r="Y400" s="85">
        <v>0</v>
      </c>
      <c r="Z400" s="85">
        <v>0</v>
      </c>
      <c r="AA400" s="85">
        <v>0</v>
      </c>
      <c r="AB400" s="85">
        <v>0</v>
      </c>
      <c r="AC400" s="85">
        <v>0</v>
      </c>
      <c r="AD400" s="85">
        <v>0</v>
      </c>
      <c r="AE400" s="85">
        <v>0</v>
      </c>
      <c r="AF400" s="85">
        <v>0</v>
      </c>
      <c r="AG400" s="85">
        <v>0</v>
      </c>
      <c r="AH400" s="85">
        <v>0</v>
      </c>
    </row>
    <row r="401" spans="2:34">
      <c r="B401" s="49" t="s">
        <v>2032</v>
      </c>
      <c r="C401" s="1275" t="s">
        <v>2032</v>
      </c>
      <c r="D401" s="86">
        <v>0</v>
      </c>
      <c r="E401" s="86">
        <v>0</v>
      </c>
      <c r="F401" s="86"/>
      <c r="G401" s="86">
        <v>0</v>
      </c>
      <c r="H401" s="86">
        <v>0</v>
      </c>
      <c r="I401" s="86">
        <v>0</v>
      </c>
      <c r="J401" s="86">
        <v>0</v>
      </c>
      <c r="K401" s="86">
        <v>0</v>
      </c>
      <c r="L401" s="86">
        <v>0</v>
      </c>
      <c r="M401" s="86">
        <v>0</v>
      </c>
      <c r="N401" s="86">
        <v>0</v>
      </c>
      <c r="O401" s="86">
        <v>0</v>
      </c>
      <c r="P401" s="86">
        <v>0</v>
      </c>
      <c r="Q401" s="86">
        <v>0</v>
      </c>
      <c r="R401" s="86">
        <v>0</v>
      </c>
      <c r="S401" s="86">
        <v>0</v>
      </c>
      <c r="T401" s="86">
        <v>0</v>
      </c>
      <c r="U401" s="86">
        <v>0</v>
      </c>
      <c r="V401" s="86">
        <v>0</v>
      </c>
      <c r="W401" s="86">
        <v>0</v>
      </c>
      <c r="X401" s="86">
        <v>0</v>
      </c>
      <c r="Y401" s="86">
        <v>0</v>
      </c>
      <c r="Z401" s="86">
        <v>0</v>
      </c>
      <c r="AA401" s="86">
        <v>0</v>
      </c>
      <c r="AB401" s="86">
        <v>0</v>
      </c>
      <c r="AC401" s="86">
        <v>0</v>
      </c>
      <c r="AD401" s="86">
        <v>0</v>
      </c>
      <c r="AE401" s="86">
        <v>0</v>
      </c>
      <c r="AF401" s="86">
        <v>0</v>
      </c>
      <c r="AG401" s="86">
        <v>0</v>
      </c>
      <c r="AH401" s="86">
        <v>0</v>
      </c>
    </row>
    <row r="402" spans="2:34" ht="15">
      <c r="B402" s="49" t="s">
        <v>2033</v>
      </c>
      <c r="C402" s="1275" t="s">
        <v>2033</v>
      </c>
      <c r="D402" s="86">
        <v>0</v>
      </c>
      <c r="E402" s="86">
        <v>0</v>
      </c>
      <c r="F402" s="86"/>
      <c r="G402" s="86">
        <v>0</v>
      </c>
      <c r="H402" s="86">
        <v>0</v>
      </c>
      <c r="I402" s="86">
        <v>0</v>
      </c>
      <c r="J402" s="86">
        <v>0</v>
      </c>
      <c r="K402" s="86">
        <v>0</v>
      </c>
      <c r="L402" s="86">
        <v>0</v>
      </c>
      <c r="M402" s="85">
        <v>0</v>
      </c>
      <c r="N402" s="85">
        <v>0</v>
      </c>
      <c r="O402" s="85">
        <v>0</v>
      </c>
      <c r="P402" s="85">
        <v>0</v>
      </c>
      <c r="Q402" s="85">
        <v>0</v>
      </c>
      <c r="R402" s="85">
        <v>0</v>
      </c>
      <c r="S402" s="85">
        <v>0</v>
      </c>
      <c r="T402" s="85">
        <v>0</v>
      </c>
      <c r="U402" s="85">
        <v>0</v>
      </c>
      <c r="V402" s="85">
        <v>0</v>
      </c>
      <c r="W402" s="85">
        <v>0</v>
      </c>
      <c r="X402" s="85">
        <v>0</v>
      </c>
      <c r="Y402" s="85">
        <v>0</v>
      </c>
      <c r="Z402" s="85">
        <v>0</v>
      </c>
      <c r="AA402" s="85">
        <v>0</v>
      </c>
      <c r="AB402" s="85">
        <v>0</v>
      </c>
      <c r="AC402" s="85">
        <v>0</v>
      </c>
      <c r="AD402" s="85">
        <v>0</v>
      </c>
      <c r="AE402" s="85">
        <v>0</v>
      </c>
      <c r="AF402" s="85">
        <v>0</v>
      </c>
      <c r="AG402" s="85">
        <v>0</v>
      </c>
      <c r="AH402" s="85">
        <v>0</v>
      </c>
    </row>
    <row r="403" spans="2:34">
      <c r="B403" s="49" t="s">
        <v>2034</v>
      </c>
      <c r="C403" s="1275" t="s">
        <v>2034</v>
      </c>
      <c r="D403" s="86">
        <v>0</v>
      </c>
      <c r="E403" s="86">
        <v>0</v>
      </c>
      <c r="F403" s="86"/>
      <c r="G403" s="86">
        <v>0</v>
      </c>
      <c r="H403" s="86">
        <v>0</v>
      </c>
      <c r="I403" s="86">
        <v>0</v>
      </c>
      <c r="J403" s="86">
        <v>0</v>
      </c>
      <c r="K403" s="86">
        <v>0</v>
      </c>
      <c r="L403" s="86">
        <v>0</v>
      </c>
      <c r="M403" s="86">
        <v>0</v>
      </c>
      <c r="N403" s="86">
        <v>0</v>
      </c>
      <c r="O403" s="86">
        <v>0</v>
      </c>
      <c r="P403" s="86">
        <v>0</v>
      </c>
      <c r="Q403" s="86">
        <v>0</v>
      </c>
      <c r="R403" s="86">
        <v>0</v>
      </c>
      <c r="S403" s="86">
        <v>0</v>
      </c>
      <c r="T403" s="86">
        <v>0</v>
      </c>
      <c r="U403" s="86">
        <v>0</v>
      </c>
      <c r="V403" s="86">
        <v>0</v>
      </c>
      <c r="W403" s="86">
        <v>0</v>
      </c>
      <c r="X403" s="86">
        <v>0</v>
      </c>
      <c r="Y403" s="86">
        <v>0</v>
      </c>
      <c r="Z403" s="86">
        <v>0</v>
      </c>
      <c r="AA403" s="86">
        <v>0</v>
      </c>
      <c r="AB403" s="86">
        <v>0</v>
      </c>
      <c r="AC403" s="86">
        <v>0</v>
      </c>
      <c r="AD403" s="86">
        <v>0</v>
      </c>
      <c r="AE403" s="86">
        <v>0</v>
      </c>
      <c r="AF403" s="86">
        <v>0</v>
      </c>
      <c r="AG403" s="86">
        <v>0</v>
      </c>
      <c r="AH403" s="86">
        <v>0</v>
      </c>
    </row>
    <row r="404" spans="2:34" ht="15">
      <c r="B404" s="50" t="s">
        <v>1934</v>
      </c>
      <c r="C404" s="1275" t="s">
        <v>1934</v>
      </c>
      <c r="D404" s="86">
        <v>0</v>
      </c>
      <c r="E404" s="86">
        <v>0</v>
      </c>
      <c r="F404" s="86"/>
      <c r="G404" s="86">
        <v>0</v>
      </c>
      <c r="H404" s="86">
        <v>0</v>
      </c>
      <c r="I404" s="86">
        <v>0</v>
      </c>
      <c r="J404" s="86">
        <v>0</v>
      </c>
      <c r="K404" s="86">
        <v>0</v>
      </c>
      <c r="L404" s="86">
        <v>0</v>
      </c>
      <c r="M404" s="85">
        <v>0</v>
      </c>
      <c r="N404" s="85">
        <v>0</v>
      </c>
      <c r="O404" s="85">
        <v>0</v>
      </c>
      <c r="P404" s="85">
        <v>0</v>
      </c>
      <c r="Q404" s="85">
        <v>0</v>
      </c>
      <c r="R404" s="85">
        <v>0</v>
      </c>
      <c r="S404" s="85">
        <v>0</v>
      </c>
      <c r="T404" s="85">
        <v>0</v>
      </c>
      <c r="U404" s="85">
        <v>0</v>
      </c>
      <c r="V404" s="85">
        <v>0</v>
      </c>
      <c r="W404" s="85">
        <v>0</v>
      </c>
      <c r="X404" s="85">
        <v>0</v>
      </c>
      <c r="Y404" s="85">
        <v>0</v>
      </c>
      <c r="Z404" s="85">
        <v>0</v>
      </c>
      <c r="AA404" s="85">
        <v>0</v>
      </c>
      <c r="AB404" s="85">
        <v>0</v>
      </c>
      <c r="AC404" s="85">
        <v>0</v>
      </c>
      <c r="AD404" s="85">
        <v>0</v>
      </c>
      <c r="AE404" s="85">
        <v>0</v>
      </c>
      <c r="AF404" s="85">
        <v>0</v>
      </c>
      <c r="AG404" s="85">
        <v>0</v>
      </c>
      <c r="AH404" s="85">
        <v>0</v>
      </c>
    </row>
    <row r="405" spans="2:34" ht="15">
      <c r="B405" s="50" t="s">
        <v>1935</v>
      </c>
      <c r="C405" s="1275" t="s">
        <v>1935</v>
      </c>
      <c r="D405" s="86">
        <v>0</v>
      </c>
      <c r="E405" s="86">
        <v>0</v>
      </c>
      <c r="F405" s="86"/>
      <c r="G405" s="86">
        <v>0</v>
      </c>
      <c r="H405" s="86">
        <v>0</v>
      </c>
      <c r="I405" s="86">
        <v>0</v>
      </c>
      <c r="J405" s="86">
        <v>0</v>
      </c>
      <c r="K405" s="86">
        <v>0</v>
      </c>
      <c r="L405" s="86">
        <v>0</v>
      </c>
      <c r="M405" s="85">
        <v>0</v>
      </c>
      <c r="N405" s="85">
        <v>0</v>
      </c>
      <c r="O405" s="85">
        <v>0</v>
      </c>
      <c r="P405" s="85">
        <v>0</v>
      </c>
      <c r="Q405" s="85">
        <v>0</v>
      </c>
      <c r="R405" s="85">
        <v>0</v>
      </c>
      <c r="S405" s="85">
        <v>0</v>
      </c>
      <c r="T405" s="85">
        <v>0</v>
      </c>
      <c r="U405" s="85">
        <v>0</v>
      </c>
      <c r="V405" s="85">
        <v>0</v>
      </c>
      <c r="W405" s="85">
        <v>0</v>
      </c>
      <c r="X405" s="85">
        <v>0</v>
      </c>
      <c r="Y405" s="85">
        <v>0</v>
      </c>
      <c r="Z405" s="85">
        <v>0</v>
      </c>
      <c r="AA405" s="85">
        <v>0</v>
      </c>
      <c r="AB405" s="85">
        <v>0</v>
      </c>
      <c r="AC405" s="85">
        <v>0</v>
      </c>
      <c r="AD405" s="85">
        <v>0</v>
      </c>
      <c r="AE405" s="85">
        <v>0</v>
      </c>
      <c r="AF405" s="85">
        <v>0</v>
      </c>
      <c r="AG405" s="85">
        <v>0</v>
      </c>
      <c r="AH405" s="85">
        <v>0</v>
      </c>
    </row>
    <row r="406" spans="2:34">
      <c r="B406" s="49" t="s">
        <v>2035</v>
      </c>
      <c r="C406" s="1275" t="s">
        <v>2035</v>
      </c>
      <c r="D406" s="86">
        <v>29387049295</v>
      </c>
      <c r="E406" s="86">
        <v>30038345245</v>
      </c>
      <c r="F406" s="86"/>
      <c r="G406" s="86">
        <v>5953749404</v>
      </c>
      <c r="H406" s="86">
        <v>5285784400</v>
      </c>
      <c r="I406" s="86">
        <v>0</v>
      </c>
      <c r="J406" s="86">
        <v>7232034754</v>
      </c>
      <c r="K406" s="86">
        <v>17923194207</v>
      </c>
      <c r="L406" s="86">
        <v>24610535524</v>
      </c>
      <c r="M406" s="86">
        <v>22503968688</v>
      </c>
      <c r="N406" s="86">
        <v>34043388075</v>
      </c>
      <c r="O406" s="86">
        <v>44850634513</v>
      </c>
      <c r="P406" s="86">
        <v>52410233383</v>
      </c>
      <c r="Q406" s="86">
        <v>48930662934</v>
      </c>
      <c r="R406" s="86">
        <v>54264405651</v>
      </c>
      <c r="S406" s="86">
        <v>46410065446</v>
      </c>
      <c r="T406" s="86">
        <v>58976339824</v>
      </c>
      <c r="U406" s="86">
        <v>50907803875</v>
      </c>
      <c r="V406" s="86">
        <v>47392980879</v>
      </c>
      <c r="W406" s="86">
        <v>55717447512</v>
      </c>
      <c r="X406" s="86">
        <v>71357504623</v>
      </c>
      <c r="Y406" s="86">
        <v>110302505547</v>
      </c>
      <c r="Z406" s="86">
        <v>103220652005</v>
      </c>
      <c r="AA406" s="86">
        <v>6340012648</v>
      </c>
      <c r="AB406" s="86">
        <v>1147943754</v>
      </c>
      <c r="AC406" s="86">
        <v>33821184766</v>
      </c>
      <c r="AD406" s="86">
        <v>32055667295</v>
      </c>
      <c r="AE406" s="86">
        <v>24492985951</v>
      </c>
      <c r="AF406" s="86">
        <v>53754361939</v>
      </c>
      <c r="AG406" s="86">
        <v>67780280794</v>
      </c>
      <c r="AH406" s="86">
        <v>82197836069</v>
      </c>
    </row>
    <row r="407" spans="2:34">
      <c r="B407" s="49" t="s">
        <v>2036</v>
      </c>
      <c r="C407" s="1275" t="s">
        <v>2036</v>
      </c>
      <c r="D407" s="86">
        <v>17303900599</v>
      </c>
      <c r="E407" s="86">
        <v>17302402166</v>
      </c>
      <c r="F407" s="86"/>
      <c r="G407" s="86">
        <v>13348560410</v>
      </c>
      <c r="H407" s="86">
        <v>13277922307</v>
      </c>
      <c r="I407" s="86">
        <v>14683016216</v>
      </c>
      <c r="J407" s="86">
        <v>13059907961</v>
      </c>
      <c r="K407" s="86">
        <v>13597036102</v>
      </c>
      <c r="L407" s="86">
        <v>17841299601</v>
      </c>
      <c r="M407" s="86">
        <v>13536019562</v>
      </c>
      <c r="N407" s="86">
        <v>14844701305</v>
      </c>
      <c r="O407" s="86">
        <v>14258302761</v>
      </c>
      <c r="P407" s="86">
        <v>24867219669</v>
      </c>
      <c r="Q407" s="86">
        <v>19072534695</v>
      </c>
      <c r="R407" s="86">
        <v>13745420889</v>
      </c>
      <c r="S407" s="86">
        <v>18522504042</v>
      </c>
      <c r="T407" s="86">
        <v>31333721576</v>
      </c>
      <c r="U407" s="86">
        <v>15318832767</v>
      </c>
      <c r="V407" s="86">
        <v>18267069316</v>
      </c>
      <c r="W407" s="86">
        <v>17681480462</v>
      </c>
      <c r="X407" s="86">
        <v>34894275182</v>
      </c>
      <c r="Y407" s="86">
        <v>17582723001</v>
      </c>
      <c r="Z407" s="86">
        <v>20050203425</v>
      </c>
      <c r="AA407" s="86">
        <v>23646494558</v>
      </c>
      <c r="AB407" s="86">
        <v>42899785829</v>
      </c>
      <c r="AC407" s="86">
        <v>25066889832</v>
      </c>
      <c r="AD407" s="86">
        <v>24841913182</v>
      </c>
      <c r="AE407" s="86">
        <v>22218125345</v>
      </c>
      <c r="AF407" s="86">
        <v>45248159105</v>
      </c>
      <c r="AG407" s="86">
        <v>30022196204</v>
      </c>
      <c r="AH407" s="86">
        <v>25521037355</v>
      </c>
    </row>
    <row r="408" spans="2:34" ht="15">
      <c r="B408" s="49" t="s">
        <v>2037</v>
      </c>
      <c r="C408" s="1275" t="s">
        <v>2037</v>
      </c>
      <c r="D408" s="86">
        <v>0</v>
      </c>
      <c r="E408" s="86">
        <v>0</v>
      </c>
      <c r="F408" s="86"/>
      <c r="G408" s="86">
        <v>0</v>
      </c>
      <c r="H408" s="86">
        <v>0</v>
      </c>
      <c r="I408" s="86">
        <v>0</v>
      </c>
      <c r="J408" s="86">
        <v>0</v>
      </c>
      <c r="K408" s="86">
        <v>0</v>
      </c>
      <c r="L408" s="86">
        <v>0</v>
      </c>
      <c r="M408" s="85">
        <v>0</v>
      </c>
      <c r="N408" s="85">
        <v>0</v>
      </c>
      <c r="O408" s="85">
        <v>0</v>
      </c>
      <c r="P408" s="85">
        <v>0</v>
      </c>
      <c r="Q408" s="85">
        <v>0</v>
      </c>
      <c r="R408" s="85">
        <v>0</v>
      </c>
      <c r="S408" s="85">
        <v>0</v>
      </c>
      <c r="T408" s="85">
        <v>0</v>
      </c>
      <c r="U408" s="85">
        <v>0</v>
      </c>
      <c r="V408" s="85">
        <v>0</v>
      </c>
      <c r="W408" s="85">
        <v>0</v>
      </c>
      <c r="X408" s="85">
        <v>0</v>
      </c>
      <c r="Y408" s="85">
        <v>0</v>
      </c>
      <c r="Z408" s="85">
        <v>0</v>
      </c>
      <c r="AA408" s="85">
        <v>0</v>
      </c>
      <c r="AB408" s="85">
        <v>0</v>
      </c>
      <c r="AC408" s="85">
        <v>0</v>
      </c>
      <c r="AD408" s="85">
        <v>0</v>
      </c>
      <c r="AE408" s="85">
        <v>0</v>
      </c>
      <c r="AF408" s="85">
        <v>0</v>
      </c>
      <c r="AG408" s="85">
        <v>0</v>
      </c>
      <c r="AH408" s="85">
        <v>0</v>
      </c>
    </row>
    <row r="409" spans="2:34" ht="15">
      <c r="B409" s="49" t="s">
        <v>2038</v>
      </c>
      <c r="C409" s="1275" t="s">
        <v>2038</v>
      </c>
      <c r="D409" s="86">
        <v>0</v>
      </c>
      <c r="E409" s="86">
        <v>0</v>
      </c>
      <c r="F409" s="86"/>
      <c r="G409" s="86">
        <v>0</v>
      </c>
      <c r="H409" s="86">
        <v>0</v>
      </c>
      <c r="I409" s="86">
        <v>0</v>
      </c>
      <c r="J409" s="86">
        <v>0</v>
      </c>
      <c r="K409" s="86">
        <v>0</v>
      </c>
      <c r="L409" s="86">
        <v>0</v>
      </c>
      <c r="M409" s="85">
        <v>0</v>
      </c>
      <c r="N409" s="85">
        <v>0</v>
      </c>
      <c r="O409" s="85">
        <v>0</v>
      </c>
      <c r="P409" s="85">
        <v>0</v>
      </c>
      <c r="Q409" s="85">
        <v>0</v>
      </c>
      <c r="R409" s="85">
        <v>0</v>
      </c>
      <c r="S409" s="85">
        <v>0</v>
      </c>
      <c r="T409" s="85">
        <v>0</v>
      </c>
      <c r="U409" s="85">
        <v>0</v>
      </c>
      <c r="V409" s="85">
        <v>0</v>
      </c>
      <c r="W409" s="85">
        <v>0</v>
      </c>
      <c r="X409" s="85">
        <v>0</v>
      </c>
      <c r="Y409" s="85">
        <v>0</v>
      </c>
      <c r="Z409" s="85">
        <v>0</v>
      </c>
      <c r="AA409" s="85">
        <v>0</v>
      </c>
      <c r="AB409" s="85">
        <v>0</v>
      </c>
      <c r="AC409" s="85">
        <v>0</v>
      </c>
      <c r="AD409" s="85">
        <v>0</v>
      </c>
      <c r="AE409" s="85">
        <v>0</v>
      </c>
      <c r="AF409" s="85">
        <v>0</v>
      </c>
      <c r="AG409" s="85">
        <v>0</v>
      </c>
      <c r="AH409" s="85">
        <v>0</v>
      </c>
    </row>
    <row r="410" spans="2:34" ht="15">
      <c r="B410" s="49" t="s">
        <v>1252</v>
      </c>
      <c r="C410" s="1275" t="s">
        <v>1252</v>
      </c>
      <c r="D410" s="86">
        <v>11315405618</v>
      </c>
      <c r="E410" s="86">
        <v>5183746074</v>
      </c>
      <c r="F410" s="86"/>
      <c r="G410" s="86">
        <v>6228903872</v>
      </c>
      <c r="H410" s="86">
        <v>46998734515</v>
      </c>
      <c r="I410" s="86">
        <v>6211314699</v>
      </c>
      <c r="J410" s="86">
        <v>6465247723</v>
      </c>
      <c r="K410" s="86">
        <v>48456315769</v>
      </c>
      <c r="L410" s="86">
        <v>13931731447</v>
      </c>
      <c r="M410" s="85">
        <v>27022096447</v>
      </c>
      <c r="N410" s="85">
        <v>14882737266</v>
      </c>
      <c r="O410" s="85">
        <v>29682202741</v>
      </c>
      <c r="P410" s="85">
        <v>30782974502</v>
      </c>
      <c r="Q410" s="85">
        <v>22381102848</v>
      </c>
      <c r="R410" s="85">
        <v>42237504827</v>
      </c>
      <c r="S410" s="85">
        <v>21844991878</v>
      </c>
      <c r="T410" s="85">
        <v>34431293800</v>
      </c>
      <c r="U410" s="85">
        <v>44870870809</v>
      </c>
      <c r="V410" s="85">
        <v>97522112568</v>
      </c>
      <c r="W410" s="85">
        <v>269379265945</v>
      </c>
      <c r="X410" s="85">
        <v>259899089392</v>
      </c>
      <c r="Y410" s="85">
        <v>291258910899</v>
      </c>
      <c r="Z410" s="85">
        <v>293978266284</v>
      </c>
      <c r="AA410" s="85">
        <v>549221027756</v>
      </c>
      <c r="AB410" s="85">
        <v>669031466229</v>
      </c>
      <c r="AC410" s="85">
        <v>971819797620</v>
      </c>
      <c r="AD410" s="85">
        <v>1450263524692</v>
      </c>
      <c r="AE410" s="85">
        <v>1248222794175</v>
      </c>
      <c r="AF410" s="85">
        <v>1408334634660</v>
      </c>
      <c r="AG410" s="85">
        <v>1594275404303</v>
      </c>
      <c r="AH410" s="85">
        <v>1725211291426</v>
      </c>
    </row>
    <row r="411" spans="2:34">
      <c r="B411" s="43" t="s">
        <v>2039</v>
      </c>
      <c r="C411" s="43" t="s">
        <v>2039</v>
      </c>
      <c r="D411" s="87">
        <v>0</v>
      </c>
      <c r="E411" s="87">
        <v>0</v>
      </c>
      <c r="F411" s="87"/>
      <c r="G411" s="87">
        <v>0</v>
      </c>
      <c r="H411" s="87">
        <v>0</v>
      </c>
      <c r="I411" s="87">
        <v>0</v>
      </c>
      <c r="J411" s="87">
        <v>0</v>
      </c>
      <c r="K411" s="87">
        <v>0</v>
      </c>
      <c r="L411" s="87">
        <v>0</v>
      </c>
      <c r="M411" s="87">
        <v>0</v>
      </c>
      <c r="N411" s="87">
        <v>0</v>
      </c>
      <c r="O411" s="87">
        <v>0</v>
      </c>
      <c r="P411" s="87">
        <v>0</v>
      </c>
      <c r="Q411" s="87">
        <v>0</v>
      </c>
      <c r="R411" s="87">
        <v>0</v>
      </c>
      <c r="S411" s="87">
        <v>0</v>
      </c>
      <c r="T411" s="87">
        <v>0</v>
      </c>
      <c r="U411" s="87">
        <v>0</v>
      </c>
      <c r="V411" s="87">
        <v>0</v>
      </c>
      <c r="W411" s="87">
        <v>0</v>
      </c>
      <c r="X411" s="87">
        <v>0</v>
      </c>
      <c r="Y411" s="87">
        <v>0</v>
      </c>
      <c r="Z411" s="87">
        <v>0</v>
      </c>
      <c r="AA411" s="87">
        <v>0</v>
      </c>
      <c r="AB411" s="87">
        <v>0</v>
      </c>
      <c r="AC411" s="87">
        <v>0</v>
      </c>
      <c r="AD411" s="87">
        <v>0</v>
      </c>
      <c r="AE411" s="87">
        <v>0</v>
      </c>
      <c r="AF411" s="87">
        <v>0</v>
      </c>
      <c r="AG411" s="87">
        <v>0</v>
      </c>
      <c r="AH411" s="87">
        <v>0</v>
      </c>
    </row>
    <row r="412" spans="2:34" ht="15">
      <c r="B412" s="49" t="s">
        <v>2067</v>
      </c>
      <c r="C412" s="49" t="s">
        <v>2067</v>
      </c>
      <c r="D412" s="86">
        <v>0</v>
      </c>
      <c r="E412" s="86">
        <v>0</v>
      </c>
      <c r="F412" s="86"/>
      <c r="G412" s="86">
        <v>0</v>
      </c>
      <c r="H412" s="86">
        <v>0</v>
      </c>
      <c r="I412" s="86">
        <v>0</v>
      </c>
      <c r="J412" s="86">
        <v>0</v>
      </c>
      <c r="K412" s="86">
        <v>0</v>
      </c>
      <c r="L412" s="86">
        <v>0</v>
      </c>
      <c r="M412" s="85">
        <v>0</v>
      </c>
      <c r="N412" s="85">
        <v>0</v>
      </c>
      <c r="O412" s="85">
        <v>0</v>
      </c>
      <c r="P412" s="85">
        <v>0</v>
      </c>
      <c r="Q412" s="85">
        <v>0</v>
      </c>
      <c r="R412" s="85">
        <v>0</v>
      </c>
      <c r="S412" s="85">
        <v>0</v>
      </c>
      <c r="T412" s="85">
        <v>0</v>
      </c>
      <c r="U412" s="85">
        <v>0</v>
      </c>
      <c r="V412" s="85">
        <v>0</v>
      </c>
      <c r="W412" s="85">
        <v>0</v>
      </c>
      <c r="X412" s="85">
        <v>0</v>
      </c>
      <c r="Y412" s="85">
        <v>0</v>
      </c>
      <c r="Z412" s="85">
        <v>0</v>
      </c>
      <c r="AA412" s="85">
        <v>0</v>
      </c>
      <c r="AB412" s="85">
        <v>0</v>
      </c>
      <c r="AC412" s="85">
        <v>0</v>
      </c>
      <c r="AD412" s="85">
        <v>0</v>
      </c>
      <c r="AE412" s="85">
        <v>0</v>
      </c>
      <c r="AF412" s="85">
        <v>0</v>
      </c>
      <c r="AG412" s="85">
        <v>0</v>
      </c>
      <c r="AH412" s="85">
        <v>0</v>
      </c>
    </row>
    <row r="413" spans="2:34" ht="15">
      <c r="B413" s="49" t="s">
        <v>1892</v>
      </c>
      <c r="C413" s="49" t="s">
        <v>1892</v>
      </c>
      <c r="D413" s="86">
        <v>0</v>
      </c>
      <c r="E413" s="86">
        <v>0</v>
      </c>
      <c r="F413" s="86"/>
      <c r="G413" s="86">
        <v>0</v>
      </c>
      <c r="H413" s="86">
        <v>0</v>
      </c>
      <c r="I413" s="86">
        <v>0</v>
      </c>
      <c r="J413" s="86">
        <v>0</v>
      </c>
      <c r="K413" s="86">
        <v>0</v>
      </c>
      <c r="L413" s="86">
        <v>0</v>
      </c>
      <c r="M413" s="85">
        <v>0</v>
      </c>
      <c r="N413" s="85">
        <v>0</v>
      </c>
      <c r="O413" s="85">
        <v>0</v>
      </c>
      <c r="P413" s="85">
        <v>0</v>
      </c>
      <c r="Q413" s="85">
        <v>0</v>
      </c>
      <c r="R413" s="85">
        <v>0</v>
      </c>
      <c r="S413" s="85">
        <v>0</v>
      </c>
      <c r="T413" s="85">
        <v>0</v>
      </c>
      <c r="U413" s="85">
        <v>0</v>
      </c>
      <c r="V413" s="85">
        <v>0</v>
      </c>
      <c r="W413" s="85">
        <v>0</v>
      </c>
      <c r="X413" s="85">
        <v>0</v>
      </c>
      <c r="Y413" s="85">
        <v>0</v>
      </c>
      <c r="Z413" s="85">
        <v>0</v>
      </c>
      <c r="AA413" s="85">
        <v>0</v>
      </c>
      <c r="AB413" s="85">
        <v>0</v>
      </c>
      <c r="AC413" s="85">
        <v>0</v>
      </c>
      <c r="AD413" s="85">
        <v>0</v>
      </c>
      <c r="AE413" s="85">
        <v>0</v>
      </c>
      <c r="AF413" s="85">
        <v>0</v>
      </c>
      <c r="AG413" s="85">
        <v>0</v>
      </c>
      <c r="AH413" s="85">
        <v>0</v>
      </c>
    </row>
    <row r="414" spans="2:34">
      <c r="B414" s="39" t="s">
        <v>12</v>
      </c>
      <c r="C414" s="39" t="s">
        <v>12</v>
      </c>
      <c r="D414" s="88">
        <v>3142546896677</v>
      </c>
      <c r="E414" s="88">
        <v>3047133124989</v>
      </c>
      <c r="F414" s="88"/>
      <c r="G414" s="88">
        <v>3110386758148</v>
      </c>
      <c r="H414" s="88">
        <v>3194452443657</v>
      </c>
      <c r="I414" s="88">
        <v>3041066223456</v>
      </c>
      <c r="J414" s="88">
        <v>3056564428188</v>
      </c>
      <c r="K414" s="88">
        <v>3082835465490</v>
      </c>
      <c r="L414" s="88">
        <v>3049362991594</v>
      </c>
      <c r="M414" s="88">
        <v>3097673526201</v>
      </c>
      <c r="N414" s="88">
        <v>3172849974905</v>
      </c>
      <c r="O414" s="88">
        <v>3190341795647</v>
      </c>
      <c r="P414" s="88">
        <v>3154445764373</v>
      </c>
      <c r="Q414" s="88">
        <v>3258097983891</v>
      </c>
      <c r="R414" s="88">
        <v>3302660039596</v>
      </c>
      <c r="S414" s="88">
        <v>3294859391527</v>
      </c>
      <c r="T414" s="88">
        <v>3171326896347</v>
      </c>
      <c r="U414" s="88">
        <v>3220942111604</v>
      </c>
      <c r="V414" s="88">
        <v>3262346754039</v>
      </c>
      <c r="W414" s="88">
        <v>4072659484278</v>
      </c>
      <c r="X414" s="88">
        <v>4104928248399</v>
      </c>
      <c r="Y414" s="88">
        <v>4344987527723</v>
      </c>
      <c r="Z414" s="88">
        <v>4190771464254</v>
      </c>
      <c r="AA414" s="88">
        <v>4241785382055</v>
      </c>
      <c r="AB414" s="88">
        <v>4145517095816</v>
      </c>
      <c r="AC414" s="88">
        <v>4310375122916</v>
      </c>
      <c r="AD414" s="88">
        <v>4443914349666</v>
      </c>
      <c r="AE414" s="88">
        <v>4350498285119</v>
      </c>
      <c r="AF414" s="88">
        <v>4368167383652</v>
      </c>
      <c r="AG414" s="88">
        <v>4562863947595</v>
      </c>
      <c r="AH414" s="88">
        <v>4644279571235</v>
      </c>
    </row>
    <row r="415" spans="2:34">
      <c r="B415" s="43" t="s">
        <v>2040</v>
      </c>
      <c r="C415" s="43" t="s">
        <v>2040</v>
      </c>
      <c r="D415" s="87">
        <v>175569800000</v>
      </c>
      <c r="E415" s="87">
        <v>175569800000</v>
      </c>
      <c r="F415" s="87"/>
      <c r="G415" s="87">
        <v>175569800000</v>
      </c>
      <c r="H415" s="87">
        <v>175569800000</v>
      </c>
      <c r="I415" s="87">
        <v>175569800000</v>
      </c>
      <c r="J415" s="87">
        <v>175569800000</v>
      </c>
      <c r="K415" s="87">
        <v>175569800000</v>
      </c>
      <c r="L415" s="87">
        <v>175569800000</v>
      </c>
      <c r="M415" s="87">
        <v>175569800000</v>
      </c>
      <c r="N415" s="87">
        <v>175569800000</v>
      </c>
      <c r="O415" s="87">
        <v>175569800000</v>
      </c>
      <c r="P415" s="87">
        <v>175569800000</v>
      </c>
      <c r="Q415" s="87">
        <v>175569800000</v>
      </c>
      <c r="R415" s="87">
        <v>175569800000</v>
      </c>
      <c r="S415" s="87">
        <v>175569800000</v>
      </c>
      <c r="T415" s="87">
        <v>175569800000</v>
      </c>
      <c r="U415" s="87">
        <v>175569800000</v>
      </c>
      <c r="V415" s="87">
        <v>175569800000</v>
      </c>
      <c r="W415" s="87">
        <v>175739000000</v>
      </c>
      <c r="X415" s="87">
        <v>175739000000</v>
      </c>
      <c r="Y415" s="87">
        <v>175739000000</v>
      </c>
      <c r="Z415" s="87">
        <v>175739000000</v>
      </c>
      <c r="AA415" s="87">
        <v>175739000000</v>
      </c>
      <c r="AB415" s="87">
        <v>175739000000</v>
      </c>
      <c r="AC415" s="87">
        <v>175739000000</v>
      </c>
      <c r="AD415" s="87">
        <v>175739000000</v>
      </c>
      <c r="AE415" s="87">
        <v>175739000000</v>
      </c>
      <c r="AF415" s="87">
        <v>175739000000</v>
      </c>
      <c r="AG415" s="87">
        <v>175739000000</v>
      </c>
      <c r="AH415" s="87">
        <v>175739000000</v>
      </c>
    </row>
    <row r="416" spans="2:34">
      <c r="B416" s="49" t="s">
        <v>2041</v>
      </c>
      <c r="C416" s="49" t="s">
        <v>2041</v>
      </c>
      <c r="D416" s="86">
        <v>175569800000</v>
      </c>
      <c r="E416" s="86">
        <v>175569800000</v>
      </c>
      <c r="F416" s="86"/>
      <c r="G416" s="86">
        <v>175569800000</v>
      </c>
      <c r="H416" s="86">
        <v>175569800000</v>
      </c>
      <c r="I416" s="86">
        <v>175569800000</v>
      </c>
      <c r="J416" s="86">
        <v>175569800000</v>
      </c>
      <c r="K416" s="86">
        <v>175569800000</v>
      </c>
      <c r="L416" s="86">
        <v>175569800000</v>
      </c>
      <c r="M416" s="86">
        <v>175569800000</v>
      </c>
      <c r="N416" s="86">
        <v>175569800000</v>
      </c>
      <c r="O416" s="86">
        <v>175569800000</v>
      </c>
      <c r="P416" s="86">
        <v>175569800000</v>
      </c>
      <c r="Q416" s="86">
        <v>175569800000</v>
      </c>
      <c r="R416" s="86">
        <v>175569800000</v>
      </c>
      <c r="S416" s="86">
        <v>175569800000</v>
      </c>
      <c r="T416" s="86">
        <v>175569800000</v>
      </c>
      <c r="U416" s="86">
        <v>175569800000</v>
      </c>
      <c r="V416" s="86">
        <v>175569800000</v>
      </c>
      <c r="W416" s="86">
        <v>175739000000</v>
      </c>
      <c r="X416" s="86">
        <v>175739000000</v>
      </c>
      <c r="Y416" s="86">
        <v>175739000000</v>
      </c>
      <c r="Z416" s="86">
        <v>175739000000</v>
      </c>
      <c r="AA416" s="86">
        <v>175739000000</v>
      </c>
      <c r="AB416" s="86">
        <v>175739000000</v>
      </c>
      <c r="AC416" s="86">
        <v>175739000000</v>
      </c>
      <c r="AD416" s="86">
        <v>175739000000</v>
      </c>
      <c r="AE416" s="86">
        <v>175739000000</v>
      </c>
      <c r="AF416" s="86">
        <v>175739000000</v>
      </c>
      <c r="AG416" s="86">
        <v>175739000000</v>
      </c>
      <c r="AH416" s="86">
        <v>175739000000</v>
      </c>
    </row>
    <row r="417" spans="2:34">
      <c r="B417" s="49" t="s">
        <v>2042</v>
      </c>
      <c r="C417" s="49" t="s">
        <v>2042</v>
      </c>
      <c r="D417" s="86">
        <v>0</v>
      </c>
      <c r="E417" s="86">
        <v>0</v>
      </c>
      <c r="F417" s="86"/>
      <c r="G417" s="86">
        <v>0</v>
      </c>
      <c r="H417" s="86">
        <v>0</v>
      </c>
      <c r="I417" s="86">
        <v>0</v>
      </c>
      <c r="J417" s="86">
        <v>0</v>
      </c>
      <c r="K417" s="86">
        <v>0</v>
      </c>
      <c r="L417" s="86">
        <v>0</v>
      </c>
      <c r="M417" s="86">
        <v>0</v>
      </c>
      <c r="N417" s="86">
        <v>0</v>
      </c>
      <c r="O417" s="86">
        <v>0</v>
      </c>
      <c r="P417" s="86">
        <v>0</v>
      </c>
      <c r="Q417" s="86">
        <v>0</v>
      </c>
      <c r="R417" s="86">
        <v>0</v>
      </c>
      <c r="S417" s="86">
        <v>0</v>
      </c>
      <c r="T417" s="86">
        <v>0</v>
      </c>
      <c r="U417" s="86">
        <v>0</v>
      </c>
      <c r="V417" s="86">
        <v>0</v>
      </c>
      <c r="W417" s="86">
        <v>0</v>
      </c>
      <c r="X417" s="86">
        <v>0</v>
      </c>
      <c r="Y417" s="86">
        <v>0</v>
      </c>
      <c r="Z417" s="86">
        <v>0</v>
      </c>
      <c r="AA417" s="86">
        <v>0</v>
      </c>
      <c r="AB417" s="86">
        <v>0</v>
      </c>
      <c r="AC417" s="86">
        <v>0</v>
      </c>
      <c r="AD417" s="86">
        <v>0</v>
      </c>
      <c r="AE417" s="86">
        <v>0</v>
      </c>
      <c r="AF417" s="86">
        <v>0</v>
      </c>
      <c r="AG417" s="86">
        <v>0</v>
      </c>
      <c r="AH417" s="86">
        <v>0</v>
      </c>
    </row>
    <row r="418" spans="2:34" ht="15">
      <c r="B418" s="50" t="s">
        <v>2043</v>
      </c>
      <c r="C418" s="50" t="s">
        <v>2043</v>
      </c>
      <c r="D418" s="86">
        <v>0</v>
      </c>
      <c r="E418" s="86">
        <v>0</v>
      </c>
      <c r="F418" s="86"/>
      <c r="G418" s="86">
        <v>0</v>
      </c>
      <c r="H418" s="86">
        <v>0</v>
      </c>
      <c r="I418" s="86">
        <v>0</v>
      </c>
      <c r="J418" s="86">
        <v>0</v>
      </c>
      <c r="K418" s="86">
        <v>0</v>
      </c>
      <c r="L418" s="86">
        <v>0</v>
      </c>
      <c r="M418" s="85">
        <v>0</v>
      </c>
      <c r="N418" s="85">
        <v>0</v>
      </c>
      <c r="O418" s="85">
        <v>0</v>
      </c>
      <c r="P418" s="85">
        <v>0</v>
      </c>
      <c r="Q418" s="85">
        <v>0</v>
      </c>
      <c r="R418" s="85">
        <v>0</v>
      </c>
      <c r="S418" s="85">
        <v>0</v>
      </c>
      <c r="T418" s="85">
        <v>0</v>
      </c>
      <c r="U418" s="85">
        <v>0</v>
      </c>
      <c r="V418" s="85">
        <v>0</v>
      </c>
      <c r="W418" s="85">
        <v>0</v>
      </c>
      <c r="X418" s="85">
        <v>0</v>
      </c>
      <c r="Y418" s="85">
        <v>0</v>
      </c>
      <c r="Z418" s="85">
        <v>0</v>
      </c>
      <c r="AA418" s="85">
        <v>0</v>
      </c>
      <c r="AB418" s="85">
        <v>0</v>
      </c>
      <c r="AC418" s="85">
        <v>0</v>
      </c>
      <c r="AD418" s="85">
        <v>0</v>
      </c>
      <c r="AE418" s="85">
        <v>0</v>
      </c>
      <c r="AF418" s="85">
        <v>0</v>
      </c>
      <c r="AG418" s="85">
        <v>0</v>
      </c>
      <c r="AH418" s="85">
        <v>0</v>
      </c>
    </row>
    <row r="419" spans="2:34" ht="15">
      <c r="B419" s="50" t="s">
        <v>2044</v>
      </c>
      <c r="C419" s="50" t="s">
        <v>2044</v>
      </c>
      <c r="D419" s="86">
        <v>0</v>
      </c>
      <c r="E419" s="86">
        <v>0</v>
      </c>
      <c r="F419" s="86"/>
      <c r="G419" s="86">
        <v>0</v>
      </c>
      <c r="H419" s="86">
        <v>0</v>
      </c>
      <c r="I419" s="86">
        <v>0</v>
      </c>
      <c r="J419" s="86">
        <v>0</v>
      </c>
      <c r="K419" s="86">
        <v>0</v>
      </c>
      <c r="L419" s="86">
        <v>0</v>
      </c>
      <c r="M419" s="85">
        <v>0</v>
      </c>
      <c r="N419" s="85">
        <v>0</v>
      </c>
      <c r="O419" s="85">
        <v>0</v>
      </c>
      <c r="P419" s="85">
        <v>0</v>
      </c>
      <c r="Q419" s="85">
        <v>0</v>
      </c>
      <c r="R419" s="85">
        <v>0</v>
      </c>
      <c r="S419" s="85">
        <v>0</v>
      </c>
      <c r="T419" s="85">
        <v>0</v>
      </c>
      <c r="U419" s="85">
        <v>0</v>
      </c>
      <c r="V419" s="85">
        <v>0</v>
      </c>
      <c r="W419" s="85">
        <v>0</v>
      </c>
      <c r="X419" s="85">
        <v>0</v>
      </c>
      <c r="Y419" s="85">
        <v>0</v>
      </c>
      <c r="Z419" s="85">
        <v>0</v>
      </c>
      <c r="AA419" s="85">
        <v>0</v>
      </c>
      <c r="AB419" s="85">
        <v>0</v>
      </c>
      <c r="AC419" s="85">
        <v>0</v>
      </c>
      <c r="AD419" s="85">
        <v>0</v>
      </c>
      <c r="AE419" s="85">
        <v>0</v>
      </c>
      <c r="AF419" s="85">
        <v>0</v>
      </c>
      <c r="AG419" s="85">
        <v>0</v>
      </c>
      <c r="AH419" s="85">
        <v>0</v>
      </c>
    </row>
    <row r="420" spans="2:34">
      <c r="B420" s="50" t="s">
        <v>1794</v>
      </c>
      <c r="C420" s="50" t="s">
        <v>1794</v>
      </c>
      <c r="D420" s="86">
        <v>0</v>
      </c>
      <c r="E420" s="86">
        <v>0</v>
      </c>
      <c r="F420" s="86"/>
      <c r="G420" s="86">
        <v>0</v>
      </c>
      <c r="H420" s="86">
        <v>0</v>
      </c>
      <c r="I420" s="86">
        <v>0</v>
      </c>
      <c r="J420" s="86">
        <v>0</v>
      </c>
      <c r="K420" s="86">
        <v>0</v>
      </c>
      <c r="L420" s="86">
        <v>0</v>
      </c>
      <c r="M420" s="86">
        <v>0</v>
      </c>
      <c r="N420" s="86">
        <v>0</v>
      </c>
      <c r="O420" s="86">
        <v>0</v>
      </c>
      <c r="P420" s="86">
        <v>0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6">
        <v>0</v>
      </c>
      <c r="AA420" s="86">
        <v>0</v>
      </c>
      <c r="AB420" s="86">
        <v>0</v>
      </c>
      <c r="AC420" s="86">
        <v>0</v>
      </c>
      <c r="AD420" s="86">
        <v>0</v>
      </c>
      <c r="AE420" s="86">
        <v>0</v>
      </c>
      <c r="AF420" s="86">
        <v>0</v>
      </c>
      <c r="AG420" s="86">
        <v>0</v>
      </c>
      <c r="AH420" s="86">
        <v>0</v>
      </c>
    </row>
    <row r="421" spans="2:34">
      <c r="B421" s="43" t="s">
        <v>2068</v>
      </c>
      <c r="C421" s="43" t="s">
        <v>2068</v>
      </c>
      <c r="D421" s="87">
        <v>1360864830797</v>
      </c>
      <c r="E421" s="87">
        <v>1360864830797</v>
      </c>
      <c r="F421" s="87"/>
      <c r="G421" s="87">
        <v>1360864830797</v>
      </c>
      <c r="H421" s="87">
        <v>1360864830797</v>
      </c>
      <c r="I421" s="87">
        <v>1360864830797</v>
      </c>
      <c r="J421" s="87">
        <v>1360864830797</v>
      </c>
      <c r="K421" s="87">
        <v>1360864830797</v>
      </c>
      <c r="L421" s="87">
        <v>1360864830797</v>
      </c>
      <c r="M421" s="87">
        <v>1360864830797</v>
      </c>
      <c r="N421" s="87">
        <v>1360864830797</v>
      </c>
      <c r="O421" s="87">
        <v>1360864830797</v>
      </c>
      <c r="P421" s="87">
        <v>1360864830797</v>
      </c>
      <c r="Q421" s="87">
        <v>1360864830797</v>
      </c>
      <c r="R421" s="87">
        <v>1360864830797</v>
      </c>
      <c r="S421" s="87">
        <v>1360864830797</v>
      </c>
      <c r="T421" s="87">
        <v>1360864830797</v>
      </c>
      <c r="U421" s="87">
        <v>1360864830797</v>
      </c>
      <c r="V421" s="87">
        <v>1360864830797</v>
      </c>
      <c r="W421" s="87">
        <v>3052693871637</v>
      </c>
      <c r="X421" s="87">
        <v>3052693871637</v>
      </c>
      <c r="Y421" s="87">
        <v>3052693871637</v>
      </c>
      <c r="Z421" s="87">
        <v>3052693871637</v>
      </c>
      <c r="AA421" s="87">
        <v>3052693871637</v>
      </c>
      <c r="AB421" s="87">
        <v>3052693871637</v>
      </c>
      <c r="AC421" s="87">
        <v>3052693871637</v>
      </c>
      <c r="AD421" s="87">
        <v>3052693871637</v>
      </c>
      <c r="AE421" s="87">
        <v>3052693871637</v>
      </c>
      <c r="AF421" s="87">
        <v>3052693871637</v>
      </c>
      <c r="AG421" s="87">
        <v>3052693871637</v>
      </c>
      <c r="AH421" s="87">
        <v>3052693871637</v>
      </c>
    </row>
    <row r="422" spans="2:34">
      <c r="B422" s="49" t="s">
        <v>2045</v>
      </c>
      <c r="C422" s="1275" t="s">
        <v>2045</v>
      </c>
      <c r="D422" s="86">
        <v>1041508800415</v>
      </c>
      <c r="E422" s="86">
        <v>1041508800415</v>
      </c>
      <c r="F422" s="86"/>
      <c r="G422" s="86">
        <v>1041508800415</v>
      </c>
      <c r="H422" s="86">
        <v>1041508800415</v>
      </c>
      <c r="I422" s="86">
        <v>1041508800415</v>
      </c>
      <c r="J422" s="86">
        <v>1041508800415</v>
      </c>
      <c r="K422" s="86">
        <v>1041508800415</v>
      </c>
      <c r="L422" s="86">
        <v>1041508800415</v>
      </c>
      <c r="M422" s="86">
        <v>1041508800415</v>
      </c>
      <c r="N422" s="86">
        <v>1041508800415</v>
      </c>
      <c r="O422" s="86">
        <v>1041508800415</v>
      </c>
      <c r="P422" s="86">
        <v>1041508800415</v>
      </c>
      <c r="Q422" s="86">
        <v>1041508800415</v>
      </c>
      <c r="R422" s="86">
        <v>1041508800415</v>
      </c>
      <c r="S422" s="86">
        <v>1041508800415</v>
      </c>
      <c r="T422" s="86">
        <v>1041508800415</v>
      </c>
      <c r="U422" s="86">
        <v>1041508800415</v>
      </c>
      <c r="V422" s="86">
        <v>1041508800415</v>
      </c>
      <c r="W422" s="86">
        <v>2733337841255</v>
      </c>
      <c r="X422" s="86">
        <v>2733337841255</v>
      </c>
      <c r="Y422" s="86">
        <v>2733337841255</v>
      </c>
      <c r="Z422" s="86">
        <v>2733337841255</v>
      </c>
      <c r="AA422" s="86">
        <v>2733337841255</v>
      </c>
      <c r="AB422" s="86">
        <v>2733337841255</v>
      </c>
      <c r="AC422" s="86">
        <v>2733337841255</v>
      </c>
      <c r="AD422" s="86">
        <v>2733337841255</v>
      </c>
      <c r="AE422" s="86">
        <v>2733337841255</v>
      </c>
      <c r="AF422" s="86">
        <v>2733337841255</v>
      </c>
      <c r="AG422" s="86">
        <v>2733337841255</v>
      </c>
      <c r="AH422" s="86">
        <v>2733337841255</v>
      </c>
    </row>
    <row r="423" spans="2:34" ht="15">
      <c r="B423" s="49" t="s">
        <v>2046</v>
      </c>
      <c r="C423" s="1275" t="s">
        <v>2046</v>
      </c>
      <c r="D423" s="86">
        <v>0</v>
      </c>
      <c r="E423" s="86">
        <v>0</v>
      </c>
      <c r="F423" s="86"/>
      <c r="G423" s="86">
        <v>0</v>
      </c>
      <c r="H423" s="86">
        <v>0</v>
      </c>
      <c r="I423" s="86">
        <v>0</v>
      </c>
      <c r="J423" s="86">
        <v>0</v>
      </c>
      <c r="K423" s="86">
        <v>0</v>
      </c>
      <c r="L423" s="86">
        <v>0</v>
      </c>
      <c r="M423" s="85">
        <v>0</v>
      </c>
      <c r="N423" s="85">
        <v>0</v>
      </c>
      <c r="O423" s="85">
        <v>0</v>
      </c>
      <c r="P423" s="85">
        <v>0</v>
      </c>
      <c r="Q423" s="85">
        <v>0</v>
      </c>
      <c r="R423" s="85">
        <v>0</v>
      </c>
      <c r="S423" s="85">
        <v>0</v>
      </c>
      <c r="T423" s="85">
        <v>0</v>
      </c>
      <c r="U423" s="85">
        <v>0</v>
      </c>
      <c r="V423" s="85">
        <v>0</v>
      </c>
      <c r="W423" s="85">
        <v>0</v>
      </c>
      <c r="X423" s="85">
        <v>0</v>
      </c>
      <c r="Y423" s="85">
        <v>0</v>
      </c>
      <c r="Z423" s="85">
        <v>0</v>
      </c>
      <c r="AA423" s="85">
        <v>0</v>
      </c>
      <c r="AB423" s="85">
        <v>0</v>
      </c>
      <c r="AC423" s="85">
        <v>0</v>
      </c>
      <c r="AD423" s="85">
        <v>0</v>
      </c>
      <c r="AE423" s="85">
        <v>0</v>
      </c>
      <c r="AF423" s="85">
        <v>0</v>
      </c>
      <c r="AG423" s="85">
        <v>0</v>
      </c>
      <c r="AH423" s="85">
        <v>0</v>
      </c>
    </row>
    <row r="424" spans="2:34">
      <c r="B424" s="49" t="s">
        <v>2047</v>
      </c>
      <c r="C424" s="1275" t="s">
        <v>2047</v>
      </c>
      <c r="D424" s="86">
        <v>0</v>
      </c>
      <c r="E424" s="86">
        <v>0</v>
      </c>
      <c r="F424" s="86"/>
      <c r="G424" s="86">
        <v>0</v>
      </c>
      <c r="H424" s="86">
        <v>0</v>
      </c>
      <c r="I424" s="86">
        <v>0</v>
      </c>
      <c r="J424" s="86">
        <v>0</v>
      </c>
      <c r="K424" s="86">
        <v>0</v>
      </c>
      <c r="L424" s="86">
        <v>0</v>
      </c>
      <c r="M424" s="86">
        <v>0</v>
      </c>
      <c r="N424" s="86">
        <v>0</v>
      </c>
      <c r="O424" s="86">
        <v>0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6">
        <v>0</v>
      </c>
      <c r="AA424" s="86">
        <v>0</v>
      </c>
      <c r="AB424" s="86">
        <v>0</v>
      </c>
      <c r="AC424" s="86">
        <v>0</v>
      </c>
      <c r="AD424" s="86">
        <v>0</v>
      </c>
      <c r="AE424" s="86">
        <v>0</v>
      </c>
      <c r="AF424" s="86">
        <v>0</v>
      </c>
      <c r="AG424" s="86">
        <v>0</v>
      </c>
      <c r="AH424" s="86">
        <v>0</v>
      </c>
    </row>
    <row r="425" spans="2:34">
      <c r="B425" s="49" t="s">
        <v>2048</v>
      </c>
      <c r="C425" s="1275" t="s">
        <v>2048</v>
      </c>
      <c r="D425" s="86">
        <v>319356030382</v>
      </c>
      <c r="E425" s="86">
        <v>319356030382</v>
      </c>
      <c r="F425" s="86"/>
      <c r="G425" s="86">
        <v>319356030382</v>
      </c>
      <c r="H425" s="86">
        <v>319356030382</v>
      </c>
      <c r="I425" s="86">
        <v>319356030382</v>
      </c>
      <c r="J425" s="86">
        <v>319356030382</v>
      </c>
      <c r="K425" s="86">
        <v>319356030382</v>
      </c>
      <c r="L425" s="86">
        <v>319356030382</v>
      </c>
      <c r="M425" s="86">
        <v>319356030382</v>
      </c>
      <c r="N425" s="86">
        <v>319356030382</v>
      </c>
      <c r="O425" s="86">
        <v>319356030382</v>
      </c>
      <c r="P425" s="86">
        <v>319356030382</v>
      </c>
      <c r="Q425" s="86">
        <v>319356030382</v>
      </c>
      <c r="R425" s="86">
        <v>319356030382</v>
      </c>
      <c r="S425" s="86">
        <v>319356030382</v>
      </c>
      <c r="T425" s="86">
        <v>319356030382</v>
      </c>
      <c r="U425" s="86">
        <v>319356030382</v>
      </c>
      <c r="V425" s="86">
        <v>319356030382</v>
      </c>
      <c r="W425" s="86">
        <v>319356030382</v>
      </c>
      <c r="X425" s="86">
        <v>319356030382</v>
      </c>
      <c r="Y425" s="86">
        <v>319356030382</v>
      </c>
      <c r="Z425" s="86">
        <v>319356030382</v>
      </c>
      <c r="AA425" s="86">
        <v>319356030382</v>
      </c>
      <c r="AB425" s="86">
        <v>319356030382</v>
      </c>
      <c r="AC425" s="86">
        <v>319356030382</v>
      </c>
      <c r="AD425" s="86">
        <v>319356030382</v>
      </c>
      <c r="AE425" s="86">
        <v>319356030382</v>
      </c>
      <c r="AF425" s="86">
        <v>319356030382</v>
      </c>
      <c r="AG425" s="86">
        <v>319356030382</v>
      </c>
      <c r="AH425" s="86">
        <v>319356030382</v>
      </c>
    </row>
    <row r="426" spans="2:34">
      <c r="B426" s="43" t="s">
        <v>2069</v>
      </c>
      <c r="C426" s="43" t="s">
        <v>2069</v>
      </c>
      <c r="D426" s="87">
        <v>0</v>
      </c>
      <c r="E426" s="87">
        <v>0</v>
      </c>
      <c r="F426" s="87"/>
      <c r="G426" s="87">
        <v>0</v>
      </c>
      <c r="H426" s="87">
        <v>0</v>
      </c>
      <c r="I426" s="87">
        <v>0</v>
      </c>
      <c r="J426" s="87">
        <v>0</v>
      </c>
      <c r="K426" s="87">
        <v>0</v>
      </c>
      <c r="L426" s="87">
        <v>0</v>
      </c>
      <c r="M426" s="87">
        <v>0</v>
      </c>
      <c r="N426" s="87">
        <v>0</v>
      </c>
      <c r="O426" s="87">
        <v>0</v>
      </c>
      <c r="P426" s="87">
        <v>0</v>
      </c>
      <c r="Q426" s="87">
        <v>0</v>
      </c>
      <c r="R426" s="87">
        <v>0</v>
      </c>
      <c r="S426" s="87">
        <v>0</v>
      </c>
      <c r="T426" s="87">
        <v>0</v>
      </c>
      <c r="U426" s="87">
        <v>0</v>
      </c>
      <c r="V426" s="87">
        <v>0</v>
      </c>
      <c r="W426" s="87">
        <v>0</v>
      </c>
      <c r="X426" s="87">
        <v>0</v>
      </c>
      <c r="Y426" s="87">
        <v>0</v>
      </c>
      <c r="Z426" s="87">
        <v>0</v>
      </c>
      <c r="AA426" s="87">
        <v>0</v>
      </c>
      <c r="AB426" s="87">
        <v>0</v>
      </c>
      <c r="AC426" s="87">
        <v>0</v>
      </c>
      <c r="AD426" s="87">
        <v>0</v>
      </c>
      <c r="AE426" s="87">
        <v>0</v>
      </c>
      <c r="AF426" s="87">
        <v>0</v>
      </c>
      <c r="AG426" s="87">
        <v>0</v>
      </c>
      <c r="AH426" s="87">
        <v>0</v>
      </c>
    </row>
    <row r="427" spans="2:34" ht="15">
      <c r="B427" s="49" t="s">
        <v>2049</v>
      </c>
      <c r="C427" s="49" t="s">
        <v>2049</v>
      </c>
      <c r="D427" s="86">
        <v>0</v>
      </c>
      <c r="E427" s="86">
        <v>0</v>
      </c>
      <c r="F427" s="86"/>
      <c r="G427" s="86">
        <v>0</v>
      </c>
      <c r="H427" s="86">
        <v>0</v>
      </c>
      <c r="I427" s="86">
        <v>0</v>
      </c>
      <c r="J427" s="86">
        <v>0</v>
      </c>
      <c r="K427" s="86">
        <v>0</v>
      </c>
      <c r="L427" s="86">
        <v>0</v>
      </c>
      <c r="M427" s="85">
        <v>0</v>
      </c>
      <c r="N427" s="85">
        <v>0</v>
      </c>
      <c r="O427" s="85">
        <v>0</v>
      </c>
      <c r="P427" s="85">
        <v>0</v>
      </c>
      <c r="Q427" s="85">
        <v>0</v>
      </c>
      <c r="R427" s="85">
        <v>0</v>
      </c>
      <c r="S427" s="85">
        <v>0</v>
      </c>
      <c r="T427" s="85">
        <v>0</v>
      </c>
      <c r="U427" s="85">
        <v>0</v>
      </c>
      <c r="V427" s="85">
        <v>0</v>
      </c>
      <c r="W427" s="85">
        <v>0</v>
      </c>
      <c r="X427" s="85">
        <v>0</v>
      </c>
      <c r="Y427" s="85">
        <v>0</v>
      </c>
      <c r="Z427" s="85">
        <v>0</v>
      </c>
      <c r="AA427" s="85">
        <v>0</v>
      </c>
      <c r="AB427" s="85">
        <v>0</v>
      </c>
      <c r="AC427" s="85">
        <v>0</v>
      </c>
      <c r="AD427" s="85">
        <v>0</v>
      </c>
      <c r="AE427" s="85">
        <v>0</v>
      </c>
      <c r="AF427" s="85">
        <v>0</v>
      </c>
      <c r="AG427" s="85">
        <v>0</v>
      </c>
      <c r="AH427" s="85">
        <v>0</v>
      </c>
    </row>
    <row r="428" spans="2:34">
      <c r="B428" s="49" t="s">
        <v>2050</v>
      </c>
      <c r="C428" s="49" t="s">
        <v>2050</v>
      </c>
      <c r="D428" s="86">
        <v>0</v>
      </c>
      <c r="E428" s="86">
        <v>0</v>
      </c>
      <c r="F428" s="86"/>
      <c r="G428" s="86">
        <v>0</v>
      </c>
      <c r="H428" s="86">
        <v>0</v>
      </c>
      <c r="I428" s="86">
        <v>0</v>
      </c>
      <c r="J428" s="86">
        <v>0</v>
      </c>
      <c r="K428" s="86">
        <v>0</v>
      </c>
      <c r="L428" s="86">
        <v>0</v>
      </c>
      <c r="M428" s="86">
        <v>0</v>
      </c>
      <c r="N428" s="86">
        <v>0</v>
      </c>
      <c r="O428" s="86">
        <v>0</v>
      </c>
      <c r="P428" s="86">
        <v>0</v>
      </c>
      <c r="Q428" s="86">
        <v>0</v>
      </c>
      <c r="R428" s="86">
        <v>0</v>
      </c>
      <c r="S428" s="86">
        <v>0</v>
      </c>
      <c r="T428" s="86">
        <v>0</v>
      </c>
      <c r="U428" s="86">
        <v>0</v>
      </c>
      <c r="V428" s="86">
        <v>0</v>
      </c>
      <c r="W428" s="86">
        <v>0</v>
      </c>
      <c r="X428" s="86">
        <v>0</v>
      </c>
      <c r="Y428" s="86">
        <v>0</v>
      </c>
      <c r="Z428" s="86">
        <v>0</v>
      </c>
      <c r="AA428" s="86">
        <v>0</v>
      </c>
      <c r="AB428" s="86">
        <v>0</v>
      </c>
      <c r="AC428" s="86">
        <v>0</v>
      </c>
      <c r="AD428" s="86">
        <v>0</v>
      </c>
      <c r="AE428" s="86">
        <v>0</v>
      </c>
      <c r="AF428" s="86">
        <v>0</v>
      </c>
      <c r="AG428" s="86">
        <v>0</v>
      </c>
      <c r="AH428" s="86">
        <v>0</v>
      </c>
    </row>
    <row r="429" spans="2:34" ht="15">
      <c r="B429" s="49" t="s">
        <v>2051</v>
      </c>
      <c r="C429" s="49" t="s">
        <v>2051</v>
      </c>
      <c r="D429" s="86">
        <v>0</v>
      </c>
      <c r="E429" s="86">
        <v>0</v>
      </c>
      <c r="F429" s="86"/>
      <c r="G429" s="86">
        <v>0</v>
      </c>
      <c r="H429" s="86">
        <v>0</v>
      </c>
      <c r="I429" s="86">
        <v>0</v>
      </c>
      <c r="J429" s="86">
        <v>0</v>
      </c>
      <c r="K429" s="86">
        <v>0</v>
      </c>
      <c r="L429" s="86">
        <v>0</v>
      </c>
      <c r="M429" s="85">
        <v>0</v>
      </c>
      <c r="N429" s="85">
        <v>0</v>
      </c>
      <c r="O429" s="85">
        <v>0</v>
      </c>
      <c r="P429" s="85">
        <v>0</v>
      </c>
      <c r="Q429" s="85">
        <v>0</v>
      </c>
      <c r="R429" s="85">
        <v>0</v>
      </c>
      <c r="S429" s="85">
        <v>0</v>
      </c>
      <c r="T429" s="85">
        <v>0</v>
      </c>
      <c r="U429" s="85">
        <v>0</v>
      </c>
      <c r="V429" s="85">
        <v>0</v>
      </c>
      <c r="W429" s="85">
        <v>0</v>
      </c>
      <c r="X429" s="85">
        <v>0</v>
      </c>
      <c r="Y429" s="85">
        <v>0</v>
      </c>
      <c r="Z429" s="85">
        <v>0</v>
      </c>
      <c r="AA429" s="85">
        <v>0</v>
      </c>
      <c r="AB429" s="85">
        <v>0</v>
      </c>
      <c r="AC429" s="85">
        <v>0</v>
      </c>
      <c r="AD429" s="85">
        <v>0</v>
      </c>
      <c r="AE429" s="85">
        <v>0</v>
      </c>
      <c r="AF429" s="85">
        <v>0</v>
      </c>
      <c r="AG429" s="85">
        <v>0</v>
      </c>
      <c r="AH429" s="85">
        <v>0</v>
      </c>
    </row>
    <row r="430" spans="2:34" ht="15">
      <c r="B430" s="49" t="s">
        <v>2052</v>
      </c>
      <c r="C430" s="49" t="s">
        <v>2052</v>
      </c>
      <c r="D430" s="86">
        <v>0</v>
      </c>
      <c r="E430" s="86">
        <v>0</v>
      </c>
      <c r="F430" s="86"/>
      <c r="G430" s="86">
        <v>0</v>
      </c>
      <c r="H430" s="86">
        <v>0</v>
      </c>
      <c r="I430" s="86">
        <v>0</v>
      </c>
      <c r="J430" s="86">
        <v>0</v>
      </c>
      <c r="K430" s="86">
        <v>0</v>
      </c>
      <c r="L430" s="86">
        <v>0</v>
      </c>
      <c r="M430" s="85">
        <v>0</v>
      </c>
      <c r="N430" s="85">
        <v>0</v>
      </c>
      <c r="O430" s="85">
        <v>0</v>
      </c>
      <c r="P430" s="85">
        <v>0</v>
      </c>
      <c r="Q430" s="85">
        <v>0</v>
      </c>
      <c r="R430" s="85">
        <v>0</v>
      </c>
      <c r="S430" s="85">
        <v>0</v>
      </c>
      <c r="T430" s="85">
        <v>0</v>
      </c>
      <c r="U430" s="85">
        <v>0</v>
      </c>
      <c r="V430" s="85">
        <v>0</v>
      </c>
      <c r="W430" s="85">
        <v>0</v>
      </c>
      <c r="X430" s="85">
        <v>0</v>
      </c>
      <c r="Y430" s="85">
        <v>0</v>
      </c>
      <c r="Z430" s="85">
        <v>0</v>
      </c>
      <c r="AA430" s="85">
        <v>0</v>
      </c>
      <c r="AB430" s="85">
        <v>0</v>
      </c>
      <c r="AC430" s="85">
        <v>0</v>
      </c>
      <c r="AD430" s="85">
        <v>0</v>
      </c>
      <c r="AE430" s="85">
        <v>0</v>
      </c>
      <c r="AF430" s="85">
        <v>0</v>
      </c>
      <c r="AG430" s="85">
        <v>0</v>
      </c>
      <c r="AH430" s="85">
        <v>0</v>
      </c>
    </row>
    <row r="431" spans="2:34" ht="15">
      <c r="B431" s="49" t="s">
        <v>2053</v>
      </c>
      <c r="C431" s="49" t="s">
        <v>2053</v>
      </c>
      <c r="D431" s="86">
        <v>0</v>
      </c>
      <c r="E431" s="86">
        <v>0</v>
      </c>
      <c r="F431" s="86"/>
      <c r="G431" s="86">
        <v>0</v>
      </c>
      <c r="H431" s="86">
        <v>0</v>
      </c>
      <c r="I431" s="86">
        <v>0</v>
      </c>
      <c r="J431" s="86">
        <v>0</v>
      </c>
      <c r="K431" s="86">
        <v>0</v>
      </c>
      <c r="L431" s="86">
        <v>0</v>
      </c>
      <c r="M431" s="85">
        <v>0</v>
      </c>
      <c r="N431" s="85">
        <v>0</v>
      </c>
      <c r="O431" s="85">
        <v>0</v>
      </c>
      <c r="P431" s="85">
        <v>0</v>
      </c>
      <c r="Q431" s="85">
        <v>0</v>
      </c>
      <c r="R431" s="85">
        <v>0</v>
      </c>
      <c r="S431" s="85">
        <v>0</v>
      </c>
      <c r="T431" s="85">
        <v>0</v>
      </c>
      <c r="U431" s="85">
        <v>0</v>
      </c>
      <c r="V431" s="85">
        <v>0</v>
      </c>
      <c r="W431" s="85">
        <v>0</v>
      </c>
      <c r="X431" s="85">
        <v>0</v>
      </c>
      <c r="Y431" s="85">
        <v>0</v>
      </c>
      <c r="Z431" s="85">
        <v>0</v>
      </c>
      <c r="AA431" s="85">
        <v>0</v>
      </c>
      <c r="AB431" s="85">
        <v>0</v>
      </c>
      <c r="AC431" s="85">
        <v>0</v>
      </c>
      <c r="AD431" s="85">
        <v>0</v>
      </c>
      <c r="AE431" s="85">
        <v>0</v>
      </c>
      <c r="AF431" s="85">
        <v>0</v>
      </c>
      <c r="AG431" s="85">
        <v>0</v>
      </c>
      <c r="AH431" s="85">
        <v>0</v>
      </c>
    </row>
    <row r="432" spans="2:34">
      <c r="B432" s="49" t="s">
        <v>2054</v>
      </c>
      <c r="C432" s="49" t="s">
        <v>2054</v>
      </c>
      <c r="D432" s="86">
        <v>0</v>
      </c>
      <c r="E432" s="86">
        <v>0</v>
      </c>
      <c r="F432" s="86"/>
      <c r="G432" s="86">
        <v>0</v>
      </c>
      <c r="H432" s="86">
        <v>0</v>
      </c>
      <c r="I432" s="86">
        <v>0</v>
      </c>
      <c r="J432" s="86">
        <v>0</v>
      </c>
      <c r="K432" s="86">
        <v>0</v>
      </c>
      <c r="L432" s="86">
        <v>0</v>
      </c>
      <c r="M432" s="86">
        <v>0</v>
      </c>
      <c r="N432" s="86">
        <v>0</v>
      </c>
      <c r="O432" s="86">
        <v>0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6">
        <v>0</v>
      </c>
      <c r="AA432" s="86">
        <v>0</v>
      </c>
      <c r="AB432" s="86">
        <v>0</v>
      </c>
      <c r="AC432" s="86">
        <v>0</v>
      </c>
      <c r="AD432" s="86">
        <v>0</v>
      </c>
      <c r="AE432" s="86">
        <v>0</v>
      </c>
      <c r="AF432" s="86">
        <v>0</v>
      </c>
      <c r="AG432" s="86">
        <v>0</v>
      </c>
      <c r="AH432" s="86">
        <v>0</v>
      </c>
    </row>
    <row r="433" spans="2:34">
      <c r="B433" s="43" t="s">
        <v>2070</v>
      </c>
      <c r="C433" s="43" t="s">
        <v>2070</v>
      </c>
      <c r="D433" s="87">
        <v>187917469656</v>
      </c>
      <c r="E433" s="87">
        <v>174030831774</v>
      </c>
      <c r="F433" s="87"/>
      <c r="G433" s="87">
        <v>152348621522</v>
      </c>
      <c r="H433" s="87">
        <v>180875489655</v>
      </c>
      <c r="I433" s="87">
        <v>153731838446</v>
      </c>
      <c r="J433" s="87">
        <v>153530531047</v>
      </c>
      <c r="K433" s="87">
        <v>170028374592</v>
      </c>
      <c r="L433" s="87">
        <v>156882530918</v>
      </c>
      <c r="M433" s="87">
        <v>135644488953</v>
      </c>
      <c r="N433" s="87">
        <v>145339291503</v>
      </c>
      <c r="O433" s="87">
        <v>117486792122</v>
      </c>
      <c r="P433" s="87">
        <v>131234783634</v>
      </c>
      <c r="Q433" s="87">
        <v>138711443940</v>
      </c>
      <c r="R433" s="87">
        <v>136287169160</v>
      </c>
      <c r="S433" s="87">
        <v>126063081937</v>
      </c>
      <c r="T433" s="87">
        <v>117680135232</v>
      </c>
      <c r="U433" s="87">
        <v>119362421394</v>
      </c>
      <c r="V433" s="87">
        <v>118821088120</v>
      </c>
      <c r="W433" s="87">
        <v>130419710070</v>
      </c>
      <c r="X433" s="87">
        <v>139665045440</v>
      </c>
      <c r="Y433" s="87">
        <v>257754356973</v>
      </c>
      <c r="Z433" s="87">
        <v>243308303267</v>
      </c>
      <c r="AA433" s="87">
        <v>197477426557</v>
      </c>
      <c r="AB433" s="87">
        <v>145906860788</v>
      </c>
      <c r="AC433" s="87">
        <v>179620502635</v>
      </c>
      <c r="AD433" s="87">
        <v>195147771600</v>
      </c>
      <c r="AE433" s="87">
        <v>171777829486</v>
      </c>
      <c r="AF433" s="87">
        <v>133722694082</v>
      </c>
      <c r="AG433" s="87">
        <v>153280224240</v>
      </c>
      <c r="AH433" s="87">
        <v>120710472916</v>
      </c>
    </row>
    <row r="434" spans="2:34">
      <c r="B434" s="49" t="s">
        <v>2055</v>
      </c>
      <c r="C434" s="1275" t="s">
        <v>2273</v>
      </c>
      <c r="D434" s="86">
        <v>187917469656</v>
      </c>
      <c r="E434" s="86">
        <v>174030831774</v>
      </c>
      <c r="F434" s="86"/>
      <c r="G434" s="86">
        <v>152348621522</v>
      </c>
      <c r="H434" s="86">
        <v>180875489655</v>
      </c>
      <c r="I434" s="86">
        <v>153731838446</v>
      </c>
      <c r="J434" s="86">
        <v>153530531047</v>
      </c>
      <c r="K434" s="86">
        <v>170028374592</v>
      </c>
      <c r="L434" s="86">
        <v>156882530918</v>
      </c>
      <c r="M434" s="86">
        <v>135644488953</v>
      </c>
      <c r="N434" s="86">
        <v>145339291503</v>
      </c>
      <c r="O434" s="86">
        <v>117486792122</v>
      </c>
      <c r="P434" s="86">
        <v>131234783634</v>
      </c>
      <c r="Q434" s="86">
        <v>138711443940</v>
      </c>
      <c r="R434" s="86">
        <v>136287169160</v>
      </c>
      <c r="S434" s="86">
        <v>126063081937</v>
      </c>
      <c r="T434" s="86">
        <v>117680135232</v>
      </c>
      <c r="U434" s="86">
        <v>119362421394</v>
      </c>
      <c r="V434" s="86">
        <v>118821088120</v>
      </c>
      <c r="W434" s="86">
        <v>130419710070</v>
      </c>
      <c r="X434" s="86">
        <v>139665045440</v>
      </c>
      <c r="Y434" s="86">
        <v>257754356973</v>
      </c>
      <c r="Z434" s="86">
        <v>248064741992</v>
      </c>
      <c r="AA434" s="86">
        <v>200610108291</v>
      </c>
      <c r="AB434" s="86">
        <v>149238370587</v>
      </c>
      <c r="AC434" s="86">
        <v>183277007399</v>
      </c>
      <c r="AD434" s="86">
        <v>198780569753</v>
      </c>
      <c r="AE434" s="86">
        <v>174636719339</v>
      </c>
      <c r="AF434" s="86">
        <v>140998631968</v>
      </c>
      <c r="AG434" s="86">
        <v>158316241009</v>
      </c>
      <c r="AH434" s="86">
        <v>125478038819</v>
      </c>
    </row>
    <row r="435" spans="2:34">
      <c r="B435" s="50" t="s">
        <v>1766</v>
      </c>
      <c r="C435" s="1275" t="s">
        <v>1766</v>
      </c>
      <c r="D435" s="86">
        <v>115874820390</v>
      </c>
      <c r="E435" s="86">
        <v>105373730246</v>
      </c>
      <c r="F435" s="86"/>
      <c r="G435" s="86">
        <v>106315865538</v>
      </c>
      <c r="H435" s="86">
        <v>123990345493</v>
      </c>
      <c r="I435" s="86">
        <v>117767316237</v>
      </c>
      <c r="J435" s="86">
        <v>120002730369</v>
      </c>
      <c r="K435" s="86">
        <v>125598609591</v>
      </c>
      <c r="L435" s="86">
        <v>112885521086</v>
      </c>
      <c r="M435" s="86">
        <v>95690323098</v>
      </c>
      <c r="N435" s="86">
        <v>105023447001</v>
      </c>
      <c r="O435" s="86">
        <v>96383633410</v>
      </c>
      <c r="P435" s="86">
        <v>103901904266</v>
      </c>
      <c r="Q435" s="86">
        <v>101166275594</v>
      </c>
      <c r="R435" s="86">
        <v>109527704662</v>
      </c>
      <c r="S435" s="86">
        <v>102091848708</v>
      </c>
      <c r="T435" s="86">
        <v>97960128501</v>
      </c>
      <c r="U435" s="86">
        <v>93577686945</v>
      </c>
      <c r="V435" s="86">
        <v>100443116768</v>
      </c>
      <c r="W435" s="86">
        <v>129189161622</v>
      </c>
      <c r="X435" s="86">
        <v>142649577804</v>
      </c>
      <c r="Y435" s="86">
        <v>250433188657</v>
      </c>
      <c r="Z435" s="86">
        <v>235822457591</v>
      </c>
      <c r="AA435" s="86">
        <v>190934574945</v>
      </c>
      <c r="AB435" s="86">
        <v>151057174304</v>
      </c>
      <c r="AC435" s="86">
        <v>182198984440</v>
      </c>
      <c r="AD435" s="86">
        <v>198106462090</v>
      </c>
      <c r="AE435" s="86">
        <v>171058388758</v>
      </c>
      <c r="AF435" s="86">
        <v>135170051672</v>
      </c>
      <c r="AG435" s="86">
        <v>149060495583</v>
      </c>
      <c r="AH435" s="86">
        <v>117595742048</v>
      </c>
    </row>
    <row r="436" spans="2:34">
      <c r="B436" s="50" t="s">
        <v>1780</v>
      </c>
      <c r="C436" s="1275" t="s">
        <v>1780</v>
      </c>
      <c r="D436" s="86">
        <v>1037170578</v>
      </c>
      <c r="E436" s="86">
        <v>1088966797</v>
      </c>
      <c r="F436" s="86"/>
      <c r="G436" s="86">
        <v>798803024</v>
      </c>
      <c r="H436" s="86">
        <v>822286066</v>
      </c>
      <c r="I436" s="86">
        <v>858896198</v>
      </c>
      <c r="J436" s="86">
        <v>0</v>
      </c>
      <c r="K436" s="86">
        <v>0</v>
      </c>
      <c r="L436" s="86">
        <v>92115192</v>
      </c>
      <c r="M436" s="86">
        <v>0</v>
      </c>
      <c r="N436" s="86">
        <v>350147326</v>
      </c>
      <c r="O436" s="86">
        <v>20746607</v>
      </c>
      <c r="P436" s="86">
        <v>-1566291143</v>
      </c>
      <c r="Q436" s="86">
        <v>1516393810</v>
      </c>
      <c r="R436" s="86">
        <v>2295135659</v>
      </c>
      <c r="S436" s="86">
        <v>1428449386</v>
      </c>
      <c r="T436" s="86">
        <v>1484641688</v>
      </c>
      <c r="U436" s="86">
        <v>1776074011</v>
      </c>
      <c r="V436" s="86">
        <v>1576134530</v>
      </c>
      <c r="W436" s="86">
        <v>4007478747</v>
      </c>
      <c r="X436" s="86">
        <v>1711681147</v>
      </c>
      <c r="Y436" s="86">
        <v>4038671346</v>
      </c>
      <c r="Z436" s="86">
        <v>2970912845</v>
      </c>
      <c r="AA436" s="86">
        <v>2826506975</v>
      </c>
      <c r="AB436" s="86">
        <v>0</v>
      </c>
      <c r="AC436" s="86">
        <v>0</v>
      </c>
      <c r="AD436" s="86">
        <v>0</v>
      </c>
      <c r="AE436" s="86">
        <v>0</v>
      </c>
      <c r="AF436" s="86">
        <v>0</v>
      </c>
      <c r="AG436" s="86">
        <v>0</v>
      </c>
      <c r="AH436" s="86">
        <v>0</v>
      </c>
    </row>
    <row r="437" spans="2:34" ht="15">
      <c r="B437" s="50" t="s">
        <v>1768</v>
      </c>
      <c r="C437" s="1275" t="s">
        <v>1768</v>
      </c>
      <c r="D437" s="86">
        <v>0</v>
      </c>
      <c r="E437" s="86">
        <v>0</v>
      </c>
      <c r="F437" s="86"/>
      <c r="G437" s="86">
        <v>0</v>
      </c>
      <c r="H437" s="86">
        <v>0</v>
      </c>
      <c r="I437" s="86">
        <v>0</v>
      </c>
      <c r="J437" s="86">
        <v>0</v>
      </c>
      <c r="K437" s="86">
        <v>0</v>
      </c>
      <c r="L437" s="86">
        <v>0</v>
      </c>
      <c r="M437" s="86">
        <v>0</v>
      </c>
      <c r="N437" s="86">
        <v>0</v>
      </c>
      <c r="O437" s="85">
        <v>0</v>
      </c>
      <c r="P437" s="85">
        <v>0</v>
      </c>
      <c r="Q437" s="85">
        <v>0</v>
      </c>
      <c r="R437" s="85">
        <v>0</v>
      </c>
      <c r="S437" s="85">
        <v>0</v>
      </c>
      <c r="T437" s="85">
        <v>0</v>
      </c>
      <c r="U437" s="85">
        <v>0</v>
      </c>
      <c r="V437" s="85">
        <v>0</v>
      </c>
      <c r="W437" s="85">
        <v>-307441880</v>
      </c>
      <c r="X437" s="85">
        <v>-147822680</v>
      </c>
      <c r="Y437" s="85">
        <v>-49265231</v>
      </c>
      <c r="Z437" s="85">
        <v>-457528179</v>
      </c>
      <c r="AA437" s="85">
        <v>-1012256749</v>
      </c>
      <c r="AB437" s="85">
        <v>-660604468</v>
      </c>
      <c r="AC437" s="85">
        <v>-84566962</v>
      </c>
      <c r="AD437" s="85">
        <v>-132203552</v>
      </c>
      <c r="AE437" s="85">
        <v>389897763</v>
      </c>
      <c r="AF437" s="85">
        <v>135520255</v>
      </c>
      <c r="AG437" s="85">
        <v>572971197</v>
      </c>
      <c r="AH437" s="85">
        <v>163951534</v>
      </c>
    </row>
    <row r="438" spans="2:34">
      <c r="B438" s="50" t="s">
        <v>1769</v>
      </c>
      <c r="C438" s="1275" t="s">
        <v>1769</v>
      </c>
      <c r="D438" s="86">
        <v>0</v>
      </c>
      <c r="E438" s="86">
        <v>0</v>
      </c>
      <c r="F438" s="86"/>
      <c r="G438" s="86">
        <v>0</v>
      </c>
      <c r="H438" s="86">
        <v>0</v>
      </c>
      <c r="I438" s="86">
        <v>0</v>
      </c>
      <c r="J438" s="86">
        <v>0</v>
      </c>
      <c r="K438" s="86">
        <v>0</v>
      </c>
      <c r="L438" s="86">
        <v>0</v>
      </c>
      <c r="M438" s="86">
        <v>0</v>
      </c>
      <c r="N438" s="86">
        <v>0</v>
      </c>
      <c r="O438" s="86">
        <v>0</v>
      </c>
      <c r="P438" s="86">
        <v>63525000</v>
      </c>
      <c r="Q438" s="86">
        <v>133190167</v>
      </c>
      <c r="R438" s="86">
        <v>850614909</v>
      </c>
      <c r="S438" s="86">
        <v>647510398</v>
      </c>
      <c r="T438" s="86">
        <v>2482912693</v>
      </c>
      <c r="U438" s="86">
        <v>5984002771</v>
      </c>
      <c r="V438" s="86">
        <v>2744526866</v>
      </c>
      <c r="W438" s="86">
        <v>-3047956723</v>
      </c>
      <c r="X438" s="86">
        <v>-1062855689</v>
      </c>
      <c r="Y438" s="86">
        <v>-444081383</v>
      </c>
      <c r="Z438" s="86">
        <v>-1317618501</v>
      </c>
      <c r="AA438" s="86">
        <v>-2274186228</v>
      </c>
      <c r="AB438" s="86">
        <v>-1112481938</v>
      </c>
      <c r="AC438" s="86">
        <v>827754449</v>
      </c>
      <c r="AD438" s="86">
        <v>451986315</v>
      </c>
      <c r="AE438" s="86">
        <v>2212720261</v>
      </c>
      <c r="AF438" s="86">
        <v>3506143907</v>
      </c>
      <c r="AG438" s="86">
        <v>5458112162</v>
      </c>
      <c r="AH438" s="86">
        <v>5313196158</v>
      </c>
    </row>
    <row r="439" spans="2:34">
      <c r="B439" s="50" t="s">
        <v>1770</v>
      </c>
      <c r="C439" s="1275" t="s">
        <v>1770</v>
      </c>
      <c r="D439" s="86">
        <v>-1117342046</v>
      </c>
      <c r="E439" s="86">
        <v>-433350235</v>
      </c>
      <c r="F439" s="86"/>
      <c r="G439" s="86">
        <v>163059258</v>
      </c>
      <c r="H439" s="86">
        <v>679943389</v>
      </c>
      <c r="I439" s="86">
        <v>492376289</v>
      </c>
      <c r="J439" s="86">
        <v>174107249</v>
      </c>
      <c r="K439" s="86">
        <v>490257679</v>
      </c>
      <c r="L439" s="86">
        <v>690045634</v>
      </c>
      <c r="M439" s="86">
        <v>949486294</v>
      </c>
      <c r="N439" s="86">
        <v>-2301255451</v>
      </c>
      <c r="O439" s="86">
        <v>467690882</v>
      </c>
      <c r="P439" s="86">
        <v>-48177009</v>
      </c>
      <c r="Q439" s="86">
        <v>209165507</v>
      </c>
      <c r="R439" s="86">
        <v>583836569</v>
      </c>
      <c r="S439" s="86">
        <v>1089991357</v>
      </c>
      <c r="T439" s="86">
        <v>2681314762</v>
      </c>
      <c r="U439" s="86">
        <v>3299415987</v>
      </c>
      <c r="V439" s="86">
        <v>2183507835</v>
      </c>
      <c r="W439" s="86">
        <v>-142130433</v>
      </c>
      <c r="X439" s="86">
        <v>151077339</v>
      </c>
      <c r="Y439" s="86">
        <v>58390106</v>
      </c>
      <c r="Z439" s="86">
        <v>-371793519</v>
      </c>
      <c r="AA439" s="86">
        <v>-877166156</v>
      </c>
      <c r="AB439" s="86">
        <v>-45717311</v>
      </c>
      <c r="AC439" s="86">
        <v>334835472</v>
      </c>
      <c r="AD439" s="86">
        <v>354324900</v>
      </c>
      <c r="AE439" s="86">
        <v>975712557</v>
      </c>
      <c r="AF439" s="86">
        <v>2186916134</v>
      </c>
      <c r="AG439" s="86">
        <v>3224662067</v>
      </c>
      <c r="AH439" s="86">
        <v>2405149079</v>
      </c>
    </row>
    <row r="440" spans="2:34">
      <c r="B440" s="50" t="s">
        <v>1771</v>
      </c>
      <c r="C440" s="1275" t="s">
        <v>1771</v>
      </c>
      <c r="D440" s="86">
        <v>41203129671</v>
      </c>
      <c r="E440" s="86">
        <v>36146047693</v>
      </c>
      <c r="F440" s="86"/>
      <c r="G440" s="86">
        <v>45070893702</v>
      </c>
      <c r="H440" s="86">
        <v>55382914707</v>
      </c>
      <c r="I440" s="86">
        <v>39030168040</v>
      </c>
      <c r="J440" s="86">
        <v>37859778095</v>
      </c>
      <c r="K440" s="86">
        <v>44230590848</v>
      </c>
      <c r="L440" s="86">
        <v>43642564232</v>
      </c>
      <c r="M440" s="86">
        <v>39384011496</v>
      </c>
      <c r="N440" s="86">
        <v>42614984454</v>
      </c>
      <c r="O440" s="86">
        <v>22738334556</v>
      </c>
      <c r="P440" s="86">
        <v>30859431056</v>
      </c>
      <c r="Q440" s="86">
        <v>37965210320</v>
      </c>
      <c r="R440" s="86">
        <v>25267130370</v>
      </c>
      <c r="S440" s="86">
        <v>25211962050</v>
      </c>
      <c r="T440" s="86">
        <v>14184233134</v>
      </c>
      <c r="U440" s="86">
        <v>15835416282</v>
      </c>
      <c r="V440" s="86">
        <v>15089482883</v>
      </c>
      <c r="W440" s="86">
        <v>2346204710</v>
      </c>
      <c r="X440" s="86">
        <v>-651162571</v>
      </c>
      <c r="Y440" s="86">
        <v>6315836452</v>
      </c>
      <c r="Z440" s="86">
        <v>10370260851</v>
      </c>
      <c r="AA440" s="86">
        <v>10756414094</v>
      </c>
      <c r="AB440" s="86">
        <v>0</v>
      </c>
      <c r="AC440" s="86">
        <v>0</v>
      </c>
      <c r="AD440" s="86">
        <v>0</v>
      </c>
      <c r="AE440" s="86">
        <v>0</v>
      </c>
      <c r="AF440" s="86">
        <v>0</v>
      </c>
      <c r="AG440" s="86">
        <v>0</v>
      </c>
      <c r="AH440" s="86">
        <v>0</v>
      </c>
    </row>
    <row r="441" spans="2:34">
      <c r="B441" s="50" t="s">
        <v>2056</v>
      </c>
      <c r="C441" s="1275" t="s">
        <v>2056</v>
      </c>
      <c r="D441" s="86">
        <v>30919691063</v>
      </c>
      <c r="E441" s="86">
        <v>31855437273</v>
      </c>
      <c r="F441" s="86"/>
      <c r="G441" s="86">
        <v>0</v>
      </c>
      <c r="H441" s="86">
        <v>0</v>
      </c>
      <c r="I441" s="86">
        <v>0</v>
      </c>
      <c r="J441" s="86">
        <v>0</v>
      </c>
      <c r="K441" s="86">
        <v>0</v>
      </c>
      <c r="L441" s="86">
        <v>0</v>
      </c>
      <c r="M441" s="86">
        <v>0</v>
      </c>
      <c r="N441" s="86">
        <v>0</v>
      </c>
      <c r="O441" s="86">
        <v>0</v>
      </c>
      <c r="P441" s="86">
        <v>0</v>
      </c>
      <c r="Q441" s="86">
        <v>0</v>
      </c>
      <c r="R441" s="86">
        <v>0</v>
      </c>
      <c r="S441" s="86">
        <v>0</v>
      </c>
      <c r="T441" s="86">
        <v>3277699543</v>
      </c>
      <c r="U441" s="86">
        <v>3241309214</v>
      </c>
      <c r="V441" s="86">
        <v>1296146118</v>
      </c>
      <c r="W441" s="86">
        <v>2457141670</v>
      </c>
      <c r="X441" s="86">
        <v>1335775285</v>
      </c>
      <c r="Y441" s="86">
        <v>1912929422</v>
      </c>
      <c r="Z441" s="86">
        <v>1048050904</v>
      </c>
      <c r="AA441" s="86">
        <v>256221410</v>
      </c>
      <c r="AB441" s="86">
        <v>0</v>
      </c>
      <c r="AC441" s="86">
        <v>0</v>
      </c>
      <c r="AD441" s="86">
        <v>0</v>
      </c>
      <c r="AE441" s="86">
        <v>0</v>
      </c>
      <c r="AF441" s="86">
        <v>0</v>
      </c>
      <c r="AG441" s="86">
        <v>0</v>
      </c>
      <c r="AH441" s="86">
        <v>0</v>
      </c>
    </row>
    <row r="442" spans="2:34">
      <c r="B442" s="51" t="s">
        <v>1776</v>
      </c>
      <c r="C442" s="1275" t="s">
        <v>1776</v>
      </c>
      <c r="D442" s="86">
        <v>30919691063</v>
      </c>
      <c r="E442" s="86">
        <v>31855437273</v>
      </c>
      <c r="F442" s="86"/>
      <c r="G442" s="86">
        <v>0</v>
      </c>
      <c r="H442" s="86">
        <v>0</v>
      </c>
      <c r="I442" s="86">
        <v>0</v>
      </c>
      <c r="J442" s="86">
        <v>0</v>
      </c>
      <c r="K442" s="86">
        <v>0</v>
      </c>
      <c r="L442" s="86">
        <v>0</v>
      </c>
      <c r="M442" s="86">
        <v>0</v>
      </c>
      <c r="N442" s="86">
        <v>0</v>
      </c>
      <c r="O442" s="86">
        <v>0</v>
      </c>
      <c r="P442" s="86">
        <v>0</v>
      </c>
      <c r="Q442" s="86">
        <v>0</v>
      </c>
      <c r="R442" s="86">
        <v>0</v>
      </c>
      <c r="S442" s="86">
        <v>0</v>
      </c>
      <c r="T442" s="86">
        <v>-1046442335</v>
      </c>
      <c r="U442" s="86">
        <v>-1034824314</v>
      </c>
      <c r="V442" s="86">
        <v>-413809183</v>
      </c>
      <c r="W442" s="86">
        <v>-784470032</v>
      </c>
      <c r="X442" s="86">
        <v>-426461239</v>
      </c>
      <c r="Y442" s="86">
        <v>-610724169</v>
      </c>
      <c r="Z442" s="86">
        <v>0</v>
      </c>
      <c r="AA442" s="86">
        <v>0</v>
      </c>
      <c r="AB442" s="86">
        <v>0</v>
      </c>
      <c r="AC442" s="86">
        <v>0</v>
      </c>
      <c r="AD442" s="86">
        <v>0</v>
      </c>
      <c r="AE442" s="86">
        <v>0</v>
      </c>
      <c r="AF442" s="86">
        <v>0</v>
      </c>
      <c r="AG442" s="86">
        <v>0</v>
      </c>
      <c r="AH442" s="86">
        <v>0</v>
      </c>
    </row>
    <row r="443" spans="2:34" ht="15">
      <c r="B443" s="51" t="s">
        <v>1777</v>
      </c>
      <c r="C443" s="1275" t="s">
        <v>1777</v>
      </c>
      <c r="D443" s="86">
        <v>0</v>
      </c>
      <c r="E443" s="86">
        <v>0</v>
      </c>
      <c r="F443" s="86"/>
      <c r="G443" s="86">
        <v>0</v>
      </c>
      <c r="H443" s="86">
        <v>0</v>
      </c>
      <c r="I443" s="86">
        <v>0</v>
      </c>
      <c r="J443" s="86">
        <v>0</v>
      </c>
      <c r="K443" s="86">
        <v>0</v>
      </c>
      <c r="L443" s="86">
        <v>0</v>
      </c>
      <c r="M443" s="85">
        <v>0</v>
      </c>
      <c r="N443" s="85">
        <v>0</v>
      </c>
      <c r="O443" s="85">
        <v>0</v>
      </c>
      <c r="P443" s="85">
        <v>0</v>
      </c>
      <c r="Q443" s="85">
        <v>0</v>
      </c>
      <c r="R443" s="85">
        <v>0</v>
      </c>
      <c r="S443" s="85">
        <v>0</v>
      </c>
      <c r="T443" s="85">
        <v>0</v>
      </c>
      <c r="U443" s="85">
        <v>0</v>
      </c>
      <c r="V443" s="85">
        <v>0</v>
      </c>
      <c r="W443" s="85">
        <v>0</v>
      </c>
      <c r="X443" s="85">
        <v>0</v>
      </c>
      <c r="Y443" s="85">
        <v>0</v>
      </c>
      <c r="Z443" s="85">
        <v>0</v>
      </c>
      <c r="AA443" s="85">
        <v>0</v>
      </c>
      <c r="AB443" s="85">
        <v>0</v>
      </c>
      <c r="AC443" s="85">
        <v>0</v>
      </c>
      <c r="AD443" s="85">
        <v>0</v>
      </c>
      <c r="AE443" s="85">
        <v>0</v>
      </c>
      <c r="AF443" s="85">
        <v>0</v>
      </c>
      <c r="AG443" s="85">
        <v>0</v>
      </c>
      <c r="AH443" s="85">
        <v>0</v>
      </c>
    </row>
    <row r="444" spans="2:34">
      <c r="B444" s="51" t="s">
        <v>923</v>
      </c>
      <c r="C444" s="1275" t="s">
        <v>923</v>
      </c>
      <c r="D444" s="86">
        <v>0</v>
      </c>
      <c r="E444" s="86">
        <v>0</v>
      </c>
      <c r="F444" s="86"/>
      <c r="G444" s="86">
        <v>0</v>
      </c>
      <c r="H444" s="86">
        <v>0</v>
      </c>
      <c r="I444" s="86">
        <v>0</v>
      </c>
      <c r="J444" s="86">
        <v>0</v>
      </c>
      <c r="K444" s="86">
        <v>0</v>
      </c>
      <c r="L444" s="86">
        <v>0</v>
      </c>
      <c r="M444" s="86">
        <v>0</v>
      </c>
      <c r="N444" s="86">
        <v>0</v>
      </c>
      <c r="O444" s="86">
        <v>0</v>
      </c>
      <c r="P444" s="86">
        <v>0</v>
      </c>
      <c r="Q444" s="86">
        <v>0</v>
      </c>
      <c r="R444" s="86">
        <v>0</v>
      </c>
      <c r="S444" s="86">
        <v>0</v>
      </c>
      <c r="T444" s="86">
        <v>4324141878</v>
      </c>
      <c r="U444" s="86">
        <v>4276133528</v>
      </c>
      <c r="V444" s="86">
        <v>1709955301</v>
      </c>
      <c r="W444" s="86">
        <v>3241611702</v>
      </c>
      <c r="X444" s="86">
        <v>1762236524</v>
      </c>
      <c r="Y444" s="86">
        <v>2523653591</v>
      </c>
      <c r="Z444" s="86">
        <v>1048050904</v>
      </c>
      <c r="AA444" s="86">
        <v>256221410</v>
      </c>
      <c r="AB444" s="86">
        <v>0</v>
      </c>
      <c r="AC444" s="86">
        <v>0</v>
      </c>
      <c r="AD444" s="86">
        <v>0</v>
      </c>
      <c r="AE444" s="86">
        <v>0</v>
      </c>
      <c r="AF444" s="86">
        <v>0</v>
      </c>
      <c r="AG444" s="86">
        <v>0</v>
      </c>
      <c r="AH444" s="86">
        <v>0</v>
      </c>
    </row>
    <row r="445" spans="2:34">
      <c r="B445" s="1277"/>
      <c r="C445" s="1279" t="s">
        <v>2274</v>
      </c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>
        <v>0</v>
      </c>
      <c r="AC445" s="86">
        <v>0</v>
      </c>
      <c r="AD445" s="86">
        <v>0</v>
      </c>
      <c r="AE445" s="86">
        <v>0</v>
      </c>
      <c r="AF445" s="86">
        <v>0</v>
      </c>
      <c r="AG445" s="86">
        <v>0</v>
      </c>
      <c r="AH445" s="86">
        <v>0</v>
      </c>
    </row>
    <row r="446" spans="2:34">
      <c r="B446" s="50" t="s">
        <v>2057</v>
      </c>
      <c r="C446" s="1275" t="s">
        <v>1778</v>
      </c>
      <c r="D446" s="86">
        <v>0</v>
      </c>
      <c r="E446" s="86">
        <v>0</v>
      </c>
      <c r="F446" s="86"/>
      <c r="G446" s="86">
        <v>0</v>
      </c>
      <c r="H446" s="86">
        <v>0</v>
      </c>
      <c r="I446" s="86">
        <v>-4416918318</v>
      </c>
      <c r="J446" s="86">
        <v>-4506084666</v>
      </c>
      <c r="K446" s="86">
        <v>-291083526</v>
      </c>
      <c r="L446" s="86">
        <v>-427715226</v>
      </c>
      <c r="M446" s="86">
        <v>-379331935</v>
      </c>
      <c r="N446" s="86">
        <v>-348031827</v>
      </c>
      <c r="O446" s="86">
        <v>-2123613333</v>
      </c>
      <c r="P446" s="86">
        <v>-1975608536</v>
      </c>
      <c r="Q446" s="86">
        <v>-2278791458</v>
      </c>
      <c r="R446" s="86">
        <v>-2237253009</v>
      </c>
      <c r="S446" s="86">
        <v>-4406679962</v>
      </c>
      <c r="T446" s="86">
        <v>-4390795089</v>
      </c>
      <c r="U446" s="86">
        <v>-4351483816</v>
      </c>
      <c r="V446" s="86">
        <v>-4511826880</v>
      </c>
      <c r="W446" s="86">
        <v>-4082747643</v>
      </c>
      <c r="X446" s="86">
        <v>-4321225195</v>
      </c>
      <c r="Y446" s="86">
        <v>-4511312396</v>
      </c>
      <c r="Z446" s="86">
        <v>0</v>
      </c>
      <c r="AA446" s="86">
        <v>0</v>
      </c>
      <c r="AB446" s="86">
        <v>0</v>
      </c>
      <c r="AC446" s="86">
        <v>0</v>
      </c>
      <c r="AD446" s="86">
        <v>0</v>
      </c>
      <c r="AE446" s="86">
        <v>0</v>
      </c>
      <c r="AF446" s="86">
        <v>0</v>
      </c>
      <c r="AG446" s="86">
        <v>0</v>
      </c>
      <c r="AH446" s="86">
        <v>0</v>
      </c>
    </row>
    <row r="447" spans="2:34">
      <c r="B447" s="1276"/>
      <c r="C447" s="1279" t="s">
        <v>2275</v>
      </c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>
        <v>0</v>
      </c>
      <c r="AC447" s="86">
        <v>0</v>
      </c>
      <c r="AD447" s="86">
        <v>226539372</v>
      </c>
      <c r="AE447" s="86">
        <v>2385080422</v>
      </c>
      <c r="AF447" s="86">
        <v>2385080422</v>
      </c>
      <c r="AG447" s="86">
        <v>2385080422</v>
      </c>
      <c r="AH447" s="86">
        <v>2385080422</v>
      </c>
    </row>
    <row r="448" spans="2:34" ht="15">
      <c r="B448" s="49" t="s">
        <v>1261</v>
      </c>
      <c r="C448" s="1275" t="s">
        <v>2276</v>
      </c>
      <c r="D448" s="86">
        <v>0</v>
      </c>
      <c r="E448" s="86">
        <v>0</v>
      </c>
      <c r="F448" s="86"/>
      <c r="G448" s="86">
        <v>0</v>
      </c>
      <c r="H448" s="86">
        <v>0</v>
      </c>
      <c r="I448" s="86">
        <v>0</v>
      </c>
      <c r="J448" s="86">
        <v>0</v>
      </c>
      <c r="K448" s="86">
        <v>0</v>
      </c>
      <c r="L448" s="86">
        <v>0</v>
      </c>
      <c r="M448" s="85">
        <v>0</v>
      </c>
      <c r="N448" s="85">
        <v>0</v>
      </c>
      <c r="O448" s="85">
        <v>0</v>
      </c>
      <c r="P448" s="85">
        <v>0</v>
      </c>
      <c r="Q448" s="85">
        <v>0</v>
      </c>
      <c r="R448" s="85">
        <v>0</v>
      </c>
      <c r="S448" s="85">
        <v>0</v>
      </c>
      <c r="T448" s="85">
        <v>0</v>
      </c>
      <c r="U448" s="85">
        <v>0</v>
      </c>
      <c r="V448" s="85">
        <v>0</v>
      </c>
      <c r="W448" s="85">
        <v>0</v>
      </c>
      <c r="X448" s="85">
        <v>0</v>
      </c>
      <c r="Y448" s="85">
        <v>0</v>
      </c>
      <c r="Z448" s="85">
        <v>0</v>
      </c>
      <c r="AA448" s="85">
        <v>0</v>
      </c>
      <c r="AB448" s="85">
        <v>0</v>
      </c>
      <c r="AC448" s="85">
        <v>0</v>
      </c>
      <c r="AD448" s="85">
        <v>0</v>
      </c>
      <c r="AE448" s="85">
        <v>0</v>
      </c>
      <c r="AF448" s="85">
        <v>0</v>
      </c>
      <c r="AG448" s="85">
        <v>0</v>
      </c>
      <c r="AH448" s="85">
        <v>0</v>
      </c>
    </row>
    <row r="449" spans="2:34" ht="15">
      <c r="B449" s="49" t="s">
        <v>1262</v>
      </c>
      <c r="C449" s="1275" t="s">
        <v>2277</v>
      </c>
      <c r="D449" s="86">
        <v>0</v>
      </c>
      <c r="E449" s="86">
        <v>0</v>
      </c>
      <c r="F449" s="86"/>
      <c r="G449" s="86">
        <v>0</v>
      </c>
      <c r="H449" s="86">
        <v>0</v>
      </c>
      <c r="I449" s="86">
        <v>0</v>
      </c>
      <c r="J449" s="86">
        <v>0</v>
      </c>
      <c r="K449" s="86">
        <v>0</v>
      </c>
      <c r="L449" s="86">
        <v>0</v>
      </c>
      <c r="M449" s="85">
        <v>0</v>
      </c>
      <c r="N449" s="85">
        <v>0</v>
      </c>
      <c r="O449" s="85">
        <v>0</v>
      </c>
      <c r="P449" s="85">
        <v>0</v>
      </c>
      <c r="Q449" s="85">
        <v>0</v>
      </c>
      <c r="R449" s="85">
        <v>0</v>
      </c>
      <c r="S449" s="85">
        <v>0</v>
      </c>
      <c r="T449" s="85">
        <v>0</v>
      </c>
      <c r="U449" s="85">
        <v>0</v>
      </c>
      <c r="V449" s="85">
        <v>0</v>
      </c>
      <c r="W449" s="85">
        <v>0</v>
      </c>
      <c r="X449" s="85">
        <v>0</v>
      </c>
      <c r="Y449" s="85">
        <v>0</v>
      </c>
      <c r="Z449" s="85">
        <v>0</v>
      </c>
      <c r="AA449" s="85">
        <v>0</v>
      </c>
      <c r="AB449" s="85">
        <v>0</v>
      </c>
      <c r="AC449" s="85">
        <v>0</v>
      </c>
      <c r="AD449" s="85">
        <v>0</v>
      </c>
      <c r="AE449" s="85">
        <v>0</v>
      </c>
      <c r="AF449" s="85">
        <v>0</v>
      </c>
      <c r="AG449" s="85">
        <v>0</v>
      </c>
      <c r="AH449" s="85">
        <v>0</v>
      </c>
    </row>
    <row r="450" spans="2:34">
      <c r="B450" s="49" t="s">
        <v>2058</v>
      </c>
      <c r="C450" s="1275" t="s">
        <v>2278</v>
      </c>
      <c r="D450" s="86">
        <v>0</v>
      </c>
      <c r="E450" s="86">
        <v>0</v>
      </c>
      <c r="F450" s="86"/>
      <c r="G450" s="86">
        <v>0</v>
      </c>
      <c r="H450" s="86">
        <v>0</v>
      </c>
      <c r="I450" s="86">
        <v>0</v>
      </c>
      <c r="J450" s="86">
        <v>0</v>
      </c>
      <c r="K450" s="86">
        <v>0</v>
      </c>
      <c r="L450" s="86">
        <v>0</v>
      </c>
      <c r="M450" s="86">
        <v>0</v>
      </c>
      <c r="N450" s="86">
        <v>0</v>
      </c>
      <c r="O450" s="86">
        <v>0</v>
      </c>
      <c r="P450" s="86">
        <v>0</v>
      </c>
      <c r="Q450" s="86">
        <v>0</v>
      </c>
      <c r="R450" s="86">
        <v>0</v>
      </c>
      <c r="S450" s="86">
        <v>0</v>
      </c>
      <c r="T450" s="86">
        <v>0</v>
      </c>
      <c r="U450" s="86">
        <v>0</v>
      </c>
      <c r="V450" s="86">
        <v>0</v>
      </c>
      <c r="W450" s="86">
        <v>0</v>
      </c>
      <c r="X450" s="86">
        <v>0</v>
      </c>
      <c r="Y450" s="86">
        <v>0</v>
      </c>
      <c r="Z450" s="86">
        <v>0</v>
      </c>
      <c r="AA450" s="86">
        <v>0</v>
      </c>
      <c r="AB450" s="86">
        <v>0</v>
      </c>
      <c r="AC450" s="86">
        <v>0</v>
      </c>
      <c r="AD450" s="86">
        <v>0</v>
      </c>
      <c r="AE450" s="86">
        <v>0</v>
      </c>
      <c r="AF450" s="86">
        <v>0</v>
      </c>
      <c r="AG450" s="86">
        <v>0</v>
      </c>
      <c r="AH450" s="86">
        <v>0</v>
      </c>
    </row>
    <row r="451" spans="2:34" ht="15">
      <c r="B451" s="49" t="s">
        <v>2059</v>
      </c>
      <c r="C451" s="1275" t="s">
        <v>2279</v>
      </c>
      <c r="D451" s="86">
        <v>0</v>
      </c>
      <c r="E451" s="86">
        <v>0</v>
      </c>
      <c r="F451" s="86"/>
      <c r="G451" s="86">
        <v>0</v>
      </c>
      <c r="H451" s="86">
        <v>0</v>
      </c>
      <c r="I451" s="86">
        <v>0</v>
      </c>
      <c r="J451" s="86">
        <v>0</v>
      </c>
      <c r="K451" s="86">
        <v>0</v>
      </c>
      <c r="L451" s="86">
        <v>0</v>
      </c>
      <c r="M451" s="85">
        <v>0</v>
      </c>
      <c r="N451" s="85">
        <v>0</v>
      </c>
      <c r="O451" s="85">
        <v>0</v>
      </c>
      <c r="P451" s="85">
        <v>0</v>
      </c>
      <c r="Q451" s="85">
        <v>0</v>
      </c>
      <c r="R451" s="85">
        <v>0</v>
      </c>
      <c r="S451" s="85">
        <v>0</v>
      </c>
      <c r="T451" s="85">
        <v>0</v>
      </c>
      <c r="U451" s="85">
        <v>0</v>
      </c>
      <c r="V451" s="85">
        <v>0</v>
      </c>
      <c r="W451" s="85">
        <v>0</v>
      </c>
      <c r="X451" s="85">
        <v>0</v>
      </c>
      <c r="Y451" s="85">
        <v>0</v>
      </c>
      <c r="Z451" s="85">
        <v>0</v>
      </c>
      <c r="AA451" s="85">
        <v>0</v>
      </c>
      <c r="AB451" s="85">
        <v>0</v>
      </c>
      <c r="AC451" s="85">
        <v>0</v>
      </c>
      <c r="AD451" s="85">
        <v>0</v>
      </c>
      <c r="AE451" s="85">
        <v>0</v>
      </c>
      <c r="AF451" s="85">
        <v>0</v>
      </c>
      <c r="AG451" s="85">
        <v>0</v>
      </c>
      <c r="AH451" s="85">
        <v>0</v>
      </c>
    </row>
    <row r="452" spans="2:34" ht="15">
      <c r="B452" s="49" t="s">
        <v>1264</v>
      </c>
      <c r="C452" s="1275" t="s">
        <v>2280</v>
      </c>
      <c r="D452" s="86">
        <v>0</v>
      </c>
      <c r="E452" s="86">
        <v>0</v>
      </c>
      <c r="F452" s="86"/>
      <c r="G452" s="86">
        <v>0</v>
      </c>
      <c r="H452" s="86">
        <v>0</v>
      </c>
      <c r="I452" s="86">
        <v>0</v>
      </c>
      <c r="J452" s="86">
        <v>0</v>
      </c>
      <c r="K452" s="86">
        <v>0</v>
      </c>
      <c r="L452" s="86">
        <v>0</v>
      </c>
      <c r="M452" s="85">
        <v>0</v>
      </c>
      <c r="N452" s="85">
        <v>0</v>
      </c>
      <c r="O452" s="85">
        <v>0</v>
      </c>
      <c r="P452" s="85">
        <v>0</v>
      </c>
      <c r="Q452" s="85">
        <v>0</v>
      </c>
      <c r="R452" s="85">
        <v>0</v>
      </c>
      <c r="S452" s="85">
        <v>0</v>
      </c>
      <c r="T452" s="85">
        <v>0</v>
      </c>
      <c r="U452" s="85">
        <v>0</v>
      </c>
      <c r="V452" s="85">
        <v>0</v>
      </c>
      <c r="W452" s="85">
        <v>0</v>
      </c>
      <c r="X452" s="85">
        <v>0</v>
      </c>
      <c r="Y452" s="85">
        <v>0</v>
      </c>
      <c r="Z452" s="85">
        <v>0</v>
      </c>
      <c r="AA452" s="85">
        <v>0</v>
      </c>
      <c r="AB452" s="85">
        <v>0</v>
      </c>
      <c r="AC452" s="85">
        <v>0</v>
      </c>
      <c r="AD452" s="85">
        <v>0</v>
      </c>
      <c r="AE452" s="85">
        <v>0</v>
      </c>
      <c r="AF452" s="85">
        <v>0</v>
      </c>
      <c r="AG452" s="85">
        <v>0</v>
      </c>
      <c r="AH452" s="85">
        <v>0</v>
      </c>
    </row>
    <row r="453" spans="2:34">
      <c r="B453" s="49" t="s">
        <v>1265</v>
      </c>
      <c r="C453" s="1275" t="s">
        <v>2281</v>
      </c>
      <c r="D453" s="86">
        <v>0</v>
      </c>
      <c r="E453" s="86">
        <v>0</v>
      </c>
      <c r="F453" s="86"/>
      <c r="G453" s="86">
        <v>0</v>
      </c>
      <c r="H453" s="86">
        <v>0</v>
      </c>
      <c r="I453" s="86">
        <v>0</v>
      </c>
      <c r="J453" s="86">
        <v>0</v>
      </c>
      <c r="K453" s="86">
        <v>0</v>
      </c>
      <c r="L453" s="86">
        <v>0</v>
      </c>
      <c r="M453" s="86">
        <v>0</v>
      </c>
      <c r="N453" s="86">
        <v>0</v>
      </c>
      <c r="O453" s="86">
        <v>0</v>
      </c>
      <c r="P453" s="86">
        <v>0</v>
      </c>
      <c r="Q453" s="86">
        <v>0</v>
      </c>
      <c r="R453" s="86">
        <v>0</v>
      </c>
      <c r="S453" s="86">
        <v>0</v>
      </c>
      <c r="T453" s="86">
        <v>0</v>
      </c>
      <c r="U453" s="86">
        <v>0</v>
      </c>
      <c r="V453" s="86">
        <v>0</v>
      </c>
      <c r="W453" s="86">
        <v>0</v>
      </c>
      <c r="X453" s="86">
        <v>0</v>
      </c>
      <c r="Y453" s="86">
        <v>0</v>
      </c>
      <c r="Z453" s="86">
        <v>-4756438725</v>
      </c>
      <c r="AA453" s="86">
        <v>-3132681734</v>
      </c>
      <c r="AB453" s="86">
        <v>-3331509799</v>
      </c>
      <c r="AC453" s="86">
        <v>-3656504764</v>
      </c>
      <c r="AD453" s="86">
        <v>-3859337525</v>
      </c>
      <c r="AE453" s="86">
        <v>-5243970275</v>
      </c>
      <c r="AF453" s="86">
        <v>-9661018308</v>
      </c>
      <c r="AG453" s="86">
        <v>-7421097191</v>
      </c>
      <c r="AH453" s="86">
        <v>-7152646325</v>
      </c>
    </row>
    <row r="454" spans="2:34">
      <c r="B454" s="43" t="s">
        <v>2071</v>
      </c>
      <c r="C454" s="43" t="s">
        <v>2071</v>
      </c>
      <c r="D454" s="87">
        <v>1418194796224</v>
      </c>
      <c r="E454" s="87">
        <v>1336667662418</v>
      </c>
      <c r="F454" s="87"/>
      <c r="G454" s="87">
        <v>1421603505829</v>
      </c>
      <c r="H454" s="87">
        <v>1477142323205</v>
      </c>
      <c r="I454" s="87">
        <v>1350899754213</v>
      </c>
      <c r="J454" s="87">
        <v>1366599266344</v>
      </c>
      <c r="K454" s="87">
        <v>1376372460101</v>
      </c>
      <c r="L454" s="87">
        <v>1356045829879</v>
      </c>
      <c r="M454" s="87">
        <v>1425594406451</v>
      </c>
      <c r="N454" s="87">
        <v>1491076052605</v>
      </c>
      <c r="O454" s="87">
        <v>1536420372728</v>
      </c>
      <c r="P454" s="87">
        <v>1486776349942</v>
      </c>
      <c r="Q454" s="87">
        <v>1582951909154</v>
      </c>
      <c r="R454" s="87">
        <v>1629938239639</v>
      </c>
      <c r="S454" s="87">
        <v>1632361678793</v>
      </c>
      <c r="T454" s="87">
        <v>1517212130318</v>
      </c>
      <c r="U454" s="87">
        <v>1565145059413</v>
      </c>
      <c r="V454" s="87">
        <v>1607091035122</v>
      </c>
      <c r="W454" s="87">
        <v>713806902571</v>
      </c>
      <c r="X454" s="87">
        <v>736830331322</v>
      </c>
      <c r="Y454" s="87">
        <v>858800299113</v>
      </c>
      <c r="Z454" s="87">
        <v>719030289350</v>
      </c>
      <c r="AA454" s="87">
        <v>815875083861</v>
      </c>
      <c r="AB454" s="87">
        <v>771177363391</v>
      </c>
      <c r="AC454" s="87">
        <v>902321748644</v>
      </c>
      <c r="AD454" s="87">
        <v>1020333706429</v>
      </c>
      <c r="AE454" s="87">
        <v>950287583996</v>
      </c>
      <c r="AF454" s="87">
        <v>1006011817933</v>
      </c>
      <c r="AG454" s="87">
        <v>1181150851718</v>
      </c>
      <c r="AH454" s="87">
        <v>1295136226682</v>
      </c>
    </row>
    <row r="455" spans="2:34">
      <c r="B455" s="49" t="s">
        <v>2060</v>
      </c>
      <c r="C455" s="1275" t="s">
        <v>2060</v>
      </c>
      <c r="D455" s="86">
        <v>30019478658</v>
      </c>
      <c r="E455" s="86">
        <v>40026957258</v>
      </c>
      <c r="F455" s="86"/>
      <c r="G455" s="86">
        <v>40026957258</v>
      </c>
      <c r="H455" s="86">
        <v>40026957258</v>
      </c>
      <c r="I455" s="86">
        <v>58040418738</v>
      </c>
      <c r="J455" s="86">
        <v>58040418738</v>
      </c>
      <c r="K455" s="86">
        <v>58040418738</v>
      </c>
      <c r="L455" s="86">
        <v>64044905898</v>
      </c>
      <c r="M455" s="86">
        <v>64044905898</v>
      </c>
      <c r="N455" s="86">
        <v>64044905898</v>
      </c>
      <c r="O455" s="86">
        <v>64044905898</v>
      </c>
      <c r="P455" s="86">
        <v>80056871658</v>
      </c>
      <c r="Q455" s="86">
        <v>80056871658</v>
      </c>
      <c r="R455" s="86">
        <v>80056871658</v>
      </c>
      <c r="S455" s="86">
        <v>80056871658</v>
      </c>
      <c r="T455" s="86">
        <v>87784900000</v>
      </c>
      <c r="U455" s="86">
        <v>87784900000</v>
      </c>
      <c r="V455" s="86">
        <v>87784900000</v>
      </c>
      <c r="W455" s="86">
        <v>87784900000</v>
      </c>
      <c r="X455" s="86">
        <v>87869500000</v>
      </c>
      <c r="Y455" s="86">
        <v>87869500000</v>
      </c>
      <c r="Z455" s="86">
        <v>87869500000</v>
      </c>
      <c r="AA455" s="86">
        <v>87869500000</v>
      </c>
      <c r="AB455" s="86">
        <v>87869500000</v>
      </c>
      <c r="AC455" s="86">
        <v>87869500000</v>
      </c>
      <c r="AD455" s="86">
        <v>87869500000</v>
      </c>
      <c r="AE455" s="86">
        <v>87869500000</v>
      </c>
      <c r="AF455" s="86">
        <v>87869500000</v>
      </c>
      <c r="AG455" s="86">
        <v>87869500000</v>
      </c>
      <c r="AH455" s="86">
        <v>87869500000</v>
      </c>
    </row>
    <row r="456" spans="2:34">
      <c r="B456" s="49" t="s">
        <v>2061</v>
      </c>
      <c r="C456" s="1275" t="s">
        <v>2061</v>
      </c>
      <c r="D456" s="86">
        <v>4606210805</v>
      </c>
      <c r="E456" s="86">
        <v>6846288595</v>
      </c>
      <c r="F456" s="86"/>
      <c r="G456" s="86">
        <v>11762562012</v>
      </c>
      <c r="H456" s="86">
        <v>9809475661</v>
      </c>
      <c r="I456" s="86">
        <v>14715888243</v>
      </c>
      <c r="J456" s="86">
        <v>16038962323</v>
      </c>
      <c r="K456" s="86">
        <v>32883484534</v>
      </c>
      <c r="L456" s="86">
        <v>32423036432</v>
      </c>
      <c r="M456" s="86">
        <v>29608440659</v>
      </c>
      <c r="N456" s="86">
        <v>28063106641</v>
      </c>
      <c r="O456" s="86">
        <v>26699344654</v>
      </c>
      <c r="P456" s="86">
        <v>27320545881</v>
      </c>
      <c r="Q456" s="86">
        <v>28898503797</v>
      </c>
      <c r="R456" s="86">
        <v>28411915768</v>
      </c>
      <c r="S456" s="86">
        <v>28607514784</v>
      </c>
      <c r="T456" s="86">
        <v>30755581660</v>
      </c>
      <c r="U456" s="86">
        <v>29762824636</v>
      </c>
      <c r="V456" s="86">
        <v>10118605244</v>
      </c>
      <c r="W456" s="86">
        <v>8994036892</v>
      </c>
      <c r="X456" s="86">
        <v>37181588380</v>
      </c>
      <c r="Y456" s="86">
        <v>56316902098</v>
      </c>
      <c r="Z456" s="86">
        <v>62466906903</v>
      </c>
      <c r="AA456" s="86">
        <v>70238092246</v>
      </c>
      <c r="AB456" s="86">
        <v>66538061562</v>
      </c>
      <c r="AC456" s="86">
        <v>70683918377</v>
      </c>
      <c r="AD456" s="86">
        <v>70073218891</v>
      </c>
      <c r="AE456" s="86">
        <v>72364381277</v>
      </c>
      <c r="AF456" s="86">
        <v>80646460584</v>
      </c>
      <c r="AG456" s="86">
        <v>83438802460</v>
      </c>
      <c r="AH456" s="86">
        <v>83347564758</v>
      </c>
    </row>
    <row r="457" spans="2:34" ht="15">
      <c r="B457" s="49" t="s">
        <v>2062</v>
      </c>
      <c r="C457" s="1275" t="s">
        <v>2062</v>
      </c>
      <c r="D457" s="86">
        <v>0</v>
      </c>
      <c r="E457" s="86">
        <v>0</v>
      </c>
      <c r="F457" s="86"/>
      <c r="G457" s="86">
        <v>0</v>
      </c>
      <c r="H457" s="86">
        <v>0</v>
      </c>
      <c r="I457" s="86">
        <v>0</v>
      </c>
      <c r="J457" s="86">
        <v>0</v>
      </c>
      <c r="K457" s="86">
        <v>0</v>
      </c>
      <c r="L457" s="86">
        <v>0</v>
      </c>
      <c r="M457" s="85">
        <v>0</v>
      </c>
      <c r="N457" s="85">
        <v>0</v>
      </c>
      <c r="O457" s="85">
        <v>0</v>
      </c>
      <c r="P457" s="85">
        <v>0</v>
      </c>
      <c r="Q457" s="85">
        <v>0</v>
      </c>
      <c r="R457" s="85">
        <v>0</v>
      </c>
      <c r="S457" s="85">
        <v>0</v>
      </c>
      <c r="T457" s="85">
        <v>0</v>
      </c>
      <c r="U457" s="85">
        <v>0</v>
      </c>
      <c r="V457" s="85">
        <v>0</v>
      </c>
      <c r="W457" s="85">
        <v>0</v>
      </c>
      <c r="X457" s="85">
        <v>0</v>
      </c>
      <c r="Y457" s="85">
        <v>0</v>
      </c>
      <c r="Z457" s="85">
        <v>0</v>
      </c>
      <c r="AA457" s="85">
        <v>0</v>
      </c>
      <c r="AB457" s="85">
        <v>0</v>
      </c>
      <c r="AC457" s="85">
        <v>0</v>
      </c>
      <c r="AD457" s="85">
        <v>0</v>
      </c>
      <c r="AE457" s="85">
        <v>0</v>
      </c>
      <c r="AF457" s="85">
        <v>0</v>
      </c>
      <c r="AG457" s="85">
        <v>0</v>
      </c>
      <c r="AH457" s="85">
        <v>0</v>
      </c>
    </row>
    <row r="458" spans="2:34" ht="15">
      <c r="B458" s="49" t="s">
        <v>2063</v>
      </c>
      <c r="C458" s="1275" t="s">
        <v>2063</v>
      </c>
      <c r="D458" s="86">
        <v>0</v>
      </c>
      <c r="E458" s="86">
        <v>0</v>
      </c>
      <c r="F458" s="86"/>
      <c r="G458" s="86">
        <v>0</v>
      </c>
      <c r="H458" s="86">
        <v>0</v>
      </c>
      <c r="I458" s="86">
        <v>0</v>
      </c>
      <c r="J458" s="86">
        <v>0</v>
      </c>
      <c r="K458" s="86">
        <v>0</v>
      </c>
      <c r="L458" s="86">
        <v>0</v>
      </c>
      <c r="M458" s="85">
        <v>0</v>
      </c>
      <c r="N458" s="85">
        <v>0</v>
      </c>
      <c r="O458" s="85">
        <v>0</v>
      </c>
      <c r="P458" s="85">
        <v>0</v>
      </c>
      <c r="Q458" s="85">
        <v>0</v>
      </c>
      <c r="R458" s="85">
        <v>0</v>
      </c>
      <c r="S458" s="85">
        <v>0</v>
      </c>
      <c r="T458" s="85">
        <v>0</v>
      </c>
      <c r="U458" s="85">
        <v>0</v>
      </c>
      <c r="V458" s="85">
        <v>0</v>
      </c>
      <c r="W458" s="85">
        <v>0</v>
      </c>
      <c r="X458" s="85">
        <v>0</v>
      </c>
      <c r="Y458" s="85">
        <v>0</v>
      </c>
      <c r="Z458" s="85">
        <v>0</v>
      </c>
      <c r="AA458" s="85">
        <v>0</v>
      </c>
      <c r="AB458" s="85">
        <v>0</v>
      </c>
      <c r="AC458" s="85">
        <v>0</v>
      </c>
      <c r="AD458" s="85">
        <v>0</v>
      </c>
      <c r="AE458" s="85">
        <v>0</v>
      </c>
      <c r="AF458" s="85">
        <v>0</v>
      </c>
      <c r="AG458" s="85">
        <v>0</v>
      </c>
      <c r="AH458" s="85">
        <v>0</v>
      </c>
    </row>
    <row r="459" spans="2:34" ht="15">
      <c r="B459" s="49" t="s">
        <v>2064</v>
      </c>
      <c r="C459" s="1275" t="s">
        <v>2064</v>
      </c>
      <c r="D459" s="86">
        <v>0</v>
      </c>
      <c r="E459" s="86">
        <v>0</v>
      </c>
      <c r="F459" s="86"/>
      <c r="G459" s="86">
        <v>0</v>
      </c>
      <c r="H459" s="86">
        <v>0</v>
      </c>
      <c r="I459" s="86">
        <v>0</v>
      </c>
      <c r="J459" s="86">
        <v>0</v>
      </c>
      <c r="K459" s="86">
        <v>0</v>
      </c>
      <c r="L459" s="86">
        <v>0</v>
      </c>
      <c r="M459" s="85">
        <v>0</v>
      </c>
      <c r="N459" s="85">
        <v>0</v>
      </c>
      <c r="O459" s="85">
        <v>0</v>
      </c>
      <c r="P459" s="85">
        <v>0</v>
      </c>
      <c r="Q459" s="85">
        <v>0</v>
      </c>
      <c r="R459" s="85">
        <v>0</v>
      </c>
      <c r="S459" s="85">
        <v>0</v>
      </c>
      <c r="T459" s="85">
        <v>0</v>
      </c>
      <c r="U459" s="85">
        <v>0</v>
      </c>
      <c r="V459" s="85">
        <v>0</v>
      </c>
      <c r="W459" s="85">
        <v>0</v>
      </c>
      <c r="X459" s="85">
        <v>0</v>
      </c>
      <c r="Y459" s="85">
        <v>0</v>
      </c>
      <c r="Z459" s="85">
        <v>0</v>
      </c>
      <c r="AA459" s="85">
        <v>0</v>
      </c>
      <c r="AB459" s="85">
        <v>0</v>
      </c>
      <c r="AC459" s="85">
        <v>0</v>
      </c>
      <c r="AD459" s="85">
        <v>0</v>
      </c>
      <c r="AE459" s="85">
        <v>0</v>
      </c>
      <c r="AF459" s="85">
        <v>0</v>
      </c>
      <c r="AG459" s="85">
        <v>0</v>
      </c>
      <c r="AH459" s="85">
        <v>0</v>
      </c>
    </row>
    <row r="460" spans="2:34">
      <c r="B460" s="49" t="s">
        <v>2065</v>
      </c>
      <c r="C460" s="1275" t="s">
        <v>2065</v>
      </c>
      <c r="D460" s="86">
        <v>1126248853922</v>
      </c>
      <c r="E460" s="86">
        <v>1273486842161</v>
      </c>
      <c r="F460" s="86"/>
      <c r="G460" s="86">
        <v>1273486842161</v>
      </c>
      <c r="H460" s="86">
        <v>1273486842161</v>
      </c>
      <c r="I460" s="86">
        <v>1229157814006</v>
      </c>
      <c r="J460" s="86">
        <v>1229157814006</v>
      </c>
      <c r="K460" s="86">
        <v>1229157814006</v>
      </c>
      <c r="L460" s="86">
        <v>1219399198069</v>
      </c>
      <c r="M460" s="86">
        <v>1219399198069</v>
      </c>
      <c r="N460" s="86">
        <v>1219399198069</v>
      </c>
      <c r="O460" s="86">
        <v>1219399198069</v>
      </c>
      <c r="P460" s="86">
        <v>1269544498816</v>
      </c>
      <c r="Q460" s="86">
        <v>1269544498816</v>
      </c>
      <c r="R460" s="86">
        <v>1269544498816</v>
      </c>
      <c r="S460" s="86">
        <v>1269544498816</v>
      </c>
      <c r="T460" s="86">
        <v>1315819692009</v>
      </c>
      <c r="U460" s="86">
        <v>1315819692009</v>
      </c>
      <c r="V460" s="86">
        <v>1315819692009</v>
      </c>
      <c r="W460" s="86">
        <v>353697188009</v>
      </c>
      <c r="X460" s="86">
        <v>496737889679</v>
      </c>
      <c r="Y460" s="86">
        <v>496737889679</v>
      </c>
      <c r="Z460" s="86">
        <v>246731588279</v>
      </c>
      <c r="AA460" s="86">
        <v>246731588279</v>
      </c>
      <c r="AB460" s="86">
        <v>427549401615</v>
      </c>
      <c r="AC460" s="86">
        <v>427549401615</v>
      </c>
      <c r="AD460" s="86">
        <v>427549401615</v>
      </c>
      <c r="AE460" s="86">
        <v>267521468215</v>
      </c>
      <c r="AF460" s="86">
        <v>609745488719</v>
      </c>
      <c r="AG460" s="86">
        <v>609745488719</v>
      </c>
      <c r="AH460" s="86">
        <v>609745488719</v>
      </c>
    </row>
    <row r="461" spans="2:34">
      <c r="B461" s="49" t="s">
        <v>2066</v>
      </c>
      <c r="C461" s="1275" t="s">
        <v>2066</v>
      </c>
      <c r="D461" s="86">
        <v>257320252839</v>
      </c>
      <c r="E461" s="86">
        <v>16307574404</v>
      </c>
      <c r="F461" s="86"/>
      <c r="G461" s="86">
        <v>96327144398</v>
      </c>
      <c r="H461" s="86">
        <v>153819048125</v>
      </c>
      <c r="I461" s="86">
        <v>48985633226</v>
      </c>
      <c r="J461" s="86">
        <v>63362071277</v>
      </c>
      <c r="K461" s="86">
        <v>56290742823</v>
      </c>
      <c r="L461" s="86">
        <v>40178689480</v>
      </c>
      <c r="M461" s="86">
        <v>112541861825</v>
      </c>
      <c r="N461" s="86">
        <v>179568841997</v>
      </c>
      <c r="O461" s="86">
        <v>226276924107</v>
      </c>
      <c r="P461" s="86">
        <v>109854433587</v>
      </c>
      <c r="Q461" s="86">
        <v>204452034883</v>
      </c>
      <c r="R461" s="86">
        <v>251924953397</v>
      </c>
      <c r="S461" s="86">
        <v>254152793535</v>
      </c>
      <c r="T461" s="86">
        <v>82851956649</v>
      </c>
      <c r="U461" s="86">
        <v>131777642768</v>
      </c>
      <c r="V461" s="86">
        <v>193367837869</v>
      </c>
      <c r="W461" s="86">
        <v>263330777670</v>
      </c>
      <c r="X461" s="86">
        <v>115041353263</v>
      </c>
      <c r="Y461" s="86">
        <v>217876007336</v>
      </c>
      <c r="Z461" s="86">
        <v>321962294168</v>
      </c>
      <c r="AA461" s="86">
        <v>411035903336</v>
      </c>
      <c r="AB461" s="86">
        <v>189220400214</v>
      </c>
      <c r="AC461" s="86">
        <v>316218928652</v>
      </c>
      <c r="AD461" s="86">
        <v>434841585923</v>
      </c>
      <c r="AE461" s="86">
        <v>522532234504</v>
      </c>
      <c r="AF461" s="86">
        <v>227750368630</v>
      </c>
      <c r="AG461" s="86">
        <v>400097060539</v>
      </c>
      <c r="AH461" s="86">
        <v>514173673205</v>
      </c>
    </row>
    <row r="462" spans="2:34">
      <c r="B462" s="49" t="s">
        <v>117</v>
      </c>
      <c r="C462" s="1275" t="s">
        <v>117</v>
      </c>
      <c r="D462" s="86">
        <v>214619667536</v>
      </c>
      <c r="E462" s="86">
        <v>18547652194</v>
      </c>
      <c r="F462" s="86"/>
      <c r="G462" s="86">
        <v>103483495605</v>
      </c>
      <c r="H462" s="86">
        <v>159022312981</v>
      </c>
      <c r="I462" s="86">
        <v>50065522695</v>
      </c>
      <c r="J462" s="86">
        <v>65765034826</v>
      </c>
      <c r="K462" s="86">
        <v>75538228583</v>
      </c>
      <c r="L462" s="86">
        <v>39718241378</v>
      </c>
      <c r="M462" s="86">
        <v>109266817950</v>
      </c>
      <c r="N462" s="86">
        <v>174748464104</v>
      </c>
      <c r="O462" s="86">
        <v>220092784227</v>
      </c>
      <c r="P462" s="86">
        <v>110475634814</v>
      </c>
      <c r="Q462" s="86">
        <v>206651194026</v>
      </c>
      <c r="R462" s="86">
        <v>253637524511</v>
      </c>
      <c r="S462" s="86">
        <v>256060963665</v>
      </c>
      <c r="T462" s="86">
        <v>85000023525</v>
      </c>
      <c r="U462" s="86">
        <v>132932952620</v>
      </c>
      <c r="V462" s="86">
        <v>174878928329</v>
      </c>
      <c r="W462" s="86">
        <v>243717299778</v>
      </c>
      <c r="X462" s="86">
        <v>143228904751</v>
      </c>
      <c r="Y462" s="86">
        <v>265198872542</v>
      </c>
      <c r="Z462" s="86">
        <v>375435164179</v>
      </c>
      <c r="AA462" s="86">
        <v>472279958690</v>
      </c>
      <c r="AB462" s="86">
        <v>164371887942</v>
      </c>
      <c r="AC462" s="86">
        <v>295516273195</v>
      </c>
      <c r="AD462" s="86">
        <v>413528230980</v>
      </c>
      <c r="AE462" s="86">
        <v>503510041947</v>
      </c>
      <c r="AF462" s="86">
        <v>236032447937</v>
      </c>
      <c r="AG462" s="86">
        <v>411171481722</v>
      </c>
      <c r="AH462" s="86">
        <v>525156856686</v>
      </c>
    </row>
    <row r="463" spans="2:34">
      <c r="D463" s="24"/>
      <c r="E463" s="24"/>
    </row>
    <row r="464" spans="2:34">
      <c r="B464" s="39" t="s">
        <v>51</v>
      </c>
      <c r="C464" s="39" t="s">
        <v>51</v>
      </c>
      <c r="D464" s="28">
        <f t="shared" ref="D464:AA464" si="73">D17-SUM(D18,D60,D113,D137,D185,D204,D210,D214)</f>
        <v>0</v>
      </c>
      <c r="E464" s="28">
        <f t="shared" si="73"/>
        <v>0</v>
      </c>
      <c r="F464" s="28">
        <f t="shared" si="73"/>
        <v>0</v>
      </c>
      <c r="G464" s="28">
        <f t="shared" si="73"/>
        <v>0</v>
      </c>
      <c r="H464" s="28">
        <f t="shared" si="73"/>
        <v>0</v>
      </c>
      <c r="I464" s="74">
        <f t="shared" si="73"/>
        <v>0</v>
      </c>
      <c r="J464" s="28">
        <f t="shared" si="73"/>
        <v>0</v>
      </c>
      <c r="K464" s="28">
        <f t="shared" si="73"/>
        <v>0</v>
      </c>
      <c r="L464" s="74">
        <f t="shared" si="73"/>
        <v>0</v>
      </c>
      <c r="M464" s="74">
        <f t="shared" si="73"/>
        <v>0</v>
      </c>
      <c r="N464" s="74">
        <f t="shared" si="73"/>
        <v>0</v>
      </c>
      <c r="O464" s="74">
        <f t="shared" si="73"/>
        <v>0</v>
      </c>
      <c r="P464" s="74">
        <f t="shared" si="73"/>
        <v>0</v>
      </c>
      <c r="Q464" s="74">
        <f t="shared" si="73"/>
        <v>0</v>
      </c>
      <c r="R464" s="74">
        <f t="shared" si="73"/>
        <v>0</v>
      </c>
      <c r="S464" s="74">
        <f t="shared" si="73"/>
        <v>0</v>
      </c>
      <c r="T464" s="74">
        <f t="shared" si="73"/>
        <v>0</v>
      </c>
      <c r="U464" s="74">
        <f t="shared" si="73"/>
        <v>0</v>
      </c>
      <c r="V464" s="74">
        <f t="shared" si="73"/>
        <v>0</v>
      </c>
      <c r="W464" s="74">
        <f t="shared" si="73"/>
        <v>0</v>
      </c>
      <c r="X464" s="74">
        <f t="shared" si="73"/>
        <v>0</v>
      </c>
      <c r="Y464" s="74">
        <f t="shared" si="73"/>
        <v>0</v>
      </c>
      <c r="Z464" s="74">
        <f t="shared" si="73"/>
        <v>0</v>
      </c>
      <c r="AA464" s="74">
        <f t="shared" si="73"/>
        <v>0</v>
      </c>
      <c r="AB464" s="74">
        <f t="shared" ref="AB464:AC464" si="74">AB17-SUM(AB18,AB60,AB113,AB137,AB185,AB204,AB210,AB214)</f>
        <v>0</v>
      </c>
      <c r="AC464" s="74">
        <f t="shared" si="74"/>
        <v>0</v>
      </c>
      <c r="AD464" s="74">
        <f t="shared" ref="AD464:AE464" si="75">AD17-SUM(AD18,AD60,AD113,AD137,AD185,AD204,AD210,AD214)</f>
        <v>0</v>
      </c>
      <c r="AE464" s="74">
        <f t="shared" si="75"/>
        <v>0</v>
      </c>
      <c r="AF464" s="74">
        <f t="shared" ref="AF464:AG464" si="76">AF17-SUM(AF18,AF60,AF113,AF137,AF185,AF204,AF210,AF214)</f>
        <v>0</v>
      </c>
      <c r="AG464" s="74">
        <f t="shared" si="76"/>
        <v>0</v>
      </c>
      <c r="AH464" s="74">
        <f t="shared" ref="AH464" si="77">AH17-SUM(AH18,AH60,AH113,AH137,AH185,AH204,AH210,AH214)</f>
        <v>0</v>
      </c>
    </row>
    <row r="465" spans="2:34">
      <c r="B465" s="43" t="s">
        <v>118</v>
      </c>
      <c r="C465" s="43" t="s">
        <v>118</v>
      </c>
      <c r="D465" s="29">
        <f t="shared" ref="D465:AA465" si="78">D18-SUM(D19,D30)</f>
        <v>0</v>
      </c>
      <c r="E465" s="29">
        <f t="shared" si="78"/>
        <v>0</v>
      </c>
      <c r="F465" s="29">
        <f t="shared" si="78"/>
        <v>0</v>
      </c>
      <c r="G465" s="29">
        <f t="shared" si="78"/>
        <v>0</v>
      </c>
      <c r="H465" s="29">
        <f t="shared" si="78"/>
        <v>0</v>
      </c>
      <c r="I465" s="75">
        <f t="shared" si="78"/>
        <v>0</v>
      </c>
      <c r="J465" s="29">
        <f t="shared" si="78"/>
        <v>0</v>
      </c>
      <c r="K465" s="29">
        <f t="shared" si="78"/>
        <v>0</v>
      </c>
      <c r="L465" s="75">
        <f t="shared" si="78"/>
        <v>0</v>
      </c>
      <c r="M465" s="75">
        <f t="shared" si="78"/>
        <v>0</v>
      </c>
      <c r="N465" s="75">
        <f t="shared" si="78"/>
        <v>0</v>
      </c>
      <c r="O465" s="75">
        <f t="shared" si="78"/>
        <v>0</v>
      </c>
      <c r="P465" s="75">
        <f t="shared" si="78"/>
        <v>0</v>
      </c>
      <c r="Q465" s="75">
        <f t="shared" si="78"/>
        <v>0</v>
      </c>
      <c r="R465" s="75">
        <f t="shared" si="78"/>
        <v>0</v>
      </c>
      <c r="S465" s="75">
        <f t="shared" si="78"/>
        <v>0</v>
      </c>
      <c r="T465" s="75">
        <f t="shared" si="78"/>
        <v>0</v>
      </c>
      <c r="U465" s="75">
        <f t="shared" si="78"/>
        <v>0</v>
      </c>
      <c r="V465" s="75">
        <f t="shared" si="78"/>
        <v>0</v>
      </c>
      <c r="W465" s="75">
        <f t="shared" si="78"/>
        <v>0</v>
      </c>
      <c r="X465" s="75">
        <f t="shared" si="78"/>
        <v>0</v>
      </c>
      <c r="Y465" s="75">
        <f t="shared" si="78"/>
        <v>0</v>
      </c>
      <c r="Z465" s="75">
        <f t="shared" si="78"/>
        <v>0</v>
      </c>
      <c r="AA465" s="75">
        <f t="shared" si="78"/>
        <v>0</v>
      </c>
      <c r="AB465" s="75">
        <f t="shared" ref="AB465:AC465" si="79">AB18-SUM(AB19,AB30)</f>
        <v>0</v>
      </c>
      <c r="AC465" s="75">
        <f t="shared" si="79"/>
        <v>0</v>
      </c>
      <c r="AD465" s="75">
        <f t="shared" ref="AD465:AE465" si="80">AD18-SUM(AD19,AD30)</f>
        <v>0</v>
      </c>
      <c r="AE465" s="75">
        <f t="shared" si="80"/>
        <v>0</v>
      </c>
      <c r="AF465" s="75">
        <f t="shared" ref="AF465:AG465" si="81">AF18-SUM(AF19,AF30)</f>
        <v>0</v>
      </c>
      <c r="AG465" s="75">
        <f t="shared" si="81"/>
        <v>0</v>
      </c>
      <c r="AH465" s="75">
        <f t="shared" ref="AH465" si="82">AH18-SUM(AH19,AH30)</f>
        <v>0</v>
      </c>
    </row>
    <row r="466" spans="2:34">
      <c r="B466" s="43" t="s">
        <v>119</v>
      </c>
      <c r="C466" s="43" t="s">
        <v>119</v>
      </c>
      <c r="D466" s="29">
        <f t="shared" ref="D466:AA466" si="83">D60-SUM(D61,D76,D91,D96,D105)</f>
        <v>0</v>
      </c>
      <c r="E466" s="29">
        <f t="shared" si="83"/>
        <v>0</v>
      </c>
      <c r="F466" s="29">
        <f t="shared" si="83"/>
        <v>0</v>
      </c>
      <c r="G466" s="29">
        <f t="shared" si="83"/>
        <v>0</v>
      </c>
      <c r="H466" s="29">
        <f t="shared" si="83"/>
        <v>0</v>
      </c>
      <c r="I466" s="75">
        <f t="shared" si="83"/>
        <v>0</v>
      </c>
      <c r="J466" s="29">
        <f t="shared" si="83"/>
        <v>0</v>
      </c>
      <c r="K466" s="29">
        <f t="shared" si="83"/>
        <v>0</v>
      </c>
      <c r="L466" s="75">
        <f t="shared" si="83"/>
        <v>0</v>
      </c>
      <c r="M466" s="75">
        <f t="shared" si="83"/>
        <v>0</v>
      </c>
      <c r="N466" s="75">
        <f t="shared" si="83"/>
        <v>0</v>
      </c>
      <c r="O466" s="75">
        <f t="shared" si="83"/>
        <v>0</v>
      </c>
      <c r="P466" s="75">
        <f t="shared" si="83"/>
        <v>0</v>
      </c>
      <c r="Q466" s="75">
        <f t="shared" si="83"/>
        <v>0</v>
      </c>
      <c r="R466" s="75">
        <f t="shared" si="83"/>
        <v>0</v>
      </c>
      <c r="S466" s="75">
        <f t="shared" si="83"/>
        <v>0</v>
      </c>
      <c r="T466" s="75">
        <f t="shared" si="83"/>
        <v>0</v>
      </c>
      <c r="U466" s="75">
        <f t="shared" si="83"/>
        <v>0</v>
      </c>
      <c r="V466" s="75">
        <f t="shared" si="83"/>
        <v>0</v>
      </c>
      <c r="W466" s="75">
        <f t="shared" si="83"/>
        <v>0</v>
      </c>
      <c r="X466" s="75">
        <f t="shared" si="83"/>
        <v>0</v>
      </c>
      <c r="Y466" s="75">
        <f t="shared" si="83"/>
        <v>0</v>
      </c>
      <c r="Z466" s="75">
        <f t="shared" si="83"/>
        <v>0</v>
      </c>
      <c r="AA466" s="75">
        <f t="shared" si="83"/>
        <v>0</v>
      </c>
      <c r="AB466" s="75">
        <f t="shared" ref="AB466:AG466" si="84">AB60-SUM(AB61,AB76,AB91,AB96,AB105)+AB111</f>
        <v>0</v>
      </c>
      <c r="AC466" s="75">
        <f t="shared" si="84"/>
        <v>0</v>
      </c>
      <c r="AD466" s="75">
        <f t="shared" si="84"/>
        <v>0</v>
      </c>
      <c r="AE466" s="75">
        <f t="shared" si="84"/>
        <v>0</v>
      </c>
      <c r="AF466" s="75">
        <f t="shared" si="84"/>
        <v>0</v>
      </c>
      <c r="AG466" s="75">
        <f t="shared" si="84"/>
        <v>0</v>
      </c>
      <c r="AH466" s="75">
        <f t="shared" ref="AH466" si="85">AH60-SUM(AH61,AH76,AH91,AH96,AH105)+AH111</f>
        <v>0</v>
      </c>
    </row>
    <row r="467" spans="2:34">
      <c r="B467" s="43" t="s">
        <v>133</v>
      </c>
      <c r="C467" s="43" t="s">
        <v>133</v>
      </c>
      <c r="D467" s="29">
        <f>D113-SUM((D114,D118,D122,D126,D130,D134,D135,D136))</f>
        <v>0</v>
      </c>
      <c r="E467" s="29">
        <f>E113-SUM((E114,E118,E122,E126,E130,E134,E135,E136))</f>
        <v>0</v>
      </c>
      <c r="F467" s="29">
        <f>F113-SUM((F114,F118,F122,F126,F130,F134,F135,F136))</f>
        <v>0</v>
      </c>
      <c r="G467" s="29">
        <f>G113-SUM((G114,G118,G122,G126,G130,G134,G135,G136))</f>
        <v>0</v>
      </c>
      <c r="H467" s="29">
        <f>H113-SUM((H114,H118,H122,H126,H130,H134,H135,H136))</f>
        <v>0</v>
      </c>
      <c r="I467" s="75">
        <f>I113-SUM((I114,I118,I122,I126,I130,I134,I135,I136))</f>
        <v>0</v>
      </c>
      <c r="J467" s="29">
        <f>J113-SUM((J114,J118,J122,J126,J130,J134,J135,J136))</f>
        <v>0</v>
      </c>
      <c r="K467" s="29">
        <f>K113-SUM((K114,K118,K122,K126,K130,K134,K135,K136))</f>
        <v>0</v>
      </c>
      <c r="L467" s="75">
        <f>L113-SUM((L114,L118,L122,L126,L130,L134,L135,L136))</f>
        <v>0</v>
      </c>
      <c r="M467" s="75">
        <f>M113-SUM((M114,M118,M122,M126,M130,M134,M135,M136))</f>
        <v>0</v>
      </c>
      <c r="N467" s="75">
        <f>N113-SUM((N114,N118,N122,N126,N130,N134,N135,N136))</f>
        <v>0</v>
      </c>
      <c r="O467" s="75">
        <f>O113-SUM((O114,O118,O122,O126,O130,O134,O135,O136))</f>
        <v>0</v>
      </c>
      <c r="P467" s="75">
        <f>P113-SUM((P114,P118,P122,P126,P130,P134,P135,P136))</f>
        <v>0</v>
      </c>
      <c r="Q467" s="75">
        <f>Q113-SUM((Q114,Q118,Q122,Q126,Q130,Q134,Q135,Q136))</f>
        <v>0</v>
      </c>
      <c r="R467" s="75">
        <f>R113-SUM((R114,R118,R122,R126,R130,R134,R135,R136))</f>
        <v>0</v>
      </c>
      <c r="S467" s="75">
        <f>S113-SUM((S114,S118,S122,S126,S130,S134,S135,S136))</f>
        <v>0</v>
      </c>
      <c r="T467" s="75">
        <f>T113-SUM((T114,T118,T122,T126,T130,T134,T135,T136))</f>
        <v>0</v>
      </c>
      <c r="U467" s="75">
        <f>U113-SUM((U114,U118,U122,U126,U130,U134,U135,U136))</f>
        <v>0</v>
      </c>
      <c r="V467" s="75">
        <f>V113-SUM((V114,V118,V122,V126,V130,V134,V135,V136))</f>
        <v>0</v>
      </c>
      <c r="W467" s="75">
        <f>W113-SUM((W114,W118,W122,W126,W130,W134,W135,W136))</f>
        <v>0</v>
      </c>
      <c r="X467" s="75">
        <f>X113-SUM((X114,X118,X122,X126,X130,X134,X135,X136))</f>
        <v>0</v>
      </c>
      <c r="Y467" s="75">
        <f>Y113-SUM((Y114,Y118,Y122,Y126,Y130,Y134,Y135,Y136))</f>
        <v>0</v>
      </c>
      <c r="Z467" s="75">
        <f>Z113-SUM((Z114,Z118,Z122,Z126,Z130,Z134,Z135,Z136))</f>
        <v>0</v>
      </c>
      <c r="AA467" s="75">
        <f>AA113-SUM((AA114,AA118,AA122,AA126,AA130,AA134,AA135,AA136))</f>
        <v>0</v>
      </c>
      <c r="AB467" s="75">
        <f>AB113-SUM((AB114,AB118,AB122,AB126,AB130,AB134,AB135,AB136))</f>
        <v>0</v>
      </c>
      <c r="AC467" s="75">
        <f>AC113-SUM((AC114,AC118,AC122,AC126,AC130,AC134,AC135,AC136))</f>
        <v>0</v>
      </c>
      <c r="AD467" s="75">
        <f>AD113-SUM((AD114,AD118,AD122,AD126,AD130,AD134,AD135,AD136))</f>
        <v>0</v>
      </c>
      <c r="AE467" s="75">
        <f>AE113-SUM((AE114,AE118,AE122,AE126,AE130,AE134,AE135,AE136))</f>
        <v>0</v>
      </c>
      <c r="AF467" s="75">
        <f>AF113-SUM((AF114,AF118,AF122,AF126,AF130,AF134,AF135,AF136))</f>
        <v>0</v>
      </c>
      <c r="AG467" s="75">
        <f>AG113-SUM((AG114,AG118,AG122,AG126,AG130,AG134,AG135,AG136))</f>
        <v>0</v>
      </c>
      <c r="AH467" s="75">
        <f>AH113-SUM((AH114,AH118,AH122,AH126,AH130,AH134,AH135,AH136))</f>
        <v>0</v>
      </c>
    </row>
    <row r="468" spans="2:34">
      <c r="B468" s="43" t="s">
        <v>134</v>
      </c>
      <c r="C468" s="43" t="s">
        <v>134</v>
      </c>
      <c r="D468" s="532">
        <f t="shared" ref="D468:J468" si="86">D137-SUM(D141,D142,D148,D149,D153,D154,D155,D156,D157,D163,D164,D165,D166,D167,D168,-ABS(D169),-ABS(D140))</f>
        <v>0</v>
      </c>
      <c r="E468" s="532">
        <f t="shared" si="86"/>
        <v>0</v>
      </c>
      <c r="F468" s="532">
        <f t="shared" si="86"/>
        <v>0</v>
      </c>
      <c r="G468" s="532">
        <f t="shared" si="86"/>
        <v>0</v>
      </c>
      <c r="H468" s="532">
        <f t="shared" ref="H468" si="87">H137-SUM(H141,H142,H148,H149,H153,H154,H155,H156,H157,H163,H164,H165,H166,H167,H168,-ABS(H169))+H138-H140-H139</f>
        <v>1446326319</v>
      </c>
      <c r="I468" s="532">
        <f t="shared" si="86"/>
        <v>0</v>
      </c>
      <c r="J468" s="532">
        <f t="shared" si="86"/>
        <v>0</v>
      </c>
      <c r="K468" s="532">
        <f t="shared" ref="K468" si="88">K137-SUM(K141,K142,K148,K149,K153,K154,K155,K156,K157,K163,K164,K165,K166,K167,K168,-ABS(K169))+K138-K140-K139</f>
        <v>3820284053</v>
      </c>
      <c r="L468" s="75">
        <f t="shared" ref="L468:R468" si="89">L137-SUM(L141,L142,L148,L149,L153,L154,L155,L156,L157,L163,L164,L165,L166,L167,L168,-ABS(L169))</f>
        <v>0</v>
      </c>
      <c r="M468" s="75">
        <f t="shared" si="89"/>
        <v>0</v>
      </c>
      <c r="N468" s="75">
        <f t="shared" si="89"/>
        <v>0</v>
      </c>
      <c r="O468" s="75">
        <f t="shared" si="89"/>
        <v>0</v>
      </c>
      <c r="P468" s="75">
        <f t="shared" si="89"/>
        <v>0</v>
      </c>
      <c r="Q468" s="75">
        <f t="shared" si="89"/>
        <v>0</v>
      </c>
      <c r="R468" s="75">
        <f t="shared" si="89"/>
        <v>0</v>
      </c>
      <c r="S468" s="532">
        <f>S137-SUM(S141,S142,S148,S149,S153,S154,S155,S156,S157,S163,S164,S165,S166,S167,S168,-ABS(S169))+S138-S140-S139</f>
        <v>0</v>
      </c>
      <c r="T468" s="532">
        <f t="shared" ref="T468:AA468" si="90">T137-SUM(T141,T142,T148,T149,T153,T154,T155,T156,T157,T163,T164,T165,T166,T167,T168,-ABS(T169))+T138-T140-T139</f>
        <v>0</v>
      </c>
      <c r="U468" s="532">
        <f t="shared" si="90"/>
        <v>0</v>
      </c>
      <c r="V468" s="532">
        <f t="shared" si="90"/>
        <v>0</v>
      </c>
      <c r="W468" s="532">
        <f t="shared" si="90"/>
        <v>0</v>
      </c>
      <c r="X468" s="532">
        <f t="shared" si="90"/>
        <v>0</v>
      </c>
      <c r="Y468" s="532">
        <f t="shared" si="90"/>
        <v>0</v>
      </c>
      <c r="Z468" s="532">
        <f t="shared" si="90"/>
        <v>0</v>
      </c>
      <c r="AA468" s="532">
        <f t="shared" si="90"/>
        <v>0</v>
      </c>
      <c r="AB468" s="532">
        <f t="shared" ref="AB468:AC468" si="91">AB137-SUM(AB141,AB142,AB148,AB149,AB153,AB154,AB155,AB156,AB157,AB163,AB164,AB165,AB166,AB167,AB168,-ABS(AB169))+AB138-AB140-AB139</f>
        <v>0</v>
      </c>
      <c r="AC468" s="532">
        <f t="shared" si="91"/>
        <v>0</v>
      </c>
      <c r="AD468" s="532">
        <f t="shared" ref="AD468:AE468" si="92">AD137-SUM(AD141,AD142,AD148,AD149,AD153,AD154,AD155,AD156,AD157,AD163,AD164,AD165,AD166,AD167,AD168,-ABS(AD169))+AD138-AD140-AD139</f>
        <v>0</v>
      </c>
      <c r="AE468" s="532">
        <f t="shared" si="92"/>
        <v>0</v>
      </c>
      <c r="AF468" s="532">
        <f t="shared" ref="AF468:AG468" si="93">AF137-SUM(AF141,AF142,AF148,AF149,AF153,AF154,AF155,AF156,AF157,AF163,AF164,AF165,AF166,AF167,AF168,-ABS(AF169))+AF138-AF140-AF139</f>
        <v>0</v>
      </c>
      <c r="AG468" s="532">
        <f t="shared" si="93"/>
        <v>0</v>
      </c>
      <c r="AH468" s="532">
        <f t="shared" ref="AH468" si="94">AH137-SUM(AH141,AH142,AH148,AH149,AH153,AH154,AH155,AH156,AH157,AH163,AH164,AH165,AH166,AH167,AH168,-ABS(AH169))+AH138-AH140-AH139</f>
        <v>0</v>
      </c>
    </row>
    <row r="469" spans="2:34">
      <c r="B469" s="43" t="s">
        <v>148</v>
      </c>
      <c r="C469" s="43" t="s">
        <v>148</v>
      </c>
      <c r="D469" s="75">
        <f t="shared" ref="D469:AA469" si="95">D185-SUM(D187,D188,D189,D190,D191,D192,D193,D194,D195,-ABS(D196),-ABS(D202),-ABS(D203))</f>
        <v>0</v>
      </c>
      <c r="E469" s="75">
        <f t="shared" si="95"/>
        <v>0</v>
      </c>
      <c r="F469" s="75">
        <f t="shared" si="95"/>
        <v>0</v>
      </c>
      <c r="G469" s="75">
        <f t="shared" si="95"/>
        <v>0</v>
      </c>
      <c r="H469" s="75">
        <f t="shared" si="95"/>
        <v>0</v>
      </c>
      <c r="I469" s="75">
        <f t="shared" si="95"/>
        <v>0</v>
      </c>
      <c r="J469" s="75">
        <f t="shared" si="95"/>
        <v>0</v>
      </c>
      <c r="K469" s="75">
        <f t="shared" si="95"/>
        <v>0</v>
      </c>
      <c r="L469" s="75">
        <f t="shared" si="95"/>
        <v>0</v>
      </c>
      <c r="M469" s="75">
        <f t="shared" si="95"/>
        <v>0</v>
      </c>
      <c r="N469" s="75">
        <f t="shared" si="95"/>
        <v>0</v>
      </c>
      <c r="O469" s="75">
        <f t="shared" si="95"/>
        <v>0</v>
      </c>
      <c r="P469" s="75">
        <f t="shared" si="95"/>
        <v>0</v>
      </c>
      <c r="Q469" s="75">
        <f t="shared" si="95"/>
        <v>0</v>
      </c>
      <c r="R469" s="75">
        <f t="shared" si="95"/>
        <v>0</v>
      </c>
      <c r="S469" s="75">
        <f t="shared" si="95"/>
        <v>0</v>
      </c>
      <c r="T469" s="75">
        <f t="shared" si="95"/>
        <v>0</v>
      </c>
      <c r="U469" s="75">
        <f t="shared" si="95"/>
        <v>0</v>
      </c>
      <c r="V469" s="75">
        <f t="shared" si="95"/>
        <v>0</v>
      </c>
      <c r="W469" s="75">
        <f t="shared" si="95"/>
        <v>0</v>
      </c>
      <c r="X469" s="75">
        <f t="shared" si="95"/>
        <v>0</v>
      </c>
      <c r="Y469" s="75">
        <f t="shared" si="95"/>
        <v>0</v>
      </c>
      <c r="Z469" s="75">
        <f t="shared" si="95"/>
        <v>0</v>
      </c>
      <c r="AA469" s="75">
        <f t="shared" si="95"/>
        <v>0</v>
      </c>
      <c r="AB469" s="75">
        <f t="shared" ref="AB469:AC469" si="96">AB185-SUM(AB187,AB188,AB189,AB190,AB191,AB192,AB193,AB194,AB195,-ABS(AB196),-ABS(AB202),-ABS(AB203))</f>
        <v>0</v>
      </c>
      <c r="AC469" s="75">
        <f t="shared" si="96"/>
        <v>0</v>
      </c>
      <c r="AD469" s="75">
        <f t="shared" ref="AD469:AE469" si="97">AD185-SUM(AD187,AD188,AD189,AD190,AD191,AD192,AD193,AD194,AD195,-ABS(AD196),-ABS(AD202),-ABS(AD203))</f>
        <v>0</v>
      </c>
      <c r="AE469" s="75">
        <f t="shared" si="97"/>
        <v>0</v>
      </c>
      <c r="AF469" s="75">
        <f t="shared" ref="AF469:AG469" si="98">AF185-SUM(AF187,AF188,AF189,AF190,AF191,AF192,AF193,AF194,AF195,-ABS(AF196),-ABS(AF202),-ABS(AF203))</f>
        <v>0</v>
      </c>
      <c r="AG469" s="75">
        <f t="shared" si="98"/>
        <v>0</v>
      </c>
      <c r="AH469" s="75">
        <f t="shared" ref="AH469" si="99">AH185-SUM(AH187,AH188,AH189,AH190,AH191,AH192,AH193,AH194,AH195,-ABS(AH196),-ABS(AH202),-ABS(AH203))</f>
        <v>0</v>
      </c>
    </row>
    <row r="470" spans="2:34">
      <c r="B470" s="43" t="s">
        <v>149</v>
      </c>
      <c r="C470" s="43" t="s">
        <v>149</v>
      </c>
      <c r="D470" s="75">
        <f t="shared" ref="D470:AA470" si="100">D204-SUM(D205,D206,D207,D208,-D209)</f>
        <v>0</v>
      </c>
      <c r="E470" s="75">
        <f t="shared" si="100"/>
        <v>0</v>
      </c>
      <c r="F470" s="75">
        <f t="shared" si="100"/>
        <v>0</v>
      </c>
      <c r="G470" s="75">
        <f t="shared" si="100"/>
        <v>0</v>
      </c>
      <c r="H470" s="75">
        <f t="shared" si="100"/>
        <v>0</v>
      </c>
      <c r="I470" s="75">
        <f t="shared" si="100"/>
        <v>0</v>
      </c>
      <c r="J470" s="75">
        <f t="shared" si="100"/>
        <v>0</v>
      </c>
      <c r="K470" s="75">
        <f t="shared" si="100"/>
        <v>0</v>
      </c>
      <c r="L470" s="75">
        <f t="shared" si="100"/>
        <v>0</v>
      </c>
      <c r="M470" s="75">
        <f t="shared" si="100"/>
        <v>0</v>
      </c>
      <c r="N470" s="75">
        <f t="shared" si="100"/>
        <v>0</v>
      </c>
      <c r="O470" s="75">
        <f t="shared" si="100"/>
        <v>0</v>
      </c>
      <c r="P470" s="75">
        <f t="shared" si="100"/>
        <v>0</v>
      </c>
      <c r="Q470" s="75">
        <f t="shared" si="100"/>
        <v>0</v>
      </c>
      <c r="R470" s="75">
        <f t="shared" si="100"/>
        <v>0</v>
      </c>
      <c r="S470" s="75">
        <f t="shared" si="100"/>
        <v>0</v>
      </c>
      <c r="T470" s="75">
        <f t="shared" si="100"/>
        <v>0</v>
      </c>
      <c r="U470" s="75">
        <f t="shared" si="100"/>
        <v>0</v>
      </c>
      <c r="V470" s="75">
        <f t="shared" si="100"/>
        <v>0</v>
      </c>
      <c r="W470" s="75">
        <f t="shared" si="100"/>
        <v>0</v>
      </c>
      <c r="X470" s="75">
        <f t="shared" si="100"/>
        <v>0</v>
      </c>
      <c r="Y470" s="75">
        <f t="shared" si="100"/>
        <v>0</v>
      </c>
      <c r="Z470" s="75">
        <f t="shared" si="100"/>
        <v>0</v>
      </c>
      <c r="AA470" s="75">
        <f t="shared" si="100"/>
        <v>0</v>
      </c>
      <c r="AB470" s="75">
        <f t="shared" ref="AB470:AC470" si="101">AB204-SUM(AB205,AB206,AB207,AB208,-AB209)</f>
        <v>0</v>
      </c>
      <c r="AC470" s="75">
        <f t="shared" si="101"/>
        <v>0</v>
      </c>
      <c r="AD470" s="75">
        <f t="shared" ref="AD470:AE470" si="102">AD204-SUM(AD205,AD206,AD207,AD208,-AD209)</f>
        <v>0</v>
      </c>
      <c r="AE470" s="75">
        <f t="shared" si="102"/>
        <v>0</v>
      </c>
      <c r="AF470" s="75">
        <f t="shared" ref="AF470:AG470" si="103">AF204-SUM(AF205,AF206,AF207,AF208,-AF209)</f>
        <v>0</v>
      </c>
      <c r="AG470" s="75">
        <f t="shared" si="103"/>
        <v>0</v>
      </c>
      <c r="AH470" s="75">
        <f t="shared" ref="AH470" si="104">AH204-SUM(AH205,AH206,AH207,AH208,-AH209)</f>
        <v>0</v>
      </c>
    </row>
    <row r="471" spans="2:34">
      <c r="B471" s="43" t="s">
        <v>150</v>
      </c>
      <c r="C471" s="43" t="s">
        <v>150</v>
      </c>
      <c r="D471" s="75">
        <f t="shared" ref="D471:AA471" si="105">D210-SUM(D211,D212,-D213)</f>
        <v>0</v>
      </c>
      <c r="E471" s="75">
        <f t="shared" si="105"/>
        <v>0</v>
      </c>
      <c r="F471" s="75">
        <f t="shared" si="105"/>
        <v>0</v>
      </c>
      <c r="G471" s="75">
        <f t="shared" si="105"/>
        <v>0</v>
      </c>
      <c r="H471" s="75">
        <f t="shared" si="105"/>
        <v>0</v>
      </c>
      <c r="I471" s="75">
        <f t="shared" si="105"/>
        <v>0</v>
      </c>
      <c r="J471" s="75">
        <f t="shared" si="105"/>
        <v>0</v>
      </c>
      <c r="K471" s="75">
        <f t="shared" si="105"/>
        <v>0</v>
      </c>
      <c r="L471" s="75">
        <f t="shared" si="105"/>
        <v>0</v>
      </c>
      <c r="M471" s="75">
        <f t="shared" si="105"/>
        <v>0</v>
      </c>
      <c r="N471" s="75">
        <f t="shared" si="105"/>
        <v>0</v>
      </c>
      <c r="O471" s="75">
        <f t="shared" si="105"/>
        <v>0</v>
      </c>
      <c r="P471" s="75">
        <f t="shared" si="105"/>
        <v>0</v>
      </c>
      <c r="Q471" s="75">
        <f t="shared" si="105"/>
        <v>0</v>
      </c>
      <c r="R471" s="75">
        <f t="shared" si="105"/>
        <v>0</v>
      </c>
      <c r="S471" s="75">
        <f t="shared" si="105"/>
        <v>0</v>
      </c>
      <c r="T471" s="75">
        <f t="shared" si="105"/>
        <v>0</v>
      </c>
      <c r="U471" s="75">
        <f t="shared" si="105"/>
        <v>0</v>
      </c>
      <c r="V471" s="75">
        <f t="shared" si="105"/>
        <v>0</v>
      </c>
      <c r="W471" s="75">
        <f t="shared" si="105"/>
        <v>0</v>
      </c>
      <c r="X471" s="75">
        <f t="shared" si="105"/>
        <v>0</v>
      </c>
      <c r="Y471" s="75">
        <f t="shared" si="105"/>
        <v>0</v>
      </c>
      <c r="Z471" s="75">
        <f t="shared" si="105"/>
        <v>0</v>
      </c>
      <c r="AA471" s="75">
        <f t="shared" si="105"/>
        <v>0</v>
      </c>
      <c r="AB471" s="75">
        <f t="shared" ref="AB471:AC471" si="106">AB210-SUM(AB211,AB212,-AB213)</f>
        <v>0</v>
      </c>
      <c r="AC471" s="75">
        <f t="shared" si="106"/>
        <v>0</v>
      </c>
      <c r="AD471" s="75">
        <f t="shared" ref="AD471:AE471" si="107">AD210-SUM(AD211,AD212,-AD213)</f>
        <v>0</v>
      </c>
      <c r="AE471" s="75">
        <f t="shared" si="107"/>
        <v>0</v>
      </c>
      <c r="AF471" s="75">
        <f t="shared" ref="AF471:AG471" si="108">AF210-SUM(AF211,AF212,-AF213)</f>
        <v>0</v>
      </c>
      <c r="AG471" s="75">
        <f t="shared" si="108"/>
        <v>0</v>
      </c>
      <c r="AH471" s="75">
        <f t="shared" ref="AH471" si="109">AH210-SUM(AH211,AH212,-AH213)</f>
        <v>0</v>
      </c>
    </row>
    <row r="472" spans="2:34">
      <c r="B472" s="43" t="s">
        <v>151</v>
      </c>
      <c r="C472" s="43" t="s">
        <v>151</v>
      </c>
      <c r="D472" s="29">
        <f t="shared" ref="D472:AA472" si="110">D214-SUM(D217,D233,D253,D258,D259,D263,D264,D265,D268,D274,D279,D283,D290,D291,D292,D293,-ABS(D294))</f>
        <v>0</v>
      </c>
      <c r="E472" s="29">
        <f t="shared" si="110"/>
        <v>0</v>
      </c>
      <c r="F472" s="29">
        <f t="shared" si="110"/>
        <v>0</v>
      </c>
      <c r="G472" s="29">
        <f t="shared" si="110"/>
        <v>0</v>
      </c>
      <c r="H472" s="29">
        <f t="shared" si="110"/>
        <v>0</v>
      </c>
      <c r="I472" s="75">
        <f t="shared" si="110"/>
        <v>0</v>
      </c>
      <c r="J472" s="75">
        <f t="shared" si="110"/>
        <v>0</v>
      </c>
      <c r="K472" s="75">
        <f t="shared" si="110"/>
        <v>0</v>
      </c>
      <c r="L472" s="75">
        <f t="shared" si="110"/>
        <v>0</v>
      </c>
      <c r="M472" s="75">
        <f t="shared" si="110"/>
        <v>0</v>
      </c>
      <c r="N472" s="75">
        <f t="shared" si="110"/>
        <v>0</v>
      </c>
      <c r="O472" s="75">
        <f t="shared" si="110"/>
        <v>0</v>
      </c>
      <c r="P472" s="75">
        <f t="shared" si="110"/>
        <v>0</v>
      </c>
      <c r="Q472" s="75">
        <f t="shared" si="110"/>
        <v>0</v>
      </c>
      <c r="R472" s="75">
        <f t="shared" si="110"/>
        <v>0</v>
      </c>
      <c r="S472" s="75">
        <f t="shared" si="110"/>
        <v>0</v>
      </c>
      <c r="T472" s="75">
        <f t="shared" si="110"/>
        <v>0</v>
      </c>
      <c r="U472" s="75">
        <f t="shared" si="110"/>
        <v>0</v>
      </c>
      <c r="V472" s="75">
        <f t="shared" si="110"/>
        <v>0</v>
      </c>
      <c r="W472" s="75">
        <f t="shared" si="110"/>
        <v>0</v>
      </c>
      <c r="X472" s="75">
        <f t="shared" si="110"/>
        <v>0</v>
      </c>
      <c r="Y472" s="75">
        <f t="shared" si="110"/>
        <v>0</v>
      </c>
      <c r="Z472" s="75">
        <f t="shared" si="110"/>
        <v>0</v>
      </c>
      <c r="AA472" s="75">
        <f t="shared" si="110"/>
        <v>0</v>
      </c>
      <c r="AB472" s="75">
        <f t="shared" ref="AB472:AC472" si="111">AB214-SUM(AB217,AB233,AB253,AB258,AB259,AB263,AB264,AB265,AB268,AB274,AB279,AB283,AB290,AB291,AB292,AB293,-ABS(AB294))</f>
        <v>0</v>
      </c>
      <c r="AC472" s="75">
        <f t="shared" si="111"/>
        <v>0</v>
      </c>
      <c r="AD472" s="75">
        <f t="shared" ref="AD472:AE472" si="112">AD214-SUM(AD217,AD233,AD253,AD258,AD259,AD263,AD264,AD265,AD268,AD274,AD279,AD283,AD290,AD291,AD292,AD293,-ABS(AD294))</f>
        <v>0</v>
      </c>
      <c r="AE472" s="75">
        <f t="shared" si="112"/>
        <v>0</v>
      </c>
      <c r="AF472" s="75">
        <f t="shared" ref="AF472:AG472" si="113">AF214-SUM(AF217,AF233,AF253,AF258,AF259,AF263,AF264,AF265,AF268,AF274,AF279,AF283,AF290,AF291,AF292,AF293,-ABS(AF294))</f>
        <v>0</v>
      </c>
      <c r="AG472" s="75">
        <f t="shared" si="113"/>
        <v>0</v>
      </c>
      <c r="AH472" s="75">
        <f t="shared" ref="AH472" si="114">AH214-SUM(AH217,AH233,AH253,AH258,AH259,AH263,AH264,AH265,AH268,AH274,AH279,AH283,AH290,AH291,AH292,AH293,-ABS(AH294))</f>
        <v>0</v>
      </c>
    </row>
    <row r="473" spans="2:34">
      <c r="B473" s="39" t="s">
        <v>58</v>
      </c>
      <c r="C473" s="39" t="s">
        <v>58</v>
      </c>
      <c r="D473" s="28">
        <f t="shared" ref="D473:AA473" si="115">D302-SUM(D303,D320,D353,D377,D411)</f>
        <v>0</v>
      </c>
      <c r="E473" s="28">
        <f t="shared" si="115"/>
        <v>0</v>
      </c>
      <c r="F473" s="28">
        <f t="shared" si="115"/>
        <v>0</v>
      </c>
      <c r="G473" s="28">
        <f t="shared" si="115"/>
        <v>0</v>
      </c>
      <c r="H473" s="28">
        <f t="shared" si="115"/>
        <v>0</v>
      </c>
      <c r="I473" s="74">
        <f t="shared" si="115"/>
        <v>0</v>
      </c>
      <c r="J473" s="28">
        <f t="shared" si="115"/>
        <v>0</v>
      </c>
      <c r="K473" s="28">
        <f t="shared" si="115"/>
        <v>0</v>
      </c>
      <c r="L473" s="74">
        <f t="shared" si="115"/>
        <v>0</v>
      </c>
      <c r="M473" s="74">
        <f t="shared" si="115"/>
        <v>0</v>
      </c>
      <c r="N473" s="74">
        <f t="shared" si="115"/>
        <v>0</v>
      </c>
      <c r="O473" s="74">
        <f t="shared" si="115"/>
        <v>0</v>
      </c>
      <c r="P473" s="74">
        <f t="shared" si="115"/>
        <v>0</v>
      </c>
      <c r="Q473" s="74">
        <f t="shared" si="115"/>
        <v>0</v>
      </c>
      <c r="R473" s="74">
        <f t="shared" si="115"/>
        <v>0</v>
      </c>
      <c r="S473" s="74">
        <f t="shared" si="115"/>
        <v>0</v>
      </c>
      <c r="T473" s="74">
        <f t="shared" si="115"/>
        <v>0</v>
      </c>
      <c r="U473" s="74">
        <f t="shared" si="115"/>
        <v>0</v>
      </c>
      <c r="V473" s="74">
        <f t="shared" si="115"/>
        <v>0</v>
      </c>
      <c r="W473" s="74">
        <f t="shared" si="115"/>
        <v>0</v>
      </c>
      <c r="X473" s="74">
        <f t="shared" si="115"/>
        <v>0</v>
      </c>
      <c r="Y473" s="74">
        <f t="shared" si="115"/>
        <v>0</v>
      </c>
      <c r="Z473" s="74">
        <f t="shared" si="115"/>
        <v>0</v>
      </c>
      <c r="AA473" s="74">
        <f t="shared" si="115"/>
        <v>0</v>
      </c>
      <c r="AB473" s="74">
        <f t="shared" ref="AB473:AC473" si="116">AB302-SUM(AB303,AB320,AB353,AB377,AB411)</f>
        <v>0</v>
      </c>
      <c r="AC473" s="74">
        <f t="shared" si="116"/>
        <v>0</v>
      </c>
      <c r="AD473" s="74">
        <f t="shared" ref="AD473:AE473" si="117">AD302-SUM(AD303,AD320,AD353,AD377,AD411)</f>
        <v>0</v>
      </c>
      <c r="AE473" s="74">
        <f t="shared" si="117"/>
        <v>0</v>
      </c>
      <c r="AF473" s="74">
        <f t="shared" ref="AF473:AG473" si="118">AF302-SUM(AF303,AF320,AF353,AF377,AF411)</f>
        <v>0</v>
      </c>
      <c r="AG473" s="74">
        <f t="shared" si="118"/>
        <v>0</v>
      </c>
      <c r="AH473" s="74">
        <f t="shared" ref="AH473" si="119">AH302-SUM(AH303,AH320,AH353,AH377,AH411)</f>
        <v>0</v>
      </c>
    </row>
    <row r="474" spans="2:34">
      <c r="B474" s="43" t="s">
        <v>152</v>
      </c>
      <c r="C474" s="43" t="s">
        <v>152</v>
      </c>
      <c r="D474" s="29">
        <f>D303-SUM((D304,D312,D317,D318,D319))</f>
        <v>0</v>
      </c>
      <c r="E474" s="29">
        <f>E303-SUM((E304,E312,E317,E318,E319))</f>
        <v>0</v>
      </c>
      <c r="F474" s="29">
        <f>F303-SUM((F304,F312,F317,F318,F319))</f>
        <v>0</v>
      </c>
      <c r="G474" s="29">
        <f>G303-SUM((G304,G312,G317,G318,G319))</f>
        <v>0</v>
      </c>
      <c r="H474" s="29">
        <f>H303-SUM((H304,H312,H317,H318,H319))</f>
        <v>0</v>
      </c>
      <c r="I474" s="75">
        <f>I303-SUM((I304,I312,I317,I318,I319))</f>
        <v>0</v>
      </c>
      <c r="J474" s="29">
        <f>J303-SUM((J304,J312,J317,J318,J319))</f>
        <v>0</v>
      </c>
      <c r="K474" s="29">
        <f>K303-SUM((K304,K312,K317,K318,K319))</f>
        <v>0</v>
      </c>
      <c r="L474" s="75">
        <f>L303-SUM((L304,L312,L317,L318,L319))</f>
        <v>0</v>
      </c>
      <c r="M474" s="75">
        <f>M303-SUM((M304,M312,M317,M318,M319))</f>
        <v>0</v>
      </c>
      <c r="N474" s="75">
        <f>N303-SUM((N304,N312,N317,N318,N319))</f>
        <v>0</v>
      </c>
      <c r="O474" s="75">
        <f>O303-SUM((O304,O312,O317,O318,O319))</f>
        <v>0</v>
      </c>
      <c r="P474" s="75">
        <f>P303-SUM((P304,P312,P317,P318,P319))</f>
        <v>0</v>
      </c>
      <c r="Q474" s="75">
        <f>Q303-SUM((Q304,Q312,Q317,Q318,Q319))</f>
        <v>0</v>
      </c>
      <c r="R474" s="75">
        <f>R303-SUM((R304,R312,R317,R318,R319))</f>
        <v>0</v>
      </c>
      <c r="S474" s="75">
        <f>S303-SUM((S304,S312,S317,S318,S319))</f>
        <v>0</v>
      </c>
      <c r="T474" s="75">
        <f>T303-SUM((T304,T312,T317,T318,T319))</f>
        <v>0</v>
      </c>
      <c r="U474" s="75">
        <f>U303-SUM((U304,U312,U317,U318,U319))</f>
        <v>0</v>
      </c>
      <c r="V474" s="75">
        <f>V303-SUM((V304,V312,V317,V318,V319))</f>
        <v>0</v>
      </c>
      <c r="W474" s="75">
        <f>W303-SUM((W304,W312,W317,W318,W319))</f>
        <v>0</v>
      </c>
      <c r="X474" s="75">
        <f>X303-SUM((X304,X312,X317,X318,X319))</f>
        <v>0</v>
      </c>
      <c r="Y474" s="75">
        <f>Y303-SUM((Y304,Y312,Y317,Y318,Y319))</f>
        <v>0</v>
      </c>
      <c r="Z474" s="75">
        <f>Z303-SUM((Z304,Z312,Z317,Z318,Z319))</f>
        <v>0</v>
      </c>
      <c r="AA474" s="75">
        <f>AA303-SUM((AA304,AA312,AA317,AA318,AA319))</f>
        <v>0</v>
      </c>
      <c r="AB474" s="75">
        <f>AB303-SUM((AB304,AB312,AB317,AB318,AB319))</f>
        <v>0</v>
      </c>
      <c r="AC474" s="75">
        <f>AC303-SUM((AC304,AC312,AC317,AC318,AC319))</f>
        <v>0</v>
      </c>
      <c r="AD474" s="75">
        <f>AD303-SUM((AD304,AD312,AD317,AD318,AD319))</f>
        <v>0</v>
      </c>
      <c r="AE474" s="75">
        <f>AE303-SUM((AE304,AE312,AE317,AE318,AE319))</f>
        <v>0</v>
      </c>
      <c r="AF474" s="75">
        <f>AF303-SUM((AF304,AF312,AF317,AF318,AF319))</f>
        <v>0</v>
      </c>
      <c r="AG474" s="75">
        <f>AG303-SUM((AG304,AG312,AG317,AG318,AG319))</f>
        <v>0</v>
      </c>
      <c r="AH474" s="75">
        <f>AH303-SUM((AH304,AH312,AH317,AH318,AH319))</f>
        <v>0</v>
      </c>
    </row>
    <row r="475" spans="2:34">
      <c r="B475" s="43" t="s">
        <v>153</v>
      </c>
      <c r="C475" s="43" t="s">
        <v>153</v>
      </c>
      <c r="D475" s="29">
        <f t="shared" ref="D475:Z475" si="120">D320-SUM(D323,D324,D330,D331,D337,D343,D347,D349,D350,D352)</f>
        <v>0</v>
      </c>
      <c r="E475" s="29">
        <f t="shared" si="120"/>
        <v>0</v>
      </c>
      <c r="F475" s="29">
        <f t="shared" si="120"/>
        <v>0</v>
      </c>
      <c r="G475" s="29">
        <f t="shared" si="120"/>
        <v>0</v>
      </c>
      <c r="H475" s="29">
        <f t="shared" si="120"/>
        <v>0</v>
      </c>
      <c r="I475" s="75">
        <f t="shared" si="120"/>
        <v>0</v>
      </c>
      <c r="J475" s="29">
        <f t="shared" si="120"/>
        <v>0</v>
      </c>
      <c r="K475" s="29">
        <f t="shared" si="120"/>
        <v>0</v>
      </c>
      <c r="L475" s="75">
        <f t="shared" si="120"/>
        <v>0</v>
      </c>
      <c r="M475" s="75">
        <f t="shared" si="120"/>
        <v>0</v>
      </c>
      <c r="N475" s="75">
        <f t="shared" si="120"/>
        <v>0</v>
      </c>
      <c r="O475" s="75">
        <f t="shared" si="120"/>
        <v>0</v>
      </c>
      <c r="P475" s="75">
        <f t="shared" si="120"/>
        <v>0</v>
      </c>
      <c r="Q475" s="75">
        <f t="shared" si="120"/>
        <v>0</v>
      </c>
      <c r="R475" s="75">
        <f t="shared" si="120"/>
        <v>0</v>
      </c>
      <c r="S475" s="75">
        <f t="shared" si="120"/>
        <v>0</v>
      </c>
      <c r="T475" s="75">
        <f t="shared" si="120"/>
        <v>0</v>
      </c>
      <c r="U475" s="75">
        <f t="shared" si="120"/>
        <v>0</v>
      </c>
      <c r="V475" s="75">
        <f t="shared" si="120"/>
        <v>0</v>
      </c>
      <c r="W475" s="75">
        <f t="shared" si="120"/>
        <v>0</v>
      </c>
      <c r="X475" s="75">
        <f t="shared" si="120"/>
        <v>0</v>
      </c>
      <c r="Y475" s="75">
        <f t="shared" si="120"/>
        <v>0</v>
      </c>
      <c r="Z475" s="75">
        <f t="shared" si="120"/>
        <v>0</v>
      </c>
      <c r="AA475" s="75">
        <f t="shared" ref="AA475:AF475" si="121">AA320-SUM(AA323,AA324,AA330,AA331,AA337,AA343,AA347,AA349,AA350,AA352,AA351)</f>
        <v>0</v>
      </c>
      <c r="AB475" s="75">
        <f t="shared" si="121"/>
        <v>0</v>
      </c>
      <c r="AC475" s="75">
        <f t="shared" si="121"/>
        <v>0</v>
      </c>
      <c r="AD475" s="75">
        <f t="shared" si="121"/>
        <v>0</v>
      </c>
      <c r="AE475" s="75">
        <f t="shared" si="121"/>
        <v>0</v>
      </c>
      <c r="AF475" s="75">
        <f t="shared" si="121"/>
        <v>0</v>
      </c>
      <c r="AG475" s="75">
        <f t="shared" ref="AG475:AH475" si="122">AG320-SUM(AG323,AG324,AG330,AG331,AG337,AG343,AG347,AG349,AG350,AG352,AG351)</f>
        <v>0</v>
      </c>
      <c r="AH475" s="75">
        <f t="shared" si="122"/>
        <v>0</v>
      </c>
    </row>
    <row r="476" spans="2:34">
      <c r="B476" s="43" t="s">
        <v>160</v>
      </c>
      <c r="C476" s="43" t="s">
        <v>160</v>
      </c>
      <c r="D476" s="29">
        <f t="shared" ref="D476:AA476" si="123">D353-SUM(D354,D358,D362,D366,D370,D374,D375,D376)</f>
        <v>0</v>
      </c>
      <c r="E476" s="29">
        <f t="shared" si="123"/>
        <v>0</v>
      </c>
      <c r="F476" s="29">
        <f t="shared" si="123"/>
        <v>0</v>
      </c>
      <c r="G476" s="29">
        <f t="shared" si="123"/>
        <v>0</v>
      </c>
      <c r="H476" s="29">
        <f t="shared" si="123"/>
        <v>0</v>
      </c>
      <c r="I476" s="75">
        <f t="shared" si="123"/>
        <v>0</v>
      </c>
      <c r="J476" s="29">
        <f t="shared" si="123"/>
        <v>0</v>
      </c>
      <c r="K476" s="29">
        <f t="shared" si="123"/>
        <v>0</v>
      </c>
      <c r="L476" s="75">
        <f t="shared" si="123"/>
        <v>0</v>
      </c>
      <c r="M476" s="75">
        <f t="shared" si="123"/>
        <v>0</v>
      </c>
      <c r="N476" s="75">
        <f t="shared" si="123"/>
        <v>0</v>
      </c>
      <c r="O476" s="75">
        <f t="shared" si="123"/>
        <v>0</v>
      </c>
      <c r="P476" s="75">
        <f t="shared" si="123"/>
        <v>0</v>
      </c>
      <c r="Q476" s="75">
        <f t="shared" si="123"/>
        <v>0</v>
      </c>
      <c r="R476" s="75">
        <f t="shared" si="123"/>
        <v>0</v>
      </c>
      <c r="S476" s="75">
        <f t="shared" si="123"/>
        <v>0</v>
      </c>
      <c r="T476" s="75">
        <f t="shared" si="123"/>
        <v>0</v>
      </c>
      <c r="U476" s="75">
        <f t="shared" si="123"/>
        <v>0</v>
      </c>
      <c r="V476" s="75">
        <f t="shared" si="123"/>
        <v>0</v>
      </c>
      <c r="W476" s="75">
        <f t="shared" si="123"/>
        <v>0</v>
      </c>
      <c r="X476" s="75">
        <f t="shared" si="123"/>
        <v>0</v>
      </c>
      <c r="Y476" s="75">
        <f t="shared" si="123"/>
        <v>0</v>
      </c>
      <c r="Z476" s="75">
        <f t="shared" si="123"/>
        <v>0</v>
      </c>
      <c r="AA476" s="75">
        <f t="shared" si="123"/>
        <v>0</v>
      </c>
      <c r="AB476" s="75">
        <f t="shared" ref="AB476:AC476" si="124">AB353-SUM(AB354,AB358,AB362,AB366,AB370,AB374,AB375,AB376)</f>
        <v>0</v>
      </c>
      <c r="AC476" s="75">
        <f t="shared" si="124"/>
        <v>0</v>
      </c>
      <c r="AD476" s="75">
        <f t="shared" ref="AD476:AE476" si="125">AD353-SUM(AD354,AD358,AD362,AD366,AD370,AD374,AD375,AD376)</f>
        <v>0</v>
      </c>
      <c r="AE476" s="75">
        <f t="shared" si="125"/>
        <v>0</v>
      </c>
      <c r="AF476" s="75">
        <f t="shared" ref="AF476:AG476" si="126">AF353-SUM(AF354,AF358,AF362,AF366,AF370,AF374,AF375,AF376)</f>
        <v>0</v>
      </c>
      <c r="AG476" s="75">
        <f t="shared" si="126"/>
        <v>0</v>
      </c>
      <c r="AH476" s="75">
        <f t="shared" ref="AH476" si="127">AH353-SUM(AH354,AH358,AH362,AH366,AH370,AH374,AH375,AH376)</f>
        <v>0</v>
      </c>
    </row>
    <row r="477" spans="2:34">
      <c r="B477" s="43" t="s">
        <v>161</v>
      </c>
      <c r="C477" s="43" t="s">
        <v>161</v>
      </c>
      <c r="D477" s="29">
        <f t="shared" ref="D477:AA477" si="128">D377-SUM(D380,D387,D393,D394,D395,D396,D397,D398,D399,D400,D401,D402,D403,D406,D407,D408,D409,D410)</f>
        <v>0</v>
      </c>
      <c r="E477" s="29">
        <f t="shared" si="128"/>
        <v>0</v>
      </c>
      <c r="F477" s="29">
        <f t="shared" si="128"/>
        <v>0</v>
      </c>
      <c r="G477" s="29">
        <f t="shared" si="128"/>
        <v>0</v>
      </c>
      <c r="H477" s="29">
        <f t="shared" si="128"/>
        <v>0</v>
      </c>
      <c r="I477" s="75">
        <f t="shared" si="128"/>
        <v>0</v>
      </c>
      <c r="J477" s="29">
        <f t="shared" si="128"/>
        <v>0</v>
      </c>
      <c r="K477" s="29">
        <f t="shared" si="128"/>
        <v>0</v>
      </c>
      <c r="L477" s="75">
        <f t="shared" si="128"/>
        <v>0</v>
      </c>
      <c r="M477" s="75">
        <f t="shared" si="128"/>
        <v>0</v>
      </c>
      <c r="N477" s="75">
        <f t="shared" si="128"/>
        <v>0</v>
      </c>
      <c r="O477" s="75">
        <f t="shared" si="128"/>
        <v>0</v>
      </c>
      <c r="P477" s="75">
        <f t="shared" si="128"/>
        <v>0</v>
      </c>
      <c r="Q477" s="75">
        <f t="shared" si="128"/>
        <v>0</v>
      </c>
      <c r="R477" s="75">
        <f t="shared" si="128"/>
        <v>0</v>
      </c>
      <c r="S477" s="75">
        <f t="shared" si="128"/>
        <v>0</v>
      </c>
      <c r="T477" s="75">
        <f t="shared" si="128"/>
        <v>0</v>
      </c>
      <c r="U477" s="75">
        <f t="shared" si="128"/>
        <v>0</v>
      </c>
      <c r="V477" s="75">
        <f t="shared" si="128"/>
        <v>0</v>
      </c>
      <c r="W477" s="75">
        <f t="shared" si="128"/>
        <v>0</v>
      </c>
      <c r="X477" s="75">
        <f t="shared" si="128"/>
        <v>0</v>
      </c>
      <c r="Y477" s="75">
        <f t="shared" si="128"/>
        <v>0</v>
      </c>
      <c r="Z477" s="75">
        <f t="shared" si="128"/>
        <v>0</v>
      </c>
      <c r="AA477" s="75">
        <f t="shared" si="128"/>
        <v>0</v>
      </c>
      <c r="AB477" s="75">
        <f t="shared" ref="AB477:AC477" si="129">AB377-SUM(AB380,AB387,AB393,AB394,AB395,AB396,AB397,AB398,AB399,AB400,AB401,AB402,AB403,AB406,AB407,AB408,AB409,AB410)</f>
        <v>0</v>
      </c>
      <c r="AC477" s="75">
        <f t="shared" si="129"/>
        <v>0</v>
      </c>
      <c r="AD477" s="75">
        <f t="shared" ref="AD477:AE477" si="130">AD377-SUM(AD380,AD387,AD393,AD394,AD395,AD396,AD397,AD398,AD399,AD400,AD401,AD402,AD403,AD406,AD407,AD408,AD409,AD410)</f>
        <v>0</v>
      </c>
      <c r="AE477" s="75">
        <f t="shared" si="130"/>
        <v>0</v>
      </c>
      <c r="AF477" s="75">
        <f t="shared" ref="AF477:AG477" si="131">AF377-SUM(AF380,AF387,AF393,AF394,AF395,AF396,AF397,AF398,AF399,AF400,AF401,AF402,AF403,AF406,AF407,AF408,AF409,AF410)</f>
        <v>0</v>
      </c>
      <c r="AG477" s="75">
        <f t="shared" si="131"/>
        <v>0</v>
      </c>
      <c r="AH477" s="75">
        <f t="shared" ref="AH477" si="132">AH377-SUM(AH380,AH387,AH393,AH394,AH395,AH396,AH397,AH398,AH399,AH400,AH401,AH402,AH403,AH406,AH407,AH408,AH409,AH410)</f>
        <v>0</v>
      </c>
    </row>
    <row r="478" spans="2:34">
      <c r="B478" s="43" t="s">
        <v>162</v>
      </c>
      <c r="C478" s="43" t="s">
        <v>162</v>
      </c>
      <c r="D478" s="29">
        <f t="shared" ref="D478:AA478" si="133">D411-SUM(D412,D413)</f>
        <v>0</v>
      </c>
      <c r="E478" s="29">
        <f t="shared" si="133"/>
        <v>0</v>
      </c>
      <c r="F478" s="29">
        <f t="shared" si="133"/>
        <v>0</v>
      </c>
      <c r="G478" s="29">
        <f t="shared" si="133"/>
        <v>0</v>
      </c>
      <c r="H478" s="29">
        <f t="shared" si="133"/>
        <v>0</v>
      </c>
      <c r="I478" s="75">
        <f t="shared" si="133"/>
        <v>0</v>
      </c>
      <c r="J478" s="29">
        <f t="shared" si="133"/>
        <v>0</v>
      </c>
      <c r="K478" s="29">
        <f t="shared" si="133"/>
        <v>0</v>
      </c>
      <c r="L478" s="75">
        <f t="shared" si="133"/>
        <v>0</v>
      </c>
      <c r="M478" s="75">
        <f t="shared" si="133"/>
        <v>0</v>
      </c>
      <c r="N478" s="75">
        <f t="shared" si="133"/>
        <v>0</v>
      </c>
      <c r="O478" s="75">
        <f t="shared" si="133"/>
        <v>0</v>
      </c>
      <c r="P478" s="75">
        <f t="shared" si="133"/>
        <v>0</v>
      </c>
      <c r="Q478" s="75">
        <f t="shared" si="133"/>
        <v>0</v>
      </c>
      <c r="R478" s="75">
        <f t="shared" si="133"/>
        <v>0</v>
      </c>
      <c r="S478" s="75">
        <f t="shared" si="133"/>
        <v>0</v>
      </c>
      <c r="T478" s="75">
        <f t="shared" si="133"/>
        <v>0</v>
      </c>
      <c r="U478" s="75">
        <f t="shared" si="133"/>
        <v>0</v>
      </c>
      <c r="V478" s="75">
        <f t="shared" si="133"/>
        <v>0</v>
      </c>
      <c r="W478" s="75">
        <f t="shared" si="133"/>
        <v>0</v>
      </c>
      <c r="X478" s="75">
        <f t="shared" si="133"/>
        <v>0</v>
      </c>
      <c r="Y478" s="75">
        <f t="shared" si="133"/>
        <v>0</v>
      </c>
      <c r="Z478" s="75">
        <f t="shared" si="133"/>
        <v>0</v>
      </c>
      <c r="AA478" s="75">
        <f t="shared" si="133"/>
        <v>0</v>
      </c>
      <c r="AB478" s="75">
        <f t="shared" ref="AB478:AC478" si="134">AB411-SUM(AB412,AB413)</f>
        <v>0</v>
      </c>
      <c r="AC478" s="75">
        <f t="shared" si="134"/>
        <v>0</v>
      </c>
      <c r="AD478" s="75">
        <f t="shared" ref="AD478:AE478" si="135">AD411-SUM(AD412,AD413)</f>
        <v>0</v>
      </c>
      <c r="AE478" s="75">
        <f t="shared" si="135"/>
        <v>0</v>
      </c>
      <c r="AF478" s="75">
        <f t="shared" ref="AF478:AG478" si="136">AF411-SUM(AF412,AF413)</f>
        <v>0</v>
      </c>
      <c r="AG478" s="75">
        <f t="shared" si="136"/>
        <v>0</v>
      </c>
      <c r="AH478" s="75">
        <f t="shared" ref="AH478" si="137">AH411-SUM(AH412,AH413)</f>
        <v>0</v>
      </c>
    </row>
    <row r="479" spans="2:34">
      <c r="B479" s="39" t="s">
        <v>12</v>
      </c>
      <c r="C479" s="39" t="s">
        <v>12</v>
      </c>
      <c r="D479" s="28">
        <f t="shared" ref="D479:AA479" si="138">D414-SUM(D415,D421,D426,D433,D454)</f>
        <v>0</v>
      </c>
      <c r="E479" s="28">
        <f t="shared" si="138"/>
        <v>0</v>
      </c>
      <c r="F479" s="28">
        <f t="shared" si="138"/>
        <v>0</v>
      </c>
      <c r="G479" s="28">
        <f t="shared" si="138"/>
        <v>0</v>
      </c>
      <c r="H479" s="28">
        <f t="shared" si="138"/>
        <v>0</v>
      </c>
      <c r="I479" s="74">
        <f t="shared" si="138"/>
        <v>0</v>
      </c>
      <c r="J479" s="28">
        <f t="shared" si="138"/>
        <v>0</v>
      </c>
      <c r="K479" s="28">
        <f t="shared" si="138"/>
        <v>0</v>
      </c>
      <c r="L479" s="74">
        <f t="shared" si="138"/>
        <v>0</v>
      </c>
      <c r="M479" s="74">
        <f t="shared" si="138"/>
        <v>0</v>
      </c>
      <c r="N479" s="74">
        <f t="shared" si="138"/>
        <v>0</v>
      </c>
      <c r="O479" s="74">
        <f t="shared" si="138"/>
        <v>0</v>
      </c>
      <c r="P479" s="74">
        <f t="shared" si="138"/>
        <v>0</v>
      </c>
      <c r="Q479" s="74">
        <f t="shared" si="138"/>
        <v>0</v>
      </c>
      <c r="R479" s="74">
        <f t="shared" si="138"/>
        <v>0</v>
      </c>
      <c r="S479" s="74">
        <f t="shared" si="138"/>
        <v>0</v>
      </c>
      <c r="T479" s="74">
        <f t="shared" si="138"/>
        <v>0</v>
      </c>
      <c r="U479" s="74">
        <f t="shared" si="138"/>
        <v>0</v>
      </c>
      <c r="V479" s="74">
        <f t="shared" si="138"/>
        <v>0</v>
      </c>
      <c r="W479" s="74">
        <f t="shared" si="138"/>
        <v>0</v>
      </c>
      <c r="X479" s="74">
        <f t="shared" si="138"/>
        <v>0</v>
      </c>
      <c r="Y479" s="74">
        <f t="shared" si="138"/>
        <v>0</v>
      </c>
      <c r="Z479" s="74">
        <f t="shared" si="138"/>
        <v>0</v>
      </c>
      <c r="AA479" s="74">
        <f t="shared" si="138"/>
        <v>0</v>
      </c>
      <c r="AB479" s="74">
        <f t="shared" ref="AB479:AC479" si="139">AB414-SUM(AB415,AB421,AB426,AB433,AB454)</f>
        <v>0</v>
      </c>
      <c r="AC479" s="74">
        <f t="shared" si="139"/>
        <v>0</v>
      </c>
      <c r="AD479" s="74">
        <f t="shared" ref="AD479:AE479" si="140">AD414-SUM(AD415,AD421,AD426,AD433,AD454)</f>
        <v>0</v>
      </c>
      <c r="AE479" s="74">
        <f t="shared" si="140"/>
        <v>0</v>
      </c>
      <c r="AF479" s="74">
        <f t="shared" ref="AF479:AG479" si="141">AF414-SUM(AF415,AF421,AF426,AF433,AF454)</f>
        <v>0</v>
      </c>
      <c r="AG479" s="74">
        <f t="shared" si="141"/>
        <v>0</v>
      </c>
      <c r="AH479" s="74">
        <f t="shared" ref="AH479" si="142">AH414-SUM(AH415,AH421,AH426,AH433,AH454)</f>
        <v>0</v>
      </c>
    </row>
    <row r="480" spans="2:34">
      <c r="B480" s="43" t="s">
        <v>163</v>
      </c>
      <c r="C480" s="43" t="s">
        <v>163</v>
      </c>
      <c r="D480" s="29">
        <f t="shared" ref="D480:AA480" si="143">D415-SUM(D416,D417)</f>
        <v>0</v>
      </c>
      <c r="E480" s="29">
        <f t="shared" si="143"/>
        <v>0</v>
      </c>
      <c r="F480" s="29">
        <f t="shared" si="143"/>
        <v>0</v>
      </c>
      <c r="G480" s="29">
        <f t="shared" si="143"/>
        <v>0</v>
      </c>
      <c r="H480" s="29">
        <f t="shared" si="143"/>
        <v>0</v>
      </c>
      <c r="I480" s="75">
        <f t="shared" si="143"/>
        <v>0</v>
      </c>
      <c r="J480" s="29">
        <f t="shared" si="143"/>
        <v>0</v>
      </c>
      <c r="K480" s="29">
        <f t="shared" si="143"/>
        <v>0</v>
      </c>
      <c r="L480" s="75">
        <f t="shared" si="143"/>
        <v>0</v>
      </c>
      <c r="M480" s="75">
        <f t="shared" si="143"/>
        <v>0</v>
      </c>
      <c r="N480" s="75">
        <f t="shared" si="143"/>
        <v>0</v>
      </c>
      <c r="O480" s="75">
        <f t="shared" si="143"/>
        <v>0</v>
      </c>
      <c r="P480" s="75">
        <f t="shared" si="143"/>
        <v>0</v>
      </c>
      <c r="Q480" s="75">
        <f t="shared" si="143"/>
        <v>0</v>
      </c>
      <c r="R480" s="75">
        <f t="shared" si="143"/>
        <v>0</v>
      </c>
      <c r="S480" s="75">
        <f t="shared" si="143"/>
        <v>0</v>
      </c>
      <c r="T480" s="75">
        <f t="shared" si="143"/>
        <v>0</v>
      </c>
      <c r="U480" s="75">
        <f t="shared" si="143"/>
        <v>0</v>
      </c>
      <c r="V480" s="75">
        <f t="shared" si="143"/>
        <v>0</v>
      </c>
      <c r="W480" s="75">
        <f t="shared" si="143"/>
        <v>0</v>
      </c>
      <c r="X480" s="75">
        <f t="shared" si="143"/>
        <v>0</v>
      </c>
      <c r="Y480" s="75">
        <f t="shared" si="143"/>
        <v>0</v>
      </c>
      <c r="Z480" s="75">
        <f t="shared" si="143"/>
        <v>0</v>
      </c>
      <c r="AA480" s="75">
        <f t="shared" si="143"/>
        <v>0</v>
      </c>
      <c r="AB480" s="75">
        <f t="shared" ref="AB480:AC480" si="144">AB415-SUM(AB416,AB417)</f>
        <v>0</v>
      </c>
      <c r="AC480" s="75">
        <f t="shared" si="144"/>
        <v>0</v>
      </c>
      <c r="AD480" s="75">
        <f t="shared" ref="AD480:AE480" si="145">AD415-SUM(AD416,AD417)</f>
        <v>0</v>
      </c>
      <c r="AE480" s="75">
        <f t="shared" si="145"/>
        <v>0</v>
      </c>
      <c r="AF480" s="75">
        <f t="shared" ref="AF480:AG480" si="146">AF415-SUM(AF416,AF417)</f>
        <v>0</v>
      </c>
      <c r="AG480" s="75">
        <f t="shared" si="146"/>
        <v>0</v>
      </c>
      <c r="AH480" s="75">
        <f t="shared" ref="AH480" si="147">AH415-SUM(AH416,AH417)</f>
        <v>0</v>
      </c>
    </row>
    <row r="481" spans="1:34">
      <c r="B481" s="43" t="s">
        <v>164</v>
      </c>
      <c r="C481" s="43" t="s">
        <v>164</v>
      </c>
      <c r="D481" s="29">
        <f t="shared" ref="D481:AA481" si="148">D421-SUM(D422,D423,D424,D425)</f>
        <v>0</v>
      </c>
      <c r="E481" s="29">
        <f t="shared" si="148"/>
        <v>0</v>
      </c>
      <c r="F481" s="29">
        <f t="shared" si="148"/>
        <v>0</v>
      </c>
      <c r="G481" s="29">
        <f t="shared" si="148"/>
        <v>0</v>
      </c>
      <c r="H481" s="29">
        <f t="shared" si="148"/>
        <v>0</v>
      </c>
      <c r="I481" s="75">
        <f t="shared" si="148"/>
        <v>0</v>
      </c>
      <c r="J481" s="29">
        <f t="shared" si="148"/>
        <v>0</v>
      </c>
      <c r="K481" s="29">
        <f t="shared" si="148"/>
        <v>0</v>
      </c>
      <c r="L481" s="75">
        <f t="shared" si="148"/>
        <v>0</v>
      </c>
      <c r="M481" s="75">
        <f t="shared" si="148"/>
        <v>0</v>
      </c>
      <c r="N481" s="75">
        <f t="shared" si="148"/>
        <v>0</v>
      </c>
      <c r="O481" s="75">
        <f t="shared" si="148"/>
        <v>0</v>
      </c>
      <c r="P481" s="75">
        <f t="shared" si="148"/>
        <v>0</v>
      </c>
      <c r="Q481" s="75">
        <f t="shared" si="148"/>
        <v>0</v>
      </c>
      <c r="R481" s="75">
        <f t="shared" si="148"/>
        <v>0</v>
      </c>
      <c r="S481" s="75">
        <f t="shared" si="148"/>
        <v>0</v>
      </c>
      <c r="T481" s="75">
        <f t="shared" si="148"/>
        <v>0</v>
      </c>
      <c r="U481" s="75">
        <f t="shared" si="148"/>
        <v>0</v>
      </c>
      <c r="V481" s="75">
        <f t="shared" si="148"/>
        <v>0</v>
      </c>
      <c r="W481" s="75">
        <f t="shared" si="148"/>
        <v>0</v>
      </c>
      <c r="X481" s="75">
        <f t="shared" si="148"/>
        <v>0</v>
      </c>
      <c r="Y481" s="75">
        <f t="shared" si="148"/>
        <v>0</v>
      </c>
      <c r="Z481" s="75">
        <f t="shared" si="148"/>
        <v>0</v>
      </c>
      <c r="AA481" s="75">
        <f t="shared" si="148"/>
        <v>0</v>
      </c>
      <c r="AB481" s="75">
        <f t="shared" ref="AB481:AC481" si="149">AB421-SUM(AB422,AB423,AB424,AB425)</f>
        <v>0</v>
      </c>
      <c r="AC481" s="75">
        <f t="shared" si="149"/>
        <v>0</v>
      </c>
      <c r="AD481" s="75">
        <f t="shared" ref="AD481:AE481" si="150">AD421-SUM(AD422,AD423,AD424,AD425)</f>
        <v>0</v>
      </c>
      <c r="AE481" s="75">
        <f t="shared" si="150"/>
        <v>0</v>
      </c>
      <c r="AF481" s="75">
        <f t="shared" ref="AF481:AG481" si="151">AF421-SUM(AF422,AF423,AF424,AF425)</f>
        <v>0</v>
      </c>
      <c r="AG481" s="75">
        <f t="shared" si="151"/>
        <v>0</v>
      </c>
      <c r="AH481" s="75">
        <f t="shared" ref="AH481" si="152">AH421-SUM(AH422,AH423,AH424,AH425)</f>
        <v>0</v>
      </c>
    </row>
    <row r="482" spans="1:34">
      <c r="B482" s="43" t="s">
        <v>165</v>
      </c>
      <c r="C482" s="43" t="s">
        <v>165</v>
      </c>
      <c r="D482" s="29">
        <f t="shared" ref="D482:AA482" si="153">D426-SUM(D427,D428,D429,D430,D431,D432)</f>
        <v>0</v>
      </c>
      <c r="E482" s="29">
        <f t="shared" si="153"/>
        <v>0</v>
      </c>
      <c r="F482" s="29">
        <f t="shared" si="153"/>
        <v>0</v>
      </c>
      <c r="G482" s="29">
        <f t="shared" si="153"/>
        <v>0</v>
      </c>
      <c r="H482" s="29">
        <f t="shared" si="153"/>
        <v>0</v>
      </c>
      <c r="I482" s="75">
        <f t="shared" si="153"/>
        <v>0</v>
      </c>
      <c r="J482" s="29">
        <f t="shared" si="153"/>
        <v>0</v>
      </c>
      <c r="K482" s="29">
        <f t="shared" si="153"/>
        <v>0</v>
      </c>
      <c r="L482" s="75">
        <f t="shared" si="153"/>
        <v>0</v>
      </c>
      <c r="M482" s="75">
        <f t="shared" si="153"/>
        <v>0</v>
      </c>
      <c r="N482" s="75">
        <f t="shared" si="153"/>
        <v>0</v>
      </c>
      <c r="O482" s="75">
        <f t="shared" si="153"/>
        <v>0</v>
      </c>
      <c r="P482" s="75">
        <f t="shared" si="153"/>
        <v>0</v>
      </c>
      <c r="Q482" s="75">
        <f t="shared" si="153"/>
        <v>0</v>
      </c>
      <c r="R482" s="75">
        <f t="shared" si="153"/>
        <v>0</v>
      </c>
      <c r="S482" s="75">
        <f t="shared" si="153"/>
        <v>0</v>
      </c>
      <c r="T482" s="75">
        <f t="shared" si="153"/>
        <v>0</v>
      </c>
      <c r="U482" s="75">
        <f t="shared" si="153"/>
        <v>0</v>
      </c>
      <c r="V482" s="75">
        <f t="shared" si="153"/>
        <v>0</v>
      </c>
      <c r="W482" s="75">
        <f t="shared" si="153"/>
        <v>0</v>
      </c>
      <c r="X482" s="75">
        <f t="shared" si="153"/>
        <v>0</v>
      </c>
      <c r="Y482" s="75">
        <f t="shared" si="153"/>
        <v>0</v>
      </c>
      <c r="Z482" s="75">
        <f t="shared" si="153"/>
        <v>0</v>
      </c>
      <c r="AA482" s="75">
        <f t="shared" si="153"/>
        <v>0</v>
      </c>
      <c r="AB482" s="75">
        <f t="shared" ref="AB482:AC482" si="154">AB426-SUM(AB427,AB428,AB429,AB430,AB431,AB432)</f>
        <v>0</v>
      </c>
      <c r="AC482" s="75">
        <f t="shared" si="154"/>
        <v>0</v>
      </c>
      <c r="AD482" s="75">
        <f t="shared" ref="AD482:AE482" si="155">AD426-SUM(AD427,AD428,AD429,AD430,AD431,AD432)</f>
        <v>0</v>
      </c>
      <c r="AE482" s="75">
        <f t="shared" si="155"/>
        <v>0</v>
      </c>
      <c r="AF482" s="75">
        <f t="shared" ref="AF482:AG482" si="156">AF426-SUM(AF427,AF428,AF429,AF430,AF431,AF432)</f>
        <v>0</v>
      </c>
      <c r="AG482" s="75">
        <f t="shared" si="156"/>
        <v>0</v>
      </c>
      <c r="AH482" s="75">
        <f t="shared" ref="AH482" si="157">AH426-SUM(AH427,AH428,AH429,AH430,AH431,AH432)</f>
        <v>0</v>
      </c>
    </row>
    <row r="483" spans="1:34">
      <c r="B483" s="43" t="s">
        <v>166</v>
      </c>
      <c r="C483" s="43" t="s">
        <v>166</v>
      </c>
      <c r="D483" s="29">
        <f t="shared" ref="D483:Z483" si="158">D433-SUM(D434,D448,D449,D450,D451,D452,D453)</f>
        <v>0</v>
      </c>
      <c r="E483" s="29">
        <f t="shared" si="158"/>
        <v>0</v>
      </c>
      <c r="F483" s="29">
        <f t="shared" si="158"/>
        <v>0</v>
      </c>
      <c r="G483" s="29">
        <f t="shared" si="158"/>
        <v>0</v>
      </c>
      <c r="H483" s="75">
        <f>H433-SUM(H434,H447,H448,H449,H450,H451,H452,H453)</f>
        <v>0</v>
      </c>
      <c r="I483" s="75">
        <f t="shared" si="158"/>
        <v>0</v>
      </c>
      <c r="J483" s="29">
        <f t="shared" si="158"/>
        <v>0</v>
      </c>
      <c r="K483" s="75">
        <f>K433-SUM(K434,K447,K448,K449,K450,K451,K452,K453)</f>
        <v>0</v>
      </c>
      <c r="L483" s="75">
        <f t="shared" si="158"/>
        <v>0</v>
      </c>
      <c r="M483" s="75">
        <f t="shared" si="158"/>
        <v>0</v>
      </c>
      <c r="N483" s="75">
        <f t="shared" si="158"/>
        <v>0</v>
      </c>
      <c r="O483" s="75">
        <f>O433-SUM(O434,O447,O448,O449,O450,O451,O452,O453)</f>
        <v>0</v>
      </c>
      <c r="P483" s="75">
        <f t="shared" si="158"/>
        <v>0</v>
      </c>
      <c r="Q483" s="75">
        <f t="shared" si="158"/>
        <v>0</v>
      </c>
      <c r="R483" s="75">
        <f t="shared" si="158"/>
        <v>0</v>
      </c>
      <c r="S483" s="75">
        <f>S433-SUM(S434,S447,S448,S449,S450,S451,S452,S453)</f>
        <v>0</v>
      </c>
      <c r="T483" s="75">
        <f t="shared" si="158"/>
        <v>0</v>
      </c>
      <c r="U483" s="75">
        <f t="shared" si="158"/>
        <v>0</v>
      </c>
      <c r="V483" s="75">
        <f t="shared" si="158"/>
        <v>0</v>
      </c>
      <c r="W483" s="75">
        <f>W433-SUM(W434,W447,W448,W449,W450,W451,W452,W453)</f>
        <v>0</v>
      </c>
      <c r="X483" s="75">
        <f t="shared" si="158"/>
        <v>0</v>
      </c>
      <c r="Y483" s="75">
        <f t="shared" si="158"/>
        <v>0</v>
      </c>
      <c r="Z483" s="75">
        <f t="shared" si="158"/>
        <v>0</v>
      </c>
      <c r="AA483" s="75">
        <f t="shared" ref="AA483:AF483" si="159">AA433-SUM(AA434,AA447,AA448,AA449,AA450,AA451,AA452,AA453)</f>
        <v>0</v>
      </c>
      <c r="AB483" s="75">
        <f t="shared" si="159"/>
        <v>0</v>
      </c>
      <c r="AC483" s="75">
        <f t="shared" si="159"/>
        <v>0</v>
      </c>
      <c r="AD483" s="75">
        <f t="shared" si="159"/>
        <v>0</v>
      </c>
      <c r="AE483" s="75">
        <f t="shared" si="159"/>
        <v>0</v>
      </c>
      <c r="AF483" s="75">
        <f t="shared" si="159"/>
        <v>0</v>
      </c>
      <c r="AG483" s="75">
        <f t="shared" ref="AG483:AH483" si="160">AG433-SUM(AG434,AG447,AG448,AG449,AG450,AG451,AG452,AG453)</f>
        <v>0</v>
      </c>
      <c r="AH483" s="75">
        <f t="shared" si="160"/>
        <v>0</v>
      </c>
    </row>
    <row r="484" spans="1:34">
      <c r="B484" s="43" t="s">
        <v>167</v>
      </c>
      <c r="C484" s="43" t="s">
        <v>167</v>
      </c>
      <c r="D484" s="29">
        <f t="shared" ref="D484:AA484" si="161">D454-SUM(D455,D456,D457,D458,D459,D460,D461)</f>
        <v>0</v>
      </c>
      <c r="E484" s="29">
        <f t="shared" si="161"/>
        <v>0</v>
      </c>
      <c r="F484" s="29">
        <f t="shared" si="161"/>
        <v>0</v>
      </c>
      <c r="G484" s="29">
        <f t="shared" si="161"/>
        <v>0</v>
      </c>
      <c r="H484" s="29">
        <f t="shared" si="161"/>
        <v>0</v>
      </c>
      <c r="I484" s="75">
        <f t="shared" si="161"/>
        <v>0</v>
      </c>
      <c r="J484" s="29">
        <f t="shared" si="161"/>
        <v>0</v>
      </c>
      <c r="K484" s="29">
        <f t="shared" si="161"/>
        <v>0</v>
      </c>
      <c r="L484" s="75">
        <f t="shared" si="161"/>
        <v>0</v>
      </c>
      <c r="M484" s="75">
        <f t="shared" si="161"/>
        <v>0</v>
      </c>
      <c r="N484" s="75">
        <f t="shared" si="161"/>
        <v>0</v>
      </c>
      <c r="O484" s="75">
        <f t="shared" si="161"/>
        <v>0</v>
      </c>
      <c r="P484" s="75">
        <f t="shared" si="161"/>
        <v>0</v>
      </c>
      <c r="Q484" s="75">
        <f t="shared" si="161"/>
        <v>0</v>
      </c>
      <c r="R484" s="75">
        <f t="shared" si="161"/>
        <v>0</v>
      </c>
      <c r="S484" s="75">
        <f t="shared" si="161"/>
        <v>0</v>
      </c>
      <c r="T484" s="75">
        <f t="shared" si="161"/>
        <v>0</v>
      </c>
      <c r="U484" s="75">
        <f t="shared" si="161"/>
        <v>0</v>
      </c>
      <c r="V484" s="75">
        <f t="shared" si="161"/>
        <v>0</v>
      </c>
      <c r="W484" s="75">
        <f t="shared" si="161"/>
        <v>0</v>
      </c>
      <c r="X484" s="75">
        <f t="shared" si="161"/>
        <v>0</v>
      </c>
      <c r="Y484" s="75">
        <f t="shared" si="161"/>
        <v>0</v>
      </c>
      <c r="Z484" s="75">
        <f t="shared" si="161"/>
        <v>0</v>
      </c>
      <c r="AA484" s="75">
        <f t="shared" si="161"/>
        <v>0</v>
      </c>
      <c r="AB484" s="75">
        <f t="shared" ref="AB484:AC484" si="162">AB454-SUM(AB455,AB456,AB457,AB458,AB459,AB460,AB461)</f>
        <v>0</v>
      </c>
      <c r="AC484" s="75">
        <f t="shared" si="162"/>
        <v>0</v>
      </c>
      <c r="AD484" s="75">
        <f t="shared" ref="AD484:AE484" si="163">AD454-SUM(AD455,AD456,AD457,AD458,AD459,AD460,AD461)</f>
        <v>0</v>
      </c>
      <c r="AE484" s="75">
        <f t="shared" si="163"/>
        <v>0</v>
      </c>
      <c r="AF484" s="75">
        <f t="shared" ref="AF484:AG484" si="164">AF454-SUM(AF455,AF456,AF457,AF458,AF459,AF460,AF461)</f>
        <v>0</v>
      </c>
      <c r="AG484" s="75">
        <f t="shared" si="164"/>
        <v>0</v>
      </c>
      <c r="AH484" s="75">
        <f t="shared" ref="AH484" si="165">AH454-SUM(AH455,AH456,AH457,AH458,AH459,AH460,AH461)</f>
        <v>0</v>
      </c>
    </row>
    <row r="485" spans="1:34">
      <c r="D485" s="24"/>
      <c r="E485" s="24"/>
    </row>
    <row r="486" spans="1:34">
      <c r="D486" s="24"/>
      <c r="E486" s="24"/>
    </row>
    <row r="487" spans="1:34">
      <c r="D487" s="70"/>
      <c r="E487" s="70"/>
      <c r="F487" s="70"/>
      <c r="G487" s="70"/>
      <c r="H487" s="70"/>
      <c r="J487" s="70"/>
      <c r="K487" s="70"/>
    </row>
    <row r="488" spans="1:34">
      <c r="D488" s="70"/>
      <c r="E488" s="70"/>
      <c r="F488" s="70"/>
      <c r="G488" s="70"/>
      <c r="H488" s="70"/>
      <c r="J488" s="70"/>
      <c r="K488" s="70"/>
    </row>
    <row r="490" spans="1:34" s="494" customFormat="1">
      <c r="A490" s="490" t="s">
        <v>874</v>
      </c>
      <c r="B490" s="491"/>
      <c r="C490" s="491"/>
      <c r="D490" s="492"/>
      <c r="E490" s="492"/>
      <c r="F490" s="493"/>
      <c r="G490" s="493"/>
      <c r="H490" s="493"/>
      <c r="I490" s="493"/>
      <c r="J490" s="493"/>
      <c r="K490" s="493"/>
      <c r="L490" s="493"/>
      <c r="M490" s="493"/>
      <c r="N490" s="493"/>
      <c r="O490" s="493"/>
      <c r="P490" s="493"/>
      <c r="Q490" s="493"/>
      <c r="R490" s="493"/>
      <c r="S490" s="493"/>
      <c r="T490" s="493"/>
      <c r="U490" s="493"/>
      <c r="V490" s="493"/>
      <c r="W490" s="493"/>
      <c r="X490" s="493"/>
      <c r="Y490" s="493"/>
      <c r="Z490" s="493"/>
      <c r="AA490" s="493"/>
      <c r="AB490" s="493"/>
      <c r="AC490" s="493"/>
      <c r="AD490" s="493"/>
      <c r="AE490" s="493"/>
      <c r="AF490" s="493"/>
      <c r="AG490" s="493"/>
      <c r="AH490" s="493"/>
    </row>
    <row r="492" spans="1:34">
      <c r="B492" s="34" t="s">
        <v>875</v>
      </c>
      <c r="C492" s="34" t="s">
        <v>875</v>
      </c>
      <c r="D492" s="495">
        <f>SUM(D$17,-D$303,-D$330,-D$337)</f>
        <v>6502869034188</v>
      </c>
      <c r="E492" s="495">
        <f t="shared" ref="E492:H492" si="166">SUM(E$17,-E$303,-E$330,-E$337)</f>
        <v>6806102983701</v>
      </c>
      <c r="F492" s="495">
        <f t="shared" si="166"/>
        <v>0</v>
      </c>
      <c r="G492" s="495">
        <f t="shared" si="166"/>
        <v>6660681174586</v>
      </c>
      <c r="H492" s="495">
        <f t="shared" si="166"/>
        <v>7129090824428</v>
      </c>
      <c r="I492" s="495">
        <f t="shared" ref="I492:R492" si="167">SUM(I$17,-I$303,-I$330,-I$337)</f>
        <v>6148825827643</v>
      </c>
      <c r="J492" s="495">
        <f t="shared" si="167"/>
        <v>6356403900402</v>
      </c>
      <c r="K492" s="495">
        <f t="shared" si="167"/>
        <v>5910552607214</v>
      </c>
      <c r="L492" s="495">
        <f t="shared" si="167"/>
        <v>6324509787528</v>
      </c>
      <c r="M492" s="495">
        <f t="shared" si="167"/>
        <v>5886551344990</v>
      </c>
      <c r="N492" s="495">
        <f t="shared" si="167"/>
        <v>6268283719282</v>
      </c>
      <c r="O492" s="495">
        <f t="shared" si="167"/>
        <v>7215674040754</v>
      </c>
      <c r="P492" s="495">
        <f t="shared" si="167"/>
        <v>7492246669082</v>
      </c>
      <c r="Q492" s="495">
        <f t="shared" si="167"/>
        <v>7681013757252</v>
      </c>
      <c r="R492" s="495">
        <f t="shared" si="167"/>
        <v>8344960765570</v>
      </c>
      <c r="S492" s="495">
        <f t="shared" ref="S492:AH492" si="168">SUM(S$17,-S$303,-S$330,-S$337)</f>
        <v>8002584661436</v>
      </c>
      <c r="T492" s="495">
        <f t="shared" si="168"/>
        <v>8758263616112</v>
      </c>
      <c r="U492" s="495">
        <f t="shared" si="168"/>
        <v>8906196638010</v>
      </c>
      <c r="V492" s="495">
        <f t="shared" si="168"/>
        <v>9166288744466</v>
      </c>
      <c r="W492" s="495">
        <f t="shared" si="168"/>
        <v>9126565163655</v>
      </c>
      <c r="X492" s="495">
        <f t="shared" si="168"/>
        <v>9866363200166</v>
      </c>
      <c r="Y492" s="495">
        <f t="shared" si="168"/>
        <v>10942062918848</v>
      </c>
      <c r="Z492" s="495">
        <f t="shared" si="168"/>
        <v>11347919941494</v>
      </c>
      <c r="AA492" s="495">
        <f t="shared" si="168"/>
        <v>12234309203205</v>
      </c>
      <c r="AB492" s="495">
        <f t="shared" si="168"/>
        <v>15140540975479</v>
      </c>
      <c r="AC492" s="495">
        <f t="shared" si="168"/>
        <v>14985339214561</v>
      </c>
      <c r="AD492" s="495">
        <f t="shared" si="168"/>
        <v>16109536708139</v>
      </c>
      <c r="AE492" s="495">
        <f t="shared" si="168"/>
        <v>17796543691516</v>
      </c>
      <c r="AF492" s="495">
        <f t="shared" si="168"/>
        <v>19435837010539</v>
      </c>
      <c r="AG492" s="495">
        <f t="shared" si="168"/>
        <v>22655981717503</v>
      </c>
      <c r="AH492" s="495">
        <f t="shared" si="168"/>
        <v>21607126899671</v>
      </c>
    </row>
    <row r="493" spans="1:34">
      <c r="B493" s="34" t="s">
        <v>876</v>
      </c>
      <c r="C493" s="34" t="s">
        <v>876</v>
      </c>
      <c r="D493" s="495">
        <f>SUM(D$415,D$421,D$454)</f>
        <v>2954629427021</v>
      </c>
      <c r="E493" s="495">
        <f t="shared" ref="E493:H493" si="169">SUM(E$415,E$421,E$454)</f>
        <v>2873102293215</v>
      </c>
      <c r="F493" s="495">
        <f t="shared" si="169"/>
        <v>0</v>
      </c>
      <c r="G493" s="495">
        <f t="shared" si="169"/>
        <v>2958038136626</v>
      </c>
      <c r="H493" s="495">
        <f t="shared" si="169"/>
        <v>3013576954002</v>
      </c>
      <c r="I493" s="495">
        <f t="shared" ref="I493:R493" si="170">SUM(I$415,I$421,I$454)</f>
        <v>2887334385010</v>
      </c>
      <c r="J493" s="495">
        <f t="shared" si="170"/>
        <v>2903033897141</v>
      </c>
      <c r="K493" s="495">
        <f t="shared" si="170"/>
        <v>2912807090898</v>
      </c>
      <c r="L493" s="495">
        <f t="shared" si="170"/>
        <v>2892480460676</v>
      </c>
      <c r="M493" s="495">
        <f t="shared" si="170"/>
        <v>2962029037248</v>
      </c>
      <c r="N493" s="495">
        <f t="shared" si="170"/>
        <v>3027510683402</v>
      </c>
      <c r="O493" s="495">
        <f t="shared" si="170"/>
        <v>3072855003525</v>
      </c>
      <c r="P493" s="495">
        <f t="shared" si="170"/>
        <v>3023210980739</v>
      </c>
      <c r="Q493" s="495">
        <f t="shared" si="170"/>
        <v>3119386539951</v>
      </c>
      <c r="R493" s="495">
        <f t="shared" si="170"/>
        <v>3166372870436</v>
      </c>
      <c r="S493" s="495">
        <f t="shared" ref="S493:AH493" si="171">SUM(S$415,S$421,S$454)</f>
        <v>3168796309590</v>
      </c>
      <c r="T493" s="495">
        <f t="shared" si="171"/>
        <v>3053646761115</v>
      </c>
      <c r="U493" s="495">
        <f t="shared" si="171"/>
        <v>3101579690210</v>
      </c>
      <c r="V493" s="495">
        <f t="shared" si="171"/>
        <v>3143525665919</v>
      </c>
      <c r="W493" s="495">
        <f t="shared" si="171"/>
        <v>3942239774208</v>
      </c>
      <c r="X493" s="495">
        <f t="shared" si="171"/>
        <v>3965263202959</v>
      </c>
      <c r="Y493" s="495">
        <f t="shared" si="171"/>
        <v>4087233170750</v>
      </c>
      <c r="Z493" s="495">
        <f t="shared" si="171"/>
        <v>3947463160987</v>
      </c>
      <c r="AA493" s="495">
        <f t="shared" si="171"/>
        <v>4044307955498</v>
      </c>
      <c r="AB493" s="495">
        <f t="shared" si="171"/>
        <v>3999610235028</v>
      </c>
      <c r="AC493" s="495">
        <f t="shared" si="171"/>
        <v>4130754620281</v>
      </c>
      <c r="AD493" s="495">
        <f t="shared" si="171"/>
        <v>4248766578066</v>
      </c>
      <c r="AE493" s="495">
        <f t="shared" si="171"/>
        <v>4178720455633</v>
      </c>
      <c r="AF493" s="495">
        <f t="shared" si="171"/>
        <v>4234444689570</v>
      </c>
      <c r="AG493" s="495">
        <f t="shared" si="171"/>
        <v>4409583723355</v>
      </c>
      <c r="AH493" s="495">
        <f t="shared" si="171"/>
        <v>4523569098319</v>
      </c>
    </row>
    <row r="494" spans="1:34">
      <c r="E494" s="58"/>
      <c r="F494" s="58"/>
      <c r="G494" s="58"/>
      <c r="H494" s="58"/>
      <c r="J494" s="70"/>
      <c r="K494" s="70"/>
    </row>
    <row r="495" spans="1:34" outlineLevel="1">
      <c r="B495" s="34" t="s">
        <v>113</v>
      </c>
      <c r="C495" s="34" t="s">
        <v>113</v>
      </c>
      <c r="D495" s="495">
        <f>SUM(D$19)</f>
        <v>66664128779</v>
      </c>
      <c r="E495" s="495">
        <f t="shared" ref="E495:H495" si="172">SUM(E$19)</f>
        <v>79892968630</v>
      </c>
      <c r="F495" s="495">
        <f t="shared" si="172"/>
        <v>0</v>
      </c>
      <c r="G495" s="495">
        <f t="shared" si="172"/>
        <v>99734679091</v>
      </c>
      <c r="H495" s="495">
        <f t="shared" si="172"/>
        <v>51094093145</v>
      </c>
      <c r="I495" s="495">
        <f t="shared" ref="I495:R495" si="173">SUM(I$19)</f>
        <v>433072691859</v>
      </c>
      <c r="J495" s="495">
        <f t="shared" si="173"/>
        <v>236554563633</v>
      </c>
      <c r="K495" s="495">
        <f t="shared" si="173"/>
        <v>305755309656</v>
      </c>
      <c r="L495" s="495">
        <f t="shared" si="173"/>
        <v>266228008532</v>
      </c>
      <c r="M495" s="495">
        <f t="shared" si="173"/>
        <v>290176883563</v>
      </c>
      <c r="N495" s="495">
        <f t="shared" si="173"/>
        <v>391339083180</v>
      </c>
      <c r="O495" s="495">
        <f t="shared" si="173"/>
        <v>157607558375</v>
      </c>
      <c r="P495" s="495">
        <f t="shared" si="173"/>
        <v>602060941308</v>
      </c>
      <c r="Q495" s="495">
        <f t="shared" si="173"/>
        <v>288804083691</v>
      </c>
      <c r="R495" s="495">
        <f t="shared" si="173"/>
        <v>292403949204</v>
      </c>
      <c r="S495" s="495">
        <f t="shared" ref="S495:AH495" si="174">SUM(S$19)</f>
        <v>431493205674</v>
      </c>
      <c r="T495" s="495">
        <f t="shared" si="174"/>
        <v>444130220002</v>
      </c>
      <c r="U495" s="495">
        <f t="shared" si="174"/>
        <v>454530014986</v>
      </c>
      <c r="V495" s="495">
        <f t="shared" si="174"/>
        <v>460755502661</v>
      </c>
      <c r="W495" s="495">
        <f t="shared" si="174"/>
        <v>820297100022</v>
      </c>
      <c r="X495" s="495">
        <f t="shared" si="174"/>
        <v>765129234870</v>
      </c>
      <c r="Y495" s="495">
        <f t="shared" si="174"/>
        <v>789448951653</v>
      </c>
      <c r="Z495" s="495">
        <f t="shared" si="174"/>
        <v>615884162892</v>
      </c>
      <c r="AA495" s="495">
        <f t="shared" si="174"/>
        <v>675624539545</v>
      </c>
      <c r="AB495" s="495">
        <f t="shared" si="174"/>
        <v>377119500328</v>
      </c>
      <c r="AC495" s="495">
        <f t="shared" si="174"/>
        <v>787901996491</v>
      </c>
      <c r="AD495" s="495">
        <f t="shared" si="174"/>
        <v>1044154816588</v>
      </c>
      <c r="AE495" s="495">
        <f t="shared" si="174"/>
        <v>788187205206</v>
      </c>
      <c r="AF495" s="495">
        <f t="shared" si="174"/>
        <v>792699139803</v>
      </c>
      <c r="AG495" s="495">
        <f t="shared" si="174"/>
        <v>708707511532</v>
      </c>
      <c r="AH495" s="495">
        <f t="shared" si="174"/>
        <v>713731955117</v>
      </c>
    </row>
    <row r="496" spans="1:34" outlineLevel="1">
      <c r="B496" s="34" t="s">
        <v>2</v>
      </c>
      <c r="C496" s="34" t="s">
        <v>2</v>
      </c>
      <c r="D496" s="495">
        <f>SUM(D$30)</f>
        <v>2848165118099</v>
      </c>
      <c r="E496" s="495">
        <f t="shared" ref="E496:H496" si="175">SUM(E$30)</f>
        <v>2798273459982</v>
      </c>
      <c r="F496" s="495">
        <f t="shared" si="175"/>
        <v>0</v>
      </c>
      <c r="G496" s="495">
        <f t="shared" si="175"/>
        <v>3278083895008</v>
      </c>
      <c r="H496" s="495">
        <f t="shared" si="175"/>
        <v>2594097735072</v>
      </c>
      <c r="I496" s="495">
        <f t="shared" ref="I496:R496" si="176">SUM(I$30)</f>
        <v>2832246611028</v>
      </c>
      <c r="J496" s="495">
        <f t="shared" si="176"/>
        <v>2719870416585</v>
      </c>
      <c r="K496" s="495">
        <f t="shared" si="176"/>
        <v>2574606858644</v>
      </c>
      <c r="L496" s="495">
        <f t="shared" si="176"/>
        <v>3470614522892</v>
      </c>
      <c r="M496" s="495">
        <f t="shared" si="176"/>
        <v>3870989935651</v>
      </c>
      <c r="N496" s="495">
        <f t="shared" si="176"/>
        <v>4280993382780</v>
      </c>
      <c r="O496" s="495">
        <f t="shared" si="176"/>
        <v>5337365405814</v>
      </c>
      <c r="P496" s="495">
        <f t="shared" si="176"/>
        <v>5455885336086</v>
      </c>
      <c r="Q496" s="495">
        <f t="shared" si="176"/>
        <v>5561943178716</v>
      </c>
      <c r="R496" s="495">
        <f t="shared" si="176"/>
        <v>6325448406978</v>
      </c>
      <c r="S496" s="495">
        <f t="shared" ref="S496:AH496" si="177">SUM(S$30)</f>
        <v>6721047702479</v>
      </c>
      <c r="T496" s="495">
        <f t="shared" si="177"/>
        <v>7897238960724</v>
      </c>
      <c r="U496" s="495">
        <f t="shared" si="177"/>
        <v>8010287166776</v>
      </c>
      <c r="V496" s="495">
        <f t="shared" si="177"/>
        <v>8171607401492</v>
      </c>
      <c r="W496" s="495">
        <f t="shared" si="177"/>
        <v>7171758463590</v>
      </c>
      <c r="X496" s="495">
        <f t="shared" si="177"/>
        <v>6921024119667</v>
      </c>
      <c r="Y496" s="495">
        <f t="shared" si="177"/>
        <v>7297426101309</v>
      </c>
      <c r="Z496" s="495">
        <f t="shared" si="177"/>
        <v>6753410846004</v>
      </c>
      <c r="AA496" s="495">
        <f t="shared" si="177"/>
        <v>5998462964747</v>
      </c>
      <c r="AB496" s="495">
        <f t="shared" si="177"/>
        <v>6164738701981</v>
      </c>
      <c r="AC496" s="495">
        <f t="shared" si="177"/>
        <v>6731940258784</v>
      </c>
      <c r="AD496" s="495">
        <f t="shared" si="177"/>
        <v>7107558044408</v>
      </c>
      <c r="AE496" s="495">
        <f t="shared" si="177"/>
        <v>7895992889271</v>
      </c>
      <c r="AF496" s="495">
        <f t="shared" si="177"/>
        <v>7405276707500</v>
      </c>
      <c r="AG496" s="495">
        <f t="shared" si="177"/>
        <v>6298360807285</v>
      </c>
      <c r="AH496" s="495">
        <f t="shared" si="177"/>
        <v>6399826410292</v>
      </c>
    </row>
    <row r="497" spans="2:34" outlineLevel="1">
      <c r="B497" s="496" t="s">
        <v>30</v>
      </c>
      <c r="C497" s="496" t="s">
        <v>30</v>
      </c>
      <c r="D497" s="495">
        <f>SUM(D498:D501)</f>
        <v>10309851578547</v>
      </c>
      <c r="E497" s="495">
        <f t="shared" ref="E497:H497" si="178">SUM(E498:E501)</f>
        <v>11738920933153</v>
      </c>
      <c r="F497" s="495">
        <f t="shared" si="178"/>
        <v>0</v>
      </c>
      <c r="G497" s="495">
        <f t="shared" si="178"/>
        <v>12484395855943</v>
      </c>
      <c r="H497" s="495">
        <f t="shared" si="178"/>
        <v>13378994143145</v>
      </c>
      <c r="I497" s="495">
        <f t="shared" ref="I497:O497" si="179">SUM(I498:I501)</f>
        <v>12492229091917</v>
      </c>
      <c r="J497" s="495">
        <f t="shared" si="179"/>
        <v>13293481502938</v>
      </c>
      <c r="K497" s="495">
        <f t="shared" si="179"/>
        <v>13696749490325</v>
      </c>
      <c r="L497" s="495">
        <f t="shared" si="179"/>
        <v>14204566111993</v>
      </c>
      <c r="M497" s="495">
        <f t="shared" si="179"/>
        <v>14101490444195</v>
      </c>
      <c r="N497" s="495">
        <f t="shared" si="179"/>
        <v>14564119493147</v>
      </c>
      <c r="O497" s="495">
        <f t="shared" si="179"/>
        <v>14547928302326</v>
      </c>
      <c r="P497" s="495">
        <f t="shared" ref="P497" si="180">SUM(P498:P501)</f>
        <v>16278026786639</v>
      </c>
      <c r="Q497" s="495">
        <f t="shared" ref="Q497" si="181">SUM(Q498:Q501)</f>
        <v>16628662741834</v>
      </c>
      <c r="R497" s="495">
        <f t="shared" ref="R497" si="182">SUM(R498:R501)</f>
        <v>17187605855313</v>
      </c>
      <c r="S497" s="495">
        <f t="shared" ref="S497:AA497" si="183">SUM(S498:S501)</f>
        <v>17563016143712</v>
      </c>
      <c r="T497" s="495">
        <f t="shared" si="183"/>
        <v>18514384111136</v>
      </c>
      <c r="U497" s="495">
        <f t="shared" si="183"/>
        <v>18679909580585</v>
      </c>
      <c r="V497" s="495">
        <f t="shared" si="183"/>
        <v>18900150992447</v>
      </c>
      <c r="W497" s="495">
        <f t="shared" si="183"/>
        <v>20750639159386</v>
      </c>
      <c r="X497" s="495">
        <f t="shared" si="183"/>
        <v>22241159144555</v>
      </c>
      <c r="Y497" s="495">
        <f t="shared" si="183"/>
        <v>22232139632369</v>
      </c>
      <c r="Z497" s="495">
        <f t="shared" si="183"/>
        <v>23978406341439</v>
      </c>
      <c r="AA497" s="495">
        <f t="shared" si="183"/>
        <v>25576567062868</v>
      </c>
      <c r="AB497" s="495">
        <f t="shared" ref="AB497:AC497" si="184">SUM(AB498:AB501)</f>
        <v>26979475497077</v>
      </c>
      <c r="AC497" s="495">
        <f t="shared" si="184"/>
        <v>27326544774281</v>
      </c>
      <c r="AD497" s="495">
        <f t="shared" ref="AD497:AE497" si="185">SUM(AD498:AD501)</f>
        <v>28239139801120</v>
      </c>
      <c r="AE497" s="495">
        <f t="shared" si="185"/>
        <v>29340103225905</v>
      </c>
      <c r="AF497" s="495">
        <f t="shared" ref="AF497:AG497" si="186">SUM(AF498:AF501)</f>
        <v>29767180814929</v>
      </c>
      <c r="AG497" s="495">
        <f t="shared" si="186"/>
        <v>31917012479782</v>
      </c>
      <c r="AH497" s="495">
        <f t="shared" ref="AH497" si="187">SUM(AH498:AH501)</f>
        <v>32109252322871</v>
      </c>
    </row>
    <row r="498" spans="2:34" outlineLevel="1">
      <c r="B498" s="34" t="s">
        <v>884</v>
      </c>
      <c r="C498" s="34" t="s">
        <v>884</v>
      </c>
      <c r="D498" s="495">
        <f>SUM(D$61)</f>
        <v>9366015000065</v>
      </c>
      <c r="E498" s="495">
        <f t="shared" ref="E498:H498" si="188">SUM(E$61)</f>
        <v>10822025182226</v>
      </c>
      <c r="F498" s="495">
        <f t="shared" si="188"/>
        <v>0</v>
      </c>
      <c r="G498" s="495">
        <f t="shared" si="188"/>
        <v>11401465982608</v>
      </c>
      <c r="H498" s="495">
        <f t="shared" si="188"/>
        <v>12208579497524</v>
      </c>
      <c r="I498" s="495">
        <f t="shared" ref="I498:R498" si="189">SUM(I$61)</f>
        <v>11404084004738</v>
      </c>
      <c r="J498" s="495">
        <f t="shared" si="189"/>
        <v>12157068749778</v>
      </c>
      <c r="K498" s="495">
        <f t="shared" si="189"/>
        <v>12469590944005</v>
      </c>
      <c r="L498" s="495">
        <f t="shared" si="189"/>
        <v>12986223580070</v>
      </c>
      <c r="M498" s="495">
        <f t="shared" si="189"/>
        <v>12855262200741</v>
      </c>
      <c r="N498" s="495">
        <f t="shared" si="189"/>
        <v>13249238269948</v>
      </c>
      <c r="O498" s="495">
        <f t="shared" si="189"/>
        <v>13200527610653</v>
      </c>
      <c r="P498" s="495">
        <f t="shared" si="189"/>
        <v>14794899324631</v>
      </c>
      <c r="Q498" s="495">
        <f t="shared" si="189"/>
        <v>14921972313316</v>
      </c>
      <c r="R498" s="495">
        <f t="shared" si="189"/>
        <v>15270694411579</v>
      </c>
      <c r="S498" s="495">
        <f t="shared" ref="S498:AH498" si="190">SUM(S$61)</f>
        <v>14993413319082</v>
      </c>
      <c r="T498" s="495">
        <f t="shared" si="190"/>
        <v>15008920469528</v>
      </c>
      <c r="U498" s="495">
        <f t="shared" si="190"/>
        <v>14842517569576</v>
      </c>
      <c r="V498" s="495">
        <f t="shared" si="190"/>
        <v>15333316454466</v>
      </c>
      <c r="W498" s="495">
        <f t="shared" si="190"/>
        <v>16051879072075</v>
      </c>
      <c r="X498" s="495">
        <f t="shared" si="190"/>
        <v>17336886529628</v>
      </c>
      <c r="Y498" s="495">
        <f t="shared" si="190"/>
        <v>18190246235792</v>
      </c>
      <c r="Z498" s="495">
        <f t="shared" si="190"/>
        <v>19861647110670</v>
      </c>
      <c r="AA498" s="495">
        <f t="shared" si="190"/>
        <v>21289687103324</v>
      </c>
      <c r="AB498" s="495">
        <f t="shared" si="190"/>
        <v>22958538879215</v>
      </c>
      <c r="AC498" s="495">
        <f t="shared" si="190"/>
        <v>22545461021510</v>
      </c>
      <c r="AD498" s="495">
        <f t="shared" si="190"/>
        <v>22833072815921</v>
      </c>
      <c r="AE498" s="495">
        <f t="shared" si="190"/>
        <v>23841673020260</v>
      </c>
      <c r="AF498" s="495">
        <f t="shared" si="190"/>
        <v>24335826330875</v>
      </c>
      <c r="AG498" s="495">
        <f t="shared" si="190"/>
        <v>25904631709131</v>
      </c>
      <c r="AH498" s="495">
        <f t="shared" si="190"/>
        <v>25860992948717</v>
      </c>
    </row>
    <row r="499" spans="2:34" outlineLevel="1">
      <c r="B499" s="34" t="s">
        <v>883</v>
      </c>
      <c r="C499" s="34" t="s">
        <v>883</v>
      </c>
      <c r="D499" s="495">
        <f>SUM(D$76)</f>
        <v>833862512727</v>
      </c>
      <c r="E499" s="495">
        <f t="shared" ref="E499:H499" si="191">SUM(E$76)</f>
        <v>821677409843</v>
      </c>
      <c r="F499" s="495">
        <f t="shared" si="191"/>
        <v>0</v>
      </c>
      <c r="G499" s="495">
        <f t="shared" si="191"/>
        <v>655020090856</v>
      </c>
      <c r="H499" s="495">
        <f t="shared" si="191"/>
        <v>744984862855</v>
      </c>
      <c r="I499" s="495">
        <f t="shared" ref="I499:R499" si="192">SUM(I$76)</f>
        <v>687514271709</v>
      </c>
      <c r="J499" s="495">
        <f t="shared" si="192"/>
        <v>725388437690</v>
      </c>
      <c r="K499" s="495">
        <f t="shared" si="192"/>
        <v>769422681087</v>
      </c>
      <c r="L499" s="495">
        <f t="shared" si="192"/>
        <v>752343494141</v>
      </c>
      <c r="M499" s="495">
        <f t="shared" si="192"/>
        <v>722139323857</v>
      </c>
      <c r="N499" s="495">
        <f t="shared" si="192"/>
        <v>737977310044</v>
      </c>
      <c r="O499" s="495">
        <f t="shared" si="192"/>
        <v>753871583950</v>
      </c>
      <c r="P499" s="495">
        <f t="shared" si="192"/>
        <v>790026120638</v>
      </c>
      <c r="Q499" s="495">
        <f t="shared" si="192"/>
        <v>973612158434</v>
      </c>
      <c r="R499" s="495">
        <f t="shared" si="192"/>
        <v>1153432003955</v>
      </c>
      <c r="S499" s="495">
        <f t="shared" ref="S499:AH499" si="193">SUM(S$76)</f>
        <v>1878922255749</v>
      </c>
      <c r="T499" s="495">
        <f t="shared" si="193"/>
        <v>2760694463341</v>
      </c>
      <c r="U499" s="495">
        <f t="shared" si="193"/>
        <v>3089024200893</v>
      </c>
      <c r="V499" s="495">
        <f t="shared" si="193"/>
        <v>2815940211526</v>
      </c>
      <c r="W499" s="495">
        <f t="shared" si="193"/>
        <v>3937609761969</v>
      </c>
      <c r="X499" s="495">
        <f t="shared" si="193"/>
        <v>4102705854021</v>
      </c>
      <c r="Y499" s="495">
        <f t="shared" si="193"/>
        <v>3233393524435</v>
      </c>
      <c r="Z499" s="495">
        <f t="shared" si="193"/>
        <v>3297143388272</v>
      </c>
      <c r="AA499" s="495">
        <f t="shared" si="193"/>
        <v>3475130591148</v>
      </c>
      <c r="AB499" s="495">
        <f t="shared" si="193"/>
        <v>3145215872428</v>
      </c>
      <c r="AC499" s="495">
        <f t="shared" si="193"/>
        <v>3451558408602</v>
      </c>
      <c r="AD499" s="495">
        <f t="shared" si="193"/>
        <v>4125435455955</v>
      </c>
      <c r="AE499" s="495">
        <f t="shared" si="193"/>
        <v>3575780129781</v>
      </c>
      <c r="AF499" s="495">
        <f t="shared" si="193"/>
        <v>2748039114088</v>
      </c>
      <c r="AG499" s="495">
        <f t="shared" si="193"/>
        <v>2841269864301</v>
      </c>
      <c r="AH499" s="495">
        <f t="shared" si="193"/>
        <v>2769976481715</v>
      </c>
    </row>
    <row r="500" spans="2:34" outlineLevel="1">
      <c r="B500" s="34" t="s">
        <v>882</v>
      </c>
      <c r="C500" s="34" t="s">
        <v>882</v>
      </c>
      <c r="D500" s="495">
        <f>SUM(D$91)</f>
        <v>0</v>
      </c>
      <c r="E500" s="495">
        <f t="shared" ref="E500:H500" si="194">SUM(E$91)</f>
        <v>0</v>
      </c>
      <c r="F500" s="495">
        <f t="shared" si="194"/>
        <v>0</v>
      </c>
      <c r="G500" s="495">
        <f t="shared" si="194"/>
        <v>0</v>
      </c>
      <c r="H500" s="495">
        <f t="shared" si="194"/>
        <v>0</v>
      </c>
      <c r="I500" s="495">
        <f t="shared" ref="I500:R500" si="195">SUM(I$91)</f>
        <v>0</v>
      </c>
      <c r="J500" s="495">
        <f t="shared" si="195"/>
        <v>0</v>
      </c>
      <c r="K500" s="495">
        <f t="shared" si="195"/>
        <v>0</v>
      </c>
      <c r="L500" s="495">
        <f t="shared" si="195"/>
        <v>0</v>
      </c>
      <c r="M500" s="495">
        <f t="shared" si="195"/>
        <v>0</v>
      </c>
      <c r="N500" s="495">
        <f t="shared" si="195"/>
        <v>0</v>
      </c>
      <c r="O500" s="495">
        <f t="shared" si="195"/>
        <v>0</v>
      </c>
      <c r="P500" s="495">
        <f t="shared" si="195"/>
        <v>0</v>
      </c>
      <c r="Q500" s="495">
        <f t="shared" si="195"/>
        <v>0</v>
      </c>
      <c r="R500" s="495">
        <f t="shared" si="195"/>
        <v>0</v>
      </c>
      <c r="S500" s="495">
        <f t="shared" ref="S500:AH500" si="196">SUM(S$91)</f>
        <v>0</v>
      </c>
      <c r="T500" s="495">
        <f t="shared" si="196"/>
        <v>0</v>
      </c>
      <c r="U500" s="495">
        <f t="shared" si="196"/>
        <v>0</v>
      </c>
      <c r="V500" s="495">
        <f t="shared" si="196"/>
        <v>0</v>
      </c>
      <c r="W500" s="495">
        <f t="shared" si="196"/>
        <v>0</v>
      </c>
      <c r="X500" s="495">
        <f t="shared" si="196"/>
        <v>0</v>
      </c>
      <c r="Y500" s="495">
        <f t="shared" si="196"/>
        <v>0</v>
      </c>
      <c r="Z500" s="495">
        <f t="shared" si="196"/>
        <v>0</v>
      </c>
      <c r="AA500" s="495">
        <f t="shared" si="196"/>
        <v>0</v>
      </c>
      <c r="AB500" s="495">
        <f t="shared" si="196"/>
        <v>19077415264</v>
      </c>
      <c r="AC500" s="495">
        <f t="shared" si="196"/>
        <v>29118320476</v>
      </c>
      <c r="AD500" s="495">
        <f t="shared" si="196"/>
        <v>50161040334</v>
      </c>
      <c r="AE500" s="495">
        <f t="shared" si="196"/>
        <v>106205167098</v>
      </c>
      <c r="AF500" s="495">
        <f t="shared" si="196"/>
        <v>106248478439</v>
      </c>
      <c r="AG500" s="495">
        <f t="shared" si="196"/>
        <v>106291230930</v>
      </c>
      <c r="AH500" s="495">
        <f t="shared" si="196"/>
        <v>106335851585</v>
      </c>
    </row>
    <row r="501" spans="2:34" outlineLevel="1">
      <c r="B501" s="34" t="s">
        <v>881</v>
      </c>
      <c r="C501" s="34" t="s">
        <v>881</v>
      </c>
      <c r="D501" s="495">
        <f>SUM(D$96)</f>
        <v>109974065755</v>
      </c>
      <c r="E501" s="495">
        <f t="shared" ref="E501:H501" si="197">SUM(E$96)</f>
        <v>95218341084</v>
      </c>
      <c r="F501" s="495">
        <f t="shared" si="197"/>
        <v>0</v>
      </c>
      <c r="G501" s="495">
        <f t="shared" si="197"/>
        <v>427909782479</v>
      </c>
      <c r="H501" s="495">
        <f t="shared" si="197"/>
        <v>425429782766</v>
      </c>
      <c r="I501" s="495">
        <f t="shared" ref="I501:R501" si="198">SUM(I$96)</f>
        <v>400630815470</v>
      </c>
      <c r="J501" s="495">
        <f t="shared" si="198"/>
        <v>411024315470</v>
      </c>
      <c r="K501" s="495">
        <f t="shared" si="198"/>
        <v>457735865233</v>
      </c>
      <c r="L501" s="495">
        <f t="shared" si="198"/>
        <v>465999037782</v>
      </c>
      <c r="M501" s="495">
        <f t="shared" si="198"/>
        <v>524088919597</v>
      </c>
      <c r="N501" s="495">
        <f t="shared" si="198"/>
        <v>576903913155</v>
      </c>
      <c r="O501" s="495">
        <f t="shared" si="198"/>
        <v>593529107723</v>
      </c>
      <c r="P501" s="495">
        <f t="shared" si="198"/>
        <v>693101341370</v>
      </c>
      <c r="Q501" s="495">
        <f t="shared" si="198"/>
        <v>733078270084</v>
      </c>
      <c r="R501" s="495">
        <f t="shared" si="198"/>
        <v>763479439779</v>
      </c>
      <c r="S501" s="495">
        <f t="shared" ref="S501:AH501" si="199">SUM(S$96)</f>
        <v>690680568881</v>
      </c>
      <c r="T501" s="495">
        <f t="shared" si="199"/>
        <v>744769178267</v>
      </c>
      <c r="U501" s="495">
        <f t="shared" si="199"/>
        <v>748367810116</v>
      </c>
      <c r="V501" s="495">
        <f t="shared" si="199"/>
        <v>750894326455</v>
      </c>
      <c r="W501" s="495">
        <f t="shared" si="199"/>
        <v>761150325342</v>
      </c>
      <c r="X501" s="495">
        <f t="shared" si="199"/>
        <v>801566760906</v>
      </c>
      <c r="Y501" s="495">
        <f t="shared" si="199"/>
        <v>808499872142</v>
      </c>
      <c r="Z501" s="495">
        <f t="shared" si="199"/>
        <v>819615842497</v>
      </c>
      <c r="AA501" s="495">
        <f t="shared" si="199"/>
        <v>811749368396</v>
      </c>
      <c r="AB501" s="495">
        <f t="shared" si="199"/>
        <v>856643330170</v>
      </c>
      <c r="AC501" s="495">
        <f t="shared" si="199"/>
        <v>1300407023693</v>
      </c>
      <c r="AD501" s="495">
        <f t="shared" si="199"/>
        <v>1230470488910</v>
      </c>
      <c r="AE501" s="495">
        <f t="shared" si="199"/>
        <v>1816444908766</v>
      </c>
      <c r="AF501" s="495">
        <f t="shared" si="199"/>
        <v>2577066891527</v>
      </c>
      <c r="AG501" s="495">
        <f t="shared" si="199"/>
        <v>3064819675420</v>
      </c>
      <c r="AH501" s="495">
        <f t="shared" si="199"/>
        <v>3371947040854</v>
      </c>
    </row>
    <row r="502" spans="2:34" outlineLevel="1">
      <c r="B502" s="34" t="s">
        <v>879</v>
      </c>
      <c r="C502" s="34" t="s">
        <v>879</v>
      </c>
      <c r="D502" s="495">
        <f>SUM(D$105)</f>
        <v>756648157597</v>
      </c>
      <c r="E502" s="495">
        <f t="shared" ref="E502:H502" si="200">SUM(E$105)</f>
        <v>767722285117</v>
      </c>
      <c r="F502" s="495">
        <f t="shared" si="200"/>
        <v>0</v>
      </c>
      <c r="G502" s="495">
        <f t="shared" si="200"/>
        <v>717770239013</v>
      </c>
      <c r="H502" s="495">
        <f t="shared" si="200"/>
        <v>436822062169</v>
      </c>
      <c r="I502" s="495">
        <f t="shared" ref="I502:R502" si="201">SUM(I$105)</f>
        <v>421364180981</v>
      </c>
      <c r="J502" s="495">
        <f t="shared" si="201"/>
        <v>477531414379</v>
      </c>
      <c r="K502" s="495">
        <f t="shared" si="201"/>
        <v>416989447314</v>
      </c>
      <c r="L502" s="495">
        <f t="shared" si="201"/>
        <v>387024648583</v>
      </c>
      <c r="M502" s="495">
        <f t="shared" si="201"/>
        <v>453884834963</v>
      </c>
      <c r="N502" s="495">
        <f t="shared" si="201"/>
        <v>615727501369</v>
      </c>
      <c r="O502" s="495">
        <f t="shared" si="201"/>
        <v>623661985228</v>
      </c>
      <c r="P502" s="495">
        <f t="shared" si="201"/>
        <v>529937286506</v>
      </c>
      <c r="Q502" s="495">
        <f t="shared" si="201"/>
        <v>539011495474</v>
      </c>
      <c r="R502" s="495">
        <f t="shared" si="201"/>
        <v>466593774833</v>
      </c>
      <c r="S502" s="495">
        <f t="shared" ref="S502:AH502" si="202">SUM(S$105)</f>
        <v>575112277117</v>
      </c>
      <c r="T502" s="495">
        <f t="shared" si="202"/>
        <v>597519138213</v>
      </c>
      <c r="U502" s="495">
        <f t="shared" si="202"/>
        <v>704697503494</v>
      </c>
      <c r="V502" s="495">
        <f t="shared" si="202"/>
        <v>742830472667</v>
      </c>
      <c r="W502" s="495">
        <f t="shared" si="202"/>
        <v>739065473047</v>
      </c>
      <c r="X502" s="495">
        <f t="shared" si="202"/>
        <v>603446080105</v>
      </c>
      <c r="Y502" s="495">
        <f t="shared" si="202"/>
        <v>539817514901</v>
      </c>
      <c r="Z502" s="495">
        <f t="shared" si="202"/>
        <v>417307845534</v>
      </c>
      <c r="AA502" s="495">
        <f t="shared" si="202"/>
        <v>278607894673</v>
      </c>
      <c r="AB502" s="495">
        <f t="shared" si="202"/>
        <v>304726188144</v>
      </c>
      <c r="AC502" s="495">
        <f t="shared" si="202"/>
        <v>282503208607</v>
      </c>
      <c r="AD502" s="495">
        <f t="shared" si="202"/>
        <v>311144633056</v>
      </c>
      <c r="AE502" s="495">
        <f t="shared" si="202"/>
        <v>278393757672</v>
      </c>
      <c r="AF502" s="495">
        <f t="shared" si="202"/>
        <v>265783745907</v>
      </c>
      <c r="AG502" s="495">
        <f t="shared" si="202"/>
        <v>268873689331</v>
      </c>
      <c r="AH502" s="495">
        <f t="shared" si="202"/>
        <v>205554853446</v>
      </c>
    </row>
    <row r="503" spans="2:34" outlineLevel="1">
      <c r="B503" s="34" t="s">
        <v>880</v>
      </c>
      <c r="C503" s="34" t="s">
        <v>880</v>
      </c>
      <c r="D503" s="495">
        <f>SUM(D$113)</f>
        <v>215772835622</v>
      </c>
      <c r="E503" s="495">
        <f t="shared" ref="E503:H503" si="203">SUM(E$113)</f>
        <v>233666154784</v>
      </c>
      <c r="F503" s="495">
        <f t="shared" si="203"/>
        <v>0</v>
      </c>
      <c r="G503" s="495">
        <f t="shared" si="203"/>
        <v>247000645786</v>
      </c>
      <c r="H503" s="495">
        <f t="shared" si="203"/>
        <v>220767244520</v>
      </c>
      <c r="I503" s="495">
        <f t="shared" ref="I503:R503" si="204">SUM(I$113)</f>
        <v>216506243707</v>
      </c>
      <c r="J503" s="495">
        <f t="shared" si="204"/>
        <v>298049661237</v>
      </c>
      <c r="K503" s="495">
        <f t="shared" si="204"/>
        <v>294238662421</v>
      </c>
      <c r="L503" s="495">
        <f t="shared" si="204"/>
        <v>281040945623</v>
      </c>
      <c r="M503" s="495">
        <f t="shared" si="204"/>
        <v>286127732022</v>
      </c>
      <c r="N503" s="495">
        <f t="shared" si="204"/>
        <v>327456155024</v>
      </c>
      <c r="O503" s="495">
        <f t="shared" si="204"/>
        <v>374461562861</v>
      </c>
      <c r="P503" s="495">
        <f t="shared" si="204"/>
        <v>346121056308</v>
      </c>
      <c r="Q503" s="495">
        <f t="shared" si="204"/>
        <v>369787925194</v>
      </c>
      <c r="R503" s="495">
        <f t="shared" si="204"/>
        <v>390044353655</v>
      </c>
      <c r="S503" s="495">
        <f t="shared" ref="S503:AH503" si="205">SUM(S$113)</f>
        <v>277411921859</v>
      </c>
      <c r="T503" s="495">
        <f t="shared" si="205"/>
        <v>419572756443</v>
      </c>
      <c r="U503" s="495">
        <f t="shared" si="205"/>
        <v>386164768342</v>
      </c>
      <c r="V503" s="495">
        <f t="shared" si="205"/>
        <v>356572723894</v>
      </c>
      <c r="W503" s="495">
        <f t="shared" si="205"/>
        <v>310660626818</v>
      </c>
      <c r="X503" s="495">
        <f t="shared" si="205"/>
        <v>367016962442</v>
      </c>
      <c r="Y503" s="495">
        <f t="shared" si="205"/>
        <v>398653702282</v>
      </c>
      <c r="Z503" s="495">
        <f t="shared" si="205"/>
        <v>461062940511</v>
      </c>
      <c r="AA503" s="495">
        <f t="shared" si="205"/>
        <v>247030883356</v>
      </c>
      <c r="AB503" s="495">
        <f t="shared" si="205"/>
        <v>256402745432</v>
      </c>
      <c r="AC503" s="495">
        <f t="shared" si="205"/>
        <v>380277361338</v>
      </c>
      <c r="AD503" s="495">
        <f t="shared" si="205"/>
        <v>343963244644</v>
      </c>
      <c r="AE503" s="495">
        <f t="shared" si="205"/>
        <v>404845965348</v>
      </c>
      <c r="AF503" s="495">
        <f t="shared" si="205"/>
        <v>475143942522</v>
      </c>
      <c r="AG503" s="495">
        <f t="shared" si="205"/>
        <v>662814653315</v>
      </c>
      <c r="AH503" s="495">
        <f t="shared" si="205"/>
        <v>782044355720</v>
      </c>
    </row>
    <row r="504" spans="2:34" outlineLevel="1">
      <c r="B504" s="34" t="s">
        <v>32</v>
      </c>
      <c r="C504" s="34" t="s">
        <v>32</v>
      </c>
      <c r="D504" s="495">
        <f>SUM(D$137)</f>
        <v>1136295551386</v>
      </c>
      <c r="E504" s="495">
        <f t="shared" ref="E504:H504" si="206">SUM(E$137)</f>
        <v>1381127014836</v>
      </c>
      <c r="F504" s="495">
        <f t="shared" si="206"/>
        <v>0</v>
      </c>
      <c r="G504" s="495">
        <f t="shared" si="206"/>
        <v>1547668279502</v>
      </c>
      <c r="H504" s="495">
        <f t="shared" si="206"/>
        <v>1469751964360</v>
      </c>
      <c r="I504" s="495">
        <f t="shared" ref="I504:R504" si="207">SUM(I$137)</f>
        <v>1539899481763</v>
      </c>
      <c r="J504" s="495">
        <f t="shared" si="207"/>
        <v>1589961269067</v>
      </c>
      <c r="K504" s="495">
        <f t="shared" si="207"/>
        <v>1478729058507</v>
      </c>
      <c r="L504" s="495">
        <f t="shared" si="207"/>
        <v>1552078452214</v>
      </c>
      <c r="M504" s="495">
        <f t="shared" si="207"/>
        <v>1507309737682</v>
      </c>
      <c r="N504" s="495">
        <f t="shared" si="207"/>
        <v>1364126874428</v>
      </c>
      <c r="O504" s="495">
        <f t="shared" si="207"/>
        <v>1395709317111</v>
      </c>
      <c r="P504" s="495">
        <f t="shared" si="207"/>
        <v>1423356945727</v>
      </c>
      <c r="Q504" s="495">
        <f t="shared" si="207"/>
        <v>1723219925019</v>
      </c>
      <c r="R504" s="495">
        <f t="shared" si="207"/>
        <v>1668074046211</v>
      </c>
      <c r="S504" s="495">
        <f t="shared" ref="S504:AH504" si="208">SUM(S$137)</f>
        <v>1755435842445</v>
      </c>
      <c r="T504" s="495">
        <f t="shared" si="208"/>
        <v>2189571232152</v>
      </c>
      <c r="U504" s="495">
        <f t="shared" si="208"/>
        <v>2036458204822</v>
      </c>
      <c r="V504" s="495">
        <f t="shared" si="208"/>
        <v>2188155327647</v>
      </c>
      <c r="W504" s="495">
        <f t="shared" si="208"/>
        <v>1997217555177</v>
      </c>
      <c r="X504" s="495">
        <f t="shared" si="208"/>
        <v>2274181271107</v>
      </c>
      <c r="Y504" s="495">
        <f t="shared" si="208"/>
        <v>2960882461570</v>
      </c>
      <c r="Z504" s="495">
        <f t="shared" si="208"/>
        <v>2818803611893</v>
      </c>
      <c r="AA504" s="495">
        <f t="shared" si="208"/>
        <v>3352024761497</v>
      </c>
      <c r="AB504" s="495">
        <f t="shared" si="208"/>
        <v>4009459444382</v>
      </c>
      <c r="AC504" s="495">
        <f t="shared" si="208"/>
        <v>4212756626828</v>
      </c>
      <c r="AD504" s="495">
        <f t="shared" si="208"/>
        <v>4066045997351</v>
      </c>
      <c r="AE504" s="495">
        <f t="shared" si="208"/>
        <v>3992618111823</v>
      </c>
      <c r="AF504" s="495">
        <f t="shared" si="208"/>
        <v>4708108111087</v>
      </c>
      <c r="AG504" s="495">
        <f t="shared" si="208"/>
        <v>4441896566834</v>
      </c>
      <c r="AH504" s="495">
        <f t="shared" si="208"/>
        <v>4522226307112</v>
      </c>
    </row>
    <row r="505" spans="2:34" outlineLevel="1">
      <c r="B505" s="34" t="s">
        <v>877</v>
      </c>
      <c r="C505" s="34" t="s">
        <v>877</v>
      </c>
      <c r="D505" s="495">
        <f>SUM(D$217,-D$295)</f>
        <v>691069877180</v>
      </c>
      <c r="E505" s="495">
        <f t="shared" ref="E505:H505" si="209">SUM(E$217,-E$295)</f>
        <v>752288193793</v>
      </c>
      <c r="F505" s="495">
        <f t="shared" si="209"/>
        <v>0</v>
      </c>
      <c r="G505" s="495">
        <f t="shared" si="209"/>
        <v>468623584850</v>
      </c>
      <c r="H505" s="495">
        <f t="shared" si="209"/>
        <v>389450132602</v>
      </c>
      <c r="I505" s="495">
        <f t="shared" ref="I505:R505" si="210">SUM(I$217,-I$295)</f>
        <v>893804534703</v>
      </c>
      <c r="J505" s="495">
        <f t="shared" si="210"/>
        <v>1103462350290</v>
      </c>
      <c r="K505" s="495">
        <f t="shared" si="210"/>
        <v>387678908730</v>
      </c>
      <c r="L505" s="495">
        <f t="shared" si="210"/>
        <v>699797500929</v>
      </c>
      <c r="M505" s="495">
        <f t="shared" si="210"/>
        <v>662893039246</v>
      </c>
      <c r="N505" s="495">
        <f t="shared" si="210"/>
        <v>847987449689</v>
      </c>
      <c r="O505" s="495">
        <f t="shared" si="210"/>
        <v>338994734589</v>
      </c>
      <c r="P505" s="495">
        <f t="shared" si="210"/>
        <v>818495955017</v>
      </c>
      <c r="Q505" s="495">
        <f t="shared" si="210"/>
        <v>656417695772</v>
      </c>
      <c r="R505" s="495">
        <f t="shared" si="210"/>
        <v>569078617360</v>
      </c>
      <c r="S505" s="495">
        <f t="shared" ref="S505:AH505" si="211">SUM(S$217,-S$295)</f>
        <v>510330142946</v>
      </c>
      <c r="T505" s="495">
        <f t="shared" si="211"/>
        <v>710295318413</v>
      </c>
      <c r="U505" s="495">
        <f t="shared" si="211"/>
        <v>1075200325813</v>
      </c>
      <c r="V505" s="495">
        <f t="shared" si="211"/>
        <v>1099426237462</v>
      </c>
      <c r="W505" s="495">
        <f t="shared" si="211"/>
        <v>407252830440</v>
      </c>
      <c r="X505" s="495">
        <f t="shared" si="211"/>
        <v>1333831050531</v>
      </c>
      <c r="Y505" s="495">
        <f t="shared" si="211"/>
        <v>1073426875407</v>
      </c>
      <c r="Z505" s="495">
        <f t="shared" si="211"/>
        <v>1133203459916</v>
      </c>
      <c r="AA505" s="495">
        <f t="shared" si="211"/>
        <v>815550486659</v>
      </c>
      <c r="AB505" s="495">
        <f t="shared" si="211"/>
        <v>1228404962836</v>
      </c>
      <c r="AC505" s="495">
        <f t="shared" si="211"/>
        <v>944078702275</v>
      </c>
      <c r="AD505" s="495">
        <f t="shared" si="211"/>
        <v>1150626058813</v>
      </c>
      <c r="AE505" s="495">
        <f t="shared" si="211"/>
        <v>1030547051205</v>
      </c>
      <c r="AF505" s="495">
        <f t="shared" si="211"/>
        <v>2982386415781</v>
      </c>
      <c r="AG505" s="495">
        <f t="shared" si="211"/>
        <v>4733872745587</v>
      </c>
      <c r="AH505" s="495">
        <f t="shared" si="211"/>
        <v>2520997289356</v>
      </c>
    </row>
    <row r="506" spans="2:34">
      <c r="B506" s="496" t="s">
        <v>878</v>
      </c>
      <c r="C506" s="496" t="s">
        <v>878</v>
      </c>
      <c r="D506" s="495">
        <f>SUM(D$495,D$496,D$497,D$502,D$503,D$504,D$505)</f>
        <v>16024467247210</v>
      </c>
      <c r="E506" s="495">
        <f t="shared" ref="E506:H506" si="212">SUM(E$495,E$496,E$497,E$502,E$503,E$504,E$505)</f>
        <v>17751891010295</v>
      </c>
      <c r="F506" s="495">
        <f t="shared" si="212"/>
        <v>0</v>
      </c>
      <c r="G506" s="495">
        <f t="shared" si="212"/>
        <v>18843277179193</v>
      </c>
      <c r="H506" s="495">
        <f t="shared" si="212"/>
        <v>18540977375013</v>
      </c>
      <c r="I506" s="495">
        <f t="shared" ref="I506:R506" si="213">SUM(I$495,I$496,I$497,I$502,I$503,I$504,I$505)</f>
        <v>18829122835958</v>
      </c>
      <c r="J506" s="495">
        <f t="shared" si="213"/>
        <v>19718911178129</v>
      </c>
      <c r="K506" s="495">
        <f t="shared" si="213"/>
        <v>19154747735597</v>
      </c>
      <c r="L506" s="495">
        <f t="shared" si="213"/>
        <v>20861350190766</v>
      </c>
      <c r="M506" s="495">
        <f t="shared" si="213"/>
        <v>21172872607322</v>
      </c>
      <c r="N506" s="495">
        <f t="shared" si="213"/>
        <v>22391749939617</v>
      </c>
      <c r="O506" s="495">
        <f t="shared" si="213"/>
        <v>22775728866304</v>
      </c>
      <c r="P506" s="495">
        <f t="shared" si="213"/>
        <v>25453884307591</v>
      </c>
      <c r="Q506" s="495">
        <f t="shared" si="213"/>
        <v>25767847045700</v>
      </c>
      <c r="R506" s="495">
        <f t="shared" si="213"/>
        <v>26899249003554</v>
      </c>
      <c r="S506" s="495">
        <f t="shared" ref="S506:Z506" si="214">SUM(S$495,S$496,S$497,S$502,S$503,S$504,S$505)</f>
        <v>27833847236232</v>
      </c>
      <c r="T506" s="495">
        <f t="shared" si="214"/>
        <v>30772711737083</v>
      </c>
      <c r="U506" s="495">
        <f t="shared" si="214"/>
        <v>31347247564818</v>
      </c>
      <c r="V506" s="495">
        <f t="shared" si="214"/>
        <v>31919498658270</v>
      </c>
      <c r="W506" s="495">
        <f t="shared" si="214"/>
        <v>32196891208480</v>
      </c>
      <c r="X506" s="495">
        <f t="shared" si="214"/>
        <v>34505787863277</v>
      </c>
      <c r="Y506" s="495">
        <f t="shared" si="214"/>
        <v>35291795239491</v>
      </c>
      <c r="Z506" s="495">
        <f t="shared" si="214"/>
        <v>36178079208189</v>
      </c>
      <c r="AA506" s="495">
        <f t="shared" ref="AA506:AH506" si="215">SUM(AA$495,AA$496,AA$497,AA$502,AA$503,AA$504,AA$505)</f>
        <v>36943868593345</v>
      </c>
      <c r="AB506" s="495">
        <f t="shared" si="215"/>
        <v>39320327040180</v>
      </c>
      <c r="AC506" s="495">
        <f t="shared" si="215"/>
        <v>40666002928604</v>
      </c>
      <c r="AD506" s="495">
        <f t="shared" si="215"/>
        <v>42262632595980</v>
      </c>
      <c r="AE506" s="495">
        <f t="shared" si="215"/>
        <v>43730688206430</v>
      </c>
      <c r="AF506" s="495">
        <f t="shared" si="215"/>
        <v>46396578877529</v>
      </c>
      <c r="AG506" s="495">
        <f t="shared" si="215"/>
        <v>49031538453666</v>
      </c>
      <c r="AH506" s="495">
        <f t="shared" si="215"/>
        <v>47253633493914</v>
      </c>
    </row>
    <row r="507" spans="2:34">
      <c r="E507" s="58"/>
      <c r="F507" s="58"/>
      <c r="G507" s="58"/>
      <c r="H507" s="58"/>
      <c r="J507" s="70"/>
      <c r="K507" s="70"/>
    </row>
    <row r="508" spans="2:34">
      <c r="B508" s="496" t="s">
        <v>885</v>
      </c>
      <c r="C508" s="496" t="s">
        <v>698</v>
      </c>
      <c r="D508" s="495">
        <f>SUM(D509:D511)</f>
        <v>1534403945561</v>
      </c>
      <c r="E508" s="495">
        <f t="shared" ref="E508:H508" si="216">SUM(E509:E511)</f>
        <v>1430689091579</v>
      </c>
      <c r="F508" s="495">
        <f t="shared" si="216"/>
        <v>0</v>
      </c>
      <c r="G508" s="495">
        <f t="shared" si="216"/>
        <v>1772489642238</v>
      </c>
      <c r="H508" s="495">
        <f t="shared" si="216"/>
        <v>1788513898671</v>
      </c>
      <c r="I508" s="495">
        <f t="shared" ref="I508:O508" si="217">SUM(I509:I511)</f>
        <v>1083390883428</v>
      </c>
      <c r="J508" s="495">
        <f t="shared" si="217"/>
        <v>1446158603477</v>
      </c>
      <c r="K508" s="495">
        <f t="shared" si="217"/>
        <v>1470442378072</v>
      </c>
      <c r="L508" s="495">
        <f t="shared" si="217"/>
        <v>1534835474506</v>
      </c>
      <c r="M508" s="495">
        <f t="shared" si="217"/>
        <v>1169465272905</v>
      </c>
      <c r="N508" s="495">
        <f t="shared" si="217"/>
        <v>1189234322241</v>
      </c>
      <c r="O508" s="495">
        <f t="shared" si="217"/>
        <v>1440517172072</v>
      </c>
      <c r="P508" s="495">
        <f t="shared" ref="P508" si="218">SUM(P509:P511)</f>
        <v>1056147290134</v>
      </c>
      <c r="Q508" s="495">
        <f t="shared" ref="Q508" si="219">SUM(Q509:Q511)</f>
        <v>1194834460415</v>
      </c>
      <c r="R508" s="495">
        <f t="shared" ref="R508" si="220">SUM(R509:R511)</f>
        <v>1413546234735</v>
      </c>
      <c r="S508" s="495">
        <f t="shared" ref="S508:AA508" si="221">SUM(S509:S511)</f>
        <v>1412177355849</v>
      </c>
      <c r="T508" s="495">
        <f t="shared" si="221"/>
        <v>1504840645110</v>
      </c>
      <c r="U508" s="495">
        <f t="shared" si="221"/>
        <v>1598301239318</v>
      </c>
      <c r="V508" s="495">
        <f t="shared" si="221"/>
        <v>2043015181246</v>
      </c>
      <c r="W508" s="495">
        <f t="shared" si="221"/>
        <v>1439475229616</v>
      </c>
      <c r="X508" s="495">
        <f t="shared" si="221"/>
        <v>1543578111218</v>
      </c>
      <c r="Y508" s="495">
        <f t="shared" si="221"/>
        <v>1868252395380</v>
      </c>
      <c r="Z508" s="495">
        <f t="shared" si="221"/>
        <v>2079199994747</v>
      </c>
      <c r="AA508" s="495">
        <f t="shared" si="221"/>
        <v>1908240476804</v>
      </c>
      <c r="AB508" s="495">
        <f t="shared" ref="AB508:AC508" si="222">SUM(AB509:AB511)</f>
        <v>1772376190489</v>
      </c>
      <c r="AC508" s="495">
        <f t="shared" si="222"/>
        <v>2139426918947</v>
      </c>
      <c r="AD508" s="495">
        <f t="shared" ref="AD508:AE508" si="223">SUM(AD509:AD511)</f>
        <v>1543884011870</v>
      </c>
      <c r="AE508" s="495">
        <f t="shared" si="223"/>
        <v>2618987124115</v>
      </c>
      <c r="AF508" s="495">
        <f t="shared" ref="AF508:AG508" si="224">SUM(AF509:AF511)</f>
        <v>2471203778256</v>
      </c>
      <c r="AG508" s="495">
        <f t="shared" si="224"/>
        <v>2846080913945</v>
      </c>
      <c r="AH508" s="495">
        <f t="shared" ref="AH508" si="225">SUM(AH509:AH511)</f>
        <v>3055945683619</v>
      </c>
    </row>
    <row r="509" spans="2:34">
      <c r="B509" s="34" t="s">
        <v>886</v>
      </c>
      <c r="C509" s="34" t="s">
        <v>886</v>
      </c>
      <c r="D509" s="495">
        <f>SUM(D$323)</f>
        <v>515900000000</v>
      </c>
      <c r="E509" s="495">
        <f t="shared" ref="E509:H509" si="226">SUM(E$323)</f>
        <v>530000000000</v>
      </c>
      <c r="F509" s="495">
        <f t="shared" si="226"/>
        <v>0</v>
      </c>
      <c r="G509" s="495">
        <f t="shared" si="226"/>
        <v>374300000000</v>
      </c>
      <c r="H509" s="495">
        <f t="shared" si="226"/>
        <v>903000000000</v>
      </c>
      <c r="I509" s="495">
        <f t="shared" ref="I509:R509" si="227">SUM(I$323)</f>
        <v>323000000000</v>
      </c>
      <c r="J509" s="495">
        <f t="shared" si="227"/>
        <v>714000000000</v>
      </c>
      <c r="K509" s="495">
        <f t="shared" si="227"/>
        <v>776000000000</v>
      </c>
      <c r="L509" s="495">
        <f t="shared" si="227"/>
        <v>783000000000</v>
      </c>
      <c r="M509" s="495">
        <f t="shared" si="227"/>
        <v>385000000000</v>
      </c>
      <c r="N509" s="495">
        <f t="shared" si="227"/>
        <v>369500000000</v>
      </c>
      <c r="O509" s="495">
        <f t="shared" si="227"/>
        <v>400000000000</v>
      </c>
      <c r="P509" s="495">
        <f t="shared" si="227"/>
        <v>175000000000</v>
      </c>
      <c r="Q509" s="495">
        <f t="shared" si="227"/>
        <v>170000000000</v>
      </c>
      <c r="R509" s="495">
        <f t="shared" si="227"/>
        <v>250000000000</v>
      </c>
      <c r="S509" s="495">
        <f t="shared" ref="S509:AH509" si="228">SUM(S$323)</f>
        <v>238700000000</v>
      </c>
      <c r="T509" s="495">
        <f t="shared" si="228"/>
        <v>205000000000</v>
      </c>
      <c r="U509" s="495">
        <f t="shared" si="228"/>
        <v>200000000000</v>
      </c>
      <c r="V509" s="495">
        <f t="shared" si="228"/>
        <v>200000000000</v>
      </c>
      <c r="W509" s="495">
        <f t="shared" si="228"/>
        <v>40000000000</v>
      </c>
      <c r="X509" s="495">
        <f t="shared" si="228"/>
        <v>100000000000</v>
      </c>
      <c r="Y509" s="495">
        <f t="shared" si="228"/>
        <v>250000000000</v>
      </c>
      <c r="Z509" s="495">
        <f t="shared" si="228"/>
        <v>431000000000</v>
      </c>
      <c r="AA509" s="495">
        <f t="shared" si="228"/>
        <v>202800000000</v>
      </c>
      <c r="AB509" s="495">
        <f t="shared" si="228"/>
        <v>268000000000</v>
      </c>
      <c r="AC509" s="495">
        <f t="shared" si="228"/>
        <v>220000000000</v>
      </c>
      <c r="AD509" s="495">
        <f t="shared" si="228"/>
        <v>205000000000</v>
      </c>
      <c r="AE509" s="495">
        <f t="shared" si="228"/>
        <v>630000000000</v>
      </c>
      <c r="AF509" s="495">
        <f t="shared" si="228"/>
        <v>300000000000</v>
      </c>
      <c r="AG509" s="495">
        <f t="shared" si="228"/>
        <v>580000000000</v>
      </c>
      <c r="AH509" s="495">
        <f t="shared" si="228"/>
        <v>540000000000</v>
      </c>
    </row>
    <row r="510" spans="2:34">
      <c r="B510" s="34" t="s">
        <v>887</v>
      </c>
      <c r="C510" s="34" t="s">
        <v>887</v>
      </c>
      <c r="D510" s="495">
        <f>SUM(D$324,D$349)</f>
        <v>955924945561</v>
      </c>
      <c r="E510" s="495">
        <f t="shared" ref="E510:H510" si="229">SUM(E$324,E$349)</f>
        <v>837230091579</v>
      </c>
      <c r="F510" s="495">
        <f t="shared" si="229"/>
        <v>0</v>
      </c>
      <c r="G510" s="495">
        <f t="shared" si="229"/>
        <v>1128189642238</v>
      </c>
      <c r="H510" s="495">
        <f t="shared" si="229"/>
        <v>615513898671</v>
      </c>
      <c r="I510" s="495">
        <f t="shared" ref="I510:R510" si="230">SUM(I$324,I$349)</f>
        <v>490390883428</v>
      </c>
      <c r="J510" s="495">
        <f t="shared" si="230"/>
        <v>462158603477</v>
      </c>
      <c r="K510" s="495">
        <f t="shared" si="230"/>
        <v>424442378072</v>
      </c>
      <c r="L510" s="495">
        <f t="shared" si="230"/>
        <v>481835474506</v>
      </c>
      <c r="M510" s="495">
        <f t="shared" si="230"/>
        <v>514465272905</v>
      </c>
      <c r="N510" s="495">
        <f t="shared" si="230"/>
        <v>549734322241</v>
      </c>
      <c r="O510" s="495">
        <f t="shared" si="230"/>
        <v>770517172072</v>
      </c>
      <c r="P510" s="495">
        <f t="shared" si="230"/>
        <v>611147290134</v>
      </c>
      <c r="Q510" s="495">
        <f t="shared" si="230"/>
        <v>754834460415</v>
      </c>
      <c r="R510" s="495">
        <f t="shared" si="230"/>
        <v>563546234735</v>
      </c>
      <c r="S510" s="1238">
        <f>SUM(S$324,S$349,S$345,S$352)</f>
        <v>593477355849</v>
      </c>
      <c r="T510" s="495">
        <f t="shared" ref="T510:Z510" si="231">SUM(T$324,T$349)</f>
        <v>619840645110</v>
      </c>
      <c r="U510" s="495">
        <f t="shared" si="231"/>
        <v>618301239318</v>
      </c>
      <c r="V510" s="495">
        <f t="shared" si="231"/>
        <v>1063015181246</v>
      </c>
      <c r="W510" s="1238">
        <f>SUM(W$324,W$349,W$345,W$352)</f>
        <v>619475229616</v>
      </c>
      <c r="X510" s="495">
        <f t="shared" si="231"/>
        <v>663578111218</v>
      </c>
      <c r="Y510" s="495">
        <f t="shared" si="231"/>
        <v>838252395380</v>
      </c>
      <c r="Z510" s="495">
        <f t="shared" si="231"/>
        <v>868199994747</v>
      </c>
      <c r="AA510" s="1238">
        <f t="shared" ref="AA510:AH510" si="232">SUM(AA$324,AA$349,AA$345,AA$352)</f>
        <v>1005440476804</v>
      </c>
      <c r="AB510" s="1238">
        <f t="shared" si="232"/>
        <v>605000000000</v>
      </c>
      <c r="AC510" s="1238">
        <f t="shared" si="232"/>
        <v>1020000000000</v>
      </c>
      <c r="AD510" s="1238">
        <f t="shared" si="232"/>
        <v>510000000000</v>
      </c>
      <c r="AE510" s="1238">
        <f t="shared" si="232"/>
        <v>1190000000000</v>
      </c>
      <c r="AF510" s="1238">
        <f t="shared" si="232"/>
        <v>1153000000000</v>
      </c>
      <c r="AG510" s="1238">
        <f t="shared" si="232"/>
        <v>1267700000000</v>
      </c>
      <c r="AH510" s="1238">
        <f t="shared" si="232"/>
        <v>1318000000000</v>
      </c>
    </row>
    <row r="511" spans="2:34">
      <c r="B511" s="34" t="s">
        <v>891</v>
      </c>
      <c r="C511" s="34" t="s">
        <v>891</v>
      </c>
      <c r="D511" s="495">
        <f>SUM(D$343,D$347)</f>
        <v>62579000000</v>
      </c>
      <c r="E511" s="495">
        <f t="shared" ref="E511:H511" si="233">SUM(E$343,E$347)</f>
        <v>63459000000</v>
      </c>
      <c r="F511" s="495">
        <f t="shared" si="233"/>
        <v>0</v>
      </c>
      <c r="G511" s="495">
        <f t="shared" si="233"/>
        <v>270000000000</v>
      </c>
      <c r="H511" s="495">
        <f t="shared" si="233"/>
        <v>270000000000</v>
      </c>
      <c r="I511" s="495">
        <f t="shared" ref="I511:R511" si="234">SUM(I$343,I$347)</f>
        <v>270000000000</v>
      </c>
      <c r="J511" s="495">
        <f t="shared" si="234"/>
        <v>270000000000</v>
      </c>
      <c r="K511" s="495">
        <f t="shared" si="234"/>
        <v>270000000000</v>
      </c>
      <c r="L511" s="495">
        <f t="shared" si="234"/>
        <v>270000000000</v>
      </c>
      <c r="M511" s="495">
        <f t="shared" si="234"/>
        <v>270000000000</v>
      </c>
      <c r="N511" s="495">
        <f t="shared" si="234"/>
        <v>270000000000</v>
      </c>
      <c r="O511" s="495">
        <f t="shared" si="234"/>
        <v>270000000000</v>
      </c>
      <c r="P511" s="495">
        <f t="shared" si="234"/>
        <v>270000000000</v>
      </c>
      <c r="Q511" s="495">
        <f t="shared" si="234"/>
        <v>270000000000</v>
      </c>
      <c r="R511" s="495">
        <f t="shared" si="234"/>
        <v>600000000000</v>
      </c>
      <c r="S511" s="495">
        <f t="shared" ref="S511:Z511" si="235">SUM(S$343,S$347)</f>
        <v>580000000000</v>
      </c>
      <c r="T511" s="495">
        <f t="shared" si="235"/>
        <v>680000000000</v>
      </c>
      <c r="U511" s="495">
        <f t="shared" si="235"/>
        <v>780000000000</v>
      </c>
      <c r="V511" s="495">
        <f t="shared" si="235"/>
        <v>780000000000</v>
      </c>
      <c r="W511" s="495">
        <f t="shared" si="235"/>
        <v>780000000000</v>
      </c>
      <c r="X511" s="495">
        <f t="shared" si="235"/>
        <v>780000000000</v>
      </c>
      <c r="Y511" s="495">
        <f t="shared" si="235"/>
        <v>780000000000</v>
      </c>
      <c r="Z511" s="495">
        <f t="shared" si="235"/>
        <v>780000000000</v>
      </c>
      <c r="AA511" s="1238">
        <f t="shared" ref="AA511:AH511" si="236">SUM(AA$346,AA$347)</f>
        <v>700000000000</v>
      </c>
      <c r="AB511" s="1238">
        <f t="shared" si="236"/>
        <v>899376190489</v>
      </c>
      <c r="AC511" s="1238">
        <f t="shared" si="236"/>
        <v>899426918947</v>
      </c>
      <c r="AD511" s="1238">
        <f t="shared" si="236"/>
        <v>828884011870</v>
      </c>
      <c r="AE511" s="1238">
        <f t="shared" si="236"/>
        <v>798987124115</v>
      </c>
      <c r="AF511" s="1238">
        <f t="shared" si="236"/>
        <v>1018203778256</v>
      </c>
      <c r="AG511" s="1238">
        <f t="shared" si="236"/>
        <v>998380913945</v>
      </c>
      <c r="AH511" s="1238">
        <f t="shared" si="236"/>
        <v>1197945683619</v>
      </c>
    </row>
    <row r="512" spans="2:34">
      <c r="B512" s="496" t="s">
        <v>38</v>
      </c>
      <c r="C512" s="496" t="s">
        <v>38</v>
      </c>
      <c r="D512" s="495">
        <f>SUM(D513:D516)</f>
        <v>10302446918414</v>
      </c>
      <c r="E512" s="495">
        <f t="shared" ref="E512:H512" si="237">SUM(E513:E516)</f>
        <v>11708070826823</v>
      </c>
      <c r="F512" s="495">
        <f t="shared" si="237"/>
        <v>0</v>
      </c>
      <c r="G512" s="495">
        <f t="shared" si="237"/>
        <v>12918629824553</v>
      </c>
      <c r="H512" s="495">
        <f t="shared" si="237"/>
        <v>12144157188048</v>
      </c>
      <c r="I512" s="495">
        <f t="shared" ref="I512:O512" si="238">SUM(I513:I516)</f>
        <v>13407008306349</v>
      </c>
      <c r="J512" s="495">
        <f t="shared" si="238"/>
        <v>14066308510052</v>
      </c>
      <c r="K512" s="495">
        <f t="shared" si="238"/>
        <v>13943238650522</v>
      </c>
      <c r="L512" s="495">
        <f t="shared" si="238"/>
        <v>15242631141477</v>
      </c>
      <c r="M512" s="495">
        <f t="shared" si="238"/>
        <v>15957472208662</v>
      </c>
      <c r="N512" s="495">
        <f t="shared" si="238"/>
        <v>16795675133248</v>
      </c>
      <c r="O512" s="495">
        <f t="shared" si="238"/>
        <v>16272995110903</v>
      </c>
      <c r="P512" s="495">
        <f t="shared" ref="P512" si="239">SUM(P513:P516)</f>
        <v>18664549957549</v>
      </c>
      <c r="Q512" s="495">
        <f t="shared" ref="Q512" si="240">SUM(Q513:Q516)</f>
        <v>18754513509124</v>
      </c>
      <c r="R512" s="495">
        <f t="shared" ref="R512" si="241">SUM(R513:R516)</f>
        <v>19200887519284</v>
      </c>
      <c r="S512" s="495">
        <f t="shared" ref="S512:AA512" si="242">SUM(S513:S516)</f>
        <v>20477071165647</v>
      </c>
      <c r="T512" s="495">
        <f t="shared" si="242"/>
        <v>22672244901463</v>
      </c>
      <c r="U512" s="495">
        <f t="shared" si="242"/>
        <v>23061414502812</v>
      </c>
      <c r="V512" s="495">
        <f t="shared" si="242"/>
        <v>23403911435774</v>
      </c>
      <c r="W512" s="495">
        <f t="shared" si="242"/>
        <v>23698169017648</v>
      </c>
      <c r="X512" s="495">
        <f t="shared" si="242"/>
        <v>25308950825134</v>
      </c>
      <c r="Y512" s="495">
        <f t="shared" si="242"/>
        <v>24960713786946</v>
      </c>
      <c r="Z512" s="495">
        <f t="shared" si="242"/>
        <v>25432498811280</v>
      </c>
      <c r="AA512" s="495">
        <f t="shared" si="242"/>
        <v>26163520874783</v>
      </c>
      <c r="AB512" s="495">
        <f t="shared" ref="AB512:AC512" si="243">SUM(AB513:AB516)</f>
        <v>27133030473503</v>
      </c>
      <c r="AC512" s="495">
        <f t="shared" si="243"/>
        <v>29018850482202</v>
      </c>
      <c r="AD512" s="495">
        <f t="shared" ref="AD512:AE512" si="244">SUM(AD513:AD516)</f>
        <v>30241654297730</v>
      </c>
      <c r="AE512" s="495">
        <f t="shared" si="244"/>
        <v>30790252161470</v>
      </c>
      <c r="AF512" s="495">
        <f t="shared" ref="AF512:AG512" si="245">SUM(AF513:AF516)</f>
        <v>32782863011694</v>
      </c>
      <c r="AG512" s="495">
        <f t="shared" si="245"/>
        <v>32757292871579</v>
      </c>
      <c r="AH512" s="495">
        <f t="shared" ref="AH512" si="246">SUM(AH513:AH516)</f>
        <v>32564819596423</v>
      </c>
    </row>
    <row r="513" spans="2:34">
      <c r="B513" s="34" t="s">
        <v>890</v>
      </c>
      <c r="C513" s="34" t="s">
        <v>890</v>
      </c>
      <c r="D513" s="495">
        <f>SUM(D$303,D$350)</f>
        <v>1420789612840</v>
      </c>
      <c r="E513" s="495">
        <f t="shared" ref="E513:H513" si="247">SUM(E$303,E$350)</f>
        <v>1230614704970</v>
      </c>
      <c r="F513" s="495">
        <f t="shared" si="247"/>
        <v>0</v>
      </c>
      <c r="G513" s="495">
        <f t="shared" si="247"/>
        <v>1529490428908</v>
      </c>
      <c r="H513" s="495">
        <f t="shared" si="247"/>
        <v>1294957943165</v>
      </c>
      <c r="I513" s="495">
        <f t="shared" ref="I513:R513" si="248">SUM(I$303,I$350)</f>
        <v>1465780483702</v>
      </c>
      <c r="J513" s="495">
        <f t="shared" si="248"/>
        <v>1519741296441</v>
      </c>
      <c r="K513" s="495">
        <f t="shared" si="248"/>
        <v>1464090978652</v>
      </c>
      <c r="L513" s="495">
        <f t="shared" si="248"/>
        <v>1625598108840</v>
      </c>
      <c r="M513" s="495">
        <f t="shared" si="248"/>
        <v>1763239710279</v>
      </c>
      <c r="N513" s="495">
        <f t="shared" si="248"/>
        <v>2231549196727</v>
      </c>
      <c r="O513" s="495">
        <f t="shared" si="248"/>
        <v>2227705616642</v>
      </c>
      <c r="P513" s="495">
        <f t="shared" si="248"/>
        <v>2419533534819</v>
      </c>
      <c r="Q513" s="495">
        <f t="shared" si="248"/>
        <v>2583474134255</v>
      </c>
      <c r="R513" s="495">
        <f t="shared" si="248"/>
        <v>3625712428913</v>
      </c>
      <c r="S513" s="495">
        <f t="shared" ref="S513:AH513" si="249">SUM(S$303,S$350)</f>
        <v>3479407378679</v>
      </c>
      <c r="T513" s="495">
        <f t="shared" si="249"/>
        <v>4343491314538</v>
      </c>
      <c r="U513" s="495">
        <f t="shared" si="249"/>
        <v>4307147347568</v>
      </c>
      <c r="V513" s="495">
        <f t="shared" si="249"/>
        <v>4108313062483</v>
      </c>
      <c r="W513" s="495">
        <f t="shared" si="249"/>
        <v>3660974945220</v>
      </c>
      <c r="X513" s="495">
        <f t="shared" si="249"/>
        <v>3391628987594</v>
      </c>
      <c r="Y513" s="495">
        <f t="shared" si="249"/>
        <v>3561712620612</v>
      </c>
      <c r="Z513" s="495">
        <f t="shared" si="249"/>
        <v>3502919940520</v>
      </c>
      <c r="AA513" s="495">
        <f t="shared" si="249"/>
        <v>3342489327561</v>
      </c>
      <c r="AB513" s="495">
        <f t="shared" si="249"/>
        <v>3852071857386</v>
      </c>
      <c r="AC513" s="495">
        <f t="shared" si="249"/>
        <v>4017503635638</v>
      </c>
      <c r="AD513" s="495">
        <f t="shared" si="249"/>
        <v>3827977406562</v>
      </c>
      <c r="AE513" s="495">
        <f t="shared" si="249"/>
        <v>3897332240814</v>
      </c>
      <c r="AF513" s="495">
        <f t="shared" si="249"/>
        <v>3940396532478</v>
      </c>
      <c r="AG513" s="495">
        <f t="shared" si="249"/>
        <v>3738125846987</v>
      </c>
      <c r="AH513" s="495">
        <f t="shared" si="249"/>
        <v>3802902480731</v>
      </c>
    </row>
    <row r="514" spans="2:34">
      <c r="B514" s="34" t="s">
        <v>1336</v>
      </c>
      <c r="C514" s="34" t="s">
        <v>1336</v>
      </c>
      <c r="D514" s="495"/>
      <c r="E514" s="495"/>
      <c r="F514" s="495"/>
      <c r="G514" s="495"/>
      <c r="H514" s="495"/>
      <c r="I514" s="495"/>
      <c r="J514" s="495"/>
      <c r="K514" s="495"/>
      <c r="L514" s="495"/>
      <c r="M514" s="495"/>
      <c r="N514" s="495"/>
      <c r="O514" s="495"/>
      <c r="P514" s="495"/>
      <c r="Q514" s="495"/>
      <c r="R514" s="495"/>
      <c r="S514" s="495"/>
      <c r="T514" s="495"/>
      <c r="U514" s="495"/>
      <c r="V514" s="495"/>
      <c r="W514" s="495"/>
      <c r="X514" s="495"/>
      <c r="Y514" s="495"/>
      <c r="Z514" s="495">
        <f t="shared" ref="Z514:AH514" si="250">SUM(Z$351)</f>
        <v>0</v>
      </c>
      <c r="AA514" s="495">
        <f t="shared" si="250"/>
        <v>852694012379</v>
      </c>
      <c r="AB514" s="495">
        <f t="shared" si="250"/>
        <v>2275587319432</v>
      </c>
      <c r="AC514" s="495">
        <f t="shared" si="250"/>
        <v>2736390038476</v>
      </c>
      <c r="AD514" s="495">
        <f t="shared" si="250"/>
        <v>3447198525092</v>
      </c>
      <c r="AE514" s="495">
        <f t="shared" si="250"/>
        <v>4235462068159</v>
      </c>
      <c r="AF514" s="495">
        <f t="shared" si="250"/>
        <v>5057634281812</v>
      </c>
      <c r="AG514" s="495">
        <f t="shared" si="250"/>
        <v>5717445614869</v>
      </c>
      <c r="AH514" s="495">
        <f t="shared" si="250"/>
        <v>6234137289525</v>
      </c>
    </row>
    <row r="515" spans="2:34">
      <c r="B515" s="34" t="s">
        <v>888</v>
      </c>
      <c r="C515" s="34" t="s">
        <v>888</v>
      </c>
      <c r="D515" s="495">
        <f>SUM(D$330)</f>
        <v>5645987896387</v>
      </c>
      <c r="E515" s="495">
        <f t="shared" ref="E515:H515" si="251">SUM(E$330)</f>
        <v>6225548970647</v>
      </c>
      <c r="F515" s="495">
        <f t="shared" si="251"/>
        <v>0</v>
      </c>
      <c r="G515" s="495">
        <f t="shared" si="251"/>
        <v>7170417490793</v>
      </c>
      <c r="H515" s="495">
        <f t="shared" si="251"/>
        <v>6872338043851</v>
      </c>
      <c r="I515" s="495">
        <f t="shared" ref="I515:R515" si="252">SUM(I$330)</f>
        <v>7714333156225</v>
      </c>
      <c r="J515" s="495">
        <f t="shared" si="252"/>
        <v>7865654491601</v>
      </c>
      <c r="K515" s="495">
        <f t="shared" si="252"/>
        <v>7753411532523</v>
      </c>
      <c r="L515" s="495">
        <f t="shared" si="252"/>
        <v>8488600844668</v>
      </c>
      <c r="M515" s="495">
        <f t="shared" si="252"/>
        <v>8859457545746</v>
      </c>
      <c r="N515" s="495">
        <f t="shared" si="252"/>
        <v>9194732282009</v>
      </c>
      <c r="O515" s="495">
        <f t="shared" si="252"/>
        <v>8312805013066</v>
      </c>
      <c r="P515" s="495">
        <f t="shared" si="252"/>
        <v>9413407515944</v>
      </c>
      <c r="Q515" s="495">
        <f t="shared" si="252"/>
        <v>9849739337280</v>
      </c>
      <c r="R515" s="495">
        <f t="shared" si="252"/>
        <v>9868983181153</v>
      </c>
      <c r="S515" s="495">
        <f t="shared" ref="S515:AH515" si="253">SUM(S$330)</f>
        <v>10243554906067</v>
      </c>
      <c r="T515" s="495">
        <f t="shared" si="253"/>
        <v>11475838085594</v>
      </c>
      <c r="U515" s="495">
        <f t="shared" si="253"/>
        <v>11444863421549</v>
      </c>
      <c r="V515" s="495">
        <f t="shared" si="253"/>
        <v>12080538129693</v>
      </c>
      <c r="W515" s="495">
        <f t="shared" si="253"/>
        <v>11612437310368</v>
      </c>
      <c r="X515" s="495">
        <f t="shared" si="253"/>
        <v>12658964758450</v>
      </c>
      <c r="Y515" s="495">
        <f t="shared" si="253"/>
        <v>12238979777223</v>
      </c>
      <c r="Z515" s="495">
        <f t="shared" si="253"/>
        <v>13045679003517</v>
      </c>
      <c r="AA515" s="495">
        <f t="shared" si="253"/>
        <v>12993532550215</v>
      </c>
      <c r="AB515" s="495">
        <f t="shared" si="253"/>
        <v>11720240036983</v>
      </c>
      <c r="AC515" s="495">
        <f t="shared" si="253"/>
        <v>11675535845308</v>
      </c>
      <c r="AD515" s="495">
        <f t="shared" si="253"/>
        <v>11329160464251</v>
      </c>
      <c r="AE515" s="495">
        <f t="shared" si="253"/>
        <v>10300616178676</v>
      </c>
      <c r="AF515" s="495">
        <f t="shared" si="253"/>
        <v>9774535807374</v>
      </c>
      <c r="AG515" s="495">
        <f t="shared" si="253"/>
        <v>9294586951895</v>
      </c>
      <c r="AH515" s="495">
        <f t="shared" si="253"/>
        <v>9594133617415</v>
      </c>
    </row>
    <row r="516" spans="2:34">
      <c r="B516" s="34" t="s">
        <v>889</v>
      </c>
      <c r="C516" s="34" t="s">
        <v>889</v>
      </c>
      <c r="D516" s="495">
        <f>SUM(D$337)</f>
        <v>3235669409187</v>
      </c>
      <c r="E516" s="495">
        <f t="shared" ref="E516:H516" si="254">SUM(E$337)</f>
        <v>4251907151206</v>
      </c>
      <c r="F516" s="495">
        <f t="shared" si="254"/>
        <v>0</v>
      </c>
      <c r="G516" s="495">
        <f t="shared" si="254"/>
        <v>4218721904852</v>
      </c>
      <c r="H516" s="495">
        <f t="shared" si="254"/>
        <v>3976861201032</v>
      </c>
      <c r="I516" s="495">
        <f t="shared" ref="I516:R516" si="255">SUM(I$337)</f>
        <v>4226894666422</v>
      </c>
      <c r="J516" s="495">
        <f t="shared" si="255"/>
        <v>4680912722010</v>
      </c>
      <c r="K516" s="495">
        <f t="shared" si="255"/>
        <v>4725736139347</v>
      </c>
      <c r="L516" s="495">
        <f t="shared" si="255"/>
        <v>5128432187969</v>
      </c>
      <c r="M516" s="495">
        <f t="shared" si="255"/>
        <v>5334774952637</v>
      </c>
      <c r="N516" s="495">
        <f t="shared" si="255"/>
        <v>5369393654512</v>
      </c>
      <c r="O516" s="495">
        <f t="shared" si="255"/>
        <v>5732484481195</v>
      </c>
      <c r="P516" s="495">
        <f t="shared" si="255"/>
        <v>6831608906786</v>
      </c>
      <c r="Q516" s="495">
        <f t="shared" si="255"/>
        <v>6321300037589</v>
      </c>
      <c r="R516" s="495">
        <f t="shared" si="255"/>
        <v>5706191909218</v>
      </c>
      <c r="S516" s="495">
        <f t="shared" ref="S516:AH516" si="256">SUM(S$337)</f>
        <v>6754108880901</v>
      </c>
      <c r="T516" s="495">
        <f t="shared" si="256"/>
        <v>6852915501331</v>
      </c>
      <c r="U516" s="495">
        <f t="shared" si="256"/>
        <v>7309403733695</v>
      </c>
      <c r="V516" s="495">
        <f t="shared" si="256"/>
        <v>7215060243598</v>
      </c>
      <c r="W516" s="495">
        <f t="shared" si="256"/>
        <v>8424756762060</v>
      </c>
      <c r="X516" s="495">
        <f t="shared" si="256"/>
        <v>9258357079090</v>
      </c>
      <c r="Y516" s="495">
        <f t="shared" si="256"/>
        <v>9160021389111</v>
      </c>
      <c r="Z516" s="495">
        <f t="shared" si="256"/>
        <v>8883899867243</v>
      </c>
      <c r="AA516" s="495">
        <f t="shared" si="256"/>
        <v>8974804984628</v>
      </c>
      <c r="AB516" s="495">
        <f t="shared" si="256"/>
        <v>9285131259702</v>
      </c>
      <c r="AC516" s="495">
        <f t="shared" si="256"/>
        <v>10589420962780</v>
      </c>
      <c r="AD516" s="495">
        <f t="shared" si="256"/>
        <v>11637317901825</v>
      </c>
      <c r="AE516" s="495">
        <f t="shared" si="256"/>
        <v>12356841673821</v>
      </c>
      <c r="AF516" s="495">
        <f t="shared" si="256"/>
        <v>14010296390030</v>
      </c>
      <c r="AG516" s="495">
        <f t="shared" si="256"/>
        <v>14007134457828</v>
      </c>
      <c r="AH516" s="495">
        <f t="shared" si="256"/>
        <v>12933646208752</v>
      </c>
    </row>
    <row r="517" spans="2:34">
      <c r="B517" s="34" t="s">
        <v>9</v>
      </c>
      <c r="C517" s="34" t="s">
        <v>9</v>
      </c>
      <c r="D517" s="495">
        <f>SUM(D$331)</f>
        <v>911069173250</v>
      </c>
      <c r="E517" s="495">
        <f t="shared" ref="E517:H517" si="257">SUM(E$331)</f>
        <v>986256628800</v>
      </c>
      <c r="F517" s="495">
        <f t="shared" si="257"/>
        <v>0</v>
      </c>
      <c r="G517" s="495">
        <f t="shared" si="257"/>
        <v>1047424182700</v>
      </c>
      <c r="H517" s="495">
        <f t="shared" si="257"/>
        <v>1284597167742</v>
      </c>
      <c r="I517" s="495">
        <f t="shared" ref="I517:R517" si="258">SUM(I$331)</f>
        <v>713048453938</v>
      </c>
      <c r="J517" s="495">
        <f t="shared" si="258"/>
        <v>699484837787</v>
      </c>
      <c r="K517" s="495">
        <f t="shared" si="258"/>
        <v>440979522740</v>
      </c>
      <c r="L517" s="495">
        <f t="shared" si="258"/>
        <v>594176152888</v>
      </c>
      <c r="M517" s="495">
        <f t="shared" si="258"/>
        <v>706248034045</v>
      </c>
      <c r="N517" s="495">
        <f t="shared" si="258"/>
        <v>715256847303</v>
      </c>
      <c r="O517" s="495">
        <f t="shared" si="258"/>
        <v>1545180700424</v>
      </c>
      <c r="P517" s="495">
        <f t="shared" si="258"/>
        <v>1771989319458</v>
      </c>
      <c r="Q517" s="495">
        <f t="shared" si="258"/>
        <v>1794907660543</v>
      </c>
      <c r="R517" s="495">
        <f t="shared" si="258"/>
        <v>1354074322226</v>
      </c>
      <c r="S517" s="495">
        <f t="shared" ref="S517:AH517" si="259">SUM(S$331)</f>
        <v>1730852403929</v>
      </c>
      <c r="T517" s="495">
        <f t="shared" si="259"/>
        <v>2031422432900</v>
      </c>
      <c r="U517" s="495">
        <f t="shared" si="259"/>
        <v>1963814259875</v>
      </c>
      <c r="V517" s="495">
        <f t="shared" si="259"/>
        <v>1741720122280</v>
      </c>
      <c r="W517" s="495">
        <f t="shared" si="259"/>
        <v>1969994562082</v>
      </c>
      <c r="X517" s="495">
        <f t="shared" si="259"/>
        <v>2141253160773</v>
      </c>
      <c r="Y517" s="495">
        <f t="shared" si="259"/>
        <v>2805322194168</v>
      </c>
      <c r="Z517" s="495">
        <f t="shared" si="259"/>
        <v>3255052153853</v>
      </c>
      <c r="AA517" s="495">
        <f t="shared" si="259"/>
        <v>3091114438080</v>
      </c>
      <c r="AB517" s="495">
        <f t="shared" si="259"/>
        <v>4092327698180</v>
      </c>
      <c r="AC517" s="495">
        <f t="shared" si="259"/>
        <v>2994720067542</v>
      </c>
      <c r="AD517" s="495">
        <f t="shared" si="259"/>
        <v>3279835170584</v>
      </c>
      <c r="AE517" s="495">
        <f t="shared" si="259"/>
        <v>2867768763031</v>
      </c>
      <c r="AF517" s="495">
        <f t="shared" si="259"/>
        <v>2241467730443</v>
      </c>
      <c r="AG517" s="495">
        <f t="shared" si="259"/>
        <v>2168152161246</v>
      </c>
      <c r="AH517" s="495">
        <f t="shared" si="259"/>
        <v>2950283440357</v>
      </c>
    </row>
    <row r="518" spans="2:34">
      <c r="B518" s="34" t="s">
        <v>10</v>
      </c>
      <c r="C518" s="34" t="s">
        <v>10</v>
      </c>
      <c r="D518" s="495">
        <f>SUM(D$353)</f>
        <v>297010367726</v>
      </c>
      <c r="E518" s="495">
        <f t="shared" ref="E518:H518" si="260">SUM(E$353)</f>
        <v>399910458522</v>
      </c>
      <c r="F518" s="495">
        <f t="shared" si="260"/>
        <v>0</v>
      </c>
      <c r="G518" s="495">
        <f t="shared" si="260"/>
        <v>179303199712</v>
      </c>
      <c r="H518" s="495">
        <f t="shared" si="260"/>
        <v>192049910009</v>
      </c>
      <c r="I518" s="495">
        <f t="shared" ref="I518:R518" si="261">SUM(I$353)</f>
        <v>357588216711</v>
      </c>
      <c r="J518" s="495">
        <f t="shared" si="261"/>
        <v>371285923045</v>
      </c>
      <c r="K518" s="495">
        <f t="shared" si="261"/>
        <v>360558448054</v>
      </c>
      <c r="L518" s="495">
        <f t="shared" si="261"/>
        <v>425357888174</v>
      </c>
      <c r="M518" s="495">
        <f t="shared" si="261"/>
        <v>313434073646</v>
      </c>
      <c r="N518" s="495">
        <f t="shared" si="261"/>
        <v>398796367795</v>
      </c>
      <c r="O518" s="495">
        <f t="shared" si="261"/>
        <v>499357997071</v>
      </c>
      <c r="P518" s="495">
        <f t="shared" si="261"/>
        <v>463996000563</v>
      </c>
      <c r="Q518" s="495">
        <f t="shared" si="261"/>
        <v>574258683116</v>
      </c>
      <c r="R518" s="495">
        <f t="shared" si="261"/>
        <v>1344525052213</v>
      </c>
      <c r="S518" s="495">
        <f t="shared" ref="S518:AH518" si="262">SUM(S$353)</f>
        <v>907229011965</v>
      </c>
      <c r="T518" s="495">
        <f t="shared" si="262"/>
        <v>1101221583516</v>
      </c>
      <c r="U518" s="495">
        <f t="shared" si="262"/>
        <v>1231737463966</v>
      </c>
      <c r="V518" s="495">
        <f t="shared" si="262"/>
        <v>865737669286</v>
      </c>
      <c r="W518" s="495">
        <f t="shared" si="262"/>
        <v>748147077271</v>
      </c>
      <c r="X518" s="495">
        <f t="shared" si="262"/>
        <v>485917780816</v>
      </c>
      <c r="Y518" s="495">
        <f t="shared" si="262"/>
        <v>442944082536</v>
      </c>
      <c r="Z518" s="495">
        <f t="shared" si="262"/>
        <v>505638848887</v>
      </c>
      <c r="AA518" s="495">
        <f t="shared" si="262"/>
        <v>453448723549</v>
      </c>
      <c r="AB518" s="495">
        <f t="shared" si="262"/>
        <v>724336949150</v>
      </c>
      <c r="AC518" s="495">
        <f t="shared" si="262"/>
        <v>821825715388</v>
      </c>
      <c r="AD518" s="495">
        <f t="shared" si="262"/>
        <v>707425892771</v>
      </c>
      <c r="AE518" s="495">
        <f t="shared" si="262"/>
        <v>1194981646424</v>
      </c>
      <c r="AF518" s="495">
        <f t="shared" si="262"/>
        <v>725300463545</v>
      </c>
      <c r="AG518" s="495">
        <f t="shared" si="262"/>
        <v>900283564708</v>
      </c>
      <c r="AH518" s="495">
        <f t="shared" si="262"/>
        <v>1045232793621</v>
      </c>
    </row>
    <row r="519" spans="2:34">
      <c r="B519" s="34" t="s">
        <v>11</v>
      </c>
      <c r="C519" s="34" t="s">
        <v>11</v>
      </c>
      <c r="D519" s="495">
        <f>SUM(D$395)</f>
        <v>441847385750</v>
      </c>
      <c r="E519" s="495">
        <f t="shared" ref="E519:H519" si="263">SUM(E$395)</f>
        <v>816988397854</v>
      </c>
      <c r="F519" s="495">
        <f t="shared" si="263"/>
        <v>0</v>
      </c>
      <c r="G519" s="495">
        <f t="shared" si="263"/>
        <v>433599318579</v>
      </c>
      <c r="H519" s="495">
        <f t="shared" si="263"/>
        <v>498456107998</v>
      </c>
      <c r="I519" s="495">
        <f t="shared" ref="I519:R519" si="264">SUM(I$395)</f>
        <v>840228807010</v>
      </c>
      <c r="J519" s="495">
        <f t="shared" si="264"/>
        <v>666162015764</v>
      </c>
      <c r="K519" s="495">
        <f t="shared" si="264"/>
        <v>394237605146</v>
      </c>
      <c r="L519" s="495">
        <f t="shared" si="264"/>
        <v>526470474209</v>
      </c>
      <c r="M519" s="495">
        <f t="shared" si="264"/>
        <v>449818818765</v>
      </c>
      <c r="N519" s="495">
        <f t="shared" si="264"/>
        <v>629411561338</v>
      </c>
      <c r="O519" s="495">
        <f t="shared" si="264"/>
        <v>332674167334</v>
      </c>
      <c r="P519" s="495">
        <f t="shared" si="264"/>
        <v>675671014319</v>
      </c>
      <c r="Q519" s="495">
        <f t="shared" si="264"/>
        <v>645858394613</v>
      </c>
      <c r="R519" s="495">
        <f t="shared" si="264"/>
        <v>696819426879</v>
      </c>
      <c r="S519" s="495">
        <f t="shared" ref="S519:AH519" si="265">SUM(S$395)</f>
        <v>416998566969</v>
      </c>
      <c r="T519" s="495">
        <f t="shared" si="265"/>
        <v>714526167033</v>
      </c>
      <c r="U519" s="495">
        <f t="shared" si="265"/>
        <v>656859517079</v>
      </c>
      <c r="V519" s="495">
        <f t="shared" si="265"/>
        <v>913160154971</v>
      </c>
      <c r="W519" s="495">
        <f t="shared" si="265"/>
        <v>362024925685</v>
      </c>
      <c r="X519" s="495">
        <f t="shared" si="265"/>
        <v>945852508061</v>
      </c>
      <c r="Y519" s="495">
        <f t="shared" si="265"/>
        <v>880044103436</v>
      </c>
      <c r="Z519" s="495">
        <f t="shared" si="265"/>
        <v>682528795859</v>
      </c>
      <c r="AA519" s="495">
        <f t="shared" si="265"/>
        <v>795338235653</v>
      </c>
      <c r="AB519" s="495">
        <f t="shared" si="265"/>
        <v>1176461460947</v>
      </c>
      <c r="AC519" s="495">
        <f t="shared" si="265"/>
        <v>678442373800</v>
      </c>
      <c r="AD519" s="495">
        <f t="shared" si="265"/>
        <v>873799810053</v>
      </c>
      <c r="AE519" s="495">
        <f t="shared" si="265"/>
        <v>865036911731</v>
      </c>
      <c r="AF519" s="495">
        <f t="shared" si="265"/>
        <v>2564109340241</v>
      </c>
      <c r="AG519" s="495">
        <f t="shared" si="265"/>
        <v>4415893199986</v>
      </c>
      <c r="AH519" s="495">
        <f t="shared" si="265"/>
        <v>1446591881176</v>
      </c>
    </row>
    <row r="520" spans="2:34">
      <c r="B520" s="496" t="s">
        <v>892</v>
      </c>
      <c r="C520" s="496" t="s">
        <v>892</v>
      </c>
      <c r="D520" s="495">
        <f>D508+D512+D517+D518+D519</f>
        <v>13486777790701</v>
      </c>
      <c r="E520" s="495">
        <f t="shared" ref="E520:H520" si="266">E508+E512+E517+E518+E519</f>
        <v>15341915403578</v>
      </c>
      <c r="F520" s="495">
        <f t="shared" si="266"/>
        <v>0</v>
      </c>
      <c r="G520" s="495">
        <f t="shared" si="266"/>
        <v>16351446167782</v>
      </c>
      <c r="H520" s="495">
        <f t="shared" si="266"/>
        <v>15907774272468</v>
      </c>
      <c r="I520" s="495">
        <f t="shared" ref="I520:O520" si="267">I508+I512+I517+I518+I519</f>
        <v>16401264667436</v>
      </c>
      <c r="J520" s="495">
        <f t="shared" si="267"/>
        <v>17249399890125</v>
      </c>
      <c r="K520" s="495">
        <f t="shared" si="267"/>
        <v>16609456604534</v>
      </c>
      <c r="L520" s="495">
        <f t="shared" si="267"/>
        <v>18323471131254</v>
      </c>
      <c r="M520" s="495">
        <f t="shared" si="267"/>
        <v>18596438408023</v>
      </c>
      <c r="N520" s="495">
        <f t="shared" si="267"/>
        <v>19728374231925</v>
      </c>
      <c r="O520" s="495">
        <f t="shared" si="267"/>
        <v>20090725147804</v>
      </c>
      <c r="P520" s="495">
        <f t="shared" ref="P520" si="268">P508+P512+P517+P518+P519</f>
        <v>22632353582023</v>
      </c>
      <c r="Q520" s="495">
        <f t="shared" ref="Q520" si="269">Q508+Q512+Q517+Q518+Q519</f>
        <v>22964372707811</v>
      </c>
      <c r="R520" s="495">
        <f t="shared" ref="R520" si="270">R508+R512+R517+R518+R519</f>
        <v>24009852555337</v>
      </c>
      <c r="S520" s="495">
        <f t="shared" ref="S520:Z520" si="271">S508+S512+S517+S518+S519</f>
        <v>24944328504359</v>
      </c>
      <c r="T520" s="495">
        <f t="shared" si="271"/>
        <v>28024255730022</v>
      </c>
      <c r="U520" s="495">
        <f t="shared" si="271"/>
        <v>28512126983050</v>
      </c>
      <c r="V520" s="495">
        <f t="shared" si="271"/>
        <v>28967544563557</v>
      </c>
      <c r="W520" s="495">
        <f t="shared" si="271"/>
        <v>28217810812302</v>
      </c>
      <c r="X520" s="495">
        <f t="shared" si="271"/>
        <v>30425552386002</v>
      </c>
      <c r="Y520" s="495">
        <f t="shared" si="271"/>
        <v>30957276562466</v>
      </c>
      <c r="Z520" s="495">
        <f t="shared" si="271"/>
        <v>31954918604626</v>
      </c>
      <c r="AA520" s="495">
        <f t="shared" ref="AA520:AF520" si="272">AA508+AA512+AA517+AA518+AA519</f>
        <v>32411662748869</v>
      </c>
      <c r="AB520" s="495">
        <f t="shared" si="272"/>
        <v>34898532772269</v>
      </c>
      <c r="AC520" s="495">
        <f t="shared" si="272"/>
        <v>35653265557879</v>
      </c>
      <c r="AD520" s="495">
        <f t="shared" si="272"/>
        <v>36646599183008</v>
      </c>
      <c r="AE520" s="495">
        <f t="shared" si="272"/>
        <v>38337026606771</v>
      </c>
      <c r="AF520" s="495">
        <f t="shared" si="272"/>
        <v>40784944324179</v>
      </c>
      <c r="AG520" s="495">
        <f t="shared" ref="AG520:AH520" si="273">AG508+AG512+AG517+AG518+AG519</f>
        <v>43087702711464</v>
      </c>
      <c r="AH520" s="495">
        <f t="shared" si="273"/>
        <v>41062873395196</v>
      </c>
    </row>
    <row r="522" spans="2:34">
      <c r="C522" s="496" t="s">
        <v>2394</v>
      </c>
      <c r="D522" s="495">
        <f t="shared" ref="D522:Z522" si="274">SUM(D523:D526)</f>
        <v>8640494416477</v>
      </c>
      <c r="E522" s="495">
        <f t="shared" si="274"/>
        <v>10134755853875</v>
      </c>
      <c r="F522" s="495">
        <f t="shared" si="274"/>
        <v>0</v>
      </c>
      <c r="G522" s="495">
        <f t="shared" si="274"/>
        <v>10395046958251</v>
      </c>
      <c r="H522" s="495">
        <f t="shared" si="274"/>
        <v>11259232963754</v>
      </c>
      <c r="I522" s="495">
        <f t="shared" si="274"/>
        <v>10534148586205</v>
      </c>
      <c r="J522" s="495">
        <f t="shared" si="274"/>
        <v>11245900942536</v>
      </c>
      <c r="K522" s="495">
        <f t="shared" si="274"/>
        <v>11603767530358</v>
      </c>
      <c r="L522" s="495">
        <f t="shared" si="274"/>
        <v>12321992151806</v>
      </c>
      <c r="M522" s="495">
        <f t="shared" si="274"/>
        <v>12154513752157</v>
      </c>
      <c r="N522" s="495">
        <f t="shared" si="274"/>
        <v>12554146003701</v>
      </c>
      <c r="O522" s="495">
        <f t="shared" si="274"/>
        <v>12357330595111</v>
      </c>
      <c r="P522" s="495">
        <f t="shared" si="274"/>
        <v>14078133810931</v>
      </c>
      <c r="Q522" s="495">
        <f t="shared" si="274"/>
        <v>14444366333711</v>
      </c>
      <c r="R522" s="495">
        <f t="shared" si="274"/>
        <v>14964813874202</v>
      </c>
      <c r="S522" s="495">
        <f t="shared" si="274"/>
        <v>15217253936604</v>
      </c>
      <c r="T522" s="495">
        <f t="shared" si="274"/>
        <v>15809124922217</v>
      </c>
      <c r="U522" s="495">
        <f t="shared" si="274"/>
        <v>15989735630304</v>
      </c>
      <c r="V522" s="495">
        <f t="shared" si="274"/>
        <v>16415099003699</v>
      </c>
      <c r="W522" s="495">
        <f t="shared" si="274"/>
        <v>17491379636074</v>
      </c>
      <c r="X522" s="495">
        <f t="shared" si="274"/>
        <v>18707996928072</v>
      </c>
      <c r="Y522" s="495">
        <f t="shared" si="274"/>
        <v>18402588287134</v>
      </c>
      <c r="Z522" s="495">
        <f t="shared" si="274"/>
        <v>19189216596720</v>
      </c>
      <c r="AA522" s="495">
        <f t="shared" ref="AA522:AF522" si="275">SUM(AA523:AA526)</f>
        <v>20183502436973</v>
      </c>
      <c r="AB522" s="495">
        <f t="shared" si="275"/>
        <v>21865618899596</v>
      </c>
      <c r="AC522" s="495">
        <f t="shared" si="275"/>
        <v>22096891987658</v>
      </c>
      <c r="AD522" s="495">
        <f t="shared" si="275"/>
        <v>22641617470097</v>
      </c>
      <c r="AE522" s="495">
        <f t="shared" si="275"/>
        <v>23119574352219</v>
      </c>
      <c r="AF522" s="495">
        <f t="shared" si="275"/>
        <v>22618704321094</v>
      </c>
      <c r="AG522" s="495">
        <f t="shared" ref="AG522:AH522" si="276">SUM(AG523:AG526)</f>
        <v>23877679554022</v>
      </c>
      <c r="AH522" s="495">
        <f t="shared" si="276"/>
        <v>23432706973027</v>
      </c>
    </row>
    <row r="523" spans="2:34">
      <c r="C523" s="34" t="s">
        <v>2395</v>
      </c>
      <c r="D523" s="495">
        <f t="shared" ref="D523:Z525" si="277">SUM(D64,D79,D92)</f>
        <v>1064855332736</v>
      </c>
      <c r="E523" s="495">
        <f t="shared" si="277"/>
        <v>2029258933097</v>
      </c>
      <c r="F523" s="495">
        <f t="shared" si="277"/>
        <v>0</v>
      </c>
      <c r="G523" s="495">
        <f t="shared" si="277"/>
        <v>1261715933215</v>
      </c>
      <c r="H523" s="495">
        <f t="shared" si="277"/>
        <v>2096294022945</v>
      </c>
      <c r="I523" s="495">
        <f t="shared" si="277"/>
        <v>1910247671677</v>
      </c>
      <c r="J523" s="495">
        <f t="shared" si="277"/>
        <v>1634711024060</v>
      </c>
      <c r="K523" s="495">
        <f t="shared" si="277"/>
        <v>989334429221</v>
      </c>
      <c r="L523" s="495">
        <f t="shared" si="277"/>
        <v>2037914338840</v>
      </c>
      <c r="M523" s="495">
        <f t="shared" si="277"/>
        <v>1708024458873</v>
      </c>
      <c r="N523" s="495">
        <f t="shared" si="277"/>
        <v>2085285852589</v>
      </c>
      <c r="O523" s="495">
        <f t="shared" si="277"/>
        <v>2057672266707</v>
      </c>
      <c r="P523" s="495">
        <f t="shared" si="277"/>
        <v>2766024664519</v>
      </c>
      <c r="Q523" s="495">
        <f t="shared" si="277"/>
        <v>2253226429840</v>
      </c>
      <c r="R523" s="495">
        <f t="shared" si="277"/>
        <v>2223128371385</v>
      </c>
      <c r="S523" s="495">
        <f t="shared" si="277"/>
        <v>2246114787699</v>
      </c>
      <c r="T523" s="495">
        <f t="shared" si="277"/>
        <v>1904274747311</v>
      </c>
      <c r="U523" s="495">
        <f t="shared" si="277"/>
        <v>2172112646256</v>
      </c>
      <c r="V523" s="495">
        <f t="shared" si="277"/>
        <v>2177459452557</v>
      </c>
      <c r="W523" s="495">
        <f t="shared" si="277"/>
        <v>3064588259607</v>
      </c>
      <c r="X523" s="495">
        <f t="shared" si="277"/>
        <v>4226320468858</v>
      </c>
      <c r="Y523" s="495">
        <f t="shared" si="277"/>
        <v>3860640223261</v>
      </c>
      <c r="Z523" s="495">
        <f t="shared" si="277"/>
        <v>4215445133681</v>
      </c>
      <c r="AA523" s="495">
        <f t="shared" ref="AA523:AC525" si="278">SUM(AA64,AA79,AA92)</f>
        <v>4857967436254</v>
      </c>
      <c r="AB523" s="495">
        <f t="shared" si="278"/>
        <v>5548253571423</v>
      </c>
      <c r="AC523" s="495">
        <f t="shared" si="278"/>
        <v>5242741781842</v>
      </c>
      <c r="AD523" s="495">
        <f t="shared" ref="AD523:AE523" si="279">SUM(AD64,AD79,AD92)</f>
        <v>5689603952815</v>
      </c>
      <c r="AE523" s="495">
        <f t="shared" si="279"/>
        <v>5040062673919</v>
      </c>
      <c r="AF523" s="495">
        <f t="shared" ref="AF523:AG523" si="280">SUM(AF64,AF79,AF92)</f>
        <v>5681493038888</v>
      </c>
      <c r="AG523" s="495">
        <f t="shared" si="280"/>
        <v>5719479428008</v>
      </c>
      <c r="AH523" s="495">
        <f t="shared" ref="AH523" si="281">SUM(AH64,AH79,AH92)</f>
        <v>5773034835592</v>
      </c>
    </row>
    <row r="524" spans="2:34">
      <c r="C524" s="34" t="s">
        <v>2396</v>
      </c>
      <c r="D524" s="495">
        <f t="shared" si="277"/>
        <v>4595159392714</v>
      </c>
      <c r="E524" s="495">
        <f t="shared" si="277"/>
        <v>4359889416486</v>
      </c>
      <c r="F524" s="495">
        <f t="shared" si="277"/>
        <v>0</v>
      </c>
      <c r="G524" s="495">
        <f t="shared" si="277"/>
        <v>4773676415834</v>
      </c>
      <c r="H524" s="495">
        <f t="shared" si="277"/>
        <v>5430084481689</v>
      </c>
      <c r="I524" s="495">
        <f t="shared" si="277"/>
        <v>5613609418146</v>
      </c>
      <c r="J524" s="495">
        <f t="shared" si="277"/>
        <v>6314608395443</v>
      </c>
      <c r="K524" s="495">
        <f t="shared" si="277"/>
        <v>6600765384909</v>
      </c>
      <c r="L524" s="495">
        <f t="shared" si="277"/>
        <v>6070166129203</v>
      </c>
      <c r="M524" s="495">
        <f t="shared" si="277"/>
        <v>6049674807165</v>
      </c>
      <c r="N524" s="495">
        <f t="shared" si="277"/>
        <v>5575548163370</v>
      </c>
      <c r="O524" s="495">
        <f t="shared" si="277"/>
        <v>5407149719400</v>
      </c>
      <c r="P524" s="495">
        <f t="shared" si="277"/>
        <v>6239317353322</v>
      </c>
      <c r="Q524" s="495">
        <f t="shared" si="277"/>
        <v>6998011087650</v>
      </c>
      <c r="R524" s="495">
        <f t="shared" si="277"/>
        <v>7333028266689</v>
      </c>
      <c r="S524" s="495">
        <f t="shared" si="277"/>
        <v>7418345145471</v>
      </c>
      <c r="T524" s="495">
        <f t="shared" si="277"/>
        <v>8087044713341</v>
      </c>
      <c r="U524" s="495">
        <f t="shared" si="277"/>
        <v>8238094487920</v>
      </c>
      <c r="V524" s="495">
        <f t="shared" si="277"/>
        <v>8657722108454</v>
      </c>
      <c r="W524" s="495">
        <f t="shared" si="277"/>
        <v>8711285365407</v>
      </c>
      <c r="X524" s="495">
        <f t="shared" si="277"/>
        <v>7829406632529</v>
      </c>
      <c r="Y524" s="495">
        <f t="shared" si="277"/>
        <v>7869918630876</v>
      </c>
      <c r="Z524" s="495">
        <f t="shared" si="277"/>
        <v>8266576208810</v>
      </c>
      <c r="AA524" s="495">
        <f t="shared" si="278"/>
        <v>7251008032883</v>
      </c>
      <c r="AB524" s="495">
        <f t="shared" si="278"/>
        <v>7791137961019</v>
      </c>
      <c r="AC524" s="495">
        <f t="shared" si="278"/>
        <v>8116034624205</v>
      </c>
      <c r="AD524" s="495">
        <f t="shared" ref="AD524:AE524" si="282">SUM(AD65,AD80,AD93)</f>
        <v>7371176877280</v>
      </c>
      <c r="AE524" s="495">
        <f t="shared" si="282"/>
        <v>6370318907439</v>
      </c>
      <c r="AF524" s="495">
        <f t="shared" ref="AF524:AG524" si="283">SUM(AF65,AF80,AF93)</f>
        <v>5746363165480</v>
      </c>
      <c r="AG524" s="495">
        <f t="shared" si="283"/>
        <v>6164059415383</v>
      </c>
      <c r="AH524" s="495">
        <f t="shared" ref="AH524" si="284">SUM(AH65,AH80,AH93)</f>
        <v>5636479367752</v>
      </c>
    </row>
    <row r="525" spans="2:34">
      <c r="C525" s="34" t="s">
        <v>6</v>
      </c>
      <c r="D525" s="495">
        <f t="shared" si="277"/>
        <v>2694154654100</v>
      </c>
      <c r="E525" s="495">
        <f t="shared" si="277"/>
        <v>3585469133016</v>
      </c>
      <c r="F525" s="495">
        <f t="shared" si="277"/>
        <v>0</v>
      </c>
      <c r="G525" s="495">
        <f t="shared" si="277"/>
        <v>4243883793180</v>
      </c>
      <c r="H525" s="495">
        <f t="shared" si="277"/>
        <v>3523959949274</v>
      </c>
      <c r="I525" s="495">
        <f t="shared" si="277"/>
        <v>2867806429153</v>
      </c>
      <c r="J525" s="495">
        <f t="shared" si="277"/>
        <v>3238171383610</v>
      </c>
      <c r="K525" s="495">
        <f t="shared" si="277"/>
        <v>3835632199849</v>
      </c>
      <c r="L525" s="495">
        <f t="shared" si="277"/>
        <v>3946560480619</v>
      </c>
      <c r="M525" s="495">
        <f t="shared" si="277"/>
        <v>4042558851179</v>
      </c>
      <c r="N525" s="495">
        <f t="shared" si="277"/>
        <v>4255597788460</v>
      </c>
      <c r="O525" s="495">
        <f t="shared" si="277"/>
        <v>4282892830223</v>
      </c>
      <c r="P525" s="495">
        <f t="shared" si="277"/>
        <v>4582769536579</v>
      </c>
      <c r="Q525" s="495">
        <f t="shared" si="277"/>
        <v>4907616568947</v>
      </c>
      <c r="R525" s="495">
        <f t="shared" si="277"/>
        <v>5127146075119</v>
      </c>
      <c r="S525" s="495">
        <f t="shared" si="277"/>
        <v>5200704377214</v>
      </c>
      <c r="T525" s="495">
        <f t="shared" si="277"/>
        <v>5550088682042</v>
      </c>
      <c r="U525" s="495">
        <f t="shared" si="277"/>
        <v>5210412747197</v>
      </c>
      <c r="V525" s="495">
        <f t="shared" si="277"/>
        <v>5333108232841</v>
      </c>
      <c r="W525" s="495">
        <f t="shared" si="277"/>
        <v>5261984869409</v>
      </c>
      <c r="X525" s="495">
        <f t="shared" si="277"/>
        <v>6298206478612</v>
      </c>
      <c r="Y525" s="495">
        <f t="shared" si="277"/>
        <v>6238062922899</v>
      </c>
      <c r="Z525" s="495">
        <f t="shared" si="277"/>
        <v>6069793646657</v>
      </c>
      <c r="AA525" s="495">
        <f t="shared" si="278"/>
        <v>7306422680444</v>
      </c>
      <c r="AB525" s="495">
        <f t="shared" si="278"/>
        <v>7689145166432</v>
      </c>
      <c r="AC525" s="495">
        <f t="shared" si="278"/>
        <v>7750391582522</v>
      </c>
      <c r="AD525" s="495">
        <f t="shared" ref="AD525:AE525" si="285">SUM(AD66,AD81,AD94)</f>
        <v>7659909852348</v>
      </c>
      <c r="AE525" s="495">
        <f t="shared" si="285"/>
        <v>9538873858821</v>
      </c>
      <c r="AF525" s="495">
        <f t="shared" ref="AF525:AG525" si="286">SUM(AF66,AF81,AF94)</f>
        <v>9659654239110</v>
      </c>
      <c r="AG525" s="495">
        <f t="shared" si="286"/>
        <v>10716363498152</v>
      </c>
      <c r="AH525" s="495">
        <f t="shared" ref="AH525" si="287">SUM(AH66,AH81,AH94)</f>
        <v>9838031055869</v>
      </c>
    </row>
    <row r="526" spans="2:34">
      <c r="C526" s="34" t="s">
        <v>2397</v>
      </c>
      <c r="D526" s="495">
        <f t="shared" ref="D526:Z526" si="288">SUM(D70,D85)</f>
        <v>286325036927</v>
      </c>
      <c r="E526" s="495">
        <f t="shared" si="288"/>
        <v>160138371276</v>
      </c>
      <c r="F526" s="495">
        <f t="shared" si="288"/>
        <v>0</v>
      </c>
      <c r="G526" s="495">
        <f t="shared" si="288"/>
        <v>115770816022</v>
      </c>
      <c r="H526" s="495">
        <f t="shared" si="288"/>
        <v>208894509846</v>
      </c>
      <c r="I526" s="495">
        <f t="shared" si="288"/>
        <v>142485067229</v>
      </c>
      <c r="J526" s="495">
        <f t="shared" si="288"/>
        <v>58410139423</v>
      </c>
      <c r="K526" s="495">
        <f t="shared" si="288"/>
        <v>178035516379</v>
      </c>
      <c r="L526" s="495">
        <f t="shared" si="288"/>
        <v>267351203144</v>
      </c>
      <c r="M526" s="495">
        <f t="shared" si="288"/>
        <v>354255634940</v>
      </c>
      <c r="N526" s="495">
        <f t="shared" si="288"/>
        <v>637714199282</v>
      </c>
      <c r="O526" s="495">
        <f t="shared" si="288"/>
        <v>609615778781</v>
      </c>
      <c r="P526" s="495">
        <f t="shared" si="288"/>
        <v>490022256511</v>
      </c>
      <c r="Q526" s="495">
        <f t="shared" si="288"/>
        <v>285512247274</v>
      </c>
      <c r="R526" s="495">
        <f t="shared" si="288"/>
        <v>281511161009</v>
      </c>
      <c r="S526" s="495">
        <f t="shared" si="288"/>
        <v>352089626220</v>
      </c>
      <c r="T526" s="495">
        <f t="shared" si="288"/>
        <v>267716779523</v>
      </c>
      <c r="U526" s="495">
        <f t="shared" si="288"/>
        <v>369115748931</v>
      </c>
      <c r="V526" s="495">
        <f t="shared" si="288"/>
        <v>246809209847</v>
      </c>
      <c r="W526" s="495">
        <f t="shared" si="288"/>
        <v>453521141651</v>
      </c>
      <c r="X526" s="495">
        <f t="shared" si="288"/>
        <v>354063348073</v>
      </c>
      <c r="Y526" s="495">
        <f t="shared" si="288"/>
        <v>433966510098</v>
      </c>
      <c r="Z526" s="495">
        <f t="shared" si="288"/>
        <v>637401607572</v>
      </c>
      <c r="AA526" s="495">
        <f t="shared" ref="AA526:AF526" si="289">SUM(AA70,AA85)</f>
        <v>768104287392</v>
      </c>
      <c r="AB526" s="495">
        <f t="shared" si="289"/>
        <v>837082200722</v>
      </c>
      <c r="AC526" s="495">
        <f t="shared" si="289"/>
        <v>987723999089</v>
      </c>
      <c r="AD526" s="495">
        <f t="shared" si="289"/>
        <v>1920926787654</v>
      </c>
      <c r="AE526" s="495">
        <f t="shared" si="289"/>
        <v>2170318912040</v>
      </c>
      <c r="AF526" s="495">
        <f t="shared" si="289"/>
        <v>1531193877616</v>
      </c>
      <c r="AG526" s="495">
        <f t="shared" ref="AG526:AH526" si="290">SUM(AG70,AG85)</f>
        <v>1277777212479</v>
      </c>
      <c r="AH526" s="495">
        <f t="shared" si="290"/>
        <v>2185161713814</v>
      </c>
    </row>
  </sheetData>
  <sheetProtection insertColumns="0" sort="0" autoFilter="0" pivotTables="0"/>
  <autoFilter ref="A16:Z462" xr:uid="{00000000-0009-0000-0000-000007000000}"/>
  <phoneticPr fontId="73" type="noConversion"/>
  <conditionalFormatting sqref="D4:D5">
    <cfRule type="cellIs" dxfId="62" priority="109" operator="equal">
      <formula>"확인"</formula>
    </cfRule>
  </conditionalFormatting>
  <conditionalFormatting sqref="E4:E5">
    <cfRule type="cellIs" dxfId="61" priority="106" operator="equal">
      <formula>"확인"</formula>
    </cfRule>
  </conditionalFormatting>
  <conditionalFormatting sqref="G4:G5">
    <cfRule type="cellIs" dxfId="60" priority="55" operator="equal">
      <formula>"확인"</formula>
    </cfRule>
  </conditionalFormatting>
  <conditionalFormatting sqref="F4:F5">
    <cfRule type="cellIs" dxfId="59" priority="37" operator="equal">
      <formula>"확인"</formula>
    </cfRule>
  </conditionalFormatting>
  <conditionalFormatting sqref="H4:H5">
    <cfRule type="cellIs" dxfId="58" priority="28" operator="equal">
      <formula>"확인"</formula>
    </cfRule>
  </conditionalFormatting>
  <conditionalFormatting sqref="J4:J5">
    <cfRule type="cellIs" dxfId="57" priority="27" operator="equal">
      <formula>"확인"</formula>
    </cfRule>
  </conditionalFormatting>
  <conditionalFormatting sqref="K4:K5">
    <cfRule type="cellIs" dxfId="56" priority="26" operator="equal">
      <formula>"확인"</formula>
    </cfRule>
  </conditionalFormatting>
  <conditionalFormatting sqref="I4:I5">
    <cfRule type="cellIs" dxfId="55" priority="25" operator="equal">
      <formula>"확인"</formula>
    </cfRule>
  </conditionalFormatting>
  <conditionalFormatting sqref="L4:L5">
    <cfRule type="cellIs" dxfId="54" priority="24" operator="equal">
      <formula>"확인"</formula>
    </cfRule>
  </conditionalFormatting>
  <conditionalFormatting sqref="M4:M5">
    <cfRule type="cellIs" dxfId="53" priority="23" operator="equal">
      <formula>"확인"</formula>
    </cfRule>
  </conditionalFormatting>
  <conditionalFormatting sqref="N4:N5">
    <cfRule type="cellIs" dxfId="52" priority="22" operator="equal">
      <formula>"확인"</formula>
    </cfRule>
  </conditionalFormatting>
  <conditionalFormatting sqref="O4:O5">
    <cfRule type="cellIs" dxfId="51" priority="21" operator="equal">
      <formula>"확인"</formula>
    </cfRule>
  </conditionalFormatting>
  <conditionalFormatting sqref="P4:P5">
    <cfRule type="cellIs" dxfId="50" priority="20" operator="equal">
      <formula>"확인"</formula>
    </cfRule>
  </conditionalFormatting>
  <conditionalFormatting sqref="Q4:Q5">
    <cfRule type="cellIs" dxfId="49" priority="19" operator="equal">
      <formula>"확인"</formula>
    </cfRule>
  </conditionalFormatting>
  <conditionalFormatting sqref="R4:R5">
    <cfRule type="cellIs" dxfId="48" priority="18" operator="equal">
      <formula>"확인"</formula>
    </cfRule>
  </conditionalFormatting>
  <conditionalFormatting sqref="S4:S5">
    <cfRule type="cellIs" dxfId="47" priority="17" operator="equal">
      <formula>"확인"</formula>
    </cfRule>
  </conditionalFormatting>
  <conditionalFormatting sqref="T4:T5">
    <cfRule type="cellIs" dxfId="46" priority="16" operator="equal">
      <formula>"확인"</formula>
    </cfRule>
  </conditionalFormatting>
  <conditionalFormatting sqref="U4:U5">
    <cfRule type="cellIs" dxfId="45" priority="15" operator="equal">
      <formula>"확인"</formula>
    </cfRule>
  </conditionalFormatting>
  <conditionalFormatting sqref="V4:V5">
    <cfRule type="cellIs" dxfId="44" priority="14" operator="equal">
      <formula>"확인"</formula>
    </cfRule>
  </conditionalFormatting>
  <conditionalFormatting sqref="W4:W5">
    <cfRule type="cellIs" dxfId="43" priority="13" operator="equal">
      <formula>"확인"</formula>
    </cfRule>
  </conditionalFormatting>
  <conditionalFormatting sqref="AA4:AA5">
    <cfRule type="cellIs" dxfId="42" priority="8" operator="equal">
      <formula>"확인"</formula>
    </cfRule>
  </conditionalFormatting>
  <conditionalFormatting sqref="X4:X5">
    <cfRule type="cellIs" dxfId="41" priority="11" operator="equal">
      <formula>"확인"</formula>
    </cfRule>
  </conditionalFormatting>
  <conditionalFormatting sqref="Y4:Y5">
    <cfRule type="cellIs" dxfId="40" priority="10" operator="equal">
      <formula>"확인"</formula>
    </cfRule>
  </conditionalFormatting>
  <conditionalFormatting sqref="Z4:Z5">
    <cfRule type="cellIs" dxfId="39" priority="9" operator="equal">
      <formula>"확인"</formula>
    </cfRule>
  </conditionalFormatting>
  <conditionalFormatting sqref="AB4:AB5">
    <cfRule type="cellIs" dxfId="38" priority="7" operator="equal">
      <formula>"확인"</formula>
    </cfRule>
  </conditionalFormatting>
  <conditionalFormatting sqref="AC4:AC5">
    <cfRule type="cellIs" dxfId="37" priority="6" operator="equal">
      <formula>"확인"</formula>
    </cfRule>
  </conditionalFormatting>
  <conditionalFormatting sqref="AD4:AD5">
    <cfRule type="cellIs" dxfId="36" priority="5" operator="equal">
      <formula>"확인"</formula>
    </cfRule>
  </conditionalFormatting>
  <conditionalFormatting sqref="AE4:AE5">
    <cfRule type="cellIs" dxfId="35" priority="4" operator="equal">
      <formula>"확인"</formula>
    </cfRule>
  </conditionalFormatting>
  <conditionalFormatting sqref="AF4:AF5">
    <cfRule type="cellIs" dxfId="34" priority="3" operator="equal">
      <formula>"확인"</formula>
    </cfRule>
  </conditionalFormatting>
  <conditionalFormatting sqref="AG4:AG5">
    <cfRule type="cellIs" dxfId="33" priority="2" operator="equal">
      <formula>"확인"</formula>
    </cfRule>
  </conditionalFormatting>
  <conditionalFormatting sqref="AH4:AH5">
    <cfRule type="cellIs" dxfId="32" priority="1" operator="equal">
      <formula>"확인"</formula>
    </cfRule>
  </conditionalFormatting>
  <dataValidations count="1">
    <dataValidation type="list" allowBlank="1" showInputMessage="1" showErrorMessage="1" sqref="D16:AH16" xr:uid="{00000000-0002-0000-07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K685"/>
  <sheetViews>
    <sheetView showGridLines="0" zoomScaleNormal="100"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AH456" sqref="AH17:AH456"/>
    </sheetView>
  </sheetViews>
  <sheetFormatPr baseColWidth="10" defaultColWidth="9.1640625" defaultRowHeight="14" outlineLevelRow="1" outlineLevelCol="1"/>
  <cols>
    <col min="1" max="1" width="2.6640625" style="34" customWidth="1"/>
    <col min="2" max="2" width="43.83203125" style="34" hidden="1" customWidth="1" outlineLevel="1"/>
    <col min="3" max="3" width="43.83203125" style="34" customWidth="1" collapsed="1"/>
    <col min="4" max="4" width="20.6640625" style="2" customWidth="1"/>
    <col min="5" max="7" width="20.6640625" style="2" hidden="1" customWidth="1" outlineLevel="1" collapsed="1"/>
    <col min="8" max="8" width="20.6640625" style="2" customWidth="1" collapsed="1"/>
    <col min="9" max="9" width="20.6640625" style="58" hidden="1" customWidth="1" outlineLevel="1" collapsed="1"/>
    <col min="10" max="10" width="20.6640625" style="2" hidden="1" customWidth="1" outlineLevel="1" collapsed="1"/>
    <col min="11" max="11" width="20.6640625" style="2" customWidth="1" collapsed="1"/>
    <col min="12" max="14" width="20.6640625" style="58" hidden="1" customWidth="1" outlineLevel="1" collapsed="1"/>
    <col min="15" max="15" width="20.6640625" style="58" customWidth="1" collapsed="1"/>
    <col min="16" max="18" width="20.6640625" style="58" hidden="1" customWidth="1" outlineLevel="1" collapsed="1"/>
    <col min="19" max="19" width="20.6640625" style="58" customWidth="1" collapsed="1"/>
    <col min="20" max="22" width="20.6640625" style="58" hidden="1" customWidth="1" outlineLevel="1" collapsed="1"/>
    <col min="23" max="23" width="20.6640625" style="58" customWidth="1" collapsed="1"/>
    <col min="24" max="26" width="20.6640625" style="58" hidden="1" customWidth="1" outlineLevel="1" collapsed="1"/>
    <col min="27" max="27" width="20.6640625" style="58" customWidth="1" collapsed="1"/>
    <col min="28" max="30" width="20.6640625" style="58" hidden="1" customWidth="1" outlineLevel="1" collapsed="1"/>
    <col min="31" max="34" width="20.6640625" style="58" customWidth="1" collapsed="1"/>
    <col min="35" max="56" width="20.6640625" style="3" customWidth="1"/>
    <col min="57" max="16384" width="9.1640625" style="3"/>
  </cols>
  <sheetData>
    <row r="1" spans="1:36">
      <c r="B1" s="33" t="str">
        <f>BS!B1</f>
        <v>한국투자증권</v>
      </c>
      <c r="C1" s="33" t="str">
        <f>BS!C1</f>
        <v>한국투자증권</v>
      </c>
    </row>
    <row r="2" spans="1:36">
      <c r="B2" s="34" t="s">
        <v>1315</v>
      </c>
      <c r="C2" s="34" t="s">
        <v>1315</v>
      </c>
    </row>
    <row r="3" spans="1:36" s="5" customFormat="1">
      <c r="A3" s="48"/>
      <c r="B3" s="35" t="s">
        <v>0</v>
      </c>
      <c r="C3" s="35" t="s">
        <v>0</v>
      </c>
      <c r="D3" s="4">
        <f t="shared" ref="D3:S3" si="0">IF(D16="(원)",100000000,IF(D16="(천원)",100000,100))</f>
        <v>100000000</v>
      </c>
      <c r="E3" s="4">
        <f t="shared" si="0"/>
        <v>100000000</v>
      </c>
      <c r="F3" s="4">
        <f t="shared" si="0"/>
        <v>100000000</v>
      </c>
      <c r="G3" s="4">
        <f t="shared" si="0"/>
        <v>100000000</v>
      </c>
      <c r="H3" s="4">
        <f t="shared" si="0"/>
        <v>100000000</v>
      </c>
      <c r="I3" s="59">
        <f t="shared" si="0"/>
        <v>100000000</v>
      </c>
      <c r="J3" s="4">
        <f t="shared" si="0"/>
        <v>100000000</v>
      </c>
      <c r="K3" s="4">
        <f t="shared" si="0"/>
        <v>100000000</v>
      </c>
      <c r="L3" s="59">
        <f t="shared" si="0"/>
        <v>100000000</v>
      </c>
      <c r="M3" s="59">
        <f t="shared" si="0"/>
        <v>100000000</v>
      </c>
      <c r="N3" s="59">
        <f t="shared" si="0"/>
        <v>100000000</v>
      </c>
      <c r="O3" s="59">
        <f t="shared" si="0"/>
        <v>100000000</v>
      </c>
      <c r="P3" s="59">
        <f t="shared" si="0"/>
        <v>100000000</v>
      </c>
      <c r="Q3" s="59">
        <f t="shared" si="0"/>
        <v>100000000</v>
      </c>
      <c r="R3" s="59">
        <f t="shared" si="0"/>
        <v>100000000</v>
      </c>
      <c r="S3" s="59">
        <f t="shared" si="0"/>
        <v>100000000</v>
      </c>
      <c r="T3" s="59">
        <f t="shared" ref="T3:U3" si="1">IF(T16="(원)",100000000,IF(T16="(천원)",100000,100))</f>
        <v>100000000</v>
      </c>
      <c r="U3" s="59">
        <f t="shared" si="1"/>
        <v>100000000</v>
      </c>
      <c r="V3" s="59">
        <f t="shared" ref="V3:W3" si="2">IF(V16="(원)",100000000,IF(V16="(천원)",100000,100))</f>
        <v>100000000</v>
      </c>
      <c r="W3" s="59">
        <f t="shared" si="2"/>
        <v>100000000</v>
      </c>
      <c r="X3" s="59">
        <f t="shared" ref="X3:AA3" si="3">IF(X16="(원)",100000000,IF(X16="(천원)",100000,100))</f>
        <v>100000000</v>
      </c>
      <c r="Y3" s="59">
        <f t="shared" si="3"/>
        <v>100000000</v>
      </c>
      <c r="Z3" s="59">
        <f t="shared" si="3"/>
        <v>100000000</v>
      </c>
      <c r="AA3" s="59">
        <f t="shared" si="3"/>
        <v>100000000</v>
      </c>
      <c r="AB3" s="59">
        <f t="shared" ref="AB3:AC3" si="4">IF(AB16="(원)",100000000,IF(AB16="(천원)",100000,100))</f>
        <v>100000000</v>
      </c>
      <c r="AC3" s="59">
        <f t="shared" si="4"/>
        <v>100000000</v>
      </c>
      <c r="AD3" s="59">
        <f t="shared" ref="AD3:AE3" si="5">IF(AD16="(원)",100000000,IF(AD16="(천원)",100000,100))</f>
        <v>100000000</v>
      </c>
      <c r="AE3" s="59">
        <f t="shared" si="5"/>
        <v>100000000</v>
      </c>
      <c r="AF3" s="59">
        <f t="shared" ref="AF3:AG3" si="6">IF(AF16="(원)",100000000,IF(AF16="(천원)",100000,100))</f>
        <v>100000000</v>
      </c>
      <c r="AG3" s="59">
        <f t="shared" si="6"/>
        <v>100000000</v>
      </c>
      <c r="AH3" s="59">
        <f t="shared" ref="AH3" si="7">IF(AH16="(원)",100000000,IF(AH16="(천원)",100000,100))</f>
        <v>100000000</v>
      </c>
    </row>
    <row r="4" spans="1:36" s="5" customFormat="1">
      <c r="A4" s="48"/>
      <c r="B4" s="35" t="s">
        <v>216</v>
      </c>
      <c r="C4" s="35" t="s">
        <v>216</v>
      </c>
      <c r="D4" s="4" t="str">
        <f>"FY"&amp;IF(RIGHT(BS!D15,2)="03",TEXT(MID(BS!D15,2,2)-1,"00"),TEXT(MID(BS!D15,2,2),"00")&amp;IF(RIGHT(BS!D15,2)="03","",IF(RIGHT(BS!D15,2)="06",".1Q",IF(RIGHT(BS!D15,2)="09",".1H",".3Q"))))</f>
        <v>FY11</v>
      </c>
      <c r="E4" s="4" t="str">
        <f>"FY"&amp;IF(RIGHT(BS!E15,2)="03",TEXT(MID(BS!E15,2,2)-1,"00"),TEXT(MID(BS!E15,2,2),"00")&amp;IF(RIGHT(BS!E15,2)="03","",IF(RIGHT(BS!E15,2)="06",".1Q",IF(RIGHT(BS!E15,2)="09",".1H",".3Q"))))</f>
        <v>FY12.1Q</v>
      </c>
      <c r="F4" s="4" t="str">
        <f>"FY"&amp;IF(RIGHT(BS!F15,2)="03",TEXT(MID(BS!F15,2,2)-1,"00"),TEXT(MID(BS!F15,2,2),"00")&amp;IF(RIGHT(BS!F15,2)="03","",IF(RIGHT(BS!F15,2)="06",".1Q",IF(RIGHT(BS!F15,2)="09",".1H",".3Q"))))</f>
        <v>FY12.1H</v>
      </c>
      <c r="G4" s="4" t="str">
        <f>"FY"&amp;IF(RIGHT(BS!G15,2)="03",TEXT(MID(BS!G15,2,2)-1,"00"),TEXT(MID(BS!G15,2,2),"00")&amp;IF(RIGHT(BS!G15,2)="03","",IF(RIGHT(BS!G15,2)="06",".1Q",IF(RIGHT(BS!G15,2)="09",".1H",".3Q"))))</f>
        <v>FY12.3Q</v>
      </c>
      <c r="H4" s="4" t="str">
        <f>"FY"&amp;IF(RIGHT(BS!H15,2)="03",TEXT(MID(BS!H15,2,2)-1,"00"),TEXT(MID(BS!H15,2,2),"00")&amp;IF(RIGHT(BS!H15,2)="03","",IF(RIGHT(BS!H15,2)="06",".1Q",IF(RIGHT(BS!H15,2)="09",".1H",".3Q"))))</f>
        <v>FY12</v>
      </c>
      <c r="I4" s="59" t="str">
        <f>"FY"&amp;IF(RIGHT(BS!I15,2)="03",TEXT(MID(BS!I15,2,2)-1,"00"),TEXT(MID(BS!I15,2,2),"00")&amp;IF(RIGHT(BS!I15,2)="03","",IF(RIGHT(BS!I15,2)="06",".1Q",IF(RIGHT(BS!I15,2)="09",".1H",".3Q"))))</f>
        <v>FY13.1Q</v>
      </c>
      <c r="J4" s="4" t="str">
        <f>"FY"&amp;IF(RIGHT(BS!J15,2)="03",TEXT(MID(BS!J15,2,2)-1,"00"),TEXT(MID(BS!J15,2,2),"00")&amp;IF(RIGHT(BS!J15,2)="03","",IF(RIGHT(BS!J15,2)="06",".1Q",IF(RIGHT(BS!J15,2)="09",".1H",".3Q"))))</f>
        <v>FY13.1H</v>
      </c>
      <c r="K4" s="4" t="str">
        <f>"FY"&amp;IF(RIGHT(BS!K15,2)="03",TEXT(MID(BS!K15,2,2)-1,"00"),TEXT(MID(BS!K15,2,2),"00")&amp;IF(RIGHT(BS!K15,2)="03","",IF(RIGHT(BS!K15,2)="06",".1Q",IF(RIGHT(BS!K15,2)="09",".1H",".3Q"))))</f>
        <v>FY13.3Q</v>
      </c>
      <c r="L4" s="59" t="str">
        <f>"FY"&amp;IF(RIGHT(BS!L15,2)="12",TEXT(MID(BS!L15,2,2),"00"),TEXT(MID(BS!L15,2,2),"00")&amp;IF(RIGHT(BS!L15,2)="12","",IF(RIGHT(BS!L15,2)="03",".1Q",IF(RIGHT(BS!L15,2)="06",".1H",".3Q"))))</f>
        <v>FY14.1Q</v>
      </c>
      <c r="M4" s="59" t="str">
        <f>"FY"&amp;IF(RIGHT(BS!M15,2)="12",TEXT(MID(BS!M15,2,2),"00"),TEXT(MID(BS!M15,2,2),"00")&amp;IF(RIGHT(BS!M15,2)="12","",IF(RIGHT(BS!M15,2)="03",".1Q",IF(RIGHT(BS!M15,2)="06",".1H",".3Q"))))</f>
        <v>FY14.1H</v>
      </c>
      <c r="N4" s="59" t="str">
        <f>"FY"&amp;IF(RIGHT(BS!N15,2)="12",TEXT(MID(BS!N15,2,2),"00"),TEXT(MID(BS!N15,2,2),"00")&amp;IF(RIGHT(BS!N15,2)="12","",IF(RIGHT(BS!N15,2)="03",".1Q",IF(RIGHT(BS!N15,2)="06",".1H",".3Q"))))</f>
        <v>FY14.3Q</v>
      </c>
      <c r="O4" s="59" t="str">
        <f>"FY"&amp;IF(RIGHT(BS!O15,2)="12",TEXT(MID(BS!O15,2,2),"00"),TEXT(MID(BS!O15,2,2),"00")&amp;IF(RIGHT(BS!O15,2)="12","",IF(RIGHT(BS!O15,2)="03",".1Q",IF(RIGHT(BS!O15,2)="06",".1H",".3Q"))))</f>
        <v>FY14</v>
      </c>
      <c r="P4" s="59" t="str">
        <f>"FY"&amp;IF(RIGHT(BS!P15,2)="12",TEXT(MID(BS!P15,2,2),"00"),TEXT(MID(BS!P15,2,2),"00")&amp;IF(RIGHT(BS!P15,2)="12","",IF(RIGHT(BS!P15,2)="03",".1Q",IF(RIGHT(BS!P15,2)="06",".1H",".3Q"))))</f>
        <v>FY15.1Q</v>
      </c>
      <c r="Q4" s="59" t="str">
        <f>"FY"&amp;IF(RIGHT(BS!Q15,2)="12",TEXT(MID(BS!Q15,2,2),"00"),TEXT(MID(BS!Q15,2,2),"00")&amp;IF(RIGHT(BS!Q15,2)="12","",IF(RIGHT(BS!Q15,2)="03",".1Q",IF(RIGHT(BS!Q15,2)="06",".1H",".3Q"))))</f>
        <v>FY15.1H</v>
      </c>
      <c r="R4" s="59" t="str">
        <f>"FY"&amp;IF(RIGHT(BS!R15,2)="12",TEXT(MID(BS!R15,2,2),"00"),TEXT(MID(BS!R15,2,2),"00")&amp;IF(RIGHT(BS!R15,2)="12","",IF(RIGHT(BS!R15,2)="03",".1Q",IF(RIGHT(BS!R15,2)="06",".1H",".3Q"))))</f>
        <v>FY15.3Q</v>
      </c>
      <c r="S4" s="59" t="str">
        <f>"FY"&amp;IF(RIGHT(BS!S15,2)="12",TEXT(MID(BS!S15,2,2),"00"),TEXT(MID(BS!S15,2,2),"00")&amp;IF(RIGHT(BS!S15,2)="12","",IF(RIGHT(BS!S15,2)="03",".1Q",IF(RIGHT(BS!S15,2)="06",".1H",".3Q"))))</f>
        <v>FY15</v>
      </c>
      <c r="T4" s="59" t="str">
        <f>"FY"&amp;IF(RIGHT(BS!T15,2)="12",TEXT(MID(BS!T15,2,2),"00"),TEXT(MID(BS!T15,2,2),"00")&amp;IF(RIGHT(BS!T15,2)="12","",IF(RIGHT(BS!T15,2)="03",".1Q",IF(RIGHT(BS!T15,2)="06",".1H",".3Q"))))</f>
        <v>FY16.1Q</v>
      </c>
      <c r="U4" s="59" t="str">
        <f>"FY"&amp;IF(RIGHT(BS!U15,2)="12",TEXT(MID(BS!U15,2,2),"00"),TEXT(MID(BS!U15,2,2),"00")&amp;IF(RIGHT(BS!U15,2)="12","",IF(RIGHT(BS!U15,2)="03",".1Q",IF(RIGHT(BS!U15,2)="06",".1H",".3Q"))))</f>
        <v>FY16.1H</v>
      </c>
      <c r="V4" s="59" t="str">
        <f>"FY"&amp;IF(RIGHT(BS!V15,2)="12",TEXT(MID(BS!V15,2,2),"00"),TEXT(MID(BS!V15,2,2),"00")&amp;IF(RIGHT(BS!V15,2)="12","",IF(RIGHT(BS!V15,2)="03",".1Q",IF(RIGHT(BS!V15,2)="06",".1H",".3Q"))))</f>
        <v>FY16.3Q</v>
      </c>
      <c r="W4" s="59" t="str">
        <f>"FY"&amp;IF(RIGHT(BS!W15,2)="12",TEXT(MID(BS!W15,2,2),"00"),TEXT(MID(BS!W15,2,2),"00")&amp;IF(RIGHT(BS!W15,2)="12","",IF(RIGHT(BS!W15,2)="03",".1Q",IF(RIGHT(BS!W15,2)="06",".1H",".3Q"))))</f>
        <v>FY16</v>
      </c>
      <c r="X4" s="59" t="str">
        <f>"FY"&amp;IF(RIGHT(BS!X15,2)="12",TEXT(MID(BS!X15,2,2),"00"),TEXT(MID(BS!X15,2,2),"00")&amp;IF(RIGHT(BS!X15,2)="12","",IF(RIGHT(BS!X15,2)="03",".1Q",IF(RIGHT(BS!X15,2)="06",".1H",".3Q"))))</f>
        <v>FY17.1Q</v>
      </c>
      <c r="Y4" s="59" t="str">
        <f>"FY"&amp;IF(RIGHT(BS!Y15,2)="12",TEXT(MID(BS!Y15,2,2),"00"),TEXT(MID(BS!Y15,2,2),"00")&amp;IF(RIGHT(BS!Y15,2)="12","",IF(RIGHT(BS!Y15,2)="03",".1Q",IF(RIGHT(BS!Y15,2)="06",".1H",".3Q"))))</f>
        <v>FY17.1H</v>
      </c>
      <c r="Z4" s="59" t="str">
        <f>"FY"&amp;IF(RIGHT(BS!Z15,2)="12",TEXT(MID(BS!Z15,2,2),"00"),TEXT(MID(BS!Z15,2,2),"00")&amp;IF(RIGHT(BS!Z15,2)="12","",IF(RIGHT(BS!Z15,2)="03",".1Q",IF(RIGHT(BS!Z15,2)="06",".1H",".3Q"))))</f>
        <v>FY17.3Q</v>
      </c>
      <c r="AA4" s="59" t="str">
        <f>"FY"&amp;IF(RIGHT(BS!AA15,2)="12",TEXT(MID(BS!AA15,2,2),"00"),TEXT(MID(BS!AA15,2,2),"00")&amp;IF(RIGHT(BS!AA15,2)="12","",IF(RIGHT(BS!AA15,2)="03",".1Q",IF(RIGHT(BS!AA15,2)="06",".1H",".3Q"))))</f>
        <v>FY17</v>
      </c>
      <c r="AB4" s="59" t="str">
        <f>"FY"&amp;IF(RIGHT(BS!AB15,2)="12",TEXT(MID(BS!AB15,2,2),"00"),TEXT(MID(BS!AB15,2,2),"00")&amp;IF(RIGHT(BS!AB15,2)="12","",IF(RIGHT(BS!AB15,2)="03",".1Q",IF(RIGHT(BS!AB15,2)="06",".1H",".3Q"))))</f>
        <v>FY18.1Q</v>
      </c>
      <c r="AC4" s="59" t="str">
        <f>"FY"&amp;IF(RIGHT(BS!AC15,2)="12",TEXT(MID(BS!AC15,2,2),"00"),TEXT(MID(BS!AC15,2,2),"00")&amp;IF(RIGHT(BS!AC15,2)="12","",IF(RIGHT(BS!AC15,2)="03",".1Q",IF(RIGHT(BS!AC15,2)="06",".1H",".3Q"))))</f>
        <v>FY18.1H</v>
      </c>
      <c r="AD4" s="59" t="str">
        <f>"FY"&amp;IF(RIGHT(BS!AD15,2)="12",TEXT(MID(BS!AD15,2,2),"00"),TEXT(MID(BS!AD15,2,2),"00")&amp;IF(RIGHT(BS!AD15,2)="12","",IF(RIGHT(BS!AD15,2)="03",".1Q",IF(RIGHT(BS!AD15,2)="06",".1H",".3Q"))))</f>
        <v>FY18.3Q</v>
      </c>
      <c r="AE4" s="59" t="str">
        <f>"FY"&amp;IF(RIGHT(BS!AE15,2)="12",TEXT(MID(BS!AE15,2,2),"00"),TEXT(MID(BS!AE15,2,2),"00")&amp;IF(RIGHT(BS!AE15,2)="12","",IF(RIGHT(BS!AE15,2)="03",".1Q",IF(RIGHT(BS!AE15,2)="06",".1H",".3Q"))))</f>
        <v>FY18</v>
      </c>
      <c r="AF4" s="59" t="str">
        <f>"FY"&amp;IF(RIGHT(BS!AF15,2)="12",TEXT(MID(BS!AF15,2,2),"00"),TEXT(MID(BS!AF15,2,2),"00")&amp;IF(RIGHT(BS!AF15,2)="12","",IF(RIGHT(BS!AF15,2)="03",".1Q",IF(RIGHT(BS!AF15,2)="06",".1H",".3Q"))))</f>
        <v>FY19.1Q</v>
      </c>
      <c r="AG4" s="59" t="str">
        <f>"FY"&amp;IF(RIGHT(BS!AG15,2)="12",TEXT(MID(BS!AG15,2,2),"00"),TEXT(MID(BS!AG15,2,2),"00")&amp;IF(RIGHT(BS!AG15,2)="12","",IF(RIGHT(BS!AG15,2)="03",".1Q",IF(RIGHT(BS!AG15,2)="06",".1H",".3Q"))))</f>
        <v>FY19.1H</v>
      </c>
      <c r="AH4" s="59" t="str">
        <f>"FY"&amp;IF(RIGHT(BS!AH15,2)="12",TEXT(MID(BS!AH15,2,2),"00"),TEXT(MID(BS!AH15,2,2),"00")&amp;IF(RIGHT(BS!AH15,2)="12","",IF(RIGHT(BS!AH15,2)="03",".1Q",IF(RIGHT(BS!AH15,2)="06",".1H",".3Q"))))</f>
        <v>FY19.3Q</v>
      </c>
    </row>
    <row r="5" spans="1:36" s="5" customFormat="1">
      <c r="A5" s="48"/>
      <c r="B5" s="35" t="s">
        <v>215</v>
      </c>
      <c r="C5" s="35" t="s">
        <v>215</v>
      </c>
      <c r="D5" s="4">
        <f t="shared" ref="D5:S5" si="8">IF(LEN(D4)=4,4,IF(RIGHT(D4,2)="1Q",1,IF(RIGHT(D4,2)="1H",2,3)))</f>
        <v>4</v>
      </c>
      <c r="E5" s="4">
        <f t="shared" si="8"/>
        <v>1</v>
      </c>
      <c r="F5" s="4">
        <f t="shared" si="8"/>
        <v>2</v>
      </c>
      <c r="G5" s="4">
        <f t="shared" si="8"/>
        <v>3</v>
      </c>
      <c r="H5" s="4">
        <f t="shared" si="8"/>
        <v>4</v>
      </c>
      <c r="I5" s="59">
        <f t="shared" si="8"/>
        <v>1</v>
      </c>
      <c r="J5" s="4">
        <f t="shared" si="8"/>
        <v>2</v>
      </c>
      <c r="K5" s="4">
        <f t="shared" si="8"/>
        <v>3</v>
      </c>
      <c r="L5" s="59">
        <f t="shared" si="8"/>
        <v>1</v>
      </c>
      <c r="M5" s="59">
        <f t="shared" si="8"/>
        <v>2</v>
      </c>
      <c r="N5" s="59">
        <f t="shared" si="8"/>
        <v>3</v>
      </c>
      <c r="O5" s="59">
        <f t="shared" si="8"/>
        <v>4</v>
      </c>
      <c r="P5" s="59">
        <f t="shared" si="8"/>
        <v>1</v>
      </c>
      <c r="Q5" s="59">
        <f t="shared" si="8"/>
        <v>2</v>
      </c>
      <c r="R5" s="59">
        <f t="shared" si="8"/>
        <v>3</v>
      </c>
      <c r="S5" s="59">
        <f t="shared" si="8"/>
        <v>4</v>
      </c>
      <c r="T5" s="59">
        <f t="shared" ref="T5:U5" si="9">IF(LEN(T4)=4,4,IF(RIGHT(T4,2)="1Q",1,IF(RIGHT(T4,2)="1H",2,3)))</f>
        <v>1</v>
      </c>
      <c r="U5" s="59">
        <f t="shared" si="9"/>
        <v>2</v>
      </c>
      <c r="V5" s="59">
        <f t="shared" ref="V5:W5" si="10">IF(LEN(V4)=4,4,IF(RIGHT(V4,2)="1Q",1,IF(RIGHT(V4,2)="1H",2,3)))</f>
        <v>3</v>
      </c>
      <c r="W5" s="59">
        <f t="shared" si="10"/>
        <v>4</v>
      </c>
      <c r="X5" s="59">
        <f t="shared" ref="X5:AA5" si="11">IF(LEN(X4)=4,4,IF(RIGHT(X4,2)="1Q",1,IF(RIGHT(X4,2)="1H",2,3)))</f>
        <v>1</v>
      </c>
      <c r="Y5" s="59">
        <f t="shared" si="11"/>
        <v>2</v>
      </c>
      <c r="Z5" s="59">
        <f t="shared" si="11"/>
        <v>3</v>
      </c>
      <c r="AA5" s="59">
        <f t="shared" si="11"/>
        <v>4</v>
      </c>
      <c r="AB5" s="59">
        <f t="shared" ref="AB5:AC5" si="12">IF(LEN(AB4)=4,4,IF(RIGHT(AB4,2)="1Q",1,IF(RIGHT(AB4,2)="1H",2,3)))</f>
        <v>1</v>
      </c>
      <c r="AC5" s="59">
        <f t="shared" si="12"/>
        <v>2</v>
      </c>
      <c r="AD5" s="59">
        <f t="shared" ref="AD5:AE5" si="13">IF(LEN(AD4)=4,4,IF(RIGHT(AD4,2)="1Q",1,IF(RIGHT(AD4,2)="1H",2,3)))</f>
        <v>3</v>
      </c>
      <c r="AE5" s="59">
        <f t="shared" si="13"/>
        <v>4</v>
      </c>
      <c r="AF5" s="59">
        <f t="shared" ref="AF5:AG5" si="14">IF(LEN(AF4)=4,4,IF(RIGHT(AF4,2)="1Q",1,IF(RIGHT(AF4,2)="1H",2,3)))</f>
        <v>1</v>
      </c>
      <c r="AG5" s="59">
        <f t="shared" si="14"/>
        <v>2</v>
      </c>
      <c r="AH5" s="59">
        <f t="shared" ref="AH5" si="15">IF(LEN(AH4)=4,4,IF(RIGHT(AH4,2)="1Q",1,IF(RIGHT(AH4,2)="1H",2,3)))</f>
        <v>3</v>
      </c>
    </row>
    <row r="6" spans="1:36" s="7" customFormat="1">
      <c r="A6" s="16"/>
      <c r="B6" s="14" t="s">
        <v>211</v>
      </c>
      <c r="C6" s="14" t="s">
        <v>211</v>
      </c>
      <c r="D6" s="6" t="str">
        <f t="shared" ref="D6:AA6" si="16">IF(ROUND((D11-D454)/100,0)=0,"OK","확인")</f>
        <v>OK</v>
      </c>
      <c r="E6" s="6" t="str">
        <f t="shared" si="16"/>
        <v>확인</v>
      </c>
      <c r="F6" s="6" t="str">
        <f t="shared" si="16"/>
        <v>OK</v>
      </c>
      <c r="G6" s="6" t="str">
        <f t="shared" si="16"/>
        <v>OK</v>
      </c>
      <c r="H6" s="6" t="str">
        <f t="shared" si="16"/>
        <v>OK</v>
      </c>
      <c r="I6" s="60" t="str">
        <f t="shared" si="16"/>
        <v>OK</v>
      </c>
      <c r="J6" s="6" t="str">
        <f t="shared" si="16"/>
        <v>OK</v>
      </c>
      <c r="K6" s="6" t="str">
        <f t="shared" si="16"/>
        <v>OK</v>
      </c>
      <c r="L6" s="60" t="str">
        <f t="shared" si="16"/>
        <v>OK</v>
      </c>
      <c r="M6" s="60" t="str">
        <f t="shared" si="16"/>
        <v>OK</v>
      </c>
      <c r="N6" s="60" t="str">
        <f t="shared" si="16"/>
        <v>OK</v>
      </c>
      <c r="O6" s="60" t="str">
        <f t="shared" si="16"/>
        <v>OK</v>
      </c>
      <c r="P6" s="60" t="str">
        <f t="shared" si="16"/>
        <v>OK</v>
      </c>
      <c r="Q6" s="60" t="str">
        <f t="shared" si="16"/>
        <v>OK</v>
      </c>
      <c r="R6" s="60" t="str">
        <f t="shared" si="16"/>
        <v>OK</v>
      </c>
      <c r="S6" s="60" t="str">
        <f t="shared" si="16"/>
        <v>OK</v>
      </c>
      <c r="T6" s="60" t="str">
        <f t="shared" si="16"/>
        <v>OK</v>
      </c>
      <c r="U6" s="60" t="str">
        <f t="shared" si="16"/>
        <v>OK</v>
      </c>
      <c r="V6" s="60" t="str">
        <f t="shared" si="16"/>
        <v>OK</v>
      </c>
      <c r="W6" s="60" t="str">
        <f t="shared" si="16"/>
        <v>OK</v>
      </c>
      <c r="X6" s="60" t="str">
        <f t="shared" si="16"/>
        <v>OK</v>
      </c>
      <c r="Y6" s="60" t="str">
        <f t="shared" si="16"/>
        <v>OK</v>
      </c>
      <c r="Z6" s="60" t="str">
        <f t="shared" si="16"/>
        <v>OK</v>
      </c>
      <c r="AA6" s="60" t="str">
        <f t="shared" si="16"/>
        <v>OK</v>
      </c>
      <c r="AB6" s="60" t="str">
        <f t="shared" ref="AB6:AC6" si="17">IF(ROUND((AB11-AB454)/100,0)=0,"OK","확인")</f>
        <v>OK</v>
      </c>
      <c r="AC6" s="60" t="str">
        <f t="shared" si="17"/>
        <v>OK</v>
      </c>
      <c r="AD6" s="60" t="str">
        <f t="shared" ref="AD6:AE6" si="18">IF(ROUND((AD11-AD454)/100,0)=0,"OK","확인")</f>
        <v>OK</v>
      </c>
      <c r="AE6" s="60" t="str">
        <f t="shared" si="18"/>
        <v>OK</v>
      </c>
      <c r="AF6" s="60" t="str">
        <f t="shared" ref="AF6:AG6" si="19">IF(ROUND((AF11-AF454)/100,0)=0,"OK","확인")</f>
        <v>OK</v>
      </c>
      <c r="AG6" s="60" t="str">
        <f t="shared" si="19"/>
        <v>OK</v>
      </c>
      <c r="AH6" s="60" t="str">
        <f t="shared" ref="AH6" si="20">IF(ROUND((AH11-AH454)/100,0)=0,"OK","확인")</f>
        <v>OK</v>
      </c>
    </row>
    <row r="7" spans="1:36" s="7" customFormat="1">
      <c r="A7" s="16"/>
      <c r="B7" s="17" t="s">
        <v>212</v>
      </c>
      <c r="C7" s="17" t="s">
        <v>212</v>
      </c>
      <c r="D7" s="8" t="str">
        <f t="shared" ref="D7:AA7" si="21">IF(ROUND((D12-D455)/100,0)=0,"OK","확인")</f>
        <v>OK</v>
      </c>
      <c r="E7" s="8" t="str">
        <f t="shared" si="21"/>
        <v>OK</v>
      </c>
      <c r="F7" s="8" t="str">
        <f t="shared" si="21"/>
        <v>OK</v>
      </c>
      <c r="G7" s="8" t="str">
        <f t="shared" si="21"/>
        <v>OK</v>
      </c>
      <c r="H7" s="8" t="str">
        <f t="shared" si="21"/>
        <v>OK</v>
      </c>
      <c r="I7" s="61" t="str">
        <f t="shared" si="21"/>
        <v>OK</v>
      </c>
      <c r="J7" s="8" t="str">
        <f t="shared" si="21"/>
        <v>OK</v>
      </c>
      <c r="K7" s="8" t="str">
        <f t="shared" si="21"/>
        <v>OK</v>
      </c>
      <c r="L7" s="61" t="str">
        <f t="shared" si="21"/>
        <v>OK</v>
      </c>
      <c r="M7" s="61" t="str">
        <f t="shared" si="21"/>
        <v>OK</v>
      </c>
      <c r="N7" s="61" t="str">
        <f t="shared" si="21"/>
        <v>OK</v>
      </c>
      <c r="O7" s="61" t="str">
        <f t="shared" si="21"/>
        <v>OK</v>
      </c>
      <c r="P7" s="61" t="str">
        <f t="shared" si="21"/>
        <v>OK</v>
      </c>
      <c r="Q7" s="61" t="str">
        <f t="shared" si="21"/>
        <v>OK</v>
      </c>
      <c r="R7" s="61" t="str">
        <f t="shared" si="21"/>
        <v>OK</v>
      </c>
      <c r="S7" s="61" t="str">
        <f t="shared" si="21"/>
        <v>OK</v>
      </c>
      <c r="T7" s="61" t="str">
        <f t="shared" si="21"/>
        <v>OK</v>
      </c>
      <c r="U7" s="61" t="str">
        <f t="shared" si="21"/>
        <v>OK</v>
      </c>
      <c r="V7" s="61" t="str">
        <f t="shared" si="21"/>
        <v>OK</v>
      </c>
      <c r="W7" s="61" t="str">
        <f t="shared" si="21"/>
        <v>OK</v>
      </c>
      <c r="X7" s="61" t="str">
        <f t="shared" si="21"/>
        <v>OK</v>
      </c>
      <c r="Y7" s="61" t="str">
        <f t="shared" si="21"/>
        <v>OK</v>
      </c>
      <c r="Z7" s="61" t="str">
        <f t="shared" si="21"/>
        <v>OK</v>
      </c>
      <c r="AA7" s="61" t="str">
        <f t="shared" si="21"/>
        <v>OK</v>
      </c>
      <c r="AB7" s="61" t="str">
        <f t="shared" ref="AB7:AC7" si="22">IF(ROUND((AB12-AB455)/100,0)=0,"OK","확인")</f>
        <v>OK</v>
      </c>
      <c r="AC7" s="61" t="str">
        <f t="shared" si="22"/>
        <v>OK</v>
      </c>
      <c r="AD7" s="61" t="str">
        <f t="shared" ref="AD7:AE7" si="23">IF(ROUND((AD12-AD455)/100,0)=0,"OK","확인")</f>
        <v>OK</v>
      </c>
      <c r="AE7" s="61" t="str">
        <f t="shared" si="23"/>
        <v>OK</v>
      </c>
      <c r="AF7" s="61" t="str">
        <f t="shared" ref="AF7:AG7" si="24">IF(ROUND((AF12-AF455)/100,0)=0,"OK","확인")</f>
        <v>OK</v>
      </c>
      <c r="AG7" s="61" t="str">
        <f t="shared" si="24"/>
        <v>OK</v>
      </c>
      <c r="AH7" s="61" t="str">
        <f t="shared" ref="AH7" si="25">IF(ROUND((AH12-AH455)/100,0)=0,"OK","확인")</f>
        <v>OK</v>
      </c>
    </row>
    <row r="8" spans="1:36" s="7" customFormat="1">
      <c r="A8" s="16"/>
      <c r="B8" s="17" t="s">
        <v>213</v>
      </c>
      <c r="C8" s="17" t="s">
        <v>213</v>
      </c>
      <c r="D8" s="8" t="str">
        <f t="shared" ref="D8:AA8" si="26">IF(ROUND((D13-D456)/100,0)=0,"OK","확인")</f>
        <v>OK</v>
      </c>
      <c r="E8" s="8" t="str">
        <f t="shared" si="26"/>
        <v>OK</v>
      </c>
      <c r="F8" s="8" t="str">
        <f t="shared" si="26"/>
        <v>OK</v>
      </c>
      <c r="G8" s="8" t="str">
        <f t="shared" si="26"/>
        <v>OK</v>
      </c>
      <c r="H8" s="8" t="str">
        <f t="shared" si="26"/>
        <v>OK</v>
      </c>
      <c r="I8" s="61" t="str">
        <f t="shared" si="26"/>
        <v>OK</v>
      </c>
      <c r="J8" s="8" t="str">
        <f t="shared" si="26"/>
        <v>OK</v>
      </c>
      <c r="K8" s="8" t="str">
        <f t="shared" si="26"/>
        <v>OK</v>
      </c>
      <c r="L8" s="61" t="str">
        <f t="shared" si="26"/>
        <v>OK</v>
      </c>
      <c r="M8" s="61" t="str">
        <f t="shared" si="26"/>
        <v>OK</v>
      </c>
      <c r="N8" s="61" t="str">
        <f t="shared" si="26"/>
        <v>OK</v>
      </c>
      <c r="O8" s="61" t="str">
        <f t="shared" si="26"/>
        <v>OK</v>
      </c>
      <c r="P8" s="61" t="str">
        <f t="shared" si="26"/>
        <v>OK</v>
      </c>
      <c r="Q8" s="61" t="str">
        <f t="shared" si="26"/>
        <v>OK</v>
      </c>
      <c r="R8" s="61" t="str">
        <f t="shared" si="26"/>
        <v>OK</v>
      </c>
      <c r="S8" s="61" t="str">
        <f t="shared" si="26"/>
        <v>OK</v>
      </c>
      <c r="T8" s="61" t="str">
        <f t="shared" si="26"/>
        <v>OK</v>
      </c>
      <c r="U8" s="61" t="str">
        <f t="shared" si="26"/>
        <v>OK</v>
      </c>
      <c r="V8" s="61" t="str">
        <f t="shared" si="26"/>
        <v>OK</v>
      </c>
      <c r="W8" s="61" t="str">
        <f t="shared" si="26"/>
        <v>OK</v>
      </c>
      <c r="X8" s="61" t="str">
        <f t="shared" si="26"/>
        <v>OK</v>
      </c>
      <c r="Y8" s="61" t="str">
        <f t="shared" si="26"/>
        <v>OK</v>
      </c>
      <c r="Z8" s="61" t="str">
        <f t="shared" si="26"/>
        <v>OK</v>
      </c>
      <c r="AA8" s="61" t="str">
        <f t="shared" si="26"/>
        <v>OK</v>
      </c>
      <c r="AB8" s="61" t="str">
        <f t="shared" ref="AB8:AC8" si="27">IF(ROUND((AB13-AB456)/100,0)=0,"OK","확인")</f>
        <v>OK</v>
      </c>
      <c r="AC8" s="61" t="str">
        <f t="shared" si="27"/>
        <v>OK</v>
      </c>
      <c r="AD8" s="61" t="str">
        <f t="shared" ref="AD8:AE8" si="28">IF(ROUND((AD13-AD456)/100,0)=0,"OK","확인")</f>
        <v>OK</v>
      </c>
      <c r="AE8" s="61" t="str">
        <f t="shared" si="28"/>
        <v>OK</v>
      </c>
      <c r="AF8" s="61" t="str">
        <f t="shared" ref="AF8:AG8" si="29">IF(ROUND((AF13-AF456)/100,0)=0,"OK","확인")</f>
        <v>OK</v>
      </c>
      <c r="AG8" s="61" t="str">
        <f t="shared" si="29"/>
        <v>OK</v>
      </c>
      <c r="AH8" s="61" t="str">
        <f t="shared" ref="AH8" si="30">IF(ROUND((AH13-AH456)/100,0)=0,"OK","확인")</f>
        <v>OK</v>
      </c>
    </row>
    <row r="9" spans="1:36" s="7" customFormat="1">
      <c r="A9" s="16"/>
      <c r="B9" s="17" t="s">
        <v>174</v>
      </c>
      <c r="C9" s="17" t="s">
        <v>174</v>
      </c>
      <c r="D9" s="8" t="str">
        <f t="shared" ref="D9:S9" si="31">IF(SUM(D458:D484)=0,"OK","확인")</f>
        <v>OK</v>
      </c>
      <c r="E9" s="8" t="str">
        <f t="shared" si="31"/>
        <v>확인</v>
      </c>
      <c r="F9" s="8" t="str">
        <f t="shared" si="31"/>
        <v>OK</v>
      </c>
      <c r="G9" s="8" t="str">
        <f t="shared" si="31"/>
        <v>확인</v>
      </c>
      <c r="H9" s="8" t="str">
        <f>IF(SUM(H458:H484)=0,"OK","확인")</f>
        <v>확인</v>
      </c>
      <c r="I9" s="61" t="str">
        <f t="shared" si="31"/>
        <v>확인</v>
      </c>
      <c r="J9" s="8" t="str">
        <f t="shared" si="31"/>
        <v>OK</v>
      </c>
      <c r="K9" s="8" t="str">
        <f t="shared" si="31"/>
        <v>확인</v>
      </c>
      <c r="L9" s="61" t="str">
        <f t="shared" si="31"/>
        <v>OK</v>
      </c>
      <c r="M9" s="61" t="str">
        <f t="shared" si="31"/>
        <v>OK</v>
      </c>
      <c r="N9" s="61" t="str">
        <f t="shared" si="31"/>
        <v>OK</v>
      </c>
      <c r="O9" s="61" t="str">
        <f t="shared" si="31"/>
        <v>확인</v>
      </c>
      <c r="P9" s="61" t="str">
        <f t="shared" si="31"/>
        <v>OK</v>
      </c>
      <c r="Q9" s="61" t="str">
        <f t="shared" si="31"/>
        <v>OK</v>
      </c>
      <c r="R9" s="61" t="str">
        <f t="shared" si="31"/>
        <v>OK</v>
      </c>
      <c r="S9" s="61" t="str">
        <f t="shared" si="31"/>
        <v>OK</v>
      </c>
      <c r="T9" s="61" t="str">
        <f t="shared" ref="T9:U9" si="32">IF(SUM(T458:T484)=0,"OK","확인")</f>
        <v>OK</v>
      </c>
      <c r="U9" s="61" t="str">
        <f t="shared" si="32"/>
        <v>OK</v>
      </c>
      <c r="V9" s="61" t="str">
        <f t="shared" ref="V9" si="33">IF(SUM(V458:V484)=0,"OK","확인")</f>
        <v>OK</v>
      </c>
      <c r="W9" s="61" t="str">
        <f t="shared" ref="W9" si="34">IF(SUM(W458:W484)=0,"OK","확인")</f>
        <v>OK</v>
      </c>
      <c r="X9" s="61" t="str">
        <f t="shared" ref="X9:AA9" si="35">IF(SUM(X458:X484)=0,"OK","확인")</f>
        <v>OK</v>
      </c>
      <c r="Y9" s="61" t="str">
        <f t="shared" si="35"/>
        <v>OK</v>
      </c>
      <c r="Z9" s="61" t="str">
        <f t="shared" si="35"/>
        <v>OK</v>
      </c>
      <c r="AA9" s="61" t="str">
        <f t="shared" si="35"/>
        <v>OK</v>
      </c>
      <c r="AB9" s="61" t="str">
        <f t="shared" ref="AB9:AC9" si="36">IF(SUM(AB458:AB484)=0,"OK","확인")</f>
        <v>OK</v>
      </c>
      <c r="AC9" s="61" t="str">
        <f t="shared" si="36"/>
        <v>OK</v>
      </c>
      <c r="AD9" s="61" t="str">
        <f t="shared" ref="AD9:AE9" si="37">IF(SUM(AD458:AD484)=0,"OK","확인")</f>
        <v>OK</v>
      </c>
      <c r="AE9" s="61" t="str">
        <f t="shared" si="37"/>
        <v>OK</v>
      </c>
      <c r="AF9" s="61" t="str">
        <f t="shared" ref="AF9:AG9" si="38">IF(SUM(AF458:AF484)=0,"OK","확인")</f>
        <v>OK</v>
      </c>
      <c r="AG9" s="61" t="str">
        <f t="shared" si="38"/>
        <v>OK</v>
      </c>
      <c r="AH9" s="61" t="str">
        <f t="shared" ref="AH9" si="39">IF(SUM(AH458:AH484)=0,"OK","확인")</f>
        <v>OK</v>
      </c>
    </row>
    <row r="10" spans="1:36" s="10" customFormat="1">
      <c r="A10" s="21"/>
      <c r="B10" s="19"/>
      <c r="C10" s="19"/>
      <c r="D10" s="9"/>
      <c r="E10" s="9"/>
      <c r="F10" s="9"/>
      <c r="G10" s="9"/>
      <c r="H10" s="9"/>
      <c r="I10" s="62"/>
      <c r="J10" s="9"/>
      <c r="K10" s="9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</row>
    <row r="11" spans="1:36" s="7" customFormat="1">
      <c r="A11" s="16"/>
      <c r="B11" s="22" t="s">
        <v>208</v>
      </c>
      <c r="C11" s="22" t="s">
        <v>208</v>
      </c>
      <c r="D11" s="11">
        <f t="shared" ref="D11:AA11" si="40">ROUND(D397/D3*100,0)</f>
        <v>268849</v>
      </c>
      <c r="E11" s="11">
        <f t="shared" si="40"/>
        <v>24653</v>
      </c>
      <c r="F11" s="11">
        <f t="shared" si="40"/>
        <v>0</v>
      </c>
      <c r="G11" s="11">
        <f t="shared" si="40"/>
        <v>132094</v>
      </c>
      <c r="H11" s="11">
        <f t="shared" si="40"/>
        <v>209500</v>
      </c>
      <c r="I11" s="63">
        <f t="shared" si="40"/>
        <v>44764</v>
      </c>
      <c r="J11" s="11">
        <f t="shared" si="40"/>
        <v>76263</v>
      </c>
      <c r="K11" s="11">
        <f t="shared" si="40"/>
        <v>91640</v>
      </c>
      <c r="L11" s="63">
        <f t="shared" si="40"/>
        <v>49893</v>
      </c>
      <c r="M11" s="63">
        <f t="shared" si="40"/>
        <v>132035</v>
      </c>
      <c r="N11" s="63">
        <f t="shared" si="40"/>
        <v>218247</v>
      </c>
      <c r="O11" s="63">
        <f t="shared" si="40"/>
        <v>296320</v>
      </c>
      <c r="P11" s="63">
        <f t="shared" si="40"/>
        <v>132316</v>
      </c>
      <c r="Q11" s="63">
        <f t="shared" si="40"/>
        <v>256256</v>
      </c>
      <c r="R11" s="63">
        <f t="shared" si="40"/>
        <v>315657</v>
      </c>
      <c r="S11" s="63">
        <f t="shared" si="40"/>
        <v>314443</v>
      </c>
      <c r="T11" s="63">
        <f t="shared" si="40"/>
        <v>89810</v>
      </c>
      <c r="U11" s="63">
        <f t="shared" si="40"/>
        <v>154204</v>
      </c>
      <c r="V11" s="63">
        <f t="shared" si="40"/>
        <v>210717</v>
      </c>
      <c r="W11" s="63">
        <f t="shared" si="40"/>
        <v>299811</v>
      </c>
      <c r="X11" s="63">
        <f t="shared" si="40"/>
        <v>175322</v>
      </c>
      <c r="Y11" s="63">
        <f t="shared" si="40"/>
        <v>338938</v>
      </c>
      <c r="Z11" s="63">
        <f t="shared" si="40"/>
        <v>481576</v>
      </c>
      <c r="AA11" s="63">
        <f t="shared" si="40"/>
        <v>603456</v>
      </c>
      <c r="AB11" s="63">
        <f t="shared" ref="AB11:AC11" si="41">ROUND(AB397/AB3*100,0)</f>
        <v>210707</v>
      </c>
      <c r="AC11" s="63">
        <f t="shared" si="41"/>
        <v>380063</v>
      </c>
      <c r="AD11" s="63">
        <f t="shared" ref="AD11:AE11" si="42">ROUND(AD397/AD3*100,0)</f>
        <v>541429</v>
      </c>
      <c r="AE11" s="63">
        <f t="shared" si="42"/>
        <v>670645</v>
      </c>
      <c r="AF11" s="63">
        <f t="shared" ref="AF11:AG11" si="43">ROUND(AF397/AF3*100,0)</f>
        <v>308198</v>
      </c>
      <c r="AG11" s="63">
        <f t="shared" si="43"/>
        <v>548462</v>
      </c>
      <c r="AH11" s="63">
        <f t="shared" ref="AH11" si="44">ROUND(AH397/AH3*100,0)</f>
        <v>704672</v>
      </c>
      <c r="AI11" s="1316">
        <f>AD11-AC11</f>
        <v>161366</v>
      </c>
      <c r="AJ11" s="1316">
        <f>AE11-AD11</f>
        <v>129216</v>
      </c>
    </row>
    <row r="12" spans="1:36" s="7" customFormat="1">
      <c r="A12" s="16"/>
      <c r="B12" s="22" t="s">
        <v>209</v>
      </c>
      <c r="C12" s="22" t="s">
        <v>209</v>
      </c>
      <c r="D12" s="11">
        <f t="shared" ref="D12:AA12" si="45">ROUND(D439/D3*100,0)</f>
        <v>214620</v>
      </c>
      <c r="E12" s="11">
        <f t="shared" si="45"/>
        <v>18548</v>
      </c>
      <c r="F12" s="11">
        <f t="shared" si="45"/>
        <v>0</v>
      </c>
      <c r="G12" s="11">
        <f t="shared" si="45"/>
        <v>103483</v>
      </c>
      <c r="H12" s="11">
        <f t="shared" si="45"/>
        <v>159022</v>
      </c>
      <c r="I12" s="63">
        <f t="shared" si="45"/>
        <v>50066</v>
      </c>
      <c r="J12" s="11">
        <f t="shared" si="45"/>
        <v>65765</v>
      </c>
      <c r="K12" s="11">
        <f t="shared" si="45"/>
        <v>75538</v>
      </c>
      <c r="L12" s="63">
        <f t="shared" si="45"/>
        <v>39718</v>
      </c>
      <c r="M12" s="63">
        <f t="shared" si="45"/>
        <v>109267</v>
      </c>
      <c r="N12" s="63">
        <f t="shared" si="45"/>
        <v>174748</v>
      </c>
      <c r="O12" s="63">
        <f t="shared" si="45"/>
        <v>220093</v>
      </c>
      <c r="P12" s="63">
        <f t="shared" si="45"/>
        <v>110476</v>
      </c>
      <c r="Q12" s="63">
        <f t="shared" si="45"/>
        <v>206651</v>
      </c>
      <c r="R12" s="63">
        <f t="shared" si="45"/>
        <v>253638</v>
      </c>
      <c r="S12" s="63">
        <f t="shared" si="45"/>
        <v>256061</v>
      </c>
      <c r="T12" s="63">
        <f t="shared" si="45"/>
        <v>85000</v>
      </c>
      <c r="U12" s="63">
        <f t="shared" si="45"/>
        <v>132933</v>
      </c>
      <c r="V12" s="63">
        <f t="shared" si="45"/>
        <v>174879</v>
      </c>
      <c r="W12" s="63">
        <f t="shared" si="45"/>
        <v>243717</v>
      </c>
      <c r="X12" s="63">
        <f t="shared" si="45"/>
        <v>143229</v>
      </c>
      <c r="Y12" s="63">
        <f t="shared" si="45"/>
        <v>265199</v>
      </c>
      <c r="Z12" s="63">
        <f t="shared" si="45"/>
        <v>375435</v>
      </c>
      <c r="AA12" s="63">
        <f t="shared" si="45"/>
        <v>472280</v>
      </c>
      <c r="AB12" s="63">
        <f t="shared" ref="AB12:AC12" si="46">ROUND(AB439/AB3*100,0)</f>
        <v>164372</v>
      </c>
      <c r="AC12" s="63">
        <f t="shared" si="46"/>
        <v>295516</v>
      </c>
      <c r="AD12" s="63">
        <f t="shared" ref="AD12:AE12" si="47">ROUND(AD439/AD3*100,0)</f>
        <v>413528</v>
      </c>
      <c r="AE12" s="63">
        <f t="shared" si="47"/>
        <v>503510</v>
      </c>
      <c r="AF12" s="63">
        <f t="shared" ref="AF12:AG12" si="48">ROUND(AF439/AF3*100,0)</f>
        <v>236032</v>
      </c>
      <c r="AG12" s="63">
        <f t="shared" si="48"/>
        <v>411171</v>
      </c>
      <c r="AH12" s="63">
        <f t="shared" ref="AH12" si="49">ROUND(AH439/AH3*100,0)</f>
        <v>525157</v>
      </c>
      <c r="AI12" s="1316">
        <f t="shared" ref="AI12:AJ13" si="50">AD12-AC12</f>
        <v>118012</v>
      </c>
      <c r="AJ12" s="1316">
        <f t="shared" si="50"/>
        <v>89982</v>
      </c>
    </row>
    <row r="13" spans="1:36" s="7" customFormat="1">
      <c r="A13" s="16"/>
      <c r="B13" s="22" t="s">
        <v>210</v>
      </c>
      <c r="C13" s="22" t="s">
        <v>210</v>
      </c>
      <c r="D13" s="11">
        <f t="shared" ref="D13:AA13" si="51">ROUND(D452/D3*100,0)</f>
        <v>197949</v>
      </c>
      <c r="E13" s="11">
        <f t="shared" si="51"/>
        <v>4661</v>
      </c>
      <c r="F13" s="11">
        <f t="shared" si="51"/>
        <v>0</v>
      </c>
      <c r="G13" s="11">
        <f t="shared" si="51"/>
        <v>67915</v>
      </c>
      <c r="H13" s="11">
        <f t="shared" si="51"/>
        <v>151980</v>
      </c>
      <c r="I13" s="63">
        <f t="shared" si="51"/>
        <v>26748</v>
      </c>
      <c r="J13" s="11">
        <f t="shared" si="51"/>
        <v>42247</v>
      </c>
      <c r="K13" s="11">
        <f t="shared" si="51"/>
        <v>68518</v>
      </c>
      <c r="L13" s="63">
        <f t="shared" si="51"/>
        <v>26572</v>
      </c>
      <c r="M13" s="63">
        <f t="shared" si="51"/>
        <v>74883</v>
      </c>
      <c r="N13" s="63">
        <f t="shared" si="51"/>
        <v>150059</v>
      </c>
      <c r="O13" s="63">
        <f t="shared" si="51"/>
        <v>167551</v>
      </c>
      <c r="P13" s="63">
        <f t="shared" si="51"/>
        <v>124224</v>
      </c>
      <c r="Q13" s="63">
        <f t="shared" si="51"/>
        <v>227876</v>
      </c>
      <c r="R13" s="63">
        <f t="shared" si="51"/>
        <v>272438</v>
      </c>
      <c r="S13" s="63">
        <f t="shared" si="51"/>
        <v>264637</v>
      </c>
      <c r="T13" s="63">
        <f t="shared" si="51"/>
        <v>76617</v>
      </c>
      <c r="U13" s="63">
        <f t="shared" si="51"/>
        <v>126232</v>
      </c>
      <c r="V13" s="63">
        <f t="shared" si="51"/>
        <v>167637</v>
      </c>
      <c r="W13" s="63">
        <f t="shared" si="51"/>
        <v>248074</v>
      </c>
      <c r="X13" s="63">
        <f t="shared" si="51"/>
        <v>152474</v>
      </c>
      <c r="Y13" s="63">
        <f t="shared" si="51"/>
        <v>392534</v>
      </c>
      <c r="Z13" s="63">
        <f t="shared" si="51"/>
        <v>488324</v>
      </c>
      <c r="AA13" s="63">
        <f t="shared" si="51"/>
        <v>539338</v>
      </c>
      <c r="AB13" s="63">
        <f t="shared" ref="AB13:AC13" si="52">ROUND(AB452/AB3*100,0)</f>
        <v>138537</v>
      </c>
      <c r="AC13" s="63">
        <f t="shared" si="52"/>
        <v>303395</v>
      </c>
      <c r="AD13" s="63">
        <f t="shared" ref="AD13:AE13" si="53">ROUND(AD452/AD3*100,0)</f>
        <v>436934</v>
      </c>
      <c r="AE13" s="63">
        <f t="shared" si="53"/>
        <v>503546</v>
      </c>
      <c r="AF13" s="63">
        <f t="shared" ref="AF13:AG13" si="54">ROUND(AF452/AF3*100,0)</f>
        <v>197977</v>
      </c>
      <c r="AG13" s="63">
        <f t="shared" si="54"/>
        <v>392674</v>
      </c>
      <c r="AH13" s="63">
        <f t="shared" ref="AH13" si="55">ROUND(AH452/AH3*100,0)</f>
        <v>474090</v>
      </c>
      <c r="AI13" s="1316">
        <f t="shared" si="50"/>
        <v>133539</v>
      </c>
      <c r="AJ13" s="1316">
        <f t="shared" si="50"/>
        <v>66612</v>
      </c>
    </row>
    <row r="14" spans="1:36" s="7" customFormat="1">
      <c r="A14" s="16"/>
      <c r="B14" s="36"/>
      <c r="C14" s="36"/>
      <c r="D14" s="12"/>
      <c r="E14" s="12"/>
      <c r="F14" s="12"/>
      <c r="G14" s="12"/>
      <c r="H14" s="12"/>
      <c r="I14" s="64"/>
      <c r="J14" s="12"/>
      <c r="K14" s="12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1316"/>
      <c r="AJ14" s="1316"/>
    </row>
    <row r="15" spans="1:36">
      <c r="B15" s="37" t="s">
        <v>2266</v>
      </c>
      <c r="C15" s="1274" t="s">
        <v>2267</v>
      </c>
      <c r="D15" s="13" t="str">
        <f>BS!D15</f>
        <v>'12.03</v>
      </c>
      <c r="E15" s="13" t="str">
        <f>BS!E15</f>
        <v>'12.06</v>
      </c>
      <c r="F15" s="13" t="str">
        <f>BS!F15</f>
        <v>'12.09</v>
      </c>
      <c r="G15" s="13" t="str">
        <f>BS!G15</f>
        <v>'12.12</v>
      </c>
      <c r="H15" s="13" t="str">
        <f>BS!H15</f>
        <v>'13.03</v>
      </c>
      <c r="I15" s="65" t="str">
        <f>BS!I15</f>
        <v>'13.06</v>
      </c>
      <c r="J15" s="13" t="str">
        <f>BS!J15</f>
        <v>'13.09</v>
      </c>
      <c r="K15" s="13" t="str">
        <f>BS!K15</f>
        <v>'13.12</v>
      </c>
      <c r="L15" s="65" t="str">
        <f>BS!L15</f>
        <v>'14.03</v>
      </c>
      <c r="M15" s="65" t="str">
        <f>BS!M15</f>
        <v>'14.06</v>
      </c>
      <c r="N15" s="65" t="str">
        <f>BS!N15</f>
        <v>'14.09</v>
      </c>
      <c r="O15" s="65" t="str">
        <f>BS!O15</f>
        <v>'14.12</v>
      </c>
      <c r="P15" s="65" t="str">
        <f>BS!P15</f>
        <v>'15.03</v>
      </c>
      <c r="Q15" s="65" t="str">
        <f>BS!Q15</f>
        <v>'15.06</v>
      </c>
      <c r="R15" s="65" t="str">
        <f>BS!R15</f>
        <v>'15.09</v>
      </c>
      <c r="S15" s="65" t="str">
        <f>BS!S15</f>
        <v>'15.12</v>
      </c>
      <c r="T15" s="65" t="str">
        <f>BS!T15</f>
        <v>'16.03</v>
      </c>
      <c r="U15" s="65" t="str">
        <f>BS!U15</f>
        <v>'16.06</v>
      </c>
      <c r="V15" s="65" t="str">
        <f>BS!V15</f>
        <v>'16.09</v>
      </c>
      <c r="W15" s="65" t="str">
        <f>BS!W15</f>
        <v>'16.12</v>
      </c>
      <c r="X15" s="65" t="str">
        <f>BS!X15</f>
        <v>'17.03</v>
      </c>
      <c r="Y15" s="65" t="str">
        <f>BS!Y15</f>
        <v>'17.06</v>
      </c>
      <c r="Z15" s="65" t="str">
        <f>BS!Z15</f>
        <v>'17.09</v>
      </c>
      <c r="AA15" s="65" t="str">
        <f>BS!AA15</f>
        <v>'17.12</v>
      </c>
      <c r="AB15" s="65" t="str">
        <f>BS!AB15</f>
        <v>'18.03</v>
      </c>
      <c r="AC15" s="65" t="str">
        <f>BS!AC15</f>
        <v>'18.06</v>
      </c>
      <c r="AD15" s="65" t="str">
        <f>BS!AD15</f>
        <v>'18.09</v>
      </c>
      <c r="AE15" s="65" t="str">
        <f>BS!AE15</f>
        <v>'18.12</v>
      </c>
      <c r="AF15" s="65" t="str">
        <f>BS!AF15</f>
        <v>'19.03</v>
      </c>
      <c r="AG15" s="65" t="str">
        <f>BS!AG15</f>
        <v>'19.06</v>
      </c>
      <c r="AH15" s="65" t="str">
        <f>BS!AH15</f>
        <v>'19.09</v>
      </c>
    </row>
    <row r="16" spans="1:36">
      <c r="B16" s="38"/>
      <c r="C16" s="38"/>
      <c r="D16" s="13" t="s">
        <v>168</v>
      </c>
      <c r="E16" s="13" t="s">
        <v>168</v>
      </c>
      <c r="F16" s="13" t="s">
        <v>168</v>
      </c>
      <c r="G16" s="13" t="s">
        <v>168</v>
      </c>
      <c r="H16" s="13" t="s">
        <v>168</v>
      </c>
      <c r="I16" s="65" t="s">
        <v>168</v>
      </c>
      <c r="J16" s="13" t="s">
        <v>168</v>
      </c>
      <c r="K16" s="13" t="s">
        <v>168</v>
      </c>
      <c r="L16" s="65" t="s">
        <v>168</v>
      </c>
      <c r="M16" s="65" t="s">
        <v>168</v>
      </c>
      <c r="N16" s="65" t="s">
        <v>168</v>
      </c>
      <c r="O16" s="65" t="s">
        <v>168</v>
      </c>
      <c r="P16" s="65" t="s">
        <v>168</v>
      </c>
      <c r="Q16" s="65" t="s">
        <v>168</v>
      </c>
      <c r="R16" s="65" t="s">
        <v>168</v>
      </c>
      <c r="S16" s="65" t="s">
        <v>168</v>
      </c>
      <c r="T16" s="65" t="s">
        <v>168</v>
      </c>
      <c r="U16" s="65" t="s">
        <v>168</v>
      </c>
      <c r="V16" s="65" t="s">
        <v>168</v>
      </c>
      <c r="W16" s="65" t="s">
        <v>168</v>
      </c>
      <c r="X16" s="65" t="s">
        <v>168</v>
      </c>
      <c r="Y16" s="65" t="s">
        <v>168</v>
      </c>
      <c r="Z16" s="65" t="s">
        <v>168</v>
      </c>
      <c r="AA16" s="65" t="s">
        <v>168</v>
      </c>
      <c r="AB16" s="65" t="s">
        <v>168</v>
      </c>
      <c r="AC16" s="65" t="s">
        <v>168</v>
      </c>
      <c r="AD16" s="65" t="s">
        <v>168</v>
      </c>
      <c r="AE16" s="65" t="s">
        <v>168</v>
      </c>
      <c r="AF16" s="65" t="s">
        <v>168</v>
      </c>
      <c r="AG16" s="65" t="s">
        <v>168</v>
      </c>
      <c r="AH16" s="65" t="s">
        <v>168</v>
      </c>
    </row>
    <row r="17" spans="2:34" ht="15">
      <c r="B17" s="39" t="s">
        <v>902</v>
      </c>
      <c r="C17" s="39" t="s">
        <v>902</v>
      </c>
      <c r="D17" s="83">
        <v>2332019750193</v>
      </c>
      <c r="E17" s="83">
        <v>628466910850</v>
      </c>
      <c r="F17" s="83"/>
      <c r="G17" s="83">
        <v>2291759419004</v>
      </c>
      <c r="H17" s="83">
        <v>3004452811118</v>
      </c>
      <c r="I17" s="83">
        <v>1388914590908</v>
      </c>
      <c r="J17" s="83">
        <v>1805223437143</v>
      </c>
      <c r="K17" s="83">
        <v>2601283482728</v>
      </c>
      <c r="L17" s="83">
        <v>842499638701</v>
      </c>
      <c r="M17" s="83">
        <v>1664465122899</v>
      </c>
      <c r="N17" s="83">
        <v>2471691792927</v>
      </c>
      <c r="O17" s="83">
        <v>3449033976326</v>
      </c>
      <c r="P17" s="83">
        <v>1237840325146</v>
      </c>
      <c r="Q17" s="83">
        <v>2176496972248</v>
      </c>
      <c r="R17" s="83">
        <v>3852144329598</v>
      </c>
      <c r="S17" s="83">
        <v>4319077473952</v>
      </c>
      <c r="T17" s="83">
        <v>1659083315081</v>
      </c>
      <c r="U17" s="83">
        <v>2777881717290</v>
      </c>
      <c r="V17" s="83">
        <v>3807197970035</v>
      </c>
      <c r="W17" s="83">
        <v>4899563027076</v>
      </c>
      <c r="X17" s="83">
        <v>1862928857121</v>
      </c>
      <c r="Y17" s="83">
        <v>3171466409166</v>
      </c>
      <c r="Z17" s="83">
        <v>4432813966401</v>
      </c>
      <c r="AA17" s="83">
        <v>5976810300129</v>
      </c>
      <c r="AB17" s="83">
        <v>2326767545978</v>
      </c>
      <c r="AC17" s="83">
        <v>4063522847362</v>
      </c>
      <c r="AD17" s="83">
        <v>5372009606836</v>
      </c>
      <c r="AE17" s="83">
        <v>7838849105155</v>
      </c>
      <c r="AF17" s="83">
        <v>3130835973161</v>
      </c>
      <c r="AG17" s="83">
        <v>5696158543881</v>
      </c>
      <c r="AH17" s="83">
        <v>7963677303320</v>
      </c>
    </row>
    <row r="18" spans="2:34" ht="15">
      <c r="B18" s="40" t="s">
        <v>903</v>
      </c>
      <c r="C18" s="40" t="s">
        <v>903</v>
      </c>
      <c r="D18" s="84">
        <v>524778288263</v>
      </c>
      <c r="E18" s="84">
        <v>103807483287</v>
      </c>
      <c r="F18" s="84"/>
      <c r="G18" s="84">
        <v>317059299212</v>
      </c>
      <c r="H18" s="84">
        <v>411109648216</v>
      </c>
      <c r="I18" s="84">
        <v>116639940423</v>
      </c>
      <c r="J18" s="84">
        <v>213935014581</v>
      </c>
      <c r="K18" s="84">
        <v>307735418146</v>
      </c>
      <c r="L18" s="84">
        <v>102898789954</v>
      </c>
      <c r="M18" s="84">
        <v>206947412619</v>
      </c>
      <c r="N18" s="84">
        <v>314224422234</v>
      </c>
      <c r="O18" s="84">
        <v>423804417632</v>
      </c>
      <c r="P18" s="84">
        <v>123046844684</v>
      </c>
      <c r="Q18" s="84">
        <v>275678582839</v>
      </c>
      <c r="R18" s="84">
        <v>416279935354</v>
      </c>
      <c r="S18" s="84">
        <v>532431020099</v>
      </c>
      <c r="T18" s="84">
        <v>135572325667</v>
      </c>
      <c r="U18" s="84">
        <v>272726767423</v>
      </c>
      <c r="V18" s="84">
        <v>412946705306</v>
      </c>
      <c r="W18" s="84">
        <v>550965729951</v>
      </c>
      <c r="X18" s="84">
        <v>129925396377</v>
      </c>
      <c r="Y18" s="84">
        <v>283516584300</v>
      </c>
      <c r="Z18" s="84">
        <v>453732471297</v>
      </c>
      <c r="AA18" s="84">
        <v>630420411453</v>
      </c>
      <c r="AB18" s="84">
        <v>191995588382</v>
      </c>
      <c r="AC18" s="84">
        <v>377242001686</v>
      </c>
      <c r="AD18" s="84">
        <v>538454725321</v>
      </c>
      <c r="AE18" s="84">
        <v>700008358720</v>
      </c>
      <c r="AF18" s="84">
        <v>165143882026</v>
      </c>
      <c r="AG18" s="84">
        <v>373727798951</v>
      </c>
      <c r="AH18" s="84">
        <v>568388908934</v>
      </c>
    </row>
    <row r="19" spans="2:34" ht="15">
      <c r="B19" s="41" t="s">
        <v>904</v>
      </c>
      <c r="C19" s="41" t="s">
        <v>904</v>
      </c>
      <c r="D19" s="85">
        <v>333998682604</v>
      </c>
      <c r="E19" s="85">
        <v>60789660487</v>
      </c>
      <c r="F19" s="85"/>
      <c r="G19" s="85">
        <v>193093527508</v>
      </c>
      <c r="H19" s="85">
        <v>250902953769</v>
      </c>
      <c r="I19" s="85">
        <v>68795418295</v>
      </c>
      <c r="J19" s="85">
        <v>129007347485</v>
      </c>
      <c r="K19" s="85">
        <v>183262698546</v>
      </c>
      <c r="L19" s="85">
        <v>58514979278</v>
      </c>
      <c r="M19" s="85">
        <v>112704448785</v>
      </c>
      <c r="N19" s="85">
        <v>173858078841</v>
      </c>
      <c r="O19" s="85">
        <v>232910594031</v>
      </c>
      <c r="P19" s="85">
        <v>65926719142</v>
      </c>
      <c r="Q19" s="85">
        <v>154519404719</v>
      </c>
      <c r="R19" s="85">
        <v>235870391444</v>
      </c>
      <c r="S19" s="85">
        <v>298245107059</v>
      </c>
      <c r="T19" s="85">
        <v>66165809804</v>
      </c>
      <c r="U19" s="85">
        <v>132460279041</v>
      </c>
      <c r="V19" s="85">
        <v>196522422961</v>
      </c>
      <c r="W19" s="85">
        <v>251648497235</v>
      </c>
      <c r="X19" s="85">
        <v>54780711432</v>
      </c>
      <c r="Y19" s="85">
        <v>120572662181</v>
      </c>
      <c r="Z19" s="85">
        <v>185784869635</v>
      </c>
      <c r="AA19" s="85">
        <v>259755960650</v>
      </c>
      <c r="AB19" s="85">
        <v>92404290827</v>
      </c>
      <c r="AC19" s="85">
        <v>170960210548</v>
      </c>
      <c r="AD19" s="85">
        <v>229894373131</v>
      </c>
      <c r="AE19" s="85">
        <v>290765589044</v>
      </c>
      <c r="AF19" s="85">
        <v>61666336751</v>
      </c>
      <c r="AG19" s="85">
        <v>120387304127</v>
      </c>
      <c r="AH19" s="85">
        <v>177586362239</v>
      </c>
    </row>
    <row r="20" spans="2:34" ht="15">
      <c r="B20" s="42" t="s">
        <v>905</v>
      </c>
      <c r="C20" s="42" t="s">
        <v>905</v>
      </c>
      <c r="D20" s="85">
        <v>221609856478</v>
      </c>
      <c r="E20" s="85">
        <v>37731039490</v>
      </c>
      <c r="F20" s="85"/>
      <c r="G20" s="85">
        <v>114108759969</v>
      </c>
      <c r="H20" s="85">
        <v>144921809380</v>
      </c>
      <c r="I20" s="85">
        <v>35180666911</v>
      </c>
      <c r="J20" s="85">
        <v>68069484942</v>
      </c>
      <c r="K20" s="85">
        <v>99381350093</v>
      </c>
      <c r="L20" s="85">
        <v>32019168647</v>
      </c>
      <c r="M20" s="85">
        <v>61823137612</v>
      </c>
      <c r="N20" s="85">
        <v>94535454965</v>
      </c>
      <c r="O20" s="85">
        <v>125150161420</v>
      </c>
      <c r="P20" s="85">
        <v>32309759394</v>
      </c>
      <c r="Q20" s="85">
        <v>77387071050</v>
      </c>
      <c r="R20" s="85">
        <v>116068763172</v>
      </c>
      <c r="S20" s="85">
        <v>144326361429</v>
      </c>
      <c r="T20" s="85">
        <v>27996602200</v>
      </c>
      <c r="U20" s="85">
        <v>57401040013</v>
      </c>
      <c r="V20" s="85">
        <v>84216886946</v>
      </c>
      <c r="W20" s="85">
        <v>108658265601</v>
      </c>
      <c r="X20" s="85">
        <v>26159478636</v>
      </c>
      <c r="Y20" s="85">
        <v>59572522301</v>
      </c>
      <c r="Z20" s="85">
        <v>91938831914</v>
      </c>
      <c r="AA20" s="85">
        <v>124945189028</v>
      </c>
      <c r="AB20" s="85">
        <v>39114799859</v>
      </c>
      <c r="AC20" s="85">
        <v>76985220367</v>
      </c>
      <c r="AD20" s="85">
        <v>102824560943</v>
      </c>
      <c r="AE20" s="85">
        <v>127872518746</v>
      </c>
      <c r="AF20" s="85">
        <v>25139172956</v>
      </c>
      <c r="AG20" s="85">
        <v>46854011566</v>
      </c>
      <c r="AH20" s="85">
        <v>66451047068</v>
      </c>
    </row>
    <row r="21" spans="2:34" ht="15">
      <c r="B21" s="42" t="s">
        <v>906</v>
      </c>
      <c r="C21" s="42" t="s">
        <v>906</v>
      </c>
      <c r="D21" s="85">
        <v>66308678723</v>
      </c>
      <c r="E21" s="85">
        <v>13088082760</v>
      </c>
      <c r="F21" s="85"/>
      <c r="G21" s="85">
        <v>50088946747</v>
      </c>
      <c r="H21" s="85">
        <v>67343984870</v>
      </c>
      <c r="I21" s="85">
        <v>21693442443</v>
      </c>
      <c r="J21" s="85">
        <v>37786969535</v>
      </c>
      <c r="K21" s="85">
        <v>50205636170</v>
      </c>
      <c r="L21" s="85">
        <v>15831460589</v>
      </c>
      <c r="M21" s="85">
        <v>31479638434</v>
      </c>
      <c r="N21" s="85">
        <v>49814188271</v>
      </c>
      <c r="O21" s="85">
        <v>66347411717</v>
      </c>
      <c r="P21" s="85">
        <v>22418743533</v>
      </c>
      <c r="Q21" s="85">
        <v>52970383736</v>
      </c>
      <c r="R21" s="85">
        <v>76988556517</v>
      </c>
      <c r="S21" s="85">
        <v>97090515559</v>
      </c>
      <c r="T21" s="85">
        <v>21692469438</v>
      </c>
      <c r="U21" s="85">
        <v>44135382890</v>
      </c>
      <c r="V21" s="85">
        <v>67043358752</v>
      </c>
      <c r="W21" s="85">
        <v>82398097395</v>
      </c>
      <c r="X21" s="85">
        <v>15616416572</v>
      </c>
      <c r="Y21" s="85">
        <v>33211450090</v>
      </c>
      <c r="Z21" s="85">
        <v>50467882761</v>
      </c>
      <c r="AA21" s="85">
        <v>76475859280</v>
      </c>
      <c r="AB21" s="85">
        <v>33828938366</v>
      </c>
      <c r="AC21" s="85">
        <v>59740653591</v>
      </c>
      <c r="AD21" s="85">
        <v>77079631262</v>
      </c>
      <c r="AE21" s="85">
        <v>91669354786</v>
      </c>
      <c r="AF21" s="85">
        <v>17761029851</v>
      </c>
      <c r="AG21" s="85">
        <v>36004693849</v>
      </c>
      <c r="AH21" s="85">
        <v>52924147311</v>
      </c>
    </row>
    <row r="22" spans="2:34" ht="15">
      <c r="B22" s="42" t="s">
        <v>907</v>
      </c>
      <c r="C22" s="42" t="s">
        <v>907</v>
      </c>
      <c r="D22" s="85">
        <v>40854419060</v>
      </c>
      <c r="E22" s="85">
        <v>8457468093</v>
      </c>
      <c r="F22" s="85"/>
      <c r="G22" s="85">
        <v>23850561723</v>
      </c>
      <c r="H22" s="85">
        <v>31271087806</v>
      </c>
      <c r="I22" s="85">
        <v>9149384404</v>
      </c>
      <c r="J22" s="85">
        <v>18091856326</v>
      </c>
      <c r="K22" s="85">
        <v>26437229097</v>
      </c>
      <c r="L22" s="85">
        <v>7612557541</v>
      </c>
      <c r="M22" s="85">
        <v>13417762933</v>
      </c>
      <c r="N22" s="85">
        <v>19894555768</v>
      </c>
      <c r="O22" s="85">
        <v>26001858072</v>
      </c>
      <c r="P22" s="85">
        <v>4903804056</v>
      </c>
      <c r="Q22" s="85">
        <v>11190029723</v>
      </c>
      <c r="R22" s="85">
        <v>18574469210</v>
      </c>
      <c r="S22" s="85">
        <v>24387073968</v>
      </c>
      <c r="T22" s="85">
        <v>6134116390</v>
      </c>
      <c r="U22" s="85">
        <v>12285937549</v>
      </c>
      <c r="V22" s="85">
        <v>18373763937</v>
      </c>
      <c r="W22" s="85">
        <v>24735723073</v>
      </c>
      <c r="X22" s="85">
        <v>5916134397</v>
      </c>
      <c r="Y22" s="85">
        <v>13489099117</v>
      </c>
      <c r="Z22" s="85">
        <v>21585179858</v>
      </c>
      <c r="AA22" s="85">
        <v>29672612009</v>
      </c>
      <c r="AB22" s="85">
        <v>10433078510</v>
      </c>
      <c r="AC22" s="85">
        <v>18642024991</v>
      </c>
      <c r="AD22" s="85">
        <v>27086101183</v>
      </c>
      <c r="AE22" s="85">
        <v>38828587685</v>
      </c>
      <c r="AF22" s="85">
        <v>8977066987</v>
      </c>
      <c r="AG22" s="85">
        <v>17710301787</v>
      </c>
      <c r="AH22" s="85">
        <v>26380011257</v>
      </c>
    </row>
    <row r="23" spans="2:34" ht="15">
      <c r="B23" s="42" t="s">
        <v>908</v>
      </c>
      <c r="C23" s="42" t="s">
        <v>908</v>
      </c>
      <c r="D23" s="85">
        <v>473450497</v>
      </c>
      <c r="E23" s="85">
        <v>88144601</v>
      </c>
      <c r="F23" s="85"/>
      <c r="G23" s="85">
        <v>294944391</v>
      </c>
      <c r="H23" s="85">
        <v>461276604</v>
      </c>
      <c r="I23" s="85">
        <v>253634403</v>
      </c>
      <c r="J23" s="85">
        <v>436873005</v>
      </c>
      <c r="K23" s="85">
        <v>695589587</v>
      </c>
      <c r="L23" s="85">
        <v>435445301</v>
      </c>
      <c r="M23" s="85">
        <v>777279468</v>
      </c>
      <c r="N23" s="85">
        <v>1305197510</v>
      </c>
      <c r="O23" s="85">
        <v>1889783650</v>
      </c>
      <c r="P23" s="85">
        <v>893646699</v>
      </c>
      <c r="Q23" s="85">
        <v>2163338266</v>
      </c>
      <c r="R23" s="85">
        <v>3078721839</v>
      </c>
      <c r="S23" s="85">
        <v>3741698864</v>
      </c>
      <c r="T23" s="85">
        <v>643354691</v>
      </c>
      <c r="U23" s="85">
        <v>1271331257</v>
      </c>
      <c r="V23" s="85">
        <v>1849704116</v>
      </c>
      <c r="W23" s="85">
        <v>2567059646</v>
      </c>
      <c r="X23" s="85">
        <v>754057270</v>
      </c>
      <c r="Y23" s="85">
        <v>1719768690</v>
      </c>
      <c r="Z23" s="85">
        <v>2936723529</v>
      </c>
      <c r="AA23" s="85">
        <v>4113414565</v>
      </c>
      <c r="AB23" s="85">
        <v>2036245255</v>
      </c>
      <c r="AC23" s="85">
        <v>3245591834</v>
      </c>
      <c r="AD23" s="85">
        <v>5499828864</v>
      </c>
      <c r="AE23" s="85">
        <v>7174427951</v>
      </c>
      <c r="AF23" s="85">
        <v>3104646788</v>
      </c>
      <c r="AG23" s="85">
        <v>6882257497</v>
      </c>
      <c r="AH23" s="85">
        <v>12222084816</v>
      </c>
    </row>
    <row r="24" spans="2:34">
      <c r="B24" s="42" t="s">
        <v>909</v>
      </c>
      <c r="C24" s="42" t="s">
        <v>909</v>
      </c>
      <c r="D24" s="86">
        <v>0</v>
      </c>
      <c r="E24" s="86">
        <v>0</v>
      </c>
      <c r="F24" s="86"/>
      <c r="G24" s="86">
        <v>0</v>
      </c>
      <c r="H24" s="86">
        <v>0</v>
      </c>
      <c r="I24" s="86">
        <v>0</v>
      </c>
      <c r="J24" s="86">
        <v>0</v>
      </c>
      <c r="K24" s="86">
        <v>0</v>
      </c>
      <c r="L24" s="86">
        <v>0</v>
      </c>
      <c r="M24" s="86">
        <v>0</v>
      </c>
      <c r="N24" s="86">
        <v>0</v>
      </c>
      <c r="O24" s="86">
        <v>0</v>
      </c>
      <c r="P24" s="86">
        <v>0</v>
      </c>
      <c r="Q24" s="86">
        <v>0</v>
      </c>
      <c r="R24" s="86">
        <v>0</v>
      </c>
      <c r="S24" s="86">
        <v>0</v>
      </c>
      <c r="T24" s="86">
        <v>0</v>
      </c>
      <c r="U24" s="86">
        <v>0</v>
      </c>
      <c r="V24" s="86">
        <v>0</v>
      </c>
      <c r="W24" s="86">
        <v>0</v>
      </c>
      <c r="X24" s="86">
        <v>0</v>
      </c>
      <c r="Y24" s="86">
        <v>0</v>
      </c>
      <c r="Z24" s="86">
        <v>0</v>
      </c>
      <c r="AA24" s="86">
        <v>0</v>
      </c>
      <c r="AB24" s="86">
        <v>0</v>
      </c>
      <c r="AC24" s="86">
        <v>0</v>
      </c>
      <c r="AD24" s="86">
        <v>0</v>
      </c>
      <c r="AE24" s="86">
        <v>0</v>
      </c>
      <c r="AF24" s="86">
        <v>0</v>
      </c>
      <c r="AG24" s="86">
        <v>0</v>
      </c>
      <c r="AH24" s="86">
        <v>0</v>
      </c>
    </row>
    <row r="25" spans="2:34">
      <c r="B25" s="42" t="s">
        <v>910</v>
      </c>
      <c r="C25" s="42" t="s">
        <v>910</v>
      </c>
      <c r="D25" s="86">
        <v>0</v>
      </c>
      <c r="E25" s="86">
        <v>0</v>
      </c>
      <c r="F25" s="86"/>
      <c r="G25" s="86">
        <v>0</v>
      </c>
      <c r="H25" s="86">
        <v>0</v>
      </c>
      <c r="I25" s="86">
        <v>0</v>
      </c>
      <c r="J25" s="86">
        <v>0</v>
      </c>
      <c r="K25" s="86">
        <v>0</v>
      </c>
      <c r="L25" s="86">
        <v>0</v>
      </c>
      <c r="M25" s="86">
        <v>0</v>
      </c>
      <c r="N25" s="86">
        <v>0</v>
      </c>
      <c r="O25" s="86">
        <v>0</v>
      </c>
      <c r="P25" s="86">
        <v>0</v>
      </c>
      <c r="Q25" s="86">
        <v>0</v>
      </c>
      <c r="R25" s="86">
        <v>0</v>
      </c>
      <c r="S25" s="86">
        <v>0</v>
      </c>
      <c r="T25" s="86">
        <v>0</v>
      </c>
      <c r="U25" s="86">
        <v>0</v>
      </c>
      <c r="V25" s="86">
        <v>0</v>
      </c>
      <c r="W25" s="86">
        <v>0</v>
      </c>
      <c r="X25" s="86">
        <v>0</v>
      </c>
      <c r="Y25" s="86">
        <v>0</v>
      </c>
      <c r="Z25" s="86">
        <v>0</v>
      </c>
      <c r="AA25" s="86">
        <v>0</v>
      </c>
      <c r="AB25" s="86">
        <v>0</v>
      </c>
      <c r="AC25" s="86">
        <v>0</v>
      </c>
      <c r="AD25" s="86">
        <v>0</v>
      </c>
      <c r="AE25" s="86">
        <v>0</v>
      </c>
      <c r="AF25" s="86">
        <v>0</v>
      </c>
      <c r="AG25" s="86">
        <v>0</v>
      </c>
      <c r="AH25" s="86">
        <v>0</v>
      </c>
    </row>
    <row r="26" spans="2:34">
      <c r="B26" s="42" t="s">
        <v>911</v>
      </c>
      <c r="C26" s="42" t="s">
        <v>911</v>
      </c>
      <c r="D26" s="86">
        <v>4746558100</v>
      </c>
      <c r="E26" s="86">
        <v>1424620753</v>
      </c>
      <c r="F26" s="86"/>
      <c r="G26" s="86">
        <v>4748245584</v>
      </c>
      <c r="H26" s="86">
        <v>6902123216</v>
      </c>
      <c r="I26" s="86">
        <v>2517949304</v>
      </c>
      <c r="J26" s="86">
        <v>4620131536</v>
      </c>
      <c r="K26" s="86">
        <v>6538944643</v>
      </c>
      <c r="L26" s="86">
        <v>2615124343</v>
      </c>
      <c r="M26" s="86">
        <v>5199804544</v>
      </c>
      <c r="N26" s="86">
        <v>8289796282</v>
      </c>
      <c r="O26" s="86">
        <v>13463476172</v>
      </c>
      <c r="P26" s="86">
        <v>5379360559</v>
      </c>
      <c r="Q26" s="86">
        <v>10757877934</v>
      </c>
      <c r="R26" s="86">
        <v>21088058575</v>
      </c>
      <c r="S26" s="86">
        <v>28607629655</v>
      </c>
      <c r="T26" s="86">
        <v>9674565055</v>
      </c>
      <c r="U26" s="86">
        <v>17307578090</v>
      </c>
      <c r="V26" s="86">
        <v>24961233208</v>
      </c>
      <c r="W26" s="86">
        <v>33185577809</v>
      </c>
      <c r="X26" s="86">
        <v>6307099351</v>
      </c>
      <c r="Y26" s="86">
        <v>12524953246</v>
      </c>
      <c r="Z26" s="86">
        <v>18752481862</v>
      </c>
      <c r="AA26" s="86">
        <v>24411495677</v>
      </c>
      <c r="AB26" s="86">
        <v>6941863600</v>
      </c>
      <c r="AC26" s="86">
        <v>12243910775</v>
      </c>
      <c r="AD26" s="86">
        <v>17257899367</v>
      </c>
      <c r="AE26" s="86">
        <v>25008191243</v>
      </c>
      <c r="AF26" s="86">
        <v>6628105134</v>
      </c>
      <c r="AG26" s="86">
        <v>12787875794</v>
      </c>
      <c r="AH26" s="86">
        <v>19215354404</v>
      </c>
    </row>
    <row r="27" spans="2:34">
      <c r="B27" s="42" t="s">
        <v>912</v>
      </c>
      <c r="C27" s="42" t="s">
        <v>912</v>
      </c>
      <c r="D27" s="86">
        <v>5719746</v>
      </c>
      <c r="E27" s="86">
        <v>304790</v>
      </c>
      <c r="F27" s="86"/>
      <c r="G27" s="86">
        <v>2069094</v>
      </c>
      <c r="H27" s="86">
        <v>2671893</v>
      </c>
      <c r="I27" s="86">
        <v>340830</v>
      </c>
      <c r="J27" s="86">
        <v>2032141</v>
      </c>
      <c r="K27" s="86">
        <v>3948956</v>
      </c>
      <c r="L27" s="86">
        <v>1222857</v>
      </c>
      <c r="M27" s="86">
        <v>6825794</v>
      </c>
      <c r="N27" s="86">
        <v>18886045</v>
      </c>
      <c r="O27" s="86">
        <v>57903000</v>
      </c>
      <c r="P27" s="86">
        <v>21404901</v>
      </c>
      <c r="Q27" s="86">
        <v>50704010</v>
      </c>
      <c r="R27" s="86">
        <v>71822131</v>
      </c>
      <c r="S27" s="86">
        <v>91827584</v>
      </c>
      <c r="T27" s="86">
        <v>24702030</v>
      </c>
      <c r="U27" s="86">
        <v>59009242</v>
      </c>
      <c r="V27" s="86">
        <v>77476002</v>
      </c>
      <c r="W27" s="86">
        <v>103773711</v>
      </c>
      <c r="X27" s="86">
        <v>27525206</v>
      </c>
      <c r="Y27" s="86">
        <v>54868737</v>
      </c>
      <c r="Z27" s="86">
        <v>103769711</v>
      </c>
      <c r="AA27" s="86">
        <v>137390091</v>
      </c>
      <c r="AB27" s="86">
        <v>49365237</v>
      </c>
      <c r="AC27" s="86">
        <v>102808990</v>
      </c>
      <c r="AD27" s="86">
        <v>146351512</v>
      </c>
      <c r="AE27" s="86">
        <v>212508633</v>
      </c>
      <c r="AF27" s="86">
        <v>56315035</v>
      </c>
      <c r="AG27" s="86">
        <v>148163634</v>
      </c>
      <c r="AH27" s="86">
        <v>393717383</v>
      </c>
    </row>
    <row r="28" spans="2:34">
      <c r="B28" s="41" t="s">
        <v>913</v>
      </c>
      <c r="C28" s="41" t="s">
        <v>913</v>
      </c>
      <c r="D28" s="86">
        <v>44679151805</v>
      </c>
      <c r="E28" s="86">
        <v>10133139752</v>
      </c>
      <c r="F28" s="86"/>
      <c r="G28" s="86">
        <v>29551512216</v>
      </c>
      <c r="H28" s="86">
        <v>36340026553</v>
      </c>
      <c r="I28" s="86">
        <v>8846574174</v>
      </c>
      <c r="J28" s="86">
        <v>14277598373</v>
      </c>
      <c r="K28" s="86">
        <v>22680860420</v>
      </c>
      <c r="L28" s="86">
        <v>6271045326</v>
      </c>
      <c r="M28" s="86">
        <v>18096390229</v>
      </c>
      <c r="N28" s="86">
        <v>25600839250</v>
      </c>
      <c r="O28" s="86">
        <v>40431269812</v>
      </c>
      <c r="P28" s="86">
        <v>14993639550</v>
      </c>
      <c r="Q28" s="86">
        <v>30494651218</v>
      </c>
      <c r="R28" s="86">
        <v>46102679164</v>
      </c>
      <c r="S28" s="86">
        <v>58101968616</v>
      </c>
      <c r="T28" s="86">
        <v>21517752199</v>
      </c>
      <c r="U28" s="86">
        <v>37012870470</v>
      </c>
      <c r="V28" s="86">
        <v>58891328959</v>
      </c>
      <c r="W28" s="86">
        <v>82236884109</v>
      </c>
      <c r="X28" s="86">
        <v>19640194091</v>
      </c>
      <c r="Y28" s="86">
        <v>35439731244</v>
      </c>
      <c r="Z28" s="86">
        <v>63008099936</v>
      </c>
      <c r="AA28" s="86">
        <v>98878581587</v>
      </c>
      <c r="AB28" s="86">
        <v>18410768310</v>
      </c>
      <c r="AC28" s="86">
        <v>35757726751</v>
      </c>
      <c r="AD28" s="86">
        <v>51028563378</v>
      </c>
      <c r="AE28" s="86">
        <v>76435634115</v>
      </c>
      <c r="AF28" s="86">
        <v>11604901279</v>
      </c>
      <c r="AG28" s="86">
        <v>39477327067</v>
      </c>
      <c r="AH28" s="86">
        <v>60123376132</v>
      </c>
    </row>
    <row r="29" spans="2:34">
      <c r="B29" s="42" t="s">
        <v>914</v>
      </c>
      <c r="C29" s="42" t="s">
        <v>914</v>
      </c>
      <c r="D29" s="86">
        <v>44648238005</v>
      </c>
      <c r="E29" s="86">
        <v>10133139752</v>
      </c>
      <c r="F29" s="86"/>
      <c r="G29" s="86">
        <v>29489368716</v>
      </c>
      <c r="H29" s="86">
        <v>36272426053</v>
      </c>
      <c r="I29" s="86">
        <v>8846574174</v>
      </c>
      <c r="J29" s="86">
        <v>14272027873</v>
      </c>
      <c r="K29" s="86">
        <v>22675289920</v>
      </c>
      <c r="L29" s="86">
        <v>6211045326</v>
      </c>
      <c r="M29" s="86">
        <v>18031294729</v>
      </c>
      <c r="N29" s="86">
        <v>25535743750</v>
      </c>
      <c r="O29" s="86">
        <v>40366174312</v>
      </c>
      <c r="P29" s="86">
        <v>14993639550</v>
      </c>
      <c r="Q29" s="86">
        <v>30494651218</v>
      </c>
      <c r="R29" s="86">
        <v>46102679164</v>
      </c>
      <c r="S29" s="86">
        <v>58101968616</v>
      </c>
      <c r="T29" s="86">
        <v>21517752199</v>
      </c>
      <c r="U29" s="86">
        <v>37012870470</v>
      </c>
      <c r="V29" s="86">
        <v>58891328959</v>
      </c>
      <c r="W29" s="86">
        <v>82191898109</v>
      </c>
      <c r="X29" s="86">
        <v>19640194091</v>
      </c>
      <c r="Y29" s="86">
        <v>35439731244</v>
      </c>
      <c r="Z29" s="86">
        <v>62954859843</v>
      </c>
      <c r="AA29" s="86">
        <v>98823154403</v>
      </c>
      <c r="AB29" s="86">
        <v>18408812921</v>
      </c>
      <c r="AC29" s="86">
        <v>35754054814</v>
      </c>
      <c r="AD29" s="86">
        <v>51014893626</v>
      </c>
      <c r="AE29" s="86">
        <v>76401816222</v>
      </c>
      <c r="AF29" s="86">
        <v>11596888518</v>
      </c>
      <c r="AG29" s="86">
        <v>38203639147</v>
      </c>
      <c r="AH29" s="86">
        <v>58842582773</v>
      </c>
    </row>
    <row r="30" spans="2:34">
      <c r="B30" s="42" t="s">
        <v>915</v>
      </c>
      <c r="C30" s="42" t="s">
        <v>915</v>
      </c>
      <c r="D30" s="86">
        <v>30913800</v>
      </c>
      <c r="E30" s="86">
        <v>0</v>
      </c>
      <c r="F30" s="86"/>
      <c r="G30" s="86">
        <v>62143500</v>
      </c>
      <c r="H30" s="86">
        <v>67600500</v>
      </c>
      <c r="I30" s="86">
        <v>0</v>
      </c>
      <c r="J30" s="86">
        <v>5570500</v>
      </c>
      <c r="K30" s="86">
        <v>5570500</v>
      </c>
      <c r="L30" s="86">
        <v>60000000</v>
      </c>
      <c r="M30" s="86">
        <v>65095500</v>
      </c>
      <c r="N30" s="86">
        <v>65095500</v>
      </c>
      <c r="O30" s="86">
        <v>65095500</v>
      </c>
      <c r="P30" s="86">
        <v>0</v>
      </c>
      <c r="Q30" s="86">
        <v>0</v>
      </c>
      <c r="R30" s="86">
        <v>0</v>
      </c>
      <c r="S30" s="86">
        <v>0</v>
      </c>
      <c r="T30" s="86">
        <v>0</v>
      </c>
      <c r="U30" s="86">
        <v>0</v>
      </c>
      <c r="V30" s="86">
        <v>0</v>
      </c>
      <c r="W30" s="86">
        <v>44986000</v>
      </c>
      <c r="X30" s="86">
        <v>0</v>
      </c>
      <c r="Y30" s="86">
        <v>0</v>
      </c>
      <c r="Z30" s="86">
        <v>53240093</v>
      </c>
      <c r="AA30" s="86">
        <v>55427184</v>
      </c>
      <c r="AB30" s="86">
        <v>1955389</v>
      </c>
      <c r="AC30" s="86">
        <v>3671937</v>
      </c>
      <c r="AD30" s="86">
        <v>13669752</v>
      </c>
      <c r="AE30" s="86">
        <v>33817893</v>
      </c>
      <c r="AF30" s="86">
        <v>8012761</v>
      </c>
      <c r="AG30" s="86">
        <v>1273687920</v>
      </c>
      <c r="AH30" s="86">
        <v>1280793359</v>
      </c>
    </row>
    <row r="31" spans="2:34">
      <c r="B31" s="41" t="s">
        <v>916</v>
      </c>
      <c r="C31" s="41" t="s">
        <v>916</v>
      </c>
      <c r="D31" s="86">
        <v>531000000</v>
      </c>
      <c r="E31" s="86">
        <v>41000000</v>
      </c>
      <c r="F31" s="86"/>
      <c r="G31" s="86">
        <v>86000000</v>
      </c>
      <c r="H31" s="86">
        <v>90000000</v>
      </c>
      <c r="I31" s="86">
        <v>2000000</v>
      </c>
      <c r="J31" s="86">
        <v>15000000</v>
      </c>
      <c r="K31" s="86">
        <v>18000000</v>
      </c>
      <c r="L31" s="86">
        <v>2000000</v>
      </c>
      <c r="M31" s="86">
        <v>2000000</v>
      </c>
      <c r="N31" s="86">
        <v>2000000</v>
      </c>
      <c r="O31" s="86">
        <v>12000000</v>
      </c>
      <c r="P31" s="86">
        <v>0</v>
      </c>
      <c r="Q31" s="86">
        <v>0</v>
      </c>
      <c r="R31" s="86">
        <v>0</v>
      </c>
      <c r="S31" s="86">
        <v>0</v>
      </c>
      <c r="T31" s="86">
        <v>0</v>
      </c>
      <c r="U31" s="86">
        <v>0</v>
      </c>
      <c r="V31" s="86">
        <v>0</v>
      </c>
      <c r="W31" s="86">
        <v>0</v>
      </c>
      <c r="X31" s="86">
        <v>0</v>
      </c>
      <c r="Y31" s="86">
        <v>0</v>
      </c>
      <c r="Z31" s="86">
        <v>0</v>
      </c>
      <c r="AA31" s="86">
        <v>0</v>
      </c>
      <c r="AB31" s="86">
        <v>0</v>
      </c>
      <c r="AC31" s="86">
        <v>0</v>
      </c>
      <c r="AD31" s="86">
        <v>0</v>
      </c>
      <c r="AE31" s="86">
        <v>0</v>
      </c>
      <c r="AF31" s="86">
        <v>0</v>
      </c>
      <c r="AG31" s="86">
        <v>0</v>
      </c>
      <c r="AH31" s="86">
        <v>0</v>
      </c>
    </row>
    <row r="32" spans="2:34">
      <c r="B32" s="41" t="s">
        <v>917</v>
      </c>
      <c r="C32" s="41" t="s">
        <v>917</v>
      </c>
      <c r="D32" s="86">
        <v>72579384206</v>
      </c>
      <c r="E32" s="86">
        <v>15318062575</v>
      </c>
      <c r="F32" s="86"/>
      <c r="G32" s="86">
        <v>44431283784</v>
      </c>
      <c r="H32" s="86">
        <v>59490750427</v>
      </c>
      <c r="I32" s="86">
        <v>14723521031</v>
      </c>
      <c r="J32" s="86">
        <v>28625384043</v>
      </c>
      <c r="K32" s="86">
        <v>42138133707</v>
      </c>
      <c r="L32" s="86">
        <v>13513176236</v>
      </c>
      <c r="M32" s="86">
        <v>27416731722</v>
      </c>
      <c r="N32" s="86">
        <v>42185177293</v>
      </c>
      <c r="O32" s="86">
        <v>55100014265</v>
      </c>
      <c r="P32" s="86">
        <v>13738140163</v>
      </c>
      <c r="Q32" s="86">
        <v>29881522102</v>
      </c>
      <c r="R32" s="86">
        <v>43503544597</v>
      </c>
      <c r="S32" s="86">
        <v>56902689653</v>
      </c>
      <c r="T32" s="86">
        <v>13269841117</v>
      </c>
      <c r="U32" s="86">
        <v>28484586410</v>
      </c>
      <c r="V32" s="86">
        <v>44262188689</v>
      </c>
      <c r="W32" s="86">
        <v>57538758811</v>
      </c>
      <c r="X32" s="86">
        <v>16723151367</v>
      </c>
      <c r="Y32" s="86">
        <v>32527888269</v>
      </c>
      <c r="Z32" s="86">
        <v>51187239522</v>
      </c>
      <c r="AA32" s="86">
        <v>70348390236</v>
      </c>
      <c r="AB32" s="86">
        <v>21238732859</v>
      </c>
      <c r="AC32" s="86">
        <v>42093449303</v>
      </c>
      <c r="AD32" s="86">
        <v>61735127949</v>
      </c>
      <c r="AE32" s="86">
        <v>78729660694</v>
      </c>
      <c r="AF32" s="86">
        <v>20628137978</v>
      </c>
      <c r="AG32" s="86">
        <v>44915622526</v>
      </c>
      <c r="AH32" s="86">
        <v>67690312467</v>
      </c>
    </row>
    <row r="33" spans="2:34">
      <c r="B33" s="42" t="s">
        <v>918</v>
      </c>
      <c r="C33" s="42" t="s">
        <v>918</v>
      </c>
      <c r="D33" s="86">
        <v>7322996782</v>
      </c>
      <c r="E33" s="86">
        <v>1384371559</v>
      </c>
      <c r="F33" s="86"/>
      <c r="G33" s="86">
        <v>3022360966</v>
      </c>
      <c r="H33" s="86">
        <v>4326375830</v>
      </c>
      <c r="I33" s="86">
        <v>1580667295</v>
      </c>
      <c r="J33" s="86">
        <v>2374381160</v>
      </c>
      <c r="K33" s="86">
        <v>3205649959</v>
      </c>
      <c r="L33" s="86">
        <v>1407807916</v>
      </c>
      <c r="M33" s="86">
        <v>3191176269</v>
      </c>
      <c r="N33" s="86">
        <v>5254911757</v>
      </c>
      <c r="O33" s="86">
        <v>6300852356</v>
      </c>
      <c r="P33" s="86">
        <v>1756186252</v>
      </c>
      <c r="Q33" s="86">
        <v>5200789018</v>
      </c>
      <c r="R33" s="86">
        <v>6816378474</v>
      </c>
      <c r="S33" s="86">
        <v>7985860790</v>
      </c>
      <c r="T33" s="86">
        <v>1478061793</v>
      </c>
      <c r="U33" s="86">
        <v>4448509555</v>
      </c>
      <c r="V33" s="86">
        <v>7552411870</v>
      </c>
      <c r="W33" s="86">
        <v>8574206362</v>
      </c>
      <c r="X33" s="86">
        <v>4642729112</v>
      </c>
      <c r="Y33" s="86">
        <v>7448840688</v>
      </c>
      <c r="Z33" s="86">
        <v>12677563917</v>
      </c>
      <c r="AA33" s="86">
        <v>17903397017</v>
      </c>
      <c r="AB33" s="86">
        <v>6597319825</v>
      </c>
      <c r="AC33" s="86">
        <v>12383294998</v>
      </c>
      <c r="AD33" s="86">
        <v>17318148582</v>
      </c>
      <c r="AE33" s="86">
        <v>20465130816</v>
      </c>
      <c r="AF33" s="86">
        <v>6737790687</v>
      </c>
      <c r="AG33" s="86">
        <v>16442380462</v>
      </c>
      <c r="AH33" s="86">
        <v>24566155304</v>
      </c>
    </row>
    <row r="34" spans="2:34">
      <c r="B34" s="42" t="s">
        <v>919</v>
      </c>
      <c r="C34" s="42" t="s">
        <v>919</v>
      </c>
      <c r="D34" s="86">
        <v>65256387424</v>
      </c>
      <c r="E34" s="86">
        <v>13933691016</v>
      </c>
      <c r="F34" s="86"/>
      <c r="G34" s="86">
        <v>41408922818</v>
      </c>
      <c r="H34" s="86">
        <v>55164374597</v>
      </c>
      <c r="I34" s="86">
        <v>13142853736</v>
      </c>
      <c r="J34" s="86">
        <v>26251002883</v>
      </c>
      <c r="K34" s="86">
        <v>38932483748</v>
      </c>
      <c r="L34" s="86">
        <v>12105368320</v>
      </c>
      <c r="M34" s="86">
        <v>24225555453</v>
      </c>
      <c r="N34" s="86">
        <v>36930265536</v>
      </c>
      <c r="O34" s="86">
        <v>48799161909</v>
      </c>
      <c r="P34" s="86">
        <v>11981953911</v>
      </c>
      <c r="Q34" s="86">
        <v>24680733084</v>
      </c>
      <c r="R34" s="86">
        <v>36687166123</v>
      </c>
      <c r="S34" s="86">
        <v>48916828863</v>
      </c>
      <c r="T34" s="86">
        <v>11791779324</v>
      </c>
      <c r="U34" s="86">
        <v>24036076855</v>
      </c>
      <c r="V34" s="86">
        <v>36709776819</v>
      </c>
      <c r="W34" s="86">
        <v>48964552449</v>
      </c>
      <c r="X34" s="86">
        <v>12080422255</v>
      </c>
      <c r="Y34" s="86">
        <v>25079047581</v>
      </c>
      <c r="Z34" s="86">
        <v>38509675605</v>
      </c>
      <c r="AA34" s="86">
        <v>52444993219</v>
      </c>
      <c r="AB34" s="86">
        <v>14641413034</v>
      </c>
      <c r="AC34" s="86">
        <v>29710154305</v>
      </c>
      <c r="AD34" s="86">
        <v>44416979367</v>
      </c>
      <c r="AE34" s="86">
        <v>58264529878</v>
      </c>
      <c r="AF34" s="86">
        <v>13890347291</v>
      </c>
      <c r="AG34" s="86">
        <v>28473242064</v>
      </c>
      <c r="AH34" s="86">
        <v>43124157163</v>
      </c>
    </row>
    <row r="35" spans="2:34">
      <c r="B35" s="41" t="s">
        <v>920</v>
      </c>
      <c r="C35" s="41" t="s">
        <v>920</v>
      </c>
      <c r="D35" s="86">
        <v>41799478379</v>
      </c>
      <c r="E35" s="86">
        <v>5180740899</v>
      </c>
      <c r="F35" s="86"/>
      <c r="G35" s="86">
        <v>16402562193</v>
      </c>
      <c r="H35" s="86">
        <v>20802581835</v>
      </c>
      <c r="I35" s="86">
        <v>5112279309</v>
      </c>
      <c r="J35" s="86">
        <v>9266650509</v>
      </c>
      <c r="K35" s="86">
        <v>13457141271</v>
      </c>
      <c r="L35" s="86">
        <v>3598108036</v>
      </c>
      <c r="M35" s="86">
        <v>7206041881</v>
      </c>
      <c r="N35" s="86">
        <v>10970596314</v>
      </c>
      <c r="O35" s="86">
        <v>14443673131</v>
      </c>
      <c r="P35" s="86">
        <v>4510775202</v>
      </c>
      <c r="Q35" s="86">
        <v>12312220940</v>
      </c>
      <c r="R35" s="86">
        <v>19643143165</v>
      </c>
      <c r="S35" s="86">
        <v>27383685405</v>
      </c>
      <c r="T35" s="86">
        <v>6891163036</v>
      </c>
      <c r="U35" s="86">
        <v>14157487584</v>
      </c>
      <c r="V35" s="86">
        <v>21226211850</v>
      </c>
      <c r="W35" s="86">
        <v>27886770338</v>
      </c>
      <c r="X35" s="86">
        <v>6111760781</v>
      </c>
      <c r="Y35" s="86">
        <v>12327616169</v>
      </c>
      <c r="Z35" s="86">
        <v>19119099828</v>
      </c>
      <c r="AA35" s="86">
        <v>25577056458</v>
      </c>
      <c r="AB35" s="86">
        <v>6736864796</v>
      </c>
      <c r="AC35" s="86">
        <v>13322261590</v>
      </c>
      <c r="AD35" s="86">
        <v>19391495764</v>
      </c>
      <c r="AE35" s="86">
        <v>23290559802</v>
      </c>
      <c r="AF35" s="86">
        <v>3494401758</v>
      </c>
      <c r="AG35" s="86">
        <v>7667274969</v>
      </c>
      <c r="AH35" s="86">
        <v>11602260160</v>
      </c>
    </row>
    <row r="36" spans="2:34">
      <c r="B36" s="42" t="s">
        <v>921</v>
      </c>
      <c r="C36" s="42" t="s">
        <v>921</v>
      </c>
      <c r="D36" s="86">
        <v>0</v>
      </c>
      <c r="E36" s="86">
        <v>0</v>
      </c>
      <c r="F36" s="86"/>
      <c r="G36" s="86">
        <v>0</v>
      </c>
      <c r="H36" s="86">
        <v>0</v>
      </c>
      <c r="I36" s="86">
        <v>0</v>
      </c>
      <c r="J36" s="86">
        <v>0</v>
      </c>
      <c r="K36" s="86">
        <v>0</v>
      </c>
      <c r="L36" s="86">
        <v>0</v>
      </c>
      <c r="M36" s="86">
        <v>0</v>
      </c>
      <c r="N36" s="86">
        <v>0</v>
      </c>
      <c r="O36" s="86">
        <v>0</v>
      </c>
      <c r="P36" s="86">
        <v>0</v>
      </c>
      <c r="Q36" s="86">
        <v>0</v>
      </c>
      <c r="R36" s="86">
        <v>0</v>
      </c>
      <c r="S36" s="86">
        <v>0</v>
      </c>
      <c r="T36" s="86">
        <v>0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6">
        <v>0</v>
      </c>
      <c r="AA36" s="86">
        <v>0</v>
      </c>
      <c r="AB36" s="86">
        <v>0</v>
      </c>
      <c r="AC36" s="86">
        <v>0</v>
      </c>
      <c r="AD36" s="86">
        <v>0</v>
      </c>
      <c r="AE36" s="86">
        <v>0</v>
      </c>
      <c r="AF36" s="86">
        <v>0</v>
      </c>
      <c r="AG36" s="86">
        <v>0</v>
      </c>
      <c r="AH36" s="86">
        <v>0</v>
      </c>
    </row>
    <row r="37" spans="2:34">
      <c r="B37" s="42" t="s">
        <v>922</v>
      </c>
      <c r="C37" s="42" t="s">
        <v>922</v>
      </c>
      <c r="D37" s="86">
        <v>41799478379</v>
      </c>
      <c r="E37" s="86">
        <v>5180740899</v>
      </c>
      <c r="F37" s="86"/>
      <c r="G37" s="86">
        <v>16402562193</v>
      </c>
      <c r="H37" s="86">
        <v>20802581835</v>
      </c>
      <c r="I37" s="86">
        <v>5112279309</v>
      </c>
      <c r="J37" s="86">
        <v>9266650509</v>
      </c>
      <c r="K37" s="86">
        <v>13457141271</v>
      </c>
      <c r="L37" s="86">
        <v>3598108036</v>
      </c>
      <c r="M37" s="86">
        <v>7206041881</v>
      </c>
      <c r="N37" s="86">
        <v>10970596314</v>
      </c>
      <c r="O37" s="86">
        <v>14443673131</v>
      </c>
      <c r="P37" s="86">
        <v>4510775202</v>
      </c>
      <c r="Q37" s="86">
        <v>12312220940</v>
      </c>
      <c r="R37" s="86">
        <v>19643143165</v>
      </c>
      <c r="S37" s="86">
        <v>27383685405</v>
      </c>
      <c r="T37" s="86">
        <v>6891163036</v>
      </c>
      <c r="U37" s="86">
        <v>14157487584</v>
      </c>
      <c r="V37" s="86">
        <v>21226211850</v>
      </c>
      <c r="W37" s="86">
        <v>27886770338</v>
      </c>
      <c r="X37" s="86">
        <v>6111760781</v>
      </c>
      <c r="Y37" s="86">
        <v>12327616169</v>
      </c>
      <c r="Z37" s="86">
        <v>19119099828</v>
      </c>
      <c r="AA37" s="86">
        <v>25577056458</v>
      </c>
      <c r="AB37" s="86">
        <v>6736864796</v>
      </c>
      <c r="AC37" s="86">
        <v>13322261590</v>
      </c>
      <c r="AD37" s="86">
        <v>19391495764</v>
      </c>
      <c r="AE37" s="86">
        <v>23290559802</v>
      </c>
      <c r="AF37" s="86">
        <v>3494401758</v>
      </c>
      <c r="AG37" s="86">
        <v>7667274969</v>
      </c>
      <c r="AH37" s="86">
        <v>11602260160</v>
      </c>
    </row>
    <row r="38" spans="2:34">
      <c r="B38" s="42" t="s">
        <v>923</v>
      </c>
      <c r="C38" s="42" t="s">
        <v>923</v>
      </c>
      <c r="D38" s="86">
        <v>0</v>
      </c>
      <c r="E38" s="86">
        <v>0</v>
      </c>
      <c r="F38" s="86"/>
      <c r="G38" s="86">
        <v>0</v>
      </c>
      <c r="H38" s="86">
        <v>0</v>
      </c>
      <c r="I38" s="86">
        <v>0</v>
      </c>
      <c r="J38" s="86">
        <v>0</v>
      </c>
      <c r="K38" s="86">
        <v>0</v>
      </c>
      <c r="L38" s="86">
        <v>0</v>
      </c>
      <c r="M38" s="86">
        <v>0</v>
      </c>
      <c r="N38" s="86">
        <v>0</v>
      </c>
      <c r="O38" s="86">
        <v>0</v>
      </c>
      <c r="P38" s="86">
        <v>0</v>
      </c>
      <c r="Q38" s="86">
        <v>0</v>
      </c>
      <c r="R38" s="86">
        <v>0</v>
      </c>
      <c r="S38" s="86">
        <v>0</v>
      </c>
      <c r="T38" s="86">
        <v>0</v>
      </c>
      <c r="U38" s="86">
        <v>0</v>
      </c>
      <c r="V38" s="86">
        <v>0</v>
      </c>
      <c r="W38" s="86">
        <v>0</v>
      </c>
      <c r="X38" s="86">
        <v>0</v>
      </c>
      <c r="Y38" s="86">
        <v>0</v>
      </c>
      <c r="Z38" s="86">
        <v>0</v>
      </c>
      <c r="AA38" s="86">
        <v>0</v>
      </c>
      <c r="AB38" s="86">
        <v>0</v>
      </c>
      <c r="AC38" s="86">
        <v>0</v>
      </c>
      <c r="AD38" s="86">
        <v>0</v>
      </c>
      <c r="AE38" s="86">
        <v>0</v>
      </c>
      <c r="AF38" s="86">
        <v>0</v>
      </c>
      <c r="AG38" s="86">
        <v>0</v>
      </c>
      <c r="AH38" s="86">
        <v>0</v>
      </c>
    </row>
    <row r="39" spans="2:34">
      <c r="B39" s="41" t="s">
        <v>924</v>
      </c>
      <c r="C39" s="41" t="s">
        <v>924</v>
      </c>
      <c r="D39" s="86">
        <v>0</v>
      </c>
      <c r="E39" s="86">
        <v>0</v>
      </c>
      <c r="F39" s="86"/>
      <c r="G39" s="86">
        <v>0</v>
      </c>
      <c r="H39" s="86">
        <v>0</v>
      </c>
      <c r="I39" s="86">
        <v>0</v>
      </c>
      <c r="J39" s="86">
        <v>0</v>
      </c>
      <c r="K39" s="86">
        <v>0</v>
      </c>
      <c r="L39" s="86">
        <v>0</v>
      </c>
      <c r="M39" s="86">
        <v>0</v>
      </c>
      <c r="N39" s="86">
        <v>0</v>
      </c>
      <c r="O39" s="86">
        <v>0</v>
      </c>
      <c r="P39" s="86">
        <v>0</v>
      </c>
      <c r="Q39" s="86">
        <v>0</v>
      </c>
      <c r="R39" s="86">
        <v>0</v>
      </c>
      <c r="S39" s="86">
        <v>0</v>
      </c>
      <c r="T39" s="86">
        <v>0</v>
      </c>
      <c r="U39" s="86">
        <v>0</v>
      </c>
      <c r="V39" s="86">
        <v>0</v>
      </c>
      <c r="W39" s="86">
        <v>0</v>
      </c>
      <c r="X39" s="86">
        <v>0</v>
      </c>
      <c r="Y39" s="86">
        <v>0</v>
      </c>
      <c r="Z39" s="86">
        <v>0</v>
      </c>
      <c r="AA39" s="86">
        <v>0</v>
      </c>
      <c r="AB39" s="86">
        <v>0</v>
      </c>
      <c r="AC39" s="86">
        <v>0</v>
      </c>
      <c r="AD39" s="86">
        <v>0</v>
      </c>
      <c r="AE39" s="86">
        <v>0</v>
      </c>
      <c r="AF39" s="86">
        <v>0</v>
      </c>
      <c r="AG39" s="86">
        <v>0</v>
      </c>
      <c r="AH39" s="86">
        <v>0</v>
      </c>
    </row>
    <row r="40" spans="2:34">
      <c r="B40" s="42" t="s">
        <v>925</v>
      </c>
      <c r="C40" s="42" t="s">
        <v>925</v>
      </c>
      <c r="D40" s="86">
        <v>0</v>
      </c>
      <c r="E40" s="86">
        <v>0</v>
      </c>
      <c r="F40" s="86"/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86">
        <v>0</v>
      </c>
      <c r="M40" s="86">
        <v>0</v>
      </c>
      <c r="N40" s="86">
        <v>0</v>
      </c>
      <c r="O40" s="86">
        <v>0</v>
      </c>
      <c r="P40" s="86">
        <v>0</v>
      </c>
      <c r="Q40" s="86">
        <v>0</v>
      </c>
      <c r="R40" s="86">
        <v>0</v>
      </c>
      <c r="S40" s="86">
        <v>0</v>
      </c>
      <c r="T40" s="86">
        <v>0</v>
      </c>
      <c r="U40" s="86">
        <v>0</v>
      </c>
      <c r="V40" s="86">
        <v>0</v>
      </c>
      <c r="W40" s="86">
        <v>0</v>
      </c>
      <c r="X40" s="86">
        <v>0</v>
      </c>
      <c r="Y40" s="86">
        <v>0</v>
      </c>
      <c r="Z40" s="86">
        <v>0</v>
      </c>
      <c r="AA40" s="86">
        <v>0</v>
      </c>
      <c r="AB40" s="86">
        <v>0</v>
      </c>
      <c r="AC40" s="86">
        <v>0</v>
      </c>
      <c r="AD40" s="86">
        <v>0</v>
      </c>
      <c r="AE40" s="86">
        <v>0</v>
      </c>
      <c r="AF40" s="86">
        <v>0</v>
      </c>
      <c r="AG40" s="86">
        <v>0</v>
      </c>
      <c r="AH40" s="86">
        <v>0</v>
      </c>
    </row>
    <row r="41" spans="2:34">
      <c r="B41" s="42" t="s">
        <v>926</v>
      </c>
      <c r="C41" s="42" t="s">
        <v>926</v>
      </c>
      <c r="D41" s="86">
        <v>0</v>
      </c>
      <c r="E41" s="86">
        <v>0</v>
      </c>
      <c r="F41" s="86"/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v>0</v>
      </c>
      <c r="M41" s="86">
        <v>0</v>
      </c>
      <c r="N41" s="86">
        <v>0</v>
      </c>
      <c r="O41" s="86">
        <v>0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86">
        <v>0</v>
      </c>
      <c r="Y41" s="86">
        <v>0</v>
      </c>
      <c r="Z41" s="86">
        <v>0</v>
      </c>
      <c r="AA41" s="86">
        <v>0</v>
      </c>
      <c r="AB41" s="86">
        <v>0</v>
      </c>
      <c r="AC41" s="86">
        <v>0</v>
      </c>
      <c r="AD41" s="86">
        <v>0</v>
      </c>
      <c r="AE41" s="86">
        <v>0</v>
      </c>
      <c r="AF41" s="86">
        <v>0</v>
      </c>
      <c r="AG41" s="86">
        <v>0</v>
      </c>
      <c r="AH41" s="86">
        <v>0</v>
      </c>
    </row>
    <row r="42" spans="2:34">
      <c r="B42" s="42" t="s">
        <v>923</v>
      </c>
      <c r="C42" s="42" t="s">
        <v>923</v>
      </c>
      <c r="D42" s="86">
        <v>0</v>
      </c>
      <c r="E42" s="86">
        <v>0</v>
      </c>
      <c r="F42" s="86"/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0</v>
      </c>
      <c r="M42" s="86">
        <v>0</v>
      </c>
      <c r="N42" s="86">
        <v>0</v>
      </c>
      <c r="O42" s="86">
        <v>0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6">
        <v>0</v>
      </c>
      <c r="V42" s="86">
        <v>0</v>
      </c>
      <c r="W42" s="86">
        <v>0</v>
      </c>
      <c r="X42" s="86">
        <v>0</v>
      </c>
      <c r="Y42" s="86">
        <v>0</v>
      </c>
      <c r="Z42" s="86">
        <v>0</v>
      </c>
      <c r="AA42" s="86">
        <v>0</v>
      </c>
      <c r="AB42" s="86">
        <v>0</v>
      </c>
      <c r="AC42" s="86">
        <v>0</v>
      </c>
      <c r="AD42" s="86">
        <v>0</v>
      </c>
      <c r="AE42" s="86">
        <v>0</v>
      </c>
      <c r="AF42" s="86">
        <v>0</v>
      </c>
      <c r="AG42" s="86">
        <v>0</v>
      </c>
      <c r="AH42" s="86">
        <v>0</v>
      </c>
    </row>
    <row r="43" spans="2:34">
      <c r="B43" s="41" t="s">
        <v>927</v>
      </c>
      <c r="C43" s="41" t="s">
        <v>927</v>
      </c>
      <c r="D43" s="86">
        <v>0</v>
      </c>
      <c r="E43" s="86">
        <v>0</v>
      </c>
      <c r="F43" s="86"/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v>0</v>
      </c>
      <c r="M43" s="86">
        <v>0</v>
      </c>
      <c r="N43" s="86">
        <v>0</v>
      </c>
      <c r="O43" s="86">
        <v>0</v>
      </c>
      <c r="P43" s="86">
        <v>0</v>
      </c>
      <c r="Q43" s="86">
        <v>0</v>
      </c>
      <c r="R43" s="86">
        <v>0</v>
      </c>
      <c r="S43" s="86">
        <v>0</v>
      </c>
      <c r="T43" s="86">
        <v>0</v>
      </c>
      <c r="U43" s="86">
        <v>0</v>
      </c>
      <c r="V43" s="86">
        <v>0</v>
      </c>
      <c r="W43" s="86">
        <v>0</v>
      </c>
      <c r="X43" s="86">
        <v>0</v>
      </c>
      <c r="Y43" s="86">
        <v>0</v>
      </c>
      <c r="Z43" s="86">
        <v>0</v>
      </c>
      <c r="AA43" s="86">
        <v>0</v>
      </c>
      <c r="AB43" s="86">
        <v>0</v>
      </c>
      <c r="AC43" s="86">
        <v>0</v>
      </c>
      <c r="AD43" s="86">
        <v>0</v>
      </c>
      <c r="AE43" s="86">
        <v>0</v>
      </c>
      <c r="AF43" s="86">
        <v>0</v>
      </c>
      <c r="AG43" s="86">
        <v>0</v>
      </c>
      <c r="AH43" s="86">
        <v>0</v>
      </c>
    </row>
    <row r="44" spans="2:34">
      <c r="B44" s="41" t="s">
        <v>928</v>
      </c>
      <c r="C44" s="41" t="s">
        <v>928</v>
      </c>
      <c r="D44" s="86">
        <v>12796324325</v>
      </c>
      <c r="E44" s="86">
        <v>5624142987</v>
      </c>
      <c r="F44" s="86"/>
      <c r="G44" s="86">
        <v>12522482923</v>
      </c>
      <c r="H44" s="86">
        <v>14434277507</v>
      </c>
      <c r="I44" s="86">
        <v>9105740674</v>
      </c>
      <c r="J44" s="86">
        <v>13684047525</v>
      </c>
      <c r="K44" s="86">
        <v>16184651041</v>
      </c>
      <c r="L44" s="86">
        <v>9133474679</v>
      </c>
      <c r="M44" s="86">
        <v>16141122919</v>
      </c>
      <c r="N44" s="86">
        <v>22166471695</v>
      </c>
      <c r="O44" s="86">
        <v>25476348246</v>
      </c>
      <c r="P44" s="86">
        <v>7541023741</v>
      </c>
      <c r="Q44" s="86">
        <v>11316835413</v>
      </c>
      <c r="R44" s="86">
        <v>14316508140</v>
      </c>
      <c r="S44" s="86">
        <v>17690864165</v>
      </c>
      <c r="T44" s="86">
        <v>7734995412</v>
      </c>
      <c r="U44" s="86">
        <v>15164615808</v>
      </c>
      <c r="V44" s="86">
        <v>21065141763</v>
      </c>
      <c r="W44" s="86">
        <v>35330675480</v>
      </c>
      <c r="X44" s="86">
        <v>5407037711</v>
      </c>
      <c r="Y44" s="86">
        <v>16360875666</v>
      </c>
      <c r="Z44" s="86">
        <v>33024630211</v>
      </c>
      <c r="AA44" s="86">
        <v>42753015490</v>
      </c>
      <c r="AB44" s="86">
        <v>11707302000</v>
      </c>
      <c r="AC44" s="86">
        <v>29365690936</v>
      </c>
      <c r="AD44" s="86">
        <v>49330357918</v>
      </c>
      <c r="AE44" s="86">
        <v>59590007121</v>
      </c>
      <c r="AF44" s="86">
        <v>24766447551</v>
      </c>
      <c r="AG44" s="86">
        <v>66918662704</v>
      </c>
      <c r="AH44" s="86">
        <v>104580447935</v>
      </c>
    </row>
    <row r="45" spans="2:34">
      <c r="B45" s="42" t="s">
        <v>929</v>
      </c>
      <c r="C45" s="42" t="s">
        <v>929</v>
      </c>
      <c r="D45" s="86">
        <v>0</v>
      </c>
      <c r="E45" s="86">
        <v>0</v>
      </c>
      <c r="F45" s="86"/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v>0</v>
      </c>
      <c r="M45" s="86">
        <v>0</v>
      </c>
      <c r="N45" s="86">
        <v>0</v>
      </c>
      <c r="O45" s="86">
        <v>0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X45" s="86">
        <v>0</v>
      </c>
      <c r="Y45" s="86">
        <v>0</v>
      </c>
      <c r="Z45" s="86">
        <v>0</v>
      </c>
      <c r="AA45" s="86">
        <v>0</v>
      </c>
      <c r="AB45" s="86">
        <v>0</v>
      </c>
      <c r="AC45" s="86">
        <v>0</v>
      </c>
      <c r="AD45" s="86">
        <v>0</v>
      </c>
      <c r="AE45" s="86">
        <v>0</v>
      </c>
      <c r="AF45" s="86">
        <v>0</v>
      </c>
      <c r="AG45" s="86">
        <v>0</v>
      </c>
      <c r="AH45" s="86">
        <v>0</v>
      </c>
    </row>
    <row r="46" spans="2:34">
      <c r="B46" s="42" t="s">
        <v>930</v>
      </c>
      <c r="C46" s="42" t="s">
        <v>930</v>
      </c>
      <c r="D46" s="86">
        <v>0</v>
      </c>
      <c r="E46" s="86">
        <v>0</v>
      </c>
      <c r="F46" s="86"/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86">
        <v>0</v>
      </c>
      <c r="M46" s="86">
        <v>0</v>
      </c>
      <c r="N46" s="86">
        <v>0</v>
      </c>
      <c r="O46" s="86">
        <v>0</v>
      </c>
      <c r="P46" s="86">
        <v>0</v>
      </c>
      <c r="Q46" s="86">
        <v>0</v>
      </c>
      <c r="R46" s="86">
        <v>0</v>
      </c>
      <c r="S46" s="86">
        <v>0</v>
      </c>
      <c r="T46" s="86">
        <v>0</v>
      </c>
      <c r="U46" s="86">
        <v>0</v>
      </c>
      <c r="V46" s="86">
        <v>0</v>
      </c>
      <c r="W46" s="86">
        <v>0</v>
      </c>
      <c r="X46" s="86">
        <v>0</v>
      </c>
      <c r="Y46" s="86">
        <v>0</v>
      </c>
      <c r="Z46" s="86">
        <v>0</v>
      </c>
      <c r="AA46" s="86">
        <v>0</v>
      </c>
      <c r="AB46" s="86">
        <v>0</v>
      </c>
      <c r="AC46" s="86">
        <v>0</v>
      </c>
      <c r="AD46" s="86">
        <v>0</v>
      </c>
      <c r="AE46" s="86">
        <v>0</v>
      </c>
      <c r="AF46" s="86">
        <v>0</v>
      </c>
      <c r="AG46" s="86">
        <v>0</v>
      </c>
      <c r="AH46" s="86">
        <v>0</v>
      </c>
    </row>
    <row r="47" spans="2:34">
      <c r="B47" s="42" t="s">
        <v>931</v>
      </c>
      <c r="C47" s="42" t="s">
        <v>931</v>
      </c>
      <c r="D47" s="86">
        <v>12796324325</v>
      </c>
      <c r="E47" s="86">
        <v>5624142987</v>
      </c>
      <c r="F47" s="86"/>
      <c r="G47" s="86">
        <v>12522482923</v>
      </c>
      <c r="H47" s="86">
        <v>14434277507</v>
      </c>
      <c r="I47" s="86">
        <v>9105740674</v>
      </c>
      <c r="J47" s="86">
        <v>13684047525</v>
      </c>
      <c r="K47" s="86">
        <v>16184651041</v>
      </c>
      <c r="L47" s="86">
        <v>9133474679</v>
      </c>
      <c r="M47" s="86">
        <v>16141122919</v>
      </c>
      <c r="N47" s="86">
        <v>22166471695</v>
      </c>
      <c r="O47" s="86">
        <v>25476348246</v>
      </c>
      <c r="P47" s="86">
        <v>7541023741</v>
      </c>
      <c r="Q47" s="86">
        <v>11316835413</v>
      </c>
      <c r="R47" s="86">
        <v>14316508140</v>
      </c>
      <c r="S47" s="86">
        <v>17690864165</v>
      </c>
      <c r="T47" s="86">
        <v>7734995412</v>
      </c>
      <c r="U47" s="86">
        <v>15164615808</v>
      </c>
      <c r="V47" s="86">
        <v>21065141763</v>
      </c>
      <c r="W47" s="86">
        <v>35330675480</v>
      </c>
      <c r="X47" s="86">
        <v>5407037711</v>
      </c>
      <c r="Y47" s="86">
        <v>16360875666</v>
      </c>
      <c r="Z47" s="86">
        <v>33024630211</v>
      </c>
      <c r="AA47" s="86">
        <v>42753015490</v>
      </c>
      <c r="AB47" s="86">
        <v>11707302000</v>
      </c>
      <c r="AC47" s="86">
        <v>29365690936</v>
      </c>
      <c r="AD47" s="86">
        <v>49330357918</v>
      </c>
      <c r="AE47" s="86">
        <v>59590007121</v>
      </c>
      <c r="AF47" s="86">
        <v>24766447551</v>
      </c>
      <c r="AG47" s="86">
        <v>66918662704</v>
      </c>
      <c r="AH47" s="86">
        <v>104580447935</v>
      </c>
    </row>
    <row r="48" spans="2:34">
      <c r="B48" s="42" t="s">
        <v>932</v>
      </c>
      <c r="C48" s="42" t="s">
        <v>932</v>
      </c>
      <c r="D48" s="86">
        <v>0</v>
      </c>
      <c r="E48" s="86">
        <v>0</v>
      </c>
      <c r="F48" s="86"/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6">
        <v>0</v>
      </c>
      <c r="M48" s="86">
        <v>0</v>
      </c>
      <c r="N48" s="86">
        <v>0</v>
      </c>
      <c r="O48" s="86">
        <v>0</v>
      </c>
      <c r="P48" s="86">
        <v>0</v>
      </c>
      <c r="Q48" s="86">
        <v>0</v>
      </c>
      <c r="R48" s="86">
        <v>0</v>
      </c>
      <c r="S48" s="86">
        <v>0</v>
      </c>
      <c r="T48" s="86">
        <v>0</v>
      </c>
      <c r="U48" s="86">
        <v>0</v>
      </c>
      <c r="V48" s="86">
        <v>0</v>
      </c>
      <c r="W48" s="86">
        <v>0</v>
      </c>
      <c r="X48" s="86">
        <v>0</v>
      </c>
      <c r="Y48" s="86">
        <v>0</v>
      </c>
      <c r="Z48" s="86">
        <v>0</v>
      </c>
      <c r="AA48" s="86">
        <v>0</v>
      </c>
      <c r="AB48" s="86">
        <v>0</v>
      </c>
      <c r="AC48" s="86">
        <v>0</v>
      </c>
      <c r="AD48" s="86">
        <v>0</v>
      </c>
      <c r="AE48" s="86">
        <v>0</v>
      </c>
      <c r="AF48" s="86">
        <v>0</v>
      </c>
      <c r="AG48" s="86">
        <v>0</v>
      </c>
      <c r="AH48" s="86">
        <v>0</v>
      </c>
    </row>
    <row r="49" spans="2:34">
      <c r="B49" s="41" t="s">
        <v>933</v>
      </c>
      <c r="C49" s="41" t="s">
        <v>933</v>
      </c>
      <c r="D49" s="86">
        <v>0</v>
      </c>
      <c r="E49" s="86">
        <v>0</v>
      </c>
      <c r="F49" s="86"/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v>0</v>
      </c>
      <c r="M49" s="86">
        <v>0</v>
      </c>
      <c r="N49" s="86">
        <v>0</v>
      </c>
      <c r="O49" s="86">
        <v>0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6">
        <v>0</v>
      </c>
      <c r="AA49" s="86">
        <v>0</v>
      </c>
      <c r="AB49" s="86">
        <v>0</v>
      </c>
      <c r="AC49" s="86">
        <v>0</v>
      </c>
      <c r="AD49" s="86">
        <v>0</v>
      </c>
      <c r="AE49" s="86">
        <v>0</v>
      </c>
      <c r="AF49" s="86">
        <v>0</v>
      </c>
      <c r="AG49" s="86">
        <v>0</v>
      </c>
      <c r="AH49" s="86">
        <v>0</v>
      </c>
    </row>
    <row r="50" spans="2:34">
      <c r="B50" s="42" t="s">
        <v>934</v>
      </c>
      <c r="C50" s="42" t="s">
        <v>934</v>
      </c>
      <c r="D50" s="86">
        <v>0</v>
      </c>
      <c r="E50" s="86">
        <v>0</v>
      </c>
      <c r="F50" s="86"/>
      <c r="G50" s="86">
        <v>0</v>
      </c>
      <c r="H50" s="86">
        <v>0</v>
      </c>
      <c r="I50" s="86">
        <v>0</v>
      </c>
      <c r="J50" s="86">
        <v>0</v>
      </c>
      <c r="K50" s="86">
        <v>0</v>
      </c>
      <c r="L50" s="86">
        <v>0</v>
      </c>
      <c r="M50" s="86">
        <v>0</v>
      </c>
      <c r="N50" s="86">
        <v>0</v>
      </c>
      <c r="O50" s="86">
        <v>0</v>
      </c>
      <c r="P50" s="86">
        <v>0</v>
      </c>
      <c r="Q50" s="86">
        <v>0</v>
      </c>
      <c r="R50" s="86">
        <v>0</v>
      </c>
      <c r="S50" s="86">
        <v>0</v>
      </c>
      <c r="T50" s="86">
        <v>0</v>
      </c>
      <c r="U50" s="86">
        <v>0</v>
      </c>
      <c r="V50" s="86">
        <v>0</v>
      </c>
      <c r="W50" s="86">
        <v>0</v>
      </c>
      <c r="X50" s="86">
        <v>0</v>
      </c>
      <c r="Y50" s="86">
        <v>0</v>
      </c>
      <c r="Z50" s="86">
        <v>0</v>
      </c>
      <c r="AA50" s="86">
        <v>0</v>
      </c>
      <c r="AB50" s="86">
        <v>0</v>
      </c>
      <c r="AC50" s="86">
        <v>0</v>
      </c>
      <c r="AD50" s="86">
        <v>0</v>
      </c>
      <c r="AE50" s="86">
        <v>0</v>
      </c>
      <c r="AF50" s="86">
        <v>0</v>
      </c>
      <c r="AG50" s="86">
        <v>0</v>
      </c>
      <c r="AH50" s="86">
        <v>0</v>
      </c>
    </row>
    <row r="51" spans="2:34">
      <c r="B51" s="42" t="s">
        <v>935</v>
      </c>
      <c r="C51" s="42" t="s">
        <v>935</v>
      </c>
      <c r="D51" s="86">
        <v>0</v>
      </c>
      <c r="E51" s="86">
        <v>0</v>
      </c>
      <c r="F51" s="86"/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86">
        <v>0</v>
      </c>
      <c r="M51" s="86">
        <v>0</v>
      </c>
      <c r="N51" s="86">
        <v>0</v>
      </c>
      <c r="O51" s="86">
        <v>0</v>
      </c>
      <c r="P51" s="86">
        <v>0</v>
      </c>
      <c r="Q51" s="86">
        <v>0</v>
      </c>
      <c r="R51" s="86">
        <v>0</v>
      </c>
      <c r="S51" s="86">
        <v>0</v>
      </c>
      <c r="T51" s="86">
        <v>0</v>
      </c>
      <c r="U51" s="86">
        <v>0</v>
      </c>
      <c r="V51" s="86">
        <v>0</v>
      </c>
      <c r="W51" s="86">
        <v>0</v>
      </c>
      <c r="X51" s="86">
        <v>0</v>
      </c>
      <c r="Y51" s="86">
        <v>0</v>
      </c>
      <c r="Z51" s="86">
        <v>0</v>
      </c>
      <c r="AA51" s="86">
        <v>0</v>
      </c>
      <c r="AB51" s="86">
        <v>0</v>
      </c>
      <c r="AC51" s="86">
        <v>0</v>
      </c>
      <c r="AD51" s="86">
        <v>0</v>
      </c>
      <c r="AE51" s="86">
        <v>0</v>
      </c>
      <c r="AF51" s="86">
        <v>0</v>
      </c>
      <c r="AG51" s="86">
        <v>0</v>
      </c>
      <c r="AH51" s="86">
        <v>0</v>
      </c>
    </row>
    <row r="52" spans="2:34">
      <c r="B52" s="42" t="s">
        <v>923</v>
      </c>
      <c r="C52" s="42" t="s">
        <v>923</v>
      </c>
      <c r="D52" s="86">
        <v>0</v>
      </c>
      <c r="E52" s="86">
        <v>0</v>
      </c>
      <c r="F52" s="86"/>
      <c r="G52" s="86">
        <v>0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6">
        <v>0</v>
      </c>
      <c r="N52" s="86">
        <v>0</v>
      </c>
      <c r="O52" s="86">
        <v>0</v>
      </c>
      <c r="P52" s="86">
        <v>0</v>
      </c>
      <c r="Q52" s="86">
        <v>0</v>
      </c>
      <c r="R52" s="86">
        <v>0</v>
      </c>
      <c r="S52" s="86">
        <v>0</v>
      </c>
      <c r="T52" s="86">
        <v>0</v>
      </c>
      <c r="U52" s="86">
        <v>0</v>
      </c>
      <c r="V52" s="86">
        <v>0</v>
      </c>
      <c r="W52" s="86">
        <v>0</v>
      </c>
      <c r="X52" s="86">
        <v>0</v>
      </c>
      <c r="Y52" s="86">
        <v>0</v>
      </c>
      <c r="Z52" s="86">
        <v>0</v>
      </c>
      <c r="AA52" s="86">
        <v>0</v>
      </c>
      <c r="AB52" s="86">
        <v>0</v>
      </c>
      <c r="AC52" s="86">
        <v>0</v>
      </c>
      <c r="AD52" s="86">
        <v>0</v>
      </c>
      <c r="AE52" s="86">
        <v>0</v>
      </c>
      <c r="AF52" s="86">
        <v>0</v>
      </c>
      <c r="AG52" s="86">
        <v>0</v>
      </c>
      <c r="AH52" s="86">
        <v>0</v>
      </c>
    </row>
    <row r="53" spans="2:34">
      <c r="B53" s="41" t="s">
        <v>936</v>
      </c>
      <c r="C53" s="41" t="s">
        <v>936</v>
      </c>
      <c r="D53" s="86">
        <v>6160125602</v>
      </c>
      <c r="E53" s="86">
        <v>2373760988</v>
      </c>
      <c r="F53" s="86"/>
      <c r="G53" s="86">
        <v>7059140250</v>
      </c>
      <c r="H53" s="86">
        <v>9764780118</v>
      </c>
      <c r="I53" s="86">
        <v>3315209499</v>
      </c>
      <c r="J53" s="86">
        <v>6046290740</v>
      </c>
      <c r="K53" s="86">
        <v>8926635161</v>
      </c>
      <c r="L53" s="86">
        <v>3260122919</v>
      </c>
      <c r="M53" s="86">
        <v>7172252724</v>
      </c>
      <c r="N53" s="86">
        <v>10046717302</v>
      </c>
      <c r="O53" s="86">
        <v>13512692095</v>
      </c>
      <c r="P53" s="86">
        <v>3269723986</v>
      </c>
      <c r="Q53" s="86">
        <v>8645425998</v>
      </c>
      <c r="R53" s="86">
        <v>12906468876</v>
      </c>
      <c r="S53" s="86">
        <v>16740923369</v>
      </c>
      <c r="T53" s="86">
        <v>3554259094</v>
      </c>
      <c r="U53" s="86">
        <v>8828059942</v>
      </c>
      <c r="V53" s="86">
        <v>12963180716</v>
      </c>
      <c r="W53" s="86">
        <v>17728595250</v>
      </c>
      <c r="X53" s="86">
        <v>5023977671</v>
      </c>
      <c r="Y53" s="86">
        <v>12295120179</v>
      </c>
      <c r="Z53" s="86">
        <v>18211000116</v>
      </c>
      <c r="AA53" s="86">
        <v>24043720901</v>
      </c>
      <c r="AB53" s="86">
        <v>6074584303</v>
      </c>
      <c r="AC53" s="86">
        <v>14604967887</v>
      </c>
      <c r="AD53" s="86">
        <v>20523450839</v>
      </c>
      <c r="AE53" s="86">
        <v>26481909256</v>
      </c>
      <c r="AF53" s="86">
        <v>6572665351</v>
      </c>
      <c r="AG53" s="86">
        <v>14892096401</v>
      </c>
      <c r="AH53" s="86">
        <v>22532508814</v>
      </c>
    </row>
    <row r="54" spans="2:34">
      <c r="B54" s="42" t="s">
        <v>937</v>
      </c>
      <c r="C54" s="42" t="s">
        <v>937</v>
      </c>
      <c r="D54" s="86">
        <v>4124203807</v>
      </c>
      <c r="E54" s="86">
        <v>1404913741</v>
      </c>
      <c r="F54" s="86"/>
      <c r="G54" s="86">
        <v>4512098394</v>
      </c>
      <c r="H54" s="86">
        <v>6314187120</v>
      </c>
      <c r="I54" s="86">
        <v>1990007386</v>
      </c>
      <c r="J54" s="86">
        <v>3709981583</v>
      </c>
      <c r="K54" s="86">
        <v>5327579652</v>
      </c>
      <c r="L54" s="86">
        <v>1888760061</v>
      </c>
      <c r="M54" s="86">
        <v>3554284018</v>
      </c>
      <c r="N54" s="86">
        <v>5431669099</v>
      </c>
      <c r="O54" s="86">
        <v>6976805545</v>
      </c>
      <c r="P54" s="86">
        <v>1881900445</v>
      </c>
      <c r="Q54" s="86">
        <v>4328310540</v>
      </c>
      <c r="R54" s="86">
        <v>7063413184</v>
      </c>
      <c r="S54" s="86">
        <v>8858010036</v>
      </c>
      <c r="T54" s="86">
        <v>1828742300</v>
      </c>
      <c r="U54" s="86">
        <v>4264660908</v>
      </c>
      <c r="V54" s="86">
        <v>6653394506</v>
      </c>
      <c r="W54" s="86">
        <v>9318505795</v>
      </c>
      <c r="X54" s="86">
        <v>3044685798</v>
      </c>
      <c r="Y54" s="86">
        <v>7264071124</v>
      </c>
      <c r="Z54" s="86">
        <v>11108342830</v>
      </c>
      <c r="AA54" s="86">
        <v>14536806534</v>
      </c>
      <c r="AB54" s="86">
        <v>3607409756</v>
      </c>
      <c r="AC54" s="86">
        <v>8404353362</v>
      </c>
      <c r="AD54" s="86">
        <v>11847340608</v>
      </c>
      <c r="AE54" s="86">
        <v>15033149169</v>
      </c>
      <c r="AF54" s="86">
        <v>4158879233</v>
      </c>
      <c r="AG54" s="86">
        <v>8943016067</v>
      </c>
      <c r="AH54" s="86">
        <v>13683652946</v>
      </c>
    </row>
    <row r="55" spans="2:34">
      <c r="B55" s="42" t="s">
        <v>938</v>
      </c>
      <c r="C55" s="42" t="s">
        <v>938</v>
      </c>
      <c r="D55" s="86">
        <v>0</v>
      </c>
      <c r="E55" s="86">
        <v>0</v>
      </c>
      <c r="F55" s="86"/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  <c r="O55" s="86">
        <v>0</v>
      </c>
      <c r="P55" s="86">
        <v>0</v>
      </c>
      <c r="Q55" s="86">
        <v>0</v>
      </c>
      <c r="R55" s="86">
        <v>0</v>
      </c>
      <c r="S55" s="86">
        <v>0</v>
      </c>
      <c r="T55" s="86">
        <v>0</v>
      </c>
      <c r="U55" s="86">
        <v>0</v>
      </c>
      <c r="V55" s="86">
        <v>0</v>
      </c>
      <c r="W55" s="86">
        <v>0</v>
      </c>
      <c r="X55" s="86">
        <v>0</v>
      </c>
      <c r="Y55" s="86">
        <v>0</v>
      </c>
      <c r="Z55" s="86">
        <v>0</v>
      </c>
      <c r="AA55" s="86">
        <v>0</v>
      </c>
      <c r="AB55" s="86">
        <v>0</v>
      </c>
      <c r="AC55" s="86">
        <v>0</v>
      </c>
      <c r="AD55" s="86">
        <v>0</v>
      </c>
      <c r="AE55" s="86">
        <v>0</v>
      </c>
      <c r="AF55" s="86">
        <v>0</v>
      </c>
      <c r="AG55" s="86">
        <v>0</v>
      </c>
      <c r="AH55" s="86">
        <v>0</v>
      </c>
    </row>
    <row r="56" spans="2:34">
      <c r="B56" s="42" t="s">
        <v>939</v>
      </c>
      <c r="C56" s="42" t="s">
        <v>939</v>
      </c>
      <c r="D56" s="86">
        <v>0</v>
      </c>
      <c r="E56" s="86">
        <v>0</v>
      </c>
      <c r="F56" s="86"/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  <c r="O56" s="86">
        <v>0</v>
      </c>
      <c r="P56" s="86">
        <v>0</v>
      </c>
      <c r="Q56" s="86">
        <v>0</v>
      </c>
      <c r="R56" s="86">
        <v>0</v>
      </c>
      <c r="S56" s="86">
        <v>0</v>
      </c>
      <c r="T56" s="86">
        <v>0</v>
      </c>
      <c r="U56" s="86">
        <v>0</v>
      </c>
      <c r="V56" s="86">
        <v>0</v>
      </c>
      <c r="W56" s="86">
        <v>0</v>
      </c>
      <c r="X56" s="86">
        <v>0</v>
      </c>
      <c r="Y56" s="86">
        <v>0</v>
      </c>
      <c r="Z56" s="86">
        <v>0</v>
      </c>
      <c r="AA56" s="86">
        <v>0</v>
      </c>
      <c r="AB56" s="86">
        <v>0</v>
      </c>
      <c r="AC56" s="86">
        <v>0</v>
      </c>
      <c r="AD56" s="86">
        <v>0</v>
      </c>
      <c r="AE56" s="86">
        <v>0</v>
      </c>
      <c r="AF56" s="86">
        <v>0</v>
      </c>
      <c r="AG56" s="86">
        <v>0</v>
      </c>
      <c r="AH56" s="86">
        <v>0</v>
      </c>
    </row>
    <row r="57" spans="2:34">
      <c r="B57" s="42" t="s">
        <v>940</v>
      </c>
      <c r="C57" s="42" t="s">
        <v>940</v>
      </c>
      <c r="D57" s="86">
        <v>0</v>
      </c>
      <c r="E57" s="86">
        <v>0</v>
      </c>
      <c r="F57" s="86"/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  <c r="O57" s="86">
        <v>0</v>
      </c>
      <c r="P57" s="86">
        <v>0</v>
      </c>
      <c r="Q57" s="86">
        <v>0</v>
      </c>
      <c r="R57" s="86">
        <v>0</v>
      </c>
      <c r="S57" s="86">
        <v>0</v>
      </c>
      <c r="T57" s="86">
        <v>0</v>
      </c>
      <c r="U57" s="86">
        <v>0</v>
      </c>
      <c r="V57" s="86">
        <v>0</v>
      </c>
      <c r="W57" s="86">
        <v>0</v>
      </c>
      <c r="X57" s="86">
        <v>0</v>
      </c>
      <c r="Y57" s="86">
        <v>0</v>
      </c>
      <c r="Z57" s="86">
        <v>0</v>
      </c>
      <c r="AA57" s="86">
        <v>0</v>
      </c>
      <c r="AB57" s="86">
        <v>0</v>
      </c>
      <c r="AC57" s="86">
        <v>0</v>
      </c>
      <c r="AD57" s="86">
        <v>0</v>
      </c>
      <c r="AE57" s="86">
        <v>0</v>
      </c>
      <c r="AF57" s="86">
        <v>0</v>
      </c>
      <c r="AG57" s="86">
        <v>0</v>
      </c>
      <c r="AH57" s="86">
        <v>0</v>
      </c>
    </row>
    <row r="58" spans="2:34">
      <c r="B58" s="42" t="s">
        <v>941</v>
      </c>
      <c r="C58" s="42" t="s">
        <v>941</v>
      </c>
      <c r="D58" s="86">
        <v>0</v>
      </c>
      <c r="E58" s="86">
        <v>0</v>
      </c>
      <c r="F58" s="86"/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6">
        <v>0</v>
      </c>
      <c r="N58" s="86">
        <v>0</v>
      </c>
      <c r="O58" s="86">
        <v>0</v>
      </c>
      <c r="P58" s="86">
        <v>0</v>
      </c>
      <c r="Q58" s="86">
        <v>0</v>
      </c>
      <c r="R58" s="86">
        <v>0</v>
      </c>
      <c r="S58" s="86">
        <v>0</v>
      </c>
      <c r="T58" s="86">
        <v>0</v>
      </c>
      <c r="U58" s="86">
        <v>0</v>
      </c>
      <c r="V58" s="86">
        <v>0</v>
      </c>
      <c r="W58" s="86">
        <v>0</v>
      </c>
      <c r="X58" s="86">
        <v>0</v>
      </c>
      <c r="Y58" s="86">
        <v>0</v>
      </c>
      <c r="Z58" s="86">
        <v>0</v>
      </c>
      <c r="AA58" s="86">
        <v>0</v>
      </c>
      <c r="AB58" s="86">
        <v>0</v>
      </c>
      <c r="AC58" s="86">
        <v>0</v>
      </c>
      <c r="AD58" s="86">
        <v>0</v>
      </c>
      <c r="AE58" s="86">
        <v>0</v>
      </c>
      <c r="AF58" s="86">
        <v>0</v>
      </c>
      <c r="AG58" s="86">
        <v>0</v>
      </c>
      <c r="AH58" s="86">
        <v>0</v>
      </c>
    </row>
    <row r="59" spans="2:34">
      <c r="B59" s="42" t="s">
        <v>942</v>
      </c>
      <c r="C59" s="42" t="s">
        <v>942</v>
      </c>
      <c r="D59" s="86">
        <v>0</v>
      </c>
      <c r="E59" s="86">
        <v>0</v>
      </c>
      <c r="F59" s="86"/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86">
        <v>0</v>
      </c>
      <c r="O59" s="86">
        <v>0</v>
      </c>
      <c r="P59" s="86">
        <v>0</v>
      </c>
      <c r="Q59" s="86">
        <v>0</v>
      </c>
      <c r="R59" s="86">
        <v>0</v>
      </c>
      <c r="S59" s="86">
        <v>0</v>
      </c>
      <c r="T59" s="86">
        <v>0</v>
      </c>
      <c r="U59" s="86">
        <v>0</v>
      </c>
      <c r="V59" s="86">
        <v>0</v>
      </c>
      <c r="W59" s="86">
        <v>0</v>
      </c>
      <c r="X59" s="86">
        <v>0</v>
      </c>
      <c r="Y59" s="86">
        <v>0</v>
      </c>
      <c r="Z59" s="86">
        <v>0</v>
      </c>
      <c r="AA59" s="86">
        <v>0</v>
      </c>
      <c r="AB59" s="86">
        <v>0</v>
      </c>
      <c r="AC59" s="86">
        <v>0</v>
      </c>
      <c r="AD59" s="86">
        <v>0</v>
      </c>
      <c r="AE59" s="86">
        <v>0</v>
      </c>
      <c r="AF59" s="86">
        <v>0</v>
      </c>
      <c r="AG59" s="86">
        <v>0</v>
      </c>
      <c r="AH59" s="86">
        <v>0</v>
      </c>
    </row>
    <row r="60" spans="2:34">
      <c r="B60" s="42" t="s">
        <v>943</v>
      </c>
      <c r="C60" s="42" t="s">
        <v>943</v>
      </c>
      <c r="D60" s="86">
        <v>2035921795</v>
      </c>
      <c r="E60" s="86">
        <v>968847247</v>
      </c>
      <c r="F60" s="86"/>
      <c r="G60" s="86">
        <v>2547041856</v>
      </c>
      <c r="H60" s="86">
        <v>3450592998</v>
      </c>
      <c r="I60" s="86">
        <v>1325202113</v>
      </c>
      <c r="J60" s="86">
        <v>2336309157</v>
      </c>
      <c r="K60" s="86">
        <v>3599055509</v>
      </c>
      <c r="L60" s="86">
        <v>1371362858</v>
      </c>
      <c r="M60" s="86">
        <v>3617968706</v>
      </c>
      <c r="N60" s="86">
        <v>4615048203</v>
      </c>
      <c r="O60" s="86">
        <v>6535886550</v>
      </c>
      <c r="P60" s="86">
        <v>1387823541</v>
      </c>
      <c r="Q60" s="86">
        <v>4317115458</v>
      </c>
      <c r="R60" s="86">
        <v>5843055692</v>
      </c>
      <c r="S60" s="86">
        <v>7882913333</v>
      </c>
      <c r="T60" s="86"/>
      <c r="U60" s="86">
        <v>4563399034</v>
      </c>
      <c r="V60" s="86">
        <v>6309786210</v>
      </c>
      <c r="W60" s="86">
        <v>8410089455</v>
      </c>
      <c r="X60" s="86">
        <v>1979291873</v>
      </c>
      <c r="Y60" s="86">
        <v>5031049055</v>
      </c>
      <c r="Z60" s="86">
        <v>7102657286</v>
      </c>
      <c r="AA60" s="86">
        <v>9506914367</v>
      </c>
      <c r="AB60" s="86">
        <v>2467174547</v>
      </c>
      <c r="AC60" s="86">
        <v>6200614525</v>
      </c>
      <c r="AD60" s="86">
        <v>8676110231</v>
      </c>
      <c r="AE60" s="86">
        <v>11448760087</v>
      </c>
      <c r="AF60" s="86">
        <v>2413786118</v>
      </c>
      <c r="AG60" s="86">
        <v>5949080334</v>
      </c>
      <c r="AH60" s="86">
        <v>8848855868</v>
      </c>
    </row>
    <row r="61" spans="2:34">
      <c r="B61" s="533" t="s">
        <v>944</v>
      </c>
      <c r="C61" s="533" t="s">
        <v>944</v>
      </c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>
        <v>0</v>
      </c>
      <c r="X61" s="86">
        <v>0</v>
      </c>
      <c r="Y61" s="86">
        <v>0</v>
      </c>
      <c r="Z61" s="86">
        <v>0</v>
      </c>
      <c r="AA61" s="86">
        <v>0</v>
      </c>
      <c r="AB61" s="86">
        <v>0</v>
      </c>
      <c r="AC61" s="86">
        <v>0</v>
      </c>
      <c r="AD61" s="86">
        <v>0</v>
      </c>
      <c r="AE61" s="86">
        <v>0</v>
      </c>
      <c r="AF61" s="86">
        <v>0</v>
      </c>
      <c r="AG61" s="86">
        <v>0</v>
      </c>
      <c r="AH61" s="86">
        <v>0</v>
      </c>
    </row>
    <row r="62" spans="2:34">
      <c r="B62" s="533" t="s">
        <v>945</v>
      </c>
      <c r="C62" s="533" t="s">
        <v>945</v>
      </c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>
        <v>0</v>
      </c>
      <c r="X62" s="86">
        <v>0</v>
      </c>
      <c r="Y62" s="86">
        <v>0</v>
      </c>
      <c r="Z62" s="86">
        <v>0</v>
      </c>
      <c r="AA62" s="86">
        <v>0</v>
      </c>
      <c r="AB62" s="86">
        <v>0</v>
      </c>
      <c r="AC62" s="86">
        <v>0</v>
      </c>
      <c r="AD62" s="86">
        <v>0</v>
      </c>
      <c r="AE62" s="86">
        <v>0</v>
      </c>
      <c r="AF62" s="86">
        <v>0</v>
      </c>
      <c r="AG62" s="86">
        <v>0</v>
      </c>
      <c r="AH62" s="86">
        <v>0</v>
      </c>
    </row>
    <row r="63" spans="2:34">
      <c r="B63" s="533" t="s">
        <v>946</v>
      </c>
      <c r="C63" s="533" t="s">
        <v>946</v>
      </c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86">
        <v>0</v>
      </c>
      <c r="AH63" s="86">
        <v>0</v>
      </c>
    </row>
    <row r="64" spans="2:34">
      <c r="B64" s="533" t="s">
        <v>947</v>
      </c>
      <c r="C64" s="533" t="s">
        <v>947</v>
      </c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86">
        <v>0</v>
      </c>
      <c r="AH64" s="86">
        <v>0</v>
      </c>
    </row>
    <row r="65" spans="2:34">
      <c r="B65" s="41" t="s">
        <v>1338</v>
      </c>
      <c r="C65" s="41" t="s">
        <v>1338</v>
      </c>
      <c r="D65" s="86">
        <v>0</v>
      </c>
      <c r="E65" s="86">
        <v>0</v>
      </c>
      <c r="F65" s="86"/>
      <c r="G65" s="86">
        <v>0</v>
      </c>
      <c r="H65" s="86">
        <v>0</v>
      </c>
      <c r="I65" s="86">
        <v>224821130</v>
      </c>
      <c r="J65" s="86">
        <v>639741377</v>
      </c>
      <c r="K65" s="86">
        <v>1398075410</v>
      </c>
      <c r="L65" s="86">
        <v>755227454</v>
      </c>
      <c r="M65" s="86">
        <v>1511866710</v>
      </c>
      <c r="N65" s="86">
        <v>2223937112</v>
      </c>
      <c r="O65" s="86">
        <v>3849604413</v>
      </c>
      <c r="P65" s="86">
        <v>3050066991</v>
      </c>
      <c r="Q65" s="86">
        <v>6069469677</v>
      </c>
      <c r="R65" s="86">
        <v>8746627406</v>
      </c>
      <c r="S65" s="86">
        <v>11001698277</v>
      </c>
      <c r="T65" s="86">
        <v>3769553477</v>
      </c>
      <c r="U65" s="86">
        <v>9298686339</v>
      </c>
      <c r="V65" s="86">
        <v>15295541808</v>
      </c>
      <c r="W65" s="86">
        <v>23045468891</v>
      </c>
      <c r="X65" s="86">
        <v>6459751506</v>
      </c>
      <c r="Y65" s="86">
        <v>14827824432</v>
      </c>
      <c r="Z65" s="86">
        <v>23940395788</v>
      </c>
      <c r="AA65" s="86">
        <v>32530119058</v>
      </c>
      <c r="AB65" s="86">
        <v>16165617519</v>
      </c>
      <c r="AC65" s="86">
        <v>32278969914</v>
      </c>
      <c r="AD65" s="86">
        <v>50698137180</v>
      </c>
      <c r="AE65" s="86">
        <v>67542978068</v>
      </c>
      <c r="AF65" s="86">
        <v>17682844295</v>
      </c>
      <c r="AG65" s="86">
        <v>38848570907</v>
      </c>
      <c r="AH65" s="86">
        <v>60880554815</v>
      </c>
    </row>
    <row r="66" spans="2:34">
      <c r="B66" s="41" t="s">
        <v>1339</v>
      </c>
      <c r="C66" s="41" t="s">
        <v>1339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>
        <v>32530119058</v>
      </c>
      <c r="AB66" s="86">
        <v>12167946422</v>
      </c>
      <c r="AC66" s="86">
        <v>25300317523</v>
      </c>
      <c r="AD66" s="86">
        <v>40865570747</v>
      </c>
      <c r="AE66" s="86">
        <v>55010800001</v>
      </c>
      <c r="AF66" s="86">
        <v>15369285827</v>
      </c>
      <c r="AG66" s="86">
        <v>33924294899</v>
      </c>
      <c r="AH66" s="86">
        <v>54040675440</v>
      </c>
    </row>
    <row r="67" spans="2:34">
      <c r="B67" s="41" t="s">
        <v>1340</v>
      </c>
      <c r="C67" s="41" t="s">
        <v>1340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>
        <v>0</v>
      </c>
      <c r="AB67" s="86">
        <v>0</v>
      </c>
      <c r="AC67" s="86">
        <v>0</v>
      </c>
      <c r="AD67" s="86">
        <v>0</v>
      </c>
      <c r="AE67" s="86">
        <v>0</v>
      </c>
      <c r="AF67" s="86">
        <v>0</v>
      </c>
      <c r="AG67" s="86">
        <v>0</v>
      </c>
      <c r="AH67" s="86">
        <v>0</v>
      </c>
    </row>
    <row r="68" spans="2:34">
      <c r="B68" s="41" t="s">
        <v>1341</v>
      </c>
      <c r="C68" s="41" t="s">
        <v>1341</v>
      </c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>
        <v>0</v>
      </c>
      <c r="AB68" s="86">
        <v>0</v>
      </c>
      <c r="AC68" s="86">
        <v>0</v>
      </c>
      <c r="AD68" s="86">
        <v>0</v>
      </c>
      <c r="AE68" s="86">
        <v>0</v>
      </c>
      <c r="AF68" s="86">
        <v>0</v>
      </c>
      <c r="AG68" s="86">
        <v>0</v>
      </c>
      <c r="AH68" s="86">
        <v>0</v>
      </c>
    </row>
    <row r="69" spans="2:34">
      <c r="B69" s="41" t="s">
        <v>932</v>
      </c>
      <c r="C69" s="41" t="s">
        <v>932</v>
      </c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>
        <v>0</v>
      </c>
      <c r="AB69" s="86">
        <v>3997671097</v>
      </c>
      <c r="AC69" s="86">
        <v>6978652391</v>
      </c>
      <c r="AD69" s="86">
        <v>9832566433</v>
      </c>
      <c r="AE69" s="86">
        <v>12532178067</v>
      </c>
      <c r="AF69" s="86">
        <v>2313558468</v>
      </c>
      <c r="AG69" s="86">
        <v>4924276008</v>
      </c>
      <c r="AH69" s="86">
        <v>6839879375</v>
      </c>
    </row>
    <row r="70" spans="2:34">
      <c r="B70" s="41" t="s">
        <v>948</v>
      </c>
      <c r="C70" s="41" t="s">
        <v>948</v>
      </c>
      <c r="D70" s="86">
        <v>0</v>
      </c>
      <c r="E70" s="86">
        <v>0</v>
      </c>
      <c r="F70" s="86"/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v>0</v>
      </c>
      <c r="M70" s="86">
        <v>0</v>
      </c>
      <c r="N70" s="86">
        <v>0</v>
      </c>
      <c r="O70" s="86">
        <v>0</v>
      </c>
      <c r="P70" s="86">
        <v>0</v>
      </c>
      <c r="Q70" s="86">
        <v>0</v>
      </c>
      <c r="R70" s="86">
        <v>0</v>
      </c>
      <c r="S70" s="86">
        <v>0</v>
      </c>
      <c r="T70" s="86">
        <v>0</v>
      </c>
      <c r="U70" s="86">
        <v>0</v>
      </c>
      <c r="V70" s="86">
        <v>0</v>
      </c>
      <c r="W70" s="86">
        <v>0</v>
      </c>
      <c r="X70" s="86">
        <v>0</v>
      </c>
      <c r="Y70" s="86">
        <v>0</v>
      </c>
      <c r="Z70" s="86">
        <v>0</v>
      </c>
      <c r="AA70" s="86">
        <v>0</v>
      </c>
      <c r="AB70" s="86">
        <v>0</v>
      </c>
      <c r="AC70" s="86">
        <v>0</v>
      </c>
      <c r="AD70" s="86">
        <v>0</v>
      </c>
      <c r="AE70" s="86">
        <v>0</v>
      </c>
      <c r="AF70" s="86">
        <v>0</v>
      </c>
      <c r="AG70" s="86">
        <v>0</v>
      </c>
      <c r="AH70" s="86">
        <v>0</v>
      </c>
    </row>
    <row r="71" spans="2:34">
      <c r="B71" s="41" t="s">
        <v>949</v>
      </c>
      <c r="C71" s="41" t="s">
        <v>949</v>
      </c>
      <c r="D71" s="86">
        <v>0</v>
      </c>
      <c r="E71" s="86">
        <v>0</v>
      </c>
      <c r="F71" s="86"/>
      <c r="G71" s="86">
        <v>0</v>
      </c>
      <c r="H71" s="86">
        <v>0</v>
      </c>
      <c r="I71" s="86">
        <v>0</v>
      </c>
      <c r="J71" s="86">
        <v>0</v>
      </c>
      <c r="K71" s="86">
        <v>0</v>
      </c>
      <c r="L71" s="86">
        <v>0</v>
      </c>
      <c r="M71" s="86">
        <v>0</v>
      </c>
      <c r="N71" s="86">
        <v>0</v>
      </c>
      <c r="O71" s="86">
        <v>0</v>
      </c>
      <c r="P71" s="86">
        <v>0</v>
      </c>
      <c r="Q71" s="86">
        <v>0</v>
      </c>
      <c r="R71" s="86">
        <v>0</v>
      </c>
      <c r="S71" s="86">
        <v>0</v>
      </c>
      <c r="T71" s="86">
        <v>0</v>
      </c>
      <c r="U71" s="86">
        <v>0</v>
      </c>
      <c r="V71" s="86">
        <v>0</v>
      </c>
      <c r="W71" s="86">
        <v>0</v>
      </c>
      <c r="X71" s="86">
        <v>0</v>
      </c>
      <c r="Y71" s="86">
        <v>0</v>
      </c>
      <c r="Z71" s="86">
        <v>0</v>
      </c>
      <c r="AA71" s="86">
        <v>0</v>
      </c>
      <c r="AB71" s="86">
        <v>0</v>
      </c>
      <c r="AC71" s="86">
        <v>0</v>
      </c>
      <c r="AD71" s="86">
        <v>0</v>
      </c>
      <c r="AE71" s="86">
        <v>0</v>
      </c>
      <c r="AF71" s="86">
        <v>0</v>
      </c>
      <c r="AG71" s="86">
        <v>0</v>
      </c>
      <c r="AH71" s="86">
        <v>0</v>
      </c>
    </row>
    <row r="72" spans="2:34">
      <c r="B72" s="41" t="s">
        <v>950</v>
      </c>
      <c r="C72" s="41" t="s">
        <v>950</v>
      </c>
      <c r="D72" s="86">
        <v>12234141342</v>
      </c>
      <c r="E72" s="86">
        <v>4346975599</v>
      </c>
      <c r="F72" s="86"/>
      <c r="G72" s="86">
        <v>13912790338</v>
      </c>
      <c r="H72" s="86">
        <v>19284278007</v>
      </c>
      <c r="I72" s="86">
        <v>6514376311</v>
      </c>
      <c r="J72" s="86">
        <v>12372954529</v>
      </c>
      <c r="K72" s="86">
        <v>19669222590</v>
      </c>
      <c r="L72" s="86">
        <v>7850656026</v>
      </c>
      <c r="M72" s="86">
        <v>16696557649</v>
      </c>
      <c r="N72" s="86">
        <v>27170604427</v>
      </c>
      <c r="O72" s="86">
        <v>38068221639</v>
      </c>
      <c r="P72" s="86">
        <v>10016755909</v>
      </c>
      <c r="Q72" s="86">
        <v>22439052772</v>
      </c>
      <c r="R72" s="86">
        <v>35190572562</v>
      </c>
      <c r="S72" s="86">
        <v>46364083555</v>
      </c>
      <c r="T72" s="86">
        <v>12668951528</v>
      </c>
      <c r="U72" s="86">
        <v>27320181829</v>
      </c>
      <c r="V72" s="86">
        <v>42720688560</v>
      </c>
      <c r="W72" s="86">
        <v>55550079837</v>
      </c>
      <c r="X72" s="86">
        <v>15778811818</v>
      </c>
      <c r="Y72" s="86">
        <v>39164866160</v>
      </c>
      <c r="Z72" s="86">
        <v>59457136261</v>
      </c>
      <c r="AA72" s="86">
        <v>76533567073</v>
      </c>
      <c r="AB72" s="86">
        <v>19257427768</v>
      </c>
      <c r="AC72" s="86">
        <v>38858724757</v>
      </c>
      <c r="AD72" s="86">
        <v>55853219162</v>
      </c>
      <c r="AE72" s="86">
        <v>77172020620</v>
      </c>
      <c r="AF72" s="86">
        <v>18728147063</v>
      </c>
      <c r="AG72" s="86">
        <v>40620940250</v>
      </c>
      <c r="AH72" s="86">
        <v>63393086372</v>
      </c>
    </row>
    <row r="73" spans="2:34">
      <c r="B73" s="40" t="s">
        <v>951</v>
      </c>
      <c r="C73" s="40" t="s">
        <v>951</v>
      </c>
      <c r="D73" s="87">
        <v>620726173365</v>
      </c>
      <c r="E73" s="87">
        <v>211964531233</v>
      </c>
      <c r="F73" s="87"/>
      <c r="G73" s="87">
        <v>579785273841</v>
      </c>
      <c r="H73" s="87">
        <v>841243538007</v>
      </c>
      <c r="I73" s="87">
        <v>548512679888</v>
      </c>
      <c r="J73" s="87">
        <v>580071116801</v>
      </c>
      <c r="K73" s="87">
        <v>816021195753</v>
      </c>
      <c r="L73" s="87">
        <v>268379303649</v>
      </c>
      <c r="M73" s="87">
        <v>451039874199</v>
      </c>
      <c r="N73" s="87">
        <v>714282579851</v>
      </c>
      <c r="O73" s="87">
        <v>963244482709</v>
      </c>
      <c r="P73" s="87">
        <v>294547779658</v>
      </c>
      <c r="Q73" s="87">
        <v>551122492229</v>
      </c>
      <c r="R73" s="87">
        <v>1497040540647</v>
      </c>
      <c r="S73" s="87">
        <v>1352008431793</v>
      </c>
      <c r="T73" s="87">
        <v>378073154755</v>
      </c>
      <c r="U73" s="87">
        <v>627907732032</v>
      </c>
      <c r="V73" s="87">
        <v>658975740481</v>
      </c>
      <c r="W73" s="87">
        <v>896614835643</v>
      </c>
      <c r="X73" s="87">
        <v>309921969968</v>
      </c>
      <c r="Y73" s="87">
        <v>611122542865</v>
      </c>
      <c r="Z73" s="87">
        <v>901086401610</v>
      </c>
      <c r="AA73" s="87">
        <v>1186566926984</v>
      </c>
      <c r="AB73" s="87">
        <v>535463705743</v>
      </c>
      <c r="AC73" s="87">
        <v>900566058120</v>
      </c>
      <c r="AD73" s="87">
        <v>1144718849989</v>
      </c>
      <c r="AE73" s="87">
        <v>1961403529499</v>
      </c>
      <c r="AF73" s="87">
        <v>669343467987</v>
      </c>
      <c r="AG73" s="87">
        <v>1104652204775</v>
      </c>
      <c r="AH73" s="87">
        <v>1569590328394</v>
      </c>
    </row>
    <row r="74" spans="2:34">
      <c r="B74" s="41" t="s">
        <v>952</v>
      </c>
      <c r="C74" s="1281" t="s">
        <v>2282</v>
      </c>
      <c r="D74" s="86">
        <v>240245668698</v>
      </c>
      <c r="E74" s="86">
        <v>40656305845</v>
      </c>
      <c r="F74" s="86"/>
      <c r="G74" s="86">
        <v>193746816972</v>
      </c>
      <c r="H74" s="86">
        <v>271185306296</v>
      </c>
      <c r="I74" s="86">
        <v>60507357206</v>
      </c>
      <c r="J74" s="86">
        <v>116019793280</v>
      </c>
      <c r="K74" s="86">
        <v>170262615635</v>
      </c>
      <c r="L74" s="86">
        <v>26991748379</v>
      </c>
      <c r="M74" s="86">
        <v>63488599825</v>
      </c>
      <c r="N74" s="86">
        <v>114113521691</v>
      </c>
      <c r="O74" s="86">
        <v>184928139391</v>
      </c>
      <c r="P74" s="86">
        <v>84652391813</v>
      </c>
      <c r="Q74" s="86">
        <v>171860778908</v>
      </c>
      <c r="R74" s="86">
        <v>245044622378</v>
      </c>
      <c r="S74" s="86">
        <v>302696280002</v>
      </c>
      <c r="T74" s="86">
        <v>75521032604</v>
      </c>
      <c r="U74" s="86">
        <v>152497095877</v>
      </c>
      <c r="V74" s="86">
        <v>240695139915</v>
      </c>
      <c r="W74" s="86">
        <v>310598284350</v>
      </c>
      <c r="X74" s="86">
        <v>74713834240</v>
      </c>
      <c r="Y74" s="86">
        <v>181380899114</v>
      </c>
      <c r="Z74" s="86">
        <v>296301397293</v>
      </c>
      <c r="AA74" s="86">
        <v>446556464652</v>
      </c>
      <c r="AB74" s="86">
        <v>149838218114</v>
      </c>
      <c r="AC74" s="86">
        <v>267468757812</v>
      </c>
      <c r="AD74" s="86">
        <v>374751001231</v>
      </c>
      <c r="AE74" s="86">
        <v>523782606654</v>
      </c>
      <c r="AF74" s="86">
        <v>124270971996</v>
      </c>
      <c r="AG74" s="86">
        <v>259603111982</v>
      </c>
      <c r="AH74" s="86">
        <v>444475665093</v>
      </c>
    </row>
    <row r="75" spans="2:34">
      <c r="B75" s="42" t="s">
        <v>953</v>
      </c>
      <c r="C75" s="42" t="s">
        <v>953</v>
      </c>
      <c r="D75" s="86">
        <v>124711713033</v>
      </c>
      <c r="E75" s="86">
        <v>16929912430</v>
      </c>
      <c r="F75" s="86"/>
      <c r="G75" s="86">
        <v>78567606882</v>
      </c>
      <c r="H75" s="86">
        <v>115201230799</v>
      </c>
      <c r="I75" s="86">
        <v>28636999417</v>
      </c>
      <c r="J75" s="86">
        <v>71529537097</v>
      </c>
      <c r="K75" s="86">
        <v>116008864422</v>
      </c>
      <c r="L75" s="86">
        <v>17333344772</v>
      </c>
      <c r="M75" s="86">
        <v>34777672193</v>
      </c>
      <c r="N75" s="86">
        <v>51488840340</v>
      </c>
      <c r="O75" s="86">
        <v>77996958486</v>
      </c>
      <c r="P75" s="86">
        <v>38729128892</v>
      </c>
      <c r="Q75" s="86">
        <v>85351480270</v>
      </c>
      <c r="R75" s="86">
        <v>126819039356</v>
      </c>
      <c r="S75" s="86">
        <v>157033576188</v>
      </c>
      <c r="T75" s="86">
        <v>43080541402</v>
      </c>
      <c r="U75" s="86">
        <v>89051130434</v>
      </c>
      <c r="V75" s="86">
        <v>144266938763</v>
      </c>
      <c r="W75" s="86">
        <v>186823112394</v>
      </c>
      <c r="X75" s="86">
        <v>45243529526</v>
      </c>
      <c r="Y75" s="86">
        <v>122211997737</v>
      </c>
      <c r="Z75" s="86">
        <v>209758296332</v>
      </c>
      <c r="AA75" s="86">
        <v>327477221121</v>
      </c>
      <c r="AB75" s="86">
        <v>113408702418</v>
      </c>
      <c r="AC75" s="86">
        <v>196635654625</v>
      </c>
      <c r="AD75" s="86">
        <v>248758598093</v>
      </c>
      <c r="AE75" s="86">
        <v>344950504970</v>
      </c>
      <c r="AF75" s="86">
        <v>97182118926</v>
      </c>
      <c r="AG75" s="86">
        <v>176369847423</v>
      </c>
      <c r="AH75" s="86">
        <v>242634593829</v>
      </c>
    </row>
    <row r="76" spans="2:34">
      <c r="B76" s="42" t="s">
        <v>954</v>
      </c>
      <c r="C76" s="42" t="s">
        <v>954</v>
      </c>
      <c r="D76" s="86">
        <v>0</v>
      </c>
      <c r="E76" s="86">
        <v>0</v>
      </c>
      <c r="F76" s="86"/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86">
        <v>0</v>
      </c>
      <c r="M76" s="86">
        <v>0</v>
      </c>
      <c r="N76" s="86">
        <v>0</v>
      </c>
      <c r="O76" s="86">
        <v>0</v>
      </c>
      <c r="P76" s="86">
        <v>0</v>
      </c>
      <c r="Q76" s="86">
        <v>0</v>
      </c>
      <c r="R76" s="86">
        <v>0</v>
      </c>
      <c r="S76" s="86">
        <v>0</v>
      </c>
      <c r="T76" s="86">
        <v>0</v>
      </c>
      <c r="U76" s="86">
        <v>0</v>
      </c>
      <c r="V76" s="86">
        <v>0</v>
      </c>
      <c r="W76" s="86">
        <v>0</v>
      </c>
      <c r="X76" s="86">
        <v>0</v>
      </c>
      <c r="Y76" s="86">
        <v>0</v>
      </c>
      <c r="Z76" s="86">
        <v>0</v>
      </c>
      <c r="AA76" s="86">
        <v>0</v>
      </c>
      <c r="AB76" s="86">
        <v>0</v>
      </c>
      <c r="AC76" s="86">
        <v>0</v>
      </c>
      <c r="AD76" s="86">
        <v>0</v>
      </c>
      <c r="AE76" s="86">
        <v>0</v>
      </c>
      <c r="AF76" s="86">
        <v>0</v>
      </c>
      <c r="AG76" s="86">
        <v>0</v>
      </c>
      <c r="AH76" s="86">
        <v>0</v>
      </c>
    </row>
    <row r="77" spans="2:34">
      <c r="B77" s="42" t="s">
        <v>955</v>
      </c>
      <c r="C77" s="42" t="s">
        <v>955</v>
      </c>
      <c r="D77" s="86">
        <v>84458273731</v>
      </c>
      <c r="E77" s="86">
        <v>19353889975</v>
      </c>
      <c r="F77" s="86"/>
      <c r="G77" s="86">
        <v>98869550116</v>
      </c>
      <c r="H77" s="86">
        <v>135824200888</v>
      </c>
      <c r="I77" s="86">
        <v>29457736689</v>
      </c>
      <c r="J77" s="86">
        <v>39313959748</v>
      </c>
      <c r="K77" s="86">
        <v>48019761609</v>
      </c>
      <c r="L77" s="86">
        <v>8264180036</v>
      </c>
      <c r="M77" s="86">
        <v>26429939626</v>
      </c>
      <c r="N77" s="86">
        <v>57702030656</v>
      </c>
      <c r="O77" s="86">
        <v>100002382272</v>
      </c>
      <c r="P77" s="86">
        <v>41892143419</v>
      </c>
      <c r="Q77" s="86">
        <v>76384432186</v>
      </c>
      <c r="R77" s="86">
        <v>105396004591</v>
      </c>
      <c r="S77" s="86">
        <v>127140190287</v>
      </c>
      <c r="T77" s="86">
        <v>27601304226</v>
      </c>
      <c r="U77" s="86">
        <v>54604233138</v>
      </c>
      <c r="V77" s="86">
        <v>81192574001</v>
      </c>
      <c r="W77" s="86">
        <v>105675760371</v>
      </c>
      <c r="X77" s="86">
        <v>26091540597</v>
      </c>
      <c r="Y77" s="86">
        <v>51543897050</v>
      </c>
      <c r="Z77" s="86">
        <v>73915451335</v>
      </c>
      <c r="AA77" s="86">
        <v>102439543264</v>
      </c>
      <c r="AB77" s="86">
        <v>32588239629</v>
      </c>
      <c r="AC77" s="86">
        <v>65191633962</v>
      </c>
      <c r="AD77" s="86">
        <v>115299987484</v>
      </c>
      <c r="AE77" s="86">
        <v>155465050772</v>
      </c>
      <c r="AF77" s="86">
        <v>21755357750</v>
      </c>
      <c r="AG77" s="86">
        <v>73962806919</v>
      </c>
      <c r="AH77" s="86">
        <v>177260603372</v>
      </c>
    </row>
    <row r="78" spans="2:34">
      <c r="B78" s="42" t="s">
        <v>956</v>
      </c>
      <c r="C78" s="42" t="s">
        <v>956</v>
      </c>
      <c r="D78" s="86">
        <v>6165514568</v>
      </c>
      <c r="E78" s="86">
        <v>117647194</v>
      </c>
      <c r="F78" s="86"/>
      <c r="G78" s="86">
        <v>289015658</v>
      </c>
      <c r="H78" s="86">
        <v>396411679</v>
      </c>
      <c r="I78" s="86">
        <v>92804765</v>
      </c>
      <c r="J78" s="86">
        <v>130090323</v>
      </c>
      <c r="K78" s="86">
        <v>169502722</v>
      </c>
      <c r="L78" s="86">
        <v>41166989</v>
      </c>
      <c r="M78" s="86">
        <v>108189510</v>
      </c>
      <c r="N78" s="86">
        <v>533576743</v>
      </c>
      <c r="O78" s="86">
        <v>605156816</v>
      </c>
      <c r="P78" s="86">
        <v>1805021374</v>
      </c>
      <c r="Q78" s="86">
        <v>4247464284</v>
      </c>
      <c r="R78" s="86">
        <v>4066846876</v>
      </c>
      <c r="S78" s="86">
        <v>4999404765</v>
      </c>
      <c r="T78" s="86">
        <v>182890888</v>
      </c>
      <c r="U78" s="86">
        <v>246259307</v>
      </c>
      <c r="V78" s="86">
        <v>1770592167</v>
      </c>
      <c r="W78" s="86">
        <v>2488224099</v>
      </c>
      <c r="X78" s="86">
        <v>912256980</v>
      </c>
      <c r="Y78" s="86">
        <v>1996864072</v>
      </c>
      <c r="Z78" s="86">
        <v>4092575881</v>
      </c>
      <c r="AA78" s="86">
        <v>6571204280</v>
      </c>
      <c r="AB78" s="86">
        <v>2273924446</v>
      </c>
      <c r="AC78" s="86">
        <v>2373375373</v>
      </c>
      <c r="AD78" s="86">
        <v>5001627871</v>
      </c>
      <c r="AE78" s="86">
        <v>15681077882</v>
      </c>
      <c r="AF78" s="86">
        <v>2917208940</v>
      </c>
      <c r="AG78" s="86">
        <v>3981028307</v>
      </c>
      <c r="AH78" s="86">
        <v>11836940499</v>
      </c>
    </row>
    <row r="79" spans="2:34">
      <c r="B79" s="42" t="s">
        <v>957</v>
      </c>
      <c r="C79" s="42" t="s">
        <v>957</v>
      </c>
      <c r="D79" s="86">
        <v>19853351893</v>
      </c>
      <c r="E79" s="86">
        <v>4250592529</v>
      </c>
      <c r="F79" s="86"/>
      <c r="G79" s="86">
        <v>16003055051</v>
      </c>
      <c r="H79" s="86">
        <v>19737601737</v>
      </c>
      <c r="I79" s="86">
        <v>2319746272</v>
      </c>
      <c r="J79" s="86">
        <v>5044951648</v>
      </c>
      <c r="K79" s="86">
        <v>6060886055</v>
      </c>
      <c r="L79" s="86">
        <v>1341560771</v>
      </c>
      <c r="M79" s="86">
        <v>2145089337</v>
      </c>
      <c r="N79" s="86">
        <v>4314205285</v>
      </c>
      <c r="O79" s="86">
        <v>6208589978</v>
      </c>
      <c r="P79" s="86">
        <v>2168642743</v>
      </c>
      <c r="Q79" s="86">
        <v>5718345362</v>
      </c>
      <c r="R79" s="86">
        <v>8417769066</v>
      </c>
      <c r="S79" s="86">
        <v>10388095473</v>
      </c>
      <c r="T79" s="86">
        <v>2665711405</v>
      </c>
      <c r="U79" s="86">
        <v>6248265383</v>
      </c>
      <c r="V79" s="86">
        <v>10993253754</v>
      </c>
      <c r="W79" s="86">
        <v>12884822067</v>
      </c>
      <c r="X79" s="86">
        <v>2404608246</v>
      </c>
      <c r="Y79" s="86">
        <v>5297077419</v>
      </c>
      <c r="Z79" s="86">
        <v>7835611258</v>
      </c>
      <c r="AA79" s="86">
        <v>8986552087</v>
      </c>
      <c r="AB79" s="86">
        <v>1428315748</v>
      </c>
      <c r="AC79" s="86">
        <v>2806856776</v>
      </c>
      <c r="AD79" s="86">
        <v>4420240202</v>
      </c>
      <c r="AE79" s="86">
        <v>5078567721</v>
      </c>
      <c r="AF79" s="86">
        <v>1903877508</v>
      </c>
      <c r="AG79" s="86">
        <v>3612580332</v>
      </c>
      <c r="AH79" s="86">
        <v>5834333328</v>
      </c>
    </row>
    <row r="80" spans="2:34">
      <c r="B80" s="42" t="s">
        <v>958</v>
      </c>
      <c r="C80" s="1282" t="s">
        <v>2283</v>
      </c>
      <c r="D80" s="86">
        <v>5056815473</v>
      </c>
      <c r="E80" s="86">
        <v>4263717</v>
      </c>
      <c r="F80" s="86"/>
      <c r="G80" s="86">
        <v>17589265</v>
      </c>
      <c r="H80" s="86">
        <v>25861193</v>
      </c>
      <c r="I80" s="86">
        <v>70063</v>
      </c>
      <c r="J80" s="86">
        <v>1254464</v>
      </c>
      <c r="K80" s="86">
        <v>3600827</v>
      </c>
      <c r="L80" s="86">
        <v>11495811</v>
      </c>
      <c r="M80" s="86">
        <v>27709159</v>
      </c>
      <c r="N80" s="86">
        <v>74868667</v>
      </c>
      <c r="O80" s="86">
        <v>115051839</v>
      </c>
      <c r="P80" s="86">
        <v>57455385</v>
      </c>
      <c r="Q80" s="86">
        <v>159056806</v>
      </c>
      <c r="R80" s="86">
        <v>344962489</v>
      </c>
      <c r="S80" s="86">
        <v>3135013289</v>
      </c>
      <c r="T80" s="86">
        <v>1990584683</v>
      </c>
      <c r="U80" s="86">
        <v>2347207615</v>
      </c>
      <c r="V80" s="86">
        <v>2471781230</v>
      </c>
      <c r="W80" s="86">
        <v>2726365419</v>
      </c>
      <c r="X80" s="86">
        <v>61898891</v>
      </c>
      <c r="Y80" s="86">
        <v>331062836</v>
      </c>
      <c r="Z80" s="86">
        <v>699462487</v>
      </c>
      <c r="AA80" s="86">
        <v>1081943900</v>
      </c>
      <c r="AB80" s="86">
        <v>139035873</v>
      </c>
      <c r="AC80" s="86">
        <v>461237076</v>
      </c>
      <c r="AD80" s="86">
        <v>1270547581</v>
      </c>
      <c r="AE80" s="86">
        <v>2607405309</v>
      </c>
      <c r="AF80" s="86">
        <v>512408872</v>
      </c>
      <c r="AG80" s="86">
        <v>1676849001</v>
      </c>
      <c r="AH80" s="86">
        <v>6909194065</v>
      </c>
    </row>
    <row r="81" spans="2:34">
      <c r="B81" s="42" t="s">
        <v>943</v>
      </c>
      <c r="C81" s="42" t="s">
        <v>943</v>
      </c>
      <c r="D81" s="86">
        <v>0</v>
      </c>
      <c r="E81" s="86">
        <v>0</v>
      </c>
      <c r="F81" s="86"/>
      <c r="G81" s="86">
        <v>0</v>
      </c>
      <c r="H81" s="86">
        <v>0</v>
      </c>
      <c r="I81" s="86">
        <v>0</v>
      </c>
      <c r="J81" s="86">
        <v>0</v>
      </c>
      <c r="K81" s="86">
        <v>0</v>
      </c>
      <c r="L81" s="86">
        <v>0</v>
      </c>
      <c r="M81" s="86">
        <v>0</v>
      </c>
      <c r="N81" s="86">
        <v>0</v>
      </c>
      <c r="O81" s="86">
        <v>0</v>
      </c>
      <c r="P81" s="86">
        <v>0</v>
      </c>
      <c r="Q81" s="86">
        <v>0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86">
        <v>0</v>
      </c>
      <c r="X81" s="86">
        <v>0</v>
      </c>
      <c r="Y81" s="86">
        <v>0</v>
      </c>
      <c r="Z81" s="86">
        <v>0</v>
      </c>
      <c r="AA81" s="86">
        <v>0</v>
      </c>
      <c r="AB81" s="86">
        <v>0</v>
      </c>
      <c r="AC81" s="86">
        <v>0</v>
      </c>
      <c r="AD81" s="86">
        <v>0</v>
      </c>
      <c r="AE81" s="86">
        <v>0</v>
      </c>
      <c r="AF81" s="86">
        <v>0</v>
      </c>
      <c r="AG81" s="86">
        <v>0</v>
      </c>
      <c r="AH81" s="86">
        <v>0</v>
      </c>
    </row>
    <row r="82" spans="2:34">
      <c r="B82" s="41" t="s">
        <v>959</v>
      </c>
      <c r="C82" s="1281" t="s">
        <v>2284</v>
      </c>
      <c r="D82" s="86">
        <v>52811898312</v>
      </c>
      <c r="E82" s="86">
        <v>12908598446</v>
      </c>
      <c r="F82" s="86"/>
      <c r="G82" s="86">
        <v>11419952485</v>
      </c>
      <c r="H82" s="86">
        <v>27540046279</v>
      </c>
      <c r="I82" s="86">
        <v>359826377</v>
      </c>
      <c r="J82" s="86">
        <v>1515578162</v>
      </c>
      <c r="K82" s="86">
        <v>448352001</v>
      </c>
      <c r="L82" s="86">
        <v>6825068396</v>
      </c>
      <c r="M82" s="86">
        <v>15545396802</v>
      </c>
      <c r="N82" s="86">
        <v>49251741061</v>
      </c>
      <c r="O82" s="86">
        <v>42276826555</v>
      </c>
      <c r="P82" s="86">
        <v>65193794853</v>
      </c>
      <c r="Q82" s="86">
        <v>12447039701</v>
      </c>
      <c r="R82" s="86">
        <v>42819856571</v>
      </c>
      <c r="S82" s="86">
        <v>12529898366</v>
      </c>
      <c r="T82" s="86">
        <v>21574709245</v>
      </c>
      <c r="U82" s="86">
        <v>30208748878</v>
      </c>
      <c r="V82" s="86">
        <v>18642414951</v>
      </c>
      <c r="W82" s="86">
        <v>32033699565</v>
      </c>
      <c r="X82" s="86">
        <v>31909034629</v>
      </c>
      <c r="Y82" s="86">
        <v>65115010773</v>
      </c>
      <c r="Z82" s="86">
        <v>86690122033</v>
      </c>
      <c r="AA82" s="86">
        <v>49141520261</v>
      </c>
      <c r="AB82" s="86">
        <v>22479815375</v>
      </c>
      <c r="AC82" s="86">
        <v>97740527980</v>
      </c>
      <c r="AD82" s="86">
        <v>162070788765</v>
      </c>
      <c r="AE82" s="86">
        <v>242777309865</v>
      </c>
      <c r="AF82" s="86">
        <v>223832592287</v>
      </c>
      <c r="AG82" s="86">
        <v>312599258479</v>
      </c>
      <c r="AH82" s="86">
        <v>364530279910</v>
      </c>
    </row>
    <row r="83" spans="2:34">
      <c r="B83" s="42" t="s">
        <v>960</v>
      </c>
      <c r="C83" s="42" t="s">
        <v>960</v>
      </c>
      <c r="D83" s="86">
        <v>22540872128</v>
      </c>
      <c r="E83" s="86">
        <v>0</v>
      </c>
      <c r="F83" s="86"/>
      <c r="G83" s="86">
        <v>10839258409</v>
      </c>
      <c r="H83" s="86">
        <v>15573372</v>
      </c>
      <c r="I83" s="86">
        <v>0</v>
      </c>
      <c r="J83" s="86">
        <v>897874058</v>
      </c>
      <c r="K83" s="86">
        <v>0</v>
      </c>
      <c r="L83" s="86">
        <v>6537000</v>
      </c>
      <c r="M83" s="86">
        <v>0</v>
      </c>
      <c r="N83" s="86">
        <v>182727400</v>
      </c>
      <c r="O83" s="86">
        <v>166666000</v>
      </c>
      <c r="P83" s="86">
        <v>14426634578</v>
      </c>
      <c r="Q83" s="86">
        <v>6519240</v>
      </c>
      <c r="R83" s="86">
        <v>384042397</v>
      </c>
      <c r="S83" s="86">
        <v>0</v>
      </c>
      <c r="T83" s="86">
        <v>10726266200</v>
      </c>
      <c r="U83" s="86">
        <v>0</v>
      </c>
      <c r="V83" s="86">
        <v>5346295938</v>
      </c>
      <c r="W83" s="86">
        <v>19087361375</v>
      </c>
      <c r="X83" s="86">
        <v>25982264928</v>
      </c>
      <c r="Y83" s="86">
        <v>56819460804</v>
      </c>
      <c r="Z83" s="86">
        <v>71674030695</v>
      </c>
      <c r="AA83" s="86">
        <v>46664631397</v>
      </c>
      <c r="AB83" s="86">
        <v>7549404948</v>
      </c>
      <c r="AC83" s="86">
        <v>12989462111</v>
      </c>
      <c r="AD83" s="86">
        <v>36332223160</v>
      </c>
      <c r="AE83" s="86">
        <v>31919639910</v>
      </c>
      <c r="AF83" s="86">
        <v>86281064971</v>
      </c>
      <c r="AG83" s="86">
        <v>78397612141</v>
      </c>
      <c r="AH83" s="86">
        <v>99835163713</v>
      </c>
    </row>
    <row r="84" spans="2:34">
      <c r="B84" s="42" t="s">
        <v>961</v>
      </c>
      <c r="C84" s="42" t="s">
        <v>961</v>
      </c>
      <c r="D84" s="86">
        <v>0</v>
      </c>
      <c r="E84" s="86">
        <v>0</v>
      </c>
      <c r="F84" s="86"/>
      <c r="G84" s="86">
        <v>0</v>
      </c>
      <c r="H84" s="86">
        <v>0</v>
      </c>
      <c r="I84" s="86">
        <v>0</v>
      </c>
      <c r="J84" s="86">
        <v>0</v>
      </c>
      <c r="K84" s="86">
        <v>0</v>
      </c>
      <c r="L84" s="86">
        <v>0</v>
      </c>
      <c r="M84" s="86">
        <v>0</v>
      </c>
      <c r="N84" s="86">
        <v>0</v>
      </c>
      <c r="O84" s="86">
        <v>0</v>
      </c>
      <c r="P84" s="86">
        <v>0</v>
      </c>
      <c r="Q84" s="86">
        <v>0</v>
      </c>
      <c r="R84" s="86">
        <v>0</v>
      </c>
      <c r="S84" s="86">
        <v>0</v>
      </c>
      <c r="T84" s="86">
        <v>0</v>
      </c>
      <c r="U84" s="86">
        <v>0</v>
      </c>
      <c r="V84" s="86">
        <v>0</v>
      </c>
      <c r="W84" s="86">
        <v>0</v>
      </c>
      <c r="X84" s="86">
        <v>0</v>
      </c>
      <c r="Y84" s="86">
        <v>0</v>
      </c>
      <c r="Z84" s="86">
        <v>0</v>
      </c>
      <c r="AA84" s="86">
        <v>0</v>
      </c>
      <c r="AB84" s="86">
        <v>0</v>
      </c>
      <c r="AC84" s="86">
        <v>0</v>
      </c>
      <c r="AD84" s="86">
        <v>0</v>
      </c>
      <c r="AE84" s="86">
        <v>0</v>
      </c>
      <c r="AF84" s="86">
        <v>0</v>
      </c>
      <c r="AG84" s="86">
        <v>0</v>
      </c>
      <c r="AH84" s="86">
        <v>0</v>
      </c>
    </row>
    <row r="85" spans="2:34">
      <c r="B85" s="42" t="s">
        <v>962</v>
      </c>
      <c r="C85" s="42" t="s">
        <v>962</v>
      </c>
      <c r="D85" s="86">
        <v>29465326720</v>
      </c>
      <c r="E85" s="86">
        <v>12633614182</v>
      </c>
      <c r="F85" s="86"/>
      <c r="G85" s="86">
        <v>512493750</v>
      </c>
      <c r="H85" s="86">
        <v>26927626370</v>
      </c>
      <c r="I85" s="86">
        <v>32429424</v>
      </c>
      <c r="J85" s="86">
        <v>196018901</v>
      </c>
      <c r="K85" s="86">
        <v>138298761</v>
      </c>
      <c r="L85" s="86">
        <v>6572151224</v>
      </c>
      <c r="M85" s="86">
        <v>15127844859</v>
      </c>
      <c r="N85" s="86">
        <v>47962832508</v>
      </c>
      <c r="O85" s="86">
        <v>39452507405</v>
      </c>
      <c r="P85" s="86">
        <v>49953645449</v>
      </c>
      <c r="Q85" s="86">
        <v>12197503284</v>
      </c>
      <c r="R85" s="86">
        <v>42290658363</v>
      </c>
      <c r="S85" s="86">
        <v>12281881935</v>
      </c>
      <c r="T85" s="86">
        <v>10178718180</v>
      </c>
      <c r="U85" s="86">
        <v>28671706439</v>
      </c>
      <c r="V85" s="86">
        <v>12907068857</v>
      </c>
      <c r="W85" s="86">
        <v>12479395251</v>
      </c>
      <c r="X85" s="86">
        <v>4622749241</v>
      </c>
      <c r="Y85" s="86">
        <v>6251409171</v>
      </c>
      <c r="Z85" s="86">
        <v>13400695311</v>
      </c>
      <c r="AA85" s="86">
        <v>1957684640</v>
      </c>
      <c r="AB85" s="86">
        <v>8372135308</v>
      </c>
      <c r="AC85" s="86">
        <v>70195816130</v>
      </c>
      <c r="AD85" s="86">
        <v>109577961234</v>
      </c>
      <c r="AE85" s="86">
        <v>202979306456</v>
      </c>
      <c r="AF85" s="86">
        <v>121780464496</v>
      </c>
      <c r="AG85" s="86">
        <v>210538262963</v>
      </c>
      <c r="AH85" s="86">
        <v>240053363982</v>
      </c>
    </row>
    <row r="86" spans="2:34">
      <c r="B86" s="42" t="s">
        <v>963</v>
      </c>
      <c r="C86" s="42" t="s">
        <v>963</v>
      </c>
      <c r="D86" s="86">
        <v>674060246</v>
      </c>
      <c r="E86" s="86">
        <v>25203668</v>
      </c>
      <c r="F86" s="86"/>
      <c r="G86" s="86">
        <v>68200326</v>
      </c>
      <c r="H86" s="86">
        <v>55132031</v>
      </c>
      <c r="I86" s="86">
        <v>192520404</v>
      </c>
      <c r="J86" s="86">
        <v>280545780</v>
      </c>
      <c r="K86" s="86">
        <v>310053240</v>
      </c>
      <c r="L86" s="86">
        <v>69948687</v>
      </c>
      <c r="M86" s="86">
        <v>196624594</v>
      </c>
      <c r="N86" s="86">
        <v>5300182</v>
      </c>
      <c r="O86" s="86">
        <v>1665192680</v>
      </c>
      <c r="P86" s="86">
        <v>813514826</v>
      </c>
      <c r="Q86" s="86">
        <v>144037625</v>
      </c>
      <c r="R86" s="86">
        <v>145155811</v>
      </c>
      <c r="S86" s="86">
        <v>248016431</v>
      </c>
      <c r="T86" s="86">
        <v>464318058</v>
      </c>
      <c r="U86" s="86">
        <v>1062460328</v>
      </c>
      <c r="V86" s="86">
        <v>140692226</v>
      </c>
      <c r="W86" s="86">
        <v>445801288</v>
      </c>
      <c r="X86" s="86">
        <v>1010043545</v>
      </c>
      <c r="Y86" s="86">
        <v>1782001858</v>
      </c>
      <c r="Z86" s="86">
        <v>1435724412</v>
      </c>
      <c r="AA86" s="86">
        <v>519204224</v>
      </c>
      <c r="AB86" s="86">
        <v>5681765647</v>
      </c>
      <c r="AC86" s="86">
        <v>12880095689</v>
      </c>
      <c r="AD86" s="86">
        <v>13954458739</v>
      </c>
      <c r="AE86" s="86">
        <v>4339904718</v>
      </c>
      <c r="AF86" s="86">
        <v>14494310396</v>
      </c>
      <c r="AG86" s="86">
        <v>20461140285</v>
      </c>
      <c r="AH86" s="86">
        <v>20010691004</v>
      </c>
    </row>
    <row r="87" spans="2:34">
      <c r="B87" s="42" t="s">
        <v>964</v>
      </c>
      <c r="C87" s="42" t="s">
        <v>964</v>
      </c>
      <c r="D87" s="86">
        <v>131639218</v>
      </c>
      <c r="E87" s="86">
        <v>249780596</v>
      </c>
      <c r="F87" s="86"/>
      <c r="G87" s="86">
        <v>0</v>
      </c>
      <c r="H87" s="86">
        <v>541714506</v>
      </c>
      <c r="I87" s="86">
        <v>134876549</v>
      </c>
      <c r="J87" s="86">
        <v>141139423</v>
      </c>
      <c r="K87" s="86">
        <v>0</v>
      </c>
      <c r="L87" s="86">
        <v>176431485</v>
      </c>
      <c r="M87" s="86">
        <v>220927349</v>
      </c>
      <c r="N87" s="86">
        <v>1100880971</v>
      </c>
      <c r="O87" s="86">
        <v>992460470</v>
      </c>
      <c r="P87" s="86">
        <v>0</v>
      </c>
      <c r="Q87" s="86">
        <v>98979552</v>
      </c>
      <c r="R87" s="86">
        <v>0</v>
      </c>
      <c r="S87" s="86">
        <v>0</v>
      </c>
      <c r="T87" s="86">
        <v>205406807</v>
      </c>
      <c r="U87" s="86">
        <v>474582111</v>
      </c>
      <c r="V87" s="86">
        <v>248357930</v>
      </c>
      <c r="W87" s="86">
        <v>21141651</v>
      </c>
      <c r="X87" s="86">
        <v>293976915</v>
      </c>
      <c r="Y87" s="86">
        <v>262138940</v>
      </c>
      <c r="Z87" s="86">
        <v>179671615</v>
      </c>
      <c r="AA87" s="86">
        <v>0</v>
      </c>
      <c r="AB87" s="86">
        <v>425219472</v>
      </c>
      <c r="AC87" s="86">
        <v>766929050</v>
      </c>
      <c r="AD87" s="86">
        <v>986247264</v>
      </c>
      <c r="AE87" s="86">
        <v>866912040</v>
      </c>
      <c r="AF87" s="86">
        <v>432937265</v>
      </c>
      <c r="AG87" s="86">
        <v>1051916568</v>
      </c>
      <c r="AH87" s="86">
        <v>1647237192</v>
      </c>
    </row>
    <row r="88" spans="2:34">
      <c r="B88" s="42" t="s">
        <v>965</v>
      </c>
      <c r="C88" s="42" t="s">
        <v>965</v>
      </c>
      <c r="D88" s="86">
        <v>0</v>
      </c>
      <c r="E88" s="86">
        <v>0</v>
      </c>
      <c r="F88" s="86"/>
      <c r="G88" s="86">
        <v>0</v>
      </c>
      <c r="H88" s="86">
        <v>0</v>
      </c>
      <c r="I88" s="86">
        <v>0</v>
      </c>
      <c r="J88" s="86">
        <v>0</v>
      </c>
      <c r="K88" s="86">
        <v>0</v>
      </c>
      <c r="L88" s="86">
        <v>0</v>
      </c>
      <c r="M88" s="86">
        <v>0</v>
      </c>
      <c r="N88" s="86">
        <v>0</v>
      </c>
      <c r="O88" s="86">
        <v>0</v>
      </c>
      <c r="P88" s="86">
        <v>0</v>
      </c>
      <c r="Q88" s="86">
        <v>0</v>
      </c>
      <c r="R88" s="86">
        <v>0</v>
      </c>
      <c r="S88" s="86">
        <v>0</v>
      </c>
      <c r="T88" s="86">
        <v>0</v>
      </c>
      <c r="U88" s="86">
        <v>0</v>
      </c>
      <c r="V88" s="86">
        <v>0</v>
      </c>
      <c r="W88" s="86">
        <v>0</v>
      </c>
      <c r="X88" s="86">
        <v>0</v>
      </c>
      <c r="Y88" s="86">
        <v>0</v>
      </c>
      <c r="Z88" s="86">
        <v>0</v>
      </c>
      <c r="AA88" s="86">
        <v>0</v>
      </c>
      <c r="AB88" s="86">
        <v>451290000</v>
      </c>
      <c r="AC88" s="86">
        <v>908225000</v>
      </c>
      <c r="AD88" s="86">
        <v>1219898368</v>
      </c>
      <c r="AE88" s="86">
        <v>2671546741</v>
      </c>
      <c r="AF88" s="86">
        <v>843815159</v>
      </c>
      <c r="AG88" s="86">
        <v>2150326522</v>
      </c>
      <c r="AH88" s="86">
        <v>2983824019</v>
      </c>
    </row>
    <row r="89" spans="2:34">
      <c r="B89" s="41" t="s">
        <v>966</v>
      </c>
      <c r="C89" s="1281" t="s">
        <v>2285</v>
      </c>
      <c r="D89" s="86">
        <v>11211221141</v>
      </c>
      <c r="E89" s="86">
        <v>121863</v>
      </c>
      <c r="F89" s="86"/>
      <c r="G89" s="86">
        <v>42164117458</v>
      </c>
      <c r="H89" s="86">
        <v>42164117458</v>
      </c>
      <c r="I89" s="86">
        <v>37746319804</v>
      </c>
      <c r="J89" s="86">
        <v>53683873840</v>
      </c>
      <c r="K89" s="86">
        <v>54590262775</v>
      </c>
      <c r="L89" s="86">
        <v>7610307706</v>
      </c>
      <c r="M89" s="86">
        <v>9402383777</v>
      </c>
      <c r="N89" s="86">
        <v>15250297779</v>
      </c>
      <c r="O89" s="86">
        <v>17739709929</v>
      </c>
      <c r="P89" s="86">
        <v>151771797</v>
      </c>
      <c r="Q89" s="86">
        <v>5692842661</v>
      </c>
      <c r="R89" s="86">
        <v>5927557641</v>
      </c>
      <c r="S89" s="86">
        <v>8683013134</v>
      </c>
      <c r="T89" s="86">
        <v>3053559559</v>
      </c>
      <c r="U89" s="86">
        <v>4198629877</v>
      </c>
      <c r="V89" s="86">
        <v>16329333886</v>
      </c>
      <c r="W89" s="86">
        <v>24082163071</v>
      </c>
      <c r="X89" s="86">
        <v>18451186318</v>
      </c>
      <c r="Y89" s="86">
        <v>49182375637</v>
      </c>
      <c r="Z89" s="86">
        <v>57884983435</v>
      </c>
      <c r="AA89" s="86">
        <v>62982179285</v>
      </c>
      <c r="AB89" s="86">
        <v>4900008</v>
      </c>
      <c r="AC89" s="86">
        <v>705375232</v>
      </c>
      <c r="AD89" s="86">
        <v>2434322007</v>
      </c>
      <c r="AE89" s="86">
        <v>3563611688</v>
      </c>
      <c r="AF89" s="86">
        <v>2978271005</v>
      </c>
      <c r="AG89" s="86">
        <v>7907038792</v>
      </c>
      <c r="AH89" s="86">
        <v>14654329465</v>
      </c>
    </row>
    <row r="90" spans="2:34">
      <c r="B90" s="42" t="s">
        <v>953</v>
      </c>
      <c r="C90" s="1277"/>
      <c r="D90" s="86">
        <v>0</v>
      </c>
      <c r="E90" s="86">
        <v>0</v>
      </c>
      <c r="F90" s="86"/>
      <c r="G90" s="86">
        <v>26068011162</v>
      </c>
      <c r="H90" s="86">
        <v>26068011162</v>
      </c>
      <c r="I90" s="86">
        <v>21499715</v>
      </c>
      <c r="J90" s="86">
        <v>108691175</v>
      </c>
      <c r="K90" s="86">
        <v>108691175</v>
      </c>
      <c r="L90" s="86">
        <v>2591282591</v>
      </c>
      <c r="M90" s="86">
        <v>4284560805</v>
      </c>
      <c r="N90" s="86">
        <v>4971285174</v>
      </c>
      <c r="O90" s="86">
        <v>7248980374</v>
      </c>
      <c r="P90" s="86">
        <v>59415950</v>
      </c>
      <c r="Q90" s="86">
        <v>3309415950</v>
      </c>
      <c r="R90" s="86">
        <v>3544130930</v>
      </c>
      <c r="S90" s="86">
        <v>5144932405</v>
      </c>
      <c r="T90" s="86">
        <v>1130740000</v>
      </c>
      <c r="U90" s="86">
        <v>2066641748</v>
      </c>
      <c r="V90" s="86">
        <v>3233684848</v>
      </c>
      <c r="W90" s="86">
        <v>4191546165</v>
      </c>
      <c r="X90" s="86">
        <v>1377292678</v>
      </c>
      <c r="Y90" s="86">
        <v>29919294066</v>
      </c>
      <c r="Z90" s="86">
        <v>37178127746</v>
      </c>
      <c r="AA90" s="86">
        <v>42040788310</v>
      </c>
      <c r="AB90" s="86"/>
      <c r="AC90" s="86"/>
      <c r="AD90" s="86"/>
      <c r="AE90" s="86"/>
      <c r="AF90" s="86"/>
      <c r="AG90" s="86"/>
      <c r="AH90" s="86"/>
    </row>
    <row r="91" spans="2:34">
      <c r="B91" s="42" t="s">
        <v>967</v>
      </c>
      <c r="C91" s="42" t="s">
        <v>2286</v>
      </c>
      <c r="D91" s="86">
        <v>793997</v>
      </c>
      <c r="E91" s="86">
        <v>121863</v>
      </c>
      <c r="F91" s="86"/>
      <c r="G91" s="86">
        <v>121863</v>
      </c>
      <c r="H91" s="86">
        <v>121863</v>
      </c>
      <c r="I91" s="86">
        <v>0</v>
      </c>
      <c r="J91" s="86">
        <v>0</v>
      </c>
      <c r="K91" s="86">
        <v>0</v>
      </c>
      <c r="L91" s="86">
        <v>0</v>
      </c>
      <c r="M91" s="86">
        <v>0</v>
      </c>
      <c r="N91" s="86">
        <v>0</v>
      </c>
      <c r="O91" s="86">
        <v>0</v>
      </c>
      <c r="P91" s="86">
        <v>0</v>
      </c>
      <c r="Q91" s="86">
        <v>373869576</v>
      </c>
      <c r="R91" s="86">
        <v>373869576</v>
      </c>
      <c r="S91" s="86">
        <v>373869576</v>
      </c>
      <c r="T91" s="86">
        <v>219274777</v>
      </c>
      <c r="U91" s="86">
        <v>219274777</v>
      </c>
      <c r="V91" s="86">
        <v>2953560403</v>
      </c>
      <c r="W91" s="86">
        <v>3389723142</v>
      </c>
      <c r="X91" s="86">
        <v>5027986692</v>
      </c>
      <c r="Y91" s="86">
        <v>5666181145</v>
      </c>
      <c r="Z91" s="86">
        <v>5680899080</v>
      </c>
      <c r="AA91" s="86">
        <v>5687426478</v>
      </c>
      <c r="AB91" s="86">
        <v>4900007</v>
      </c>
      <c r="AC91" s="86">
        <v>705375231</v>
      </c>
      <c r="AD91" s="86">
        <v>2434322006</v>
      </c>
      <c r="AE91" s="86">
        <v>3563611687</v>
      </c>
      <c r="AF91" s="86">
        <v>2978271005</v>
      </c>
      <c r="AG91" s="86">
        <v>7907038792</v>
      </c>
      <c r="AH91" s="86">
        <v>14654329465</v>
      </c>
    </row>
    <row r="92" spans="2:34">
      <c r="B92" s="42" t="s">
        <v>968</v>
      </c>
      <c r="C92" s="42" t="s">
        <v>2287</v>
      </c>
      <c r="D92" s="86">
        <v>9245200475</v>
      </c>
      <c r="E92" s="86">
        <v>0</v>
      </c>
      <c r="F92" s="86"/>
      <c r="G92" s="86">
        <v>16095984433</v>
      </c>
      <c r="H92" s="86">
        <v>16095984433</v>
      </c>
      <c r="I92" s="86">
        <v>17721768685</v>
      </c>
      <c r="J92" s="86">
        <v>33572131261</v>
      </c>
      <c r="K92" s="86">
        <v>33681713643</v>
      </c>
      <c r="L92" s="86">
        <v>5019025115</v>
      </c>
      <c r="M92" s="86">
        <v>5019025115</v>
      </c>
      <c r="N92" s="86">
        <v>10180214748</v>
      </c>
      <c r="O92" s="86">
        <v>10262985407</v>
      </c>
      <c r="P92" s="86">
        <v>92355847</v>
      </c>
      <c r="Q92" s="86">
        <v>2009557135</v>
      </c>
      <c r="R92" s="86">
        <v>2009557135</v>
      </c>
      <c r="S92" s="86">
        <v>3164211153</v>
      </c>
      <c r="T92" s="86">
        <v>1703544782</v>
      </c>
      <c r="U92" s="86">
        <v>1912713352</v>
      </c>
      <c r="V92" s="86">
        <v>9711050384</v>
      </c>
      <c r="W92" s="86">
        <v>16069855513</v>
      </c>
      <c r="X92" s="86">
        <v>12045906948</v>
      </c>
      <c r="Y92" s="86">
        <v>13596900426</v>
      </c>
      <c r="Z92" s="86">
        <v>14003316717</v>
      </c>
      <c r="AA92" s="86">
        <v>14231324605</v>
      </c>
      <c r="AB92" s="86">
        <v>0</v>
      </c>
      <c r="AC92" s="86">
        <v>0</v>
      </c>
      <c r="AD92" s="86">
        <v>0</v>
      </c>
      <c r="AE92" s="86">
        <v>0</v>
      </c>
      <c r="AF92" s="86">
        <v>0</v>
      </c>
      <c r="AG92" s="86">
        <v>0</v>
      </c>
      <c r="AH92" s="86">
        <v>0</v>
      </c>
    </row>
    <row r="93" spans="2:34">
      <c r="B93" s="42" t="s">
        <v>969</v>
      </c>
      <c r="C93" s="42" t="s">
        <v>2288</v>
      </c>
      <c r="D93" s="86">
        <v>0</v>
      </c>
      <c r="E93" s="86">
        <v>0</v>
      </c>
      <c r="F93" s="86"/>
      <c r="G93" s="86">
        <v>0</v>
      </c>
      <c r="H93" s="86">
        <v>0</v>
      </c>
      <c r="I93" s="86">
        <v>0</v>
      </c>
      <c r="J93" s="86">
        <v>0</v>
      </c>
      <c r="K93" s="86">
        <v>0</v>
      </c>
      <c r="L93" s="86">
        <v>0</v>
      </c>
      <c r="M93" s="86">
        <v>0</v>
      </c>
      <c r="N93" s="86">
        <v>0</v>
      </c>
      <c r="O93" s="86">
        <v>0</v>
      </c>
      <c r="P93" s="86">
        <v>0</v>
      </c>
      <c r="Q93" s="86">
        <v>0</v>
      </c>
      <c r="R93" s="86">
        <v>0</v>
      </c>
      <c r="S93" s="86">
        <v>0</v>
      </c>
      <c r="T93" s="86">
        <v>0</v>
      </c>
      <c r="U93" s="86">
        <v>0</v>
      </c>
      <c r="V93" s="86">
        <v>0</v>
      </c>
      <c r="W93" s="86">
        <v>0</v>
      </c>
      <c r="X93" s="86">
        <v>0</v>
      </c>
      <c r="Y93" s="86">
        <v>0</v>
      </c>
      <c r="Z93" s="86">
        <v>0</v>
      </c>
      <c r="AA93" s="86">
        <v>0</v>
      </c>
      <c r="AB93" s="86">
        <v>0</v>
      </c>
      <c r="AC93" s="86">
        <v>0</v>
      </c>
      <c r="AD93" s="86">
        <v>0</v>
      </c>
      <c r="AE93" s="86">
        <v>0</v>
      </c>
      <c r="AF93" s="86">
        <v>0</v>
      </c>
      <c r="AG93" s="86">
        <v>0</v>
      </c>
      <c r="AH93" s="86">
        <v>0</v>
      </c>
    </row>
    <row r="94" spans="2:34">
      <c r="B94" s="42" t="s">
        <v>970</v>
      </c>
      <c r="C94" s="1282" t="s">
        <v>2289</v>
      </c>
      <c r="D94" s="86">
        <v>0</v>
      </c>
      <c r="E94" s="86">
        <v>0</v>
      </c>
      <c r="F94" s="86"/>
      <c r="G94" s="86">
        <v>0</v>
      </c>
      <c r="H94" s="86">
        <v>0</v>
      </c>
      <c r="I94" s="86">
        <v>20003051404</v>
      </c>
      <c r="J94" s="86">
        <v>20003051404</v>
      </c>
      <c r="K94" s="86">
        <v>20799857957</v>
      </c>
      <c r="L94" s="86">
        <v>0</v>
      </c>
      <c r="M94" s="86">
        <v>0</v>
      </c>
      <c r="N94" s="86">
        <v>0</v>
      </c>
      <c r="O94" s="86">
        <v>0</v>
      </c>
      <c r="P94" s="86">
        <v>0</v>
      </c>
      <c r="Q94" s="86">
        <v>0</v>
      </c>
      <c r="R94" s="86">
        <v>0</v>
      </c>
      <c r="S94" s="86">
        <v>0</v>
      </c>
      <c r="T94" s="86">
        <v>0</v>
      </c>
      <c r="U94" s="86">
        <v>0</v>
      </c>
      <c r="V94" s="86">
        <v>0</v>
      </c>
      <c r="W94" s="86">
        <v>0</v>
      </c>
      <c r="X94" s="86">
        <v>0</v>
      </c>
      <c r="Y94" s="86">
        <v>0</v>
      </c>
      <c r="Z94" s="86">
        <v>0</v>
      </c>
      <c r="AA94" s="86">
        <v>0</v>
      </c>
      <c r="AB94" s="86">
        <v>1</v>
      </c>
      <c r="AC94" s="86">
        <v>1</v>
      </c>
      <c r="AD94" s="86">
        <v>1</v>
      </c>
      <c r="AE94" s="86">
        <v>1</v>
      </c>
      <c r="AF94" s="86">
        <v>0</v>
      </c>
      <c r="AG94" s="86">
        <v>0</v>
      </c>
      <c r="AH94" s="86">
        <v>0</v>
      </c>
    </row>
    <row r="95" spans="2:34">
      <c r="B95" s="42" t="s">
        <v>965</v>
      </c>
      <c r="C95" s="42" t="s">
        <v>1007</v>
      </c>
      <c r="D95" s="86">
        <v>1965226669</v>
      </c>
      <c r="E95" s="86">
        <v>0</v>
      </c>
      <c r="F95" s="86"/>
      <c r="G95" s="86">
        <v>0</v>
      </c>
      <c r="H95" s="86">
        <v>0</v>
      </c>
      <c r="I95" s="86">
        <v>0</v>
      </c>
      <c r="J95" s="86">
        <v>0</v>
      </c>
      <c r="K95" s="86">
        <v>0</v>
      </c>
      <c r="L95" s="86">
        <v>0</v>
      </c>
      <c r="M95" s="86">
        <v>98797857</v>
      </c>
      <c r="N95" s="86">
        <v>98797857</v>
      </c>
      <c r="O95" s="86">
        <v>227744148</v>
      </c>
      <c r="P95" s="86">
        <v>0</v>
      </c>
      <c r="Q95" s="86">
        <v>0</v>
      </c>
      <c r="R95" s="86">
        <v>0</v>
      </c>
      <c r="S95" s="86">
        <v>0</v>
      </c>
      <c r="T95" s="86">
        <v>0</v>
      </c>
      <c r="U95" s="86">
        <v>0</v>
      </c>
      <c r="V95" s="86">
        <v>431038251</v>
      </c>
      <c r="W95" s="86">
        <v>431038251</v>
      </c>
      <c r="X95" s="86">
        <v>0</v>
      </c>
      <c r="Y95" s="86">
        <v>0</v>
      </c>
      <c r="Z95" s="86">
        <v>1022639892</v>
      </c>
      <c r="AA95" s="86">
        <v>1022639892</v>
      </c>
      <c r="AB95" s="86">
        <v>0</v>
      </c>
      <c r="AC95" s="86">
        <v>0</v>
      </c>
      <c r="AD95" s="86">
        <v>0</v>
      </c>
      <c r="AE95" s="86">
        <v>0</v>
      </c>
      <c r="AF95" s="86">
        <v>0</v>
      </c>
      <c r="AG95" s="86">
        <v>0</v>
      </c>
      <c r="AH95" s="86">
        <v>0</v>
      </c>
    </row>
    <row r="96" spans="2:34">
      <c r="B96" s="41" t="s">
        <v>971</v>
      </c>
      <c r="C96" s="41" t="s">
        <v>2290</v>
      </c>
      <c r="D96" s="86">
        <v>0</v>
      </c>
      <c r="E96" s="86">
        <v>0</v>
      </c>
      <c r="F96" s="86"/>
      <c r="G96" s="86">
        <v>0</v>
      </c>
      <c r="H96" s="86">
        <v>0</v>
      </c>
      <c r="I96" s="86">
        <v>0</v>
      </c>
      <c r="J96" s="86">
        <v>0</v>
      </c>
      <c r="K96" s="86">
        <v>0</v>
      </c>
      <c r="L96" s="86">
        <v>0</v>
      </c>
      <c r="M96" s="86">
        <v>0</v>
      </c>
      <c r="N96" s="86">
        <v>0</v>
      </c>
      <c r="O96" s="86">
        <v>0</v>
      </c>
      <c r="P96" s="86">
        <v>0</v>
      </c>
      <c r="Q96" s="86">
        <v>0</v>
      </c>
      <c r="R96" s="86">
        <v>0</v>
      </c>
      <c r="S96" s="86">
        <v>0</v>
      </c>
      <c r="T96" s="86">
        <v>0</v>
      </c>
      <c r="U96" s="86">
        <v>0</v>
      </c>
      <c r="V96" s="86">
        <v>0</v>
      </c>
      <c r="W96" s="86">
        <v>0</v>
      </c>
      <c r="X96" s="86">
        <v>0</v>
      </c>
      <c r="Y96" s="86">
        <v>0</v>
      </c>
      <c r="Z96" s="86">
        <v>0</v>
      </c>
      <c r="AA96" s="86">
        <v>0</v>
      </c>
      <c r="AB96" s="86">
        <v>0</v>
      </c>
      <c r="AC96" s="86">
        <v>0</v>
      </c>
      <c r="AD96" s="86">
        <v>0</v>
      </c>
      <c r="AE96" s="86">
        <v>0</v>
      </c>
      <c r="AF96" s="86">
        <v>0</v>
      </c>
      <c r="AG96" s="86">
        <v>0</v>
      </c>
      <c r="AH96" s="86">
        <v>0</v>
      </c>
    </row>
    <row r="97" spans="2:34">
      <c r="B97" s="42" t="s">
        <v>972</v>
      </c>
      <c r="C97" s="42" t="s">
        <v>972</v>
      </c>
      <c r="D97" s="86">
        <v>0</v>
      </c>
      <c r="E97" s="86">
        <v>0</v>
      </c>
      <c r="F97" s="86"/>
      <c r="G97" s="86">
        <v>0</v>
      </c>
      <c r="H97" s="86">
        <v>0</v>
      </c>
      <c r="I97" s="86">
        <v>0</v>
      </c>
      <c r="J97" s="86">
        <v>0</v>
      </c>
      <c r="K97" s="86">
        <v>0</v>
      </c>
      <c r="L97" s="86">
        <v>0</v>
      </c>
      <c r="M97" s="86">
        <v>0</v>
      </c>
      <c r="N97" s="86">
        <v>0</v>
      </c>
      <c r="O97" s="86">
        <v>0</v>
      </c>
      <c r="P97" s="86">
        <v>0</v>
      </c>
      <c r="Q97" s="86">
        <v>0</v>
      </c>
      <c r="R97" s="86">
        <v>0</v>
      </c>
      <c r="S97" s="86">
        <v>0</v>
      </c>
      <c r="T97" s="86">
        <v>0</v>
      </c>
      <c r="U97" s="86">
        <v>0</v>
      </c>
      <c r="V97" s="86">
        <v>0</v>
      </c>
      <c r="W97" s="86">
        <v>0</v>
      </c>
      <c r="X97" s="86">
        <v>0</v>
      </c>
      <c r="Y97" s="86">
        <v>0</v>
      </c>
      <c r="Z97" s="86">
        <v>0</v>
      </c>
      <c r="AA97" s="86">
        <v>0</v>
      </c>
      <c r="AB97" s="86">
        <v>0</v>
      </c>
      <c r="AC97" s="86">
        <v>0</v>
      </c>
      <c r="AD97" s="86">
        <v>0</v>
      </c>
      <c r="AE97" s="86">
        <v>0</v>
      </c>
      <c r="AF97" s="86">
        <v>0</v>
      </c>
      <c r="AG97" s="86">
        <v>0</v>
      </c>
      <c r="AH97" s="86">
        <v>0</v>
      </c>
    </row>
    <row r="98" spans="2:34">
      <c r="B98" s="42" t="s">
        <v>973</v>
      </c>
      <c r="C98" s="42" t="s">
        <v>973</v>
      </c>
      <c r="D98" s="86">
        <v>0</v>
      </c>
      <c r="E98" s="86">
        <v>0</v>
      </c>
      <c r="F98" s="86"/>
      <c r="G98" s="86">
        <v>0</v>
      </c>
      <c r="H98" s="86">
        <v>0</v>
      </c>
      <c r="I98" s="86">
        <v>0</v>
      </c>
      <c r="J98" s="86">
        <v>0</v>
      </c>
      <c r="K98" s="86">
        <v>0</v>
      </c>
      <c r="L98" s="86">
        <v>0</v>
      </c>
      <c r="M98" s="86">
        <v>0</v>
      </c>
      <c r="N98" s="86">
        <v>0</v>
      </c>
      <c r="O98" s="86">
        <v>0</v>
      </c>
      <c r="P98" s="86">
        <v>0</v>
      </c>
      <c r="Q98" s="86">
        <v>0</v>
      </c>
      <c r="R98" s="86">
        <v>0</v>
      </c>
      <c r="S98" s="86">
        <v>0</v>
      </c>
      <c r="T98" s="86">
        <v>0</v>
      </c>
      <c r="U98" s="86">
        <v>0</v>
      </c>
      <c r="V98" s="86">
        <v>0</v>
      </c>
      <c r="W98" s="86">
        <v>0</v>
      </c>
      <c r="X98" s="86">
        <v>0</v>
      </c>
      <c r="Y98" s="86">
        <v>0</v>
      </c>
      <c r="Z98" s="86">
        <v>0</v>
      </c>
      <c r="AA98" s="86">
        <v>0</v>
      </c>
      <c r="AB98" s="86">
        <v>0</v>
      </c>
      <c r="AC98" s="86">
        <v>0</v>
      </c>
      <c r="AD98" s="86">
        <v>0</v>
      </c>
      <c r="AE98" s="86">
        <v>0</v>
      </c>
      <c r="AF98" s="86">
        <v>0</v>
      </c>
      <c r="AG98" s="86">
        <v>0</v>
      </c>
      <c r="AH98" s="86">
        <v>0</v>
      </c>
    </row>
    <row r="99" spans="2:34">
      <c r="B99" s="42" t="s">
        <v>923</v>
      </c>
      <c r="C99" s="42" t="s">
        <v>923</v>
      </c>
      <c r="D99" s="86">
        <v>0</v>
      </c>
      <c r="E99" s="86">
        <v>0</v>
      </c>
      <c r="F99" s="86"/>
      <c r="G99" s="86">
        <v>0</v>
      </c>
      <c r="H99" s="86">
        <v>0</v>
      </c>
      <c r="I99" s="86">
        <v>0</v>
      </c>
      <c r="J99" s="86">
        <v>0</v>
      </c>
      <c r="K99" s="86">
        <v>0</v>
      </c>
      <c r="L99" s="86">
        <v>0</v>
      </c>
      <c r="M99" s="86">
        <v>0</v>
      </c>
      <c r="N99" s="86">
        <v>0</v>
      </c>
      <c r="O99" s="86">
        <v>0</v>
      </c>
      <c r="P99" s="86">
        <v>0</v>
      </c>
      <c r="Q99" s="86"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>
        <v>0</v>
      </c>
      <c r="Z99" s="86">
        <v>0</v>
      </c>
      <c r="AA99" s="86">
        <v>0</v>
      </c>
      <c r="AB99" s="86">
        <v>0</v>
      </c>
      <c r="AC99" s="86">
        <v>0</v>
      </c>
      <c r="AD99" s="86">
        <v>0</v>
      </c>
      <c r="AE99" s="86">
        <v>0</v>
      </c>
      <c r="AF99" s="86">
        <v>0</v>
      </c>
      <c r="AG99" s="86">
        <v>0</v>
      </c>
      <c r="AH99" s="86">
        <v>0</v>
      </c>
    </row>
    <row r="100" spans="2:34">
      <c r="B100" s="41" t="s">
        <v>974</v>
      </c>
      <c r="C100" s="1281" t="s">
        <v>2291</v>
      </c>
      <c r="D100" s="86">
        <v>0</v>
      </c>
      <c r="E100" s="86">
        <v>0</v>
      </c>
      <c r="F100" s="86"/>
      <c r="G100" s="86">
        <v>4000</v>
      </c>
      <c r="H100" s="86">
        <v>40909004000</v>
      </c>
      <c r="I100" s="86">
        <v>0</v>
      </c>
      <c r="J100" s="86">
        <v>0</v>
      </c>
      <c r="K100" s="86">
        <v>0</v>
      </c>
      <c r="L100" s="86">
        <v>0</v>
      </c>
      <c r="M100" s="86">
        <v>0</v>
      </c>
      <c r="N100" s="86">
        <v>0</v>
      </c>
      <c r="O100" s="86">
        <v>0</v>
      </c>
      <c r="P100" s="86">
        <v>0</v>
      </c>
      <c r="Q100" s="86">
        <v>0</v>
      </c>
      <c r="R100" s="86">
        <v>0</v>
      </c>
      <c r="S100" s="86">
        <v>0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>
        <v>0</v>
      </c>
      <c r="Z100" s="86">
        <v>0</v>
      </c>
      <c r="AA100" s="86">
        <v>0</v>
      </c>
      <c r="AB100" s="86">
        <v>0</v>
      </c>
      <c r="AC100" s="86">
        <v>0</v>
      </c>
      <c r="AD100" s="86">
        <v>0</v>
      </c>
      <c r="AE100" s="86">
        <v>1658633</v>
      </c>
      <c r="AF100" s="86">
        <v>50748871</v>
      </c>
      <c r="AG100" s="86">
        <v>101555640</v>
      </c>
      <c r="AH100" s="86">
        <v>89492091</v>
      </c>
    </row>
    <row r="101" spans="2:34">
      <c r="B101" s="42" t="s">
        <v>975</v>
      </c>
      <c r="C101" s="1277" t="s">
        <v>2292</v>
      </c>
      <c r="D101" s="86">
        <v>0</v>
      </c>
      <c r="E101" s="86">
        <v>0</v>
      </c>
      <c r="F101" s="86"/>
      <c r="G101" s="86">
        <v>1000</v>
      </c>
      <c r="H101" s="86">
        <v>40909001000</v>
      </c>
      <c r="I101" s="86">
        <v>0</v>
      </c>
      <c r="J101" s="86">
        <v>0</v>
      </c>
      <c r="K101" s="86">
        <v>0</v>
      </c>
      <c r="L101" s="86">
        <v>0</v>
      </c>
      <c r="M101" s="86">
        <v>0</v>
      </c>
      <c r="N101" s="86">
        <v>0</v>
      </c>
      <c r="O101" s="86">
        <v>0</v>
      </c>
      <c r="P101" s="86">
        <v>0</v>
      </c>
      <c r="Q101" s="86">
        <v>0</v>
      </c>
      <c r="R101" s="86">
        <v>0</v>
      </c>
      <c r="S101" s="86">
        <v>0</v>
      </c>
      <c r="T101" s="86">
        <v>0</v>
      </c>
      <c r="U101" s="86">
        <v>0</v>
      </c>
      <c r="V101" s="86">
        <v>0</v>
      </c>
      <c r="W101" s="86">
        <v>0</v>
      </c>
      <c r="X101" s="86">
        <v>0</v>
      </c>
      <c r="Y101" s="86">
        <v>0</v>
      </c>
      <c r="Z101" s="86">
        <v>0</v>
      </c>
      <c r="AA101" s="86">
        <v>0</v>
      </c>
      <c r="AB101" s="86">
        <v>0</v>
      </c>
      <c r="AC101" s="86">
        <v>0</v>
      </c>
      <c r="AD101" s="86">
        <v>0</v>
      </c>
      <c r="AE101" s="86">
        <v>1658633</v>
      </c>
      <c r="AF101" s="86">
        <v>36163238</v>
      </c>
      <c r="AG101" s="86">
        <v>86970007</v>
      </c>
      <c r="AH101" s="86">
        <v>89492091</v>
      </c>
    </row>
    <row r="102" spans="2:34">
      <c r="B102" s="42" t="s">
        <v>976</v>
      </c>
      <c r="C102" s="1277" t="s">
        <v>2293</v>
      </c>
      <c r="D102" s="86">
        <v>0</v>
      </c>
      <c r="E102" s="86">
        <v>0</v>
      </c>
      <c r="F102" s="86"/>
      <c r="G102" s="86">
        <v>3000</v>
      </c>
      <c r="H102" s="86">
        <v>3000</v>
      </c>
      <c r="I102" s="86">
        <v>0</v>
      </c>
      <c r="J102" s="86">
        <v>0</v>
      </c>
      <c r="K102" s="86">
        <v>0</v>
      </c>
      <c r="L102" s="86">
        <v>0</v>
      </c>
      <c r="M102" s="86">
        <v>0</v>
      </c>
      <c r="N102" s="86">
        <v>0</v>
      </c>
      <c r="O102" s="86">
        <v>0</v>
      </c>
      <c r="P102" s="86">
        <v>0</v>
      </c>
      <c r="Q102" s="86">
        <v>0</v>
      </c>
      <c r="R102" s="86">
        <v>0</v>
      </c>
      <c r="S102" s="86">
        <v>0</v>
      </c>
      <c r="T102" s="86">
        <v>0</v>
      </c>
      <c r="U102" s="86">
        <v>0</v>
      </c>
      <c r="V102" s="86">
        <v>0</v>
      </c>
      <c r="W102" s="86">
        <v>0</v>
      </c>
      <c r="X102" s="86">
        <v>0</v>
      </c>
      <c r="Y102" s="86">
        <v>0</v>
      </c>
      <c r="Z102" s="86">
        <v>0</v>
      </c>
      <c r="AA102" s="86">
        <v>0</v>
      </c>
      <c r="AB102" s="86">
        <v>0</v>
      </c>
      <c r="AC102" s="86">
        <v>0</v>
      </c>
      <c r="AD102" s="86">
        <v>0</v>
      </c>
      <c r="AE102" s="86">
        <v>0</v>
      </c>
      <c r="AF102" s="86">
        <v>14585633</v>
      </c>
      <c r="AG102" s="86">
        <v>14585633</v>
      </c>
      <c r="AH102" s="86">
        <v>0</v>
      </c>
    </row>
    <row r="103" spans="2:34">
      <c r="B103" s="41" t="s">
        <v>977</v>
      </c>
      <c r="C103" s="41" t="s">
        <v>977</v>
      </c>
      <c r="D103" s="86">
        <v>4326801213</v>
      </c>
      <c r="E103" s="86">
        <v>4718929140</v>
      </c>
      <c r="F103" s="86"/>
      <c r="G103" s="86">
        <v>2066611039</v>
      </c>
      <c r="H103" s="86">
        <v>2770244195</v>
      </c>
      <c r="I103" s="86">
        <v>19861437346</v>
      </c>
      <c r="J103" s="86">
        <v>7146620351</v>
      </c>
      <c r="K103" s="86">
        <v>8290817978</v>
      </c>
      <c r="L103" s="86">
        <v>2734153620</v>
      </c>
      <c r="M103" s="86">
        <v>1995847330</v>
      </c>
      <c r="N103" s="86">
        <v>6275944152</v>
      </c>
      <c r="O103" s="86">
        <v>14453552876</v>
      </c>
      <c r="P103" s="86">
        <v>1853776260</v>
      </c>
      <c r="Q103" s="86">
        <v>2598582051</v>
      </c>
      <c r="R103" s="86">
        <v>6237013172</v>
      </c>
      <c r="S103" s="86">
        <v>5976906244</v>
      </c>
      <c r="T103" s="86">
        <v>12092396300</v>
      </c>
      <c r="U103" s="86">
        <v>3200624855</v>
      </c>
      <c r="V103" s="86">
        <v>2683837631</v>
      </c>
      <c r="W103" s="86">
        <v>1390603605</v>
      </c>
      <c r="X103" s="86">
        <v>3461497857</v>
      </c>
      <c r="Y103" s="86">
        <v>0</v>
      </c>
      <c r="Z103" s="86">
        <v>9342342048</v>
      </c>
      <c r="AA103" s="86">
        <v>4952208285</v>
      </c>
      <c r="AB103" s="86">
        <v>4153807325</v>
      </c>
      <c r="AC103" s="86">
        <v>19998803942</v>
      </c>
      <c r="AD103" s="86">
        <v>20135536742</v>
      </c>
      <c r="AE103" s="86">
        <v>66598331211</v>
      </c>
      <c r="AF103" s="86">
        <v>26122073529</v>
      </c>
      <c r="AG103" s="86">
        <v>26122073529</v>
      </c>
      <c r="AH103" s="86">
        <v>26595873811</v>
      </c>
    </row>
    <row r="104" spans="2:34">
      <c r="B104" s="42" t="s">
        <v>960</v>
      </c>
      <c r="C104" s="42" t="s">
        <v>960</v>
      </c>
      <c r="D104" s="86">
        <v>2821175112</v>
      </c>
      <c r="E104" s="86">
        <v>4718929140</v>
      </c>
      <c r="F104" s="86"/>
      <c r="G104" s="86">
        <v>2066611039</v>
      </c>
      <c r="H104" s="86">
        <v>2770244195</v>
      </c>
      <c r="I104" s="86">
        <v>9883574052</v>
      </c>
      <c r="J104" s="86">
        <v>412396691</v>
      </c>
      <c r="K104" s="86">
        <v>729329603</v>
      </c>
      <c r="L104" s="86">
        <v>2734153620</v>
      </c>
      <c r="M104" s="86">
        <v>1995847330</v>
      </c>
      <c r="N104" s="86">
        <v>6275944152</v>
      </c>
      <c r="O104" s="86">
        <v>14453552876</v>
      </c>
      <c r="P104" s="86">
        <v>0</v>
      </c>
      <c r="Q104" s="86">
        <v>0</v>
      </c>
      <c r="R104" s="86">
        <v>1525381873</v>
      </c>
      <c r="S104" s="86">
        <v>0</v>
      </c>
      <c r="T104" s="86">
        <v>10325233050</v>
      </c>
      <c r="U104" s="86">
        <v>3200624855</v>
      </c>
      <c r="V104" s="86">
        <v>2454238156</v>
      </c>
      <c r="W104" s="86">
        <v>0</v>
      </c>
      <c r="X104" s="86">
        <v>868707774</v>
      </c>
      <c r="Y104" s="86">
        <v>0</v>
      </c>
      <c r="Z104" s="86">
        <v>0</v>
      </c>
      <c r="AA104" s="86">
        <v>0</v>
      </c>
      <c r="AB104" s="86">
        <v>4153807325</v>
      </c>
      <c r="AC104" s="86">
        <v>19998803942</v>
      </c>
      <c r="AD104" s="86">
        <v>20135536742</v>
      </c>
      <c r="AE104" s="86">
        <v>66598331211</v>
      </c>
      <c r="AF104" s="86">
        <v>0</v>
      </c>
      <c r="AG104" s="86">
        <v>0</v>
      </c>
      <c r="AH104" s="86">
        <v>0</v>
      </c>
    </row>
    <row r="105" spans="2:34">
      <c r="B105" s="42" t="s">
        <v>978</v>
      </c>
      <c r="C105" s="42" t="s">
        <v>978</v>
      </c>
      <c r="D105" s="86">
        <v>1505626101</v>
      </c>
      <c r="E105" s="86">
        <v>0</v>
      </c>
      <c r="F105" s="86"/>
      <c r="G105" s="86">
        <v>0</v>
      </c>
      <c r="H105" s="86">
        <v>0</v>
      </c>
      <c r="I105" s="86">
        <v>9977863294</v>
      </c>
      <c r="J105" s="86">
        <v>6734223660</v>
      </c>
      <c r="K105" s="86">
        <v>7561488375</v>
      </c>
      <c r="L105" s="86">
        <v>0</v>
      </c>
      <c r="M105" s="86">
        <v>0</v>
      </c>
      <c r="N105" s="86">
        <v>0</v>
      </c>
      <c r="O105" s="86">
        <v>0</v>
      </c>
      <c r="P105" s="86">
        <v>1853776260</v>
      </c>
      <c r="Q105" s="86">
        <v>2598582051</v>
      </c>
      <c r="R105" s="86">
        <v>4711631299</v>
      </c>
      <c r="S105" s="86">
        <v>5976906244</v>
      </c>
      <c r="T105" s="86">
        <v>1767163250</v>
      </c>
      <c r="U105" s="86">
        <v>0</v>
      </c>
      <c r="V105" s="86">
        <v>229599475</v>
      </c>
      <c r="W105" s="86">
        <v>1390603605</v>
      </c>
      <c r="X105" s="86">
        <v>2592790083</v>
      </c>
      <c r="Y105" s="86">
        <v>0</v>
      </c>
      <c r="Z105" s="86">
        <v>9342342048</v>
      </c>
      <c r="AA105" s="86">
        <v>4952208285</v>
      </c>
      <c r="AB105" s="86">
        <v>0</v>
      </c>
      <c r="AC105" s="86">
        <v>0</v>
      </c>
      <c r="AD105" s="86">
        <v>0</v>
      </c>
      <c r="AE105" s="86">
        <v>0</v>
      </c>
      <c r="AF105" s="86">
        <v>26122073529</v>
      </c>
      <c r="AG105" s="86">
        <v>26122073529</v>
      </c>
      <c r="AH105" s="86">
        <v>26595873811</v>
      </c>
    </row>
    <row r="106" spans="2:34">
      <c r="B106" s="42" t="s">
        <v>923</v>
      </c>
      <c r="C106" s="42" t="s">
        <v>923</v>
      </c>
      <c r="D106" s="86">
        <v>0</v>
      </c>
      <c r="E106" s="86">
        <v>0</v>
      </c>
      <c r="F106" s="86"/>
      <c r="G106" s="86">
        <v>0</v>
      </c>
      <c r="H106" s="86">
        <v>0</v>
      </c>
      <c r="I106" s="86">
        <v>0</v>
      </c>
      <c r="J106" s="86">
        <v>0</v>
      </c>
      <c r="K106" s="86">
        <v>0</v>
      </c>
      <c r="L106" s="86">
        <v>0</v>
      </c>
      <c r="M106" s="86">
        <v>0</v>
      </c>
      <c r="N106" s="86">
        <v>0</v>
      </c>
      <c r="O106" s="86">
        <v>0</v>
      </c>
      <c r="P106" s="86">
        <v>0</v>
      </c>
      <c r="Q106" s="86">
        <v>0</v>
      </c>
      <c r="R106" s="86">
        <v>0</v>
      </c>
      <c r="S106" s="86">
        <v>0</v>
      </c>
      <c r="T106" s="86">
        <v>0</v>
      </c>
      <c r="U106" s="86">
        <v>0</v>
      </c>
      <c r="V106" s="86">
        <v>0</v>
      </c>
      <c r="W106" s="86">
        <v>0</v>
      </c>
      <c r="X106" s="86">
        <v>0</v>
      </c>
      <c r="Y106" s="86">
        <v>0</v>
      </c>
      <c r="Z106" s="86">
        <v>0</v>
      </c>
      <c r="AA106" s="86">
        <v>0</v>
      </c>
      <c r="AB106" s="86">
        <v>0</v>
      </c>
      <c r="AC106" s="86">
        <v>0</v>
      </c>
      <c r="AD106" s="86">
        <v>0</v>
      </c>
      <c r="AE106" s="86">
        <v>0</v>
      </c>
      <c r="AF106" s="86">
        <v>0</v>
      </c>
      <c r="AG106" s="86">
        <v>0</v>
      </c>
      <c r="AH106" s="86">
        <v>0</v>
      </c>
    </row>
    <row r="107" spans="2:34">
      <c r="B107" s="41" t="s">
        <v>979</v>
      </c>
      <c r="C107" s="41" t="s">
        <v>979</v>
      </c>
      <c r="D107" s="86">
        <v>12195686</v>
      </c>
      <c r="E107" s="86">
        <v>7137997528</v>
      </c>
      <c r="F107" s="86"/>
      <c r="G107" s="86">
        <v>20056061501</v>
      </c>
      <c r="H107" s="86">
        <v>24887365862</v>
      </c>
      <c r="I107" s="86">
        <v>2112014108</v>
      </c>
      <c r="J107" s="86">
        <v>3995496277</v>
      </c>
      <c r="K107" s="86">
        <v>5699425990</v>
      </c>
      <c r="L107" s="86">
        <v>1168739878</v>
      </c>
      <c r="M107" s="86">
        <v>2393646305</v>
      </c>
      <c r="N107" s="86">
        <v>3805618169</v>
      </c>
      <c r="O107" s="86">
        <v>6255201215</v>
      </c>
      <c r="P107" s="86">
        <v>1935165919</v>
      </c>
      <c r="Q107" s="86">
        <v>2976973354</v>
      </c>
      <c r="R107" s="86">
        <v>4530923408</v>
      </c>
      <c r="S107" s="86">
        <v>6218278488</v>
      </c>
      <c r="T107" s="86">
        <v>1466929958</v>
      </c>
      <c r="U107" s="86">
        <v>3787195478</v>
      </c>
      <c r="V107" s="86">
        <v>6262146019</v>
      </c>
      <c r="W107" s="86">
        <v>8628257814</v>
      </c>
      <c r="X107" s="86">
        <v>2105430147</v>
      </c>
      <c r="Y107" s="86">
        <v>3866842368</v>
      </c>
      <c r="Z107" s="86">
        <v>4840252837</v>
      </c>
      <c r="AA107" s="86">
        <v>6749530608</v>
      </c>
      <c r="AB107" s="86">
        <v>124003100</v>
      </c>
      <c r="AC107" s="86">
        <v>909142341</v>
      </c>
      <c r="AD107" s="86">
        <v>1323477991</v>
      </c>
      <c r="AE107" s="86">
        <v>2909142791</v>
      </c>
      <c r="AF107" s="86">
        <v>246393803</v>
      </c>
      <c r="AG107" s="86">
        <v>902977465</v>
      </c>
      <c r="AH107" s="86">
        <v>997474826</v>
      </c>
    </row>
    <row r="108" spans="2:34">
      <c r="B108" s="42" t="s">
        <v>934</v>
      </c>
      <c r="C108" s="42" t="s">
        <v>934</v>
      </c>
      <c r="D108" s="86">
        <v>0</v>
      </c>
      <c r="E108" s="86">
        <v>7112786498</v>
      </c>
      <c r="F108" s="86"/>
      <c r="G108" s="86">
        <v>19971255429</v>
      </c>
      <c r="H108" s="86">
        <v>24688110937</v>
      </c>
      <c r="I108" s="86">
        <v>1716981692</v>
      </c>
      <c r="J108" s="86">
        <v>3065846485</v>
      </c>
      <c r="K108" s="86">
        <v>4399207750</v>
      </c>
      <c r="L108" s="86">
        <v>856116738</v>
      </c>
      <c r="M108" s="86">
        <v>1956774716</v>
      </c>
      <c r="N108" s="86">
        <v>3274410171</v>
      </c>
      <c r="O108" s="86">
        <v>5611783524</v>
      </c>
      <c r="P108" s="86">
        <v>1838097683</v>
      </c>
      <c r="Q108" s="86">
        <v>2879127592</v>
      </c>
      <c r="R108" s="86">
        <v>4290348777</v>
      </c>
      <c r="S108" s="86">
        <v>5970403527</v>
      </c>
      <c r="T108" s="86">
        <v>1466929958</v>
      </c>
      <c r="U108" s="86">
        <v>3748636730</v>
      </c>
      <c r="V108" s="86">
        <v>6161187496</v>
      </c>
      <c r="W108" s="86">
        <v>8340099966</v>
      </c>
      <c r="X108" s="86">
        <v>1979374053</v>
      </c>
      <c r="Y108" s="86">
        <v>3090507955</v>
      </c>
      <c r="Z108" s="86">
        <v>4063897757</v>
      </c>
      <c r="AA108" s="86">
        <v>4856269690</v>
      </c>
      <c r="AB108" s="86">
        <v>117992425</v>
      </c>
      <c r="AC108" s="86">
        <v>251715916</v>
      </c>
      <c r="AD108" s="86">
        <v>562043141</v>
      </c>
      <c r="AE108" s="86">
        <v>874447993</v>
      </c>
      <c r="AF108" s="86">
        <v>151337350</v>
      </c>
      <c r="AG108" s="86">
        <v>259920000</v>
      </c>
      <c r="AH108" s="86">
        <v>353778600</v>
      </c>
    </row>
    <row r="109" spans="2:34">
      <c r="B109" s="42" t="s">
        <v>935</v>
      </c>
      <c r="C109" s="42" t="s">
        <v>935</v>
      </c>
      <c r="D109" s="86">
        <v>12195686</v>
      </c>
      <c r="E109" s="86">
        <v>25211030</v>
      </c>
      <c r="F109" s="86"/>
      <c r="G109" s="86">
        <v>84806072</v>
      </c>
      <c r="H109" s="86">
        <v>199254925</v>
      </c>
      <c r="I109" s="86">
        <v>178265293</v>
      </c>
      <c r="J109" s="86">
        <v>389184039</v>
      </c>
      <c r="K109" s="86">
        <v>439752488</v>
      </c>
      <c r="L109" s="86">
        <v>3061497</v>
      </c>
      <c r="M109" s="86">
        <v>25090768</v>
      </c>
      <c r="N109" s="86">
        <v>27429917</v>
      </c>
      <c r="O109" s="86">
        <v>139639610</v>
      </c>
      <c r="P109" s="86">
        <v>97068236</v>
      </c>
      <c r="Q109" s="86">
        <v>97845762</v>
      </c>
      <c r="R109" s="86">
        <v>240574631</v>
      </c>
      <c r="S109" s="86">
        <v>247874961</v>
      </c>
      <c r="T109" s="86">
        <v>0</v>
      </c>
      <c r="U109" s="86">
        <v>38558748</v>
      </c>
      <c r="V109" s="86">
        <v>38558748</v>
      </c>
      <c r="W109" s="86">
        <v>38558748</v>
      </c>
      <c r="X109" s="86">
        <v>1256544</v>
      </c>
      <c r="Y109" s="86">
        <v>103534863</v>
      </c>
      <c r="Z109" s="86">
        <v>103555530</v>
      </c>
      <c r="AA109" s="86">
        <v>103667146</v>
      </c>
      <c r="AB109" s="86">
        <v>0</v>
      </c>
      <c r="AC109" s="86">
        <v>0</v>
      </c>
      <c r="AD109" s="86">
        <v>0</v>
      </c>
      <c r="AE109" s="86">
        <v>48</v>
      </c>
      <c r="AF109" s="86">
        <v>25717503</v>
      </c>
      <c r="AG109" s="86">
        <v>25718515</v>
      </c>
      <c r="AH109" s="86">
        <v>26357276</v>
      </c>
    </row>
    <row r="110" spans="2:34">
      <c r="B110" s="42" t="s">
        <v>923</v>
      </c>
      <c r="C110" s="42" t="s">
        <v>923</v>
      </c>
      <c r="D110" s="86">
        <v>0</v>
      </c>
      <c r="E110" s="86">
        <v>0</v>
      </c>
      <c r="F110" s="86"/>
      <c r="G110" s="86">
        <v>0</v>
      </c>
      <c r="H110" s="86">
        <v>0</v>
      </c>
      <c r="I110" s="86">
        <v>216767123</v>
      </c>
      <c r="J110" s="86">
        <v>540465753</v>
      </c>
      <c r="K110" s="86">
        <v>860465752</v>
      </c>
      <c r="L110" s="86">
        <v>309561643</v>
      </c>
      <c r="M110" s="86">
        <v>411780821</v>
      </c>
      <c r="N110" s="86">
        <v>503778081</v>
      </c>
      <c r="O110" s="86">
        <v>503778081</v>
      </c>
      <c r="P110" s="86">
        <v>0</v>
      </c>
      <c r="Q110" s="86">
        <v>0</v>
      </c>
      <c r="R110" s="86">
        <v>0</v>
      </c>
      <c r="S110" s="86">
        <v>0</v>
      </c>
      <c r="T110" s="86">
        <v>0</v>
      </c>
      <c r="U110" s="86">
        <v>0</v>
      </c>
      <c r="V110" s="86">
        <v>62399775</v>
      </c>
      <c r="W110" s="86">
        <v>249599100</v>
      </c>
      <c r="X110" s="86">
        <v>124799550</v>
      </c>
      <c r="Y110" s="86">
        <v>672799550</v>
      </c>
      <c r="Z110" s="86">
        <v>672799550</v>
      </c>
      <c r="AA110" s="86">
        <v>1789593772</v>
      </c>
      <c r="AB110" s="86">
        <v>6010675</v>
      </c>
      <c r="AC110" s="86">
        <v>657426425</v>
      </c>
      <c r="AD110" s="86">
        <v>761434850</v>
      </c>
      <c r="AE110" s="86">
        <v>2034694750</v>
      </c>
      <c r="AF110" s="86">
        <v>69338950</v>
      </c>
      <c r="AG110" s="86">
        <v>617338950</v>
      </c>
      <c r="AH110" s="86">
        <v>617338950</v>
      </c>
    </row>
    <row r="111" spans="2:34">
      <c r="B111" s="41" t="s">
        <v>980</v>
      </c>
      <c r="C111" s="41" t="s">
        <v>980</v>
      </c>
      <c r="D111" s="86">
        <v>5126612789</v>
      </c>
      <c r="E111" s="86">
        <v>3326236042</v>
      </c>
      <c r="F111" s="86"/>
      <c r="G111" s="86">
        <v>48786336719</v>
      </c>
      <c r="H111" s="86">
        <v>27854811530</v>
      </c>
      <c r="I111" s="86">
        <v>287481259</v>
      </c>
      <c r="J111" s="86">
        <v>12905306276</v>
      </c>
      <c r="K111" s="86">
        <v>20033825758</v>
      </c>
      <c r="L111" s="86">
        <v>4055492716</v>
      </c>
      <c r="M111" s="86">
        <v>9267190990</v>
      </c>
      <c r="N111" s="86">
        <v>7655163232</v>
      </c>
      <c r="O111" s="86">
        <v>5788245738</v>
      </c>
      <c r="P111" s="86">
        <v>13303579217</v>
      </c>
      <c r="Q111" s="86">
        <v>5656416275</v>
      </c>
      <c r="R111" s="86">
        <v>1749231386</v>
      </c>
      <c r="S111" s="86">
        <v>2101742475</v>
      </c>
      <c r="T111" s="86">
        <v>1124601125</v>
      </c>
      <c r="U111" s="86">
        <v>1418451762</v>
      </c>
      <c r="V111" s="86">
        <v>29933302657</v>
      </c>
      <c r="W111" s="86">
        <v>51539589667</v>
      </c>
      <c r="X111" s="86">
        <v>41621901813</v>
      </c>
      <c r="Y111" s="86">
        <v>58268671742</v>
      </c>
      <c r="Z111" s="86">
        <v>52332866356</v>
      </c>
      <c r="AA111" s="86">
        <v>30009365569</v>
      </c>
      <c r="AB111" s="86">
        <v>3317187405</v>
      </c>
      <c r="AC111" s="86">
        <v>7079978724</v>
      </c>
      <c r="AD111" s="86">
        <v>9502889934</v>
      </c>
      <c r="AE111" s="86">
        <v>10662284977</v>
      </c>
      <c r="AF111" s="86">
        <v>22065837105</v>
      </c>
      <c r="AG111" s="86">
        <v>14786981707</v>
      </c>
      <c r="AH111" s="86">
        <v>8977081192</v>
      </c>
    </row>
    <row r="112" spans="2:34">
      <c r="B112" s="42" t="s">
        <v>934</v>
      </c>
      <c r="C112" s="42" t="s">
        <v>934</v>
      </c>
      <c r="D112" s="86">
        <v>5114877811</v>
      </c>
      <c r="E112" s="86">
        <v>3221077985</v>
      </c>
      <c r="F112" s="86"/>
      <c r="G112" s="86">
        <v>48688456986</v>
      </c>
      <c r="H112" s="86">
        <v>27798017002</v>
      </c>
      <c r="I112" s="86">
        <v>235743901</v>
      </c>
      <c r="J112" s="86">
        <v>12422600804</v>
      </c>
      <c r="K112" s="86">
        <v>19805938134</v>
      </c>
      <c r="L112" s="86">
        <v>3848937684</v>
      </c>
      <c r="M112" s="86">
        <v>8794140164</v>
      </c>
      <c r="N112" s="86">
        <v>7287122536</v>
      </c>
      <c r="O112" s="86">
        <v>5616928855</v>
      </c>
      <c r="P112" s="86">
        <v>13303579217</v>
      </c>
      <c r="Q112" s="86">
        <v>5599236275</v>
      </c>
      <c r="R112" s="86">
        <v>1601371386</v>
      </c>
      <c r="S112" s="86">
        <v>2033932475</v>
      </c>
      <c r="T112" s="86">
        <v>991025833</v>
      </c>
      <c r="U112" s="86">
        <v>948447867</v>
      </c>
      <c r="V112" s="86">
        <v>29064509968</v>
      </c>
      <c r="W112" s="86">
        <v>50544351401</v>
      </c>
      <c r="X112" s="86">
        <v>40889939739</v>
      </c>
      <c r="Y112" s="86">
        <v>58050672172</v>
      </c>
      <c r="Z112" s="86">
        <v>50844293416</v>
      </c>
      <c r="AA112" s="86">
        <v>29408798112</v>
      </c>
      <c r="AB112" s="86">
        <v>2840869419</v>
      </c>
      <c r="AC112" s="86">
        <v>6086605414</v>
      </c>
      <c r="AD112" s="86">
        <v>7805952417</v>
      </c>
      <c r="AE112" s="86">
        <v>9933124977</v>
      </c>
      <c r="AF112" s="86">
        <v>20088051244</v>
      </c>
      <c r="AG112" s="86">
        <v>12716135437</v>
      </c>
      <c r="AH112" s="86">
        <v>5588876797</v>
      </c>
    </row>
    <row r="113" spans="2:34">
      <c r="B113" s="42" t="s">
        <v>935</v>
      </c>
      <c r="C113" s="42" t="s">
        <v>935</v>
      </c>
      <c r="D113" s="86">
        <v>11734978</v>
      </c>
      <c r="E113" s="86">
        <v>105158057</v>
      </c>
      <c r="F113" s="86"/>
      <c r="G113" s="86">
        <v>97879733</v>
      </c>
      <c r="H113" s="86">
        <v>0</v>
      </c>
      <c r="I113" s="86">
        <v>5196026</v>
      </c>
      <c r="J113" s="86">
        <v>0</v>
      </c>
      <c r="K113" s="86">
        <v>0</v>
      </c>
      <c r="L113" s="86">
        <v>0</v>
      </c>
      <c r="M113" s="86">
        <v>0</v>
      </c>
      <c r="N113" s="86">
        <v>0</v>
      </c>
      <c r="O113" s="86">
        <v>0</v>
      </c>
      <c r="P113" s="86">
        <v>0</v>
      </c>
      <c r="Q113" s="86">
        <v>0</v>
      </c>
      <c r="R113" s="86">
        <v>0</v>
      </c>
      <c r="S113" s="86">
        <v>0</v>
      </c>
      <c r="T113" s="86">
        <v>0</v>
      </c>
      <c r="U113" s="86">
        <v>0</v>
      </c>
      <c r="V113" s="86">
        <v>0</v>
      </c>
      <c r="W113" s="86">
        <v>0</v>
      </c>
      <c r="X113" s="86">
        <v>0</v>
      </c>
      <c r="Y113" s="86">
        <v>0</v>
      </c>
      <c r="Z113" s="86">
        <v>27575000</v>
      </c>
      <c r="AA113" s="86">
        <v>0</v>
      </c>
      <c r="AB113" s="86">
        <v>0</v>
      </c>
      <c r="AC113" s="86">
        <v>0</v>
      </c>
      <c r="AD113" s="86">
        <v>0</v>
      </c>
      <c r="AE113" s="86">
        <v>0</v>
      </c>
      <c r="AF113" s="86">
        <v>0</v>
      </c>
      <c r="AG113" s="86">
        <v>0</v>
      </c>
      <c r="AH113" s="86">
        <v>991737600</v>
      </c>
    </row>
    <row r="114" spans="2:34">
      <c r="B114" s="42" t="s">
        <v>923</v>
      </c>
      <c r="C114" s="42" t="s">
        <v>923</v>
      </c>
      <c r="D114" s="86">
        <v>0</v>
      </c>
      <c r="E114" s="86">
        <v>0</v>
      </c>
      <c r="F114" s="86"/>
      <c r="G114" s="86">
        <v>0</v>
      </c>
      <c r="H114" s="86">
        <v>56794528</v>
      </c>
      <c r="I114" s="86">
        <v>46541332</v>
      </c>
      <c r="J114" s="86">
        <v>482705472</v>
      </c>
      <c r="K114" s="86">
        <v>227887624</v>
      </c>
      <c r="L114" s="86">
        <v>206555032</v>
      </c>
      <c r="M114" s="86">
        <v>473050826</v>
      </c>
      <c r="N114" s="86">
        <v>368040696</v>
      </c>
      <c r="O114" s="86">
        <v>171316883</v>
      </c>
      <c r="P114" s="86">
        <v>0</v>
      </c>
      <c r="Q114" s="86">
        <v>57180000</v>
      </c>
      <c r="R114" s="86">
        <v>147860000</v>
      </c>
      <c r="S114" s="86">
        <v>67810000</v>
      </c>
      <c r="T114" s="86">
        <v>133575292</v>
      </c>
      <c r="U114" s="86">
        <v>470003895</v>
      </c>
      <c r="V114" s="86">
        <v>868792689</v>
      </c>
      <c r="W114" s="86">
        <v>995238266</v>
      </c>
      <c r="X114" s="86">
        <v>731962074</v>
      </c>
      <c r="Y114" s="86">
        <v>217999570</v>
      </c>
      <c r="Z114" s="86">
        <v>1460997940</v>
      </c>
      <c r="AA114" s="86">
        <v>600567457</v>
      </c>
      <c r="AB114" s="86">
        <v>476317986</v>
      </c>
      <c r="AC114" s="86">
        <v>993373310</v>
      </c>
      <c r="AD114" s="86">
        <v>1696937517</v>
      </c>
      <c r="AE114" s="86">
        <v>729160000</v>
      </c>
      <c r="AF114" s="86">
        <v>1977785861</v>
      </c>
      <c r="AG114" s="86">
        <v>2070846270</v>
      </c>
      <c r="AH114" s="86">
        <v>2396466795</v>
      </c>
    </row>
    <row r="115" spans="2:34">
      <c r="B115" s="41" t="s">
        <v>981</v>
      </c>
      <c r="C115" s="41" t="s">
        <v>981</v>
      </c>
      <c r="D115" s="86">
        <v>1931602209</v>
      </c>
      <c r="E115" s="86">
        <v>1011457380</v>
      </c>
      <c r="F115" s="86"/>
      <c r="G115" s="86">
        <v>30311387198</v>
      </c>
      <c r="H115" s="86">
        <v>63000752709</v>
      </c>
      <c r="I115" s="86">
        <v>6745438929</v>
      </c>
      <c r="J115" s="86">
        <v>84476066854</v>
      </c>
      <c r="K115" s="86">
        <v>98074666818</v>
      </c>
      <c r="L115" s="86">
        <v>9912834048</v>
      </c>
      <c r="M115" s="86">
        <v>35394862063</v>
      </c>
      <c r="N115" s="86">
        <v>44876914326</v>
      </c>
      <c r="O115" s="86">
        <v>80668784668</v>
      </c>
      <c r="P115" s="86">
        <v>14109952527</v>
      </c>
      <c r="Q115" s="86">
        <v>45401726786</v>
      </c>
      <c r="R115" s="86">
        <v>65736931390</v>
      </c>
      <c r="S115" s="86">
        <v>66917023681</v>
      </c>
      <c r="T115" s="86">
        <v>4957891874</v>
      </c>
      <c r="U115" s="86">
        <v>7014675796</v>
      </c>
      <c r="V115" s="86">
        <v>18334877277</v>
      </c>
      <c r="W115" s="86">
        <v>24240631525</v>
      </c>
      <c r="X115" s="86">
        <v>48297976855</v>
      </c>
      <c r="Y115" s="86">
        <v>60443746581</v>
      </c>
      <c r="Z115" s="86">
        <v>93433497184</v>
      </c>
      <c r="AA115" s="86">
        <v>146727125862</v>
      </c>
      <c r="AB115" s="86">
        <v>20145579488</v>
      </c>
      <c r="AC115" s="86">
        <v>22625347412</v>
      </c>
      <c r="AD115" s="86">
        <v>23025464960</v>
      </c>
      <c r="AE115" s="86">
        <v>25633887044</v>
      </c>
      <c r="AF115" s="86">
        <v>99616667533</v>
      </c>
      <c r="AG115" s="86">
        <v>154150082727</v>
      </c>
      <c r="AH115" s="86">
        <v>221633094599</v>
      </c>
    </row>
    <row r="116" spans="2:34">
      <c r="B116" s="42" t="s">
        <v>934</v>
      </c>
      <c r="C116" s="42" t="s">
        <v>934</v>
      </c>
      <c r="D116" s="86">
        <v>1880102209</v>
      </c>
      <c r="E116" s="86">
        <v>950099460</v>
      </c>
      <c r="F116" s="86"/>
      <c r="G116" s="86">
        <v>13451644530</v>
      </c>
      <c r="H116" s="86">
        <v>45050802798</v>
      </c>
      <c r="I116" s="86">
        <v>1131001753</v>
      </c>
      <c r="J116" s="86">
        <v>1871882088</v>
      </c>
      <c r="K116" s="86">
        <v>5957084652</v>
      </c>
      <c r="L116" s="86">
        <v>466916023</v>
      </c>
      <c r="M116" s="86">
        <v>1961699116</v>
      </c>
      <c r="N116" s="86">
        <v>7664088486</v>
      </c>
      <c r="O116" s="86">
        <v>13482030152</v>
      </c>
      <c r="P116" s="86">
        <v>11685358101</v>
      </c>
      <c r="Q116" s="86">
        <v>23324855226</v>
      </c>
      <c r="R116" s="86">
        <v>26100559998</v>
      </c>
      <c r="S116" s="86">
        <v>27109259959</v>
      </c>
      <c r="T116" s="86">
        <v>3260861344</v>
      </c>
      <c r="U116" s="86">
        <v>5282455266</v>
      </c>
      <c r="V116" s="86">
        <v>16581315247</v>
      </c>
      <c r="W116" s="86">
        <v>19574374855</v>
      </c>
      <c r="X116" s="86">
        <v>22524279135</v>
      </c>
      <c r="Y116" s="86">
        <v>24376599565</v>
      </c>
      <c r="Z116" s="86">
        <v>53696607268</v>
      </c>
      <c r="AA116" s="86">
        <v>88229553446</v>
      </c>
      <c r="AB116" s="86">
        <v>1284158359</v>
      </c>
      <c r="AC116" s="86">
        <v>3729288783</v>
      </c>
      <c r="AD116" s="86">
        <v>4038105255</v>
      </c>
      <c r="AE116" s="86">
        <v>5151877129</v>
      </c>
      <c r="AF116" s="86">
        <v>6837784879</v>
      </c>
      <c r="AG116" s="86">
        <v>18032270824</v>
      </c>
      <c r="AH116" s="86">
        <v>26428707316</v>
      </c>
    </row>
    <row r="117" spans="2:34">
      <c r="B117" s="42" t="s">
        <v>935</v>
      </c>
      <c r="C117" s="42" t="s">
        <v>935</v>
      </c>
      <c r="D117" s="86">
        <v>51500000</v>
      </c>
      <c r="E117" s="86">
        <v>61357920</v>
      </c>
      <c r="F117" s="86"/>
      <c r="G117" s="86">
        <v>16859742668</v>
      </c>
      <c r="H117" s="86">
        <v>17949949911</v>
      </c>
      <c r="I117" s="86">
        <v>5614437176</v>
      </c>
      <c r="J117" s="86">
        <v>82580184766</v>
      </c>
      <c r="K117" s="86">
        <v>92093582166</v>
      </c>
      <c r="L117" s="86">
        <v>9445918025</v>
      </c>
      <c r="M117" s="86">
        <v>33360291441</v>
      </c>
      <c r="N117" s="86">
        <v>37082138967</v>
      </c>
      <c r="O117" s="86">
        <v>66353018674</v>
      </c>
      <c r="P117" s="86">
        <v>2403174565</v>
      </c>
      <c r="Q117" s="86">
        <v>22055451699</v>
      </c>
      <c r="R117" s="86">
        <v>39614951531</v>
      </c>
      <c r="S117" s="86">
        <v>39619703861</v>
      </c>
      <c r="T117" s="86">
        <v>1697030530</v>
      </c>
      <c r="U117" s="86">
        <v>1697030530</v>
      </c>
      <c r="V117" s="86">
        <v>1697033830</v>
      </c>
      <c r="W117" s="86">
        <v>4498217470</v>
      </c>
      <c r="X117" s="86">
        <v>25417775150</v>
      </c>
      <c r="Y117" s="86">
        <v>35684226431</v>
      </c>
      <c r="Z117" s="86">
        <v>39239815331</v>
      </c>
      <c r="AA117" s="86">
        <v>57320801902</v>
      </c>
      <c r="AB117" s="86">
        <v>18838472500</v>
      </c>
      <c r="AC117" s="86">
        <v>18873110000</v>
      </c>
      <c r="AD117" s="86">
        <v>18930749840</v>
      </c>
      <c r="AE117" s="86">
        <v>19499450050</v>
      </c>
      <c r="AF117" s="86">
        <v>91888324998</v>
      </c>
      <c r="AG117" s="86">
        <v>134903447188</v>
      </c>
      <c r="AH117" s="86">
        <v>193965287568</v>
      </c>
    </row>
    <row r="118" spans="2:34">
      <c r="B118" s="42" t="s">
        <v>923</v>
      </c>
      <c r="C118" s="42" t="s">
        <v>923</v>
      </c>
      <c r="D118" s="86">
        <v>0</v>
      </c>
      <c r="E118" s="86">
        <v>0</v>
      </c>
      <c r="F118" s="86"/>
      <c r="G118" s="86">
        <v>0</v>
      </c>
      <c r="H118" s="86">
        <v>0</v>
      </c>
      <c r="I118" s="86">
        <v>0</v>
      </c>
      <c r="J118" s="86">
        <v>24000000</v>
      </c>
      <c r="K118" s="86">
        <v>24000000</v>
      </c>
      <c r="L118" s="86">
        <v>0</v>
      </c>
      <c r="M118" s="86">
        <v>72871506</v>
      </c>
      <c r="N118" s="86">
        <v>130686873</v>
      </c>
      <c r="O118" s="86">
        <v>833735842</v>
      </c>
      <c r="P118" s="86">
        <v>21419861</v>
      </c>
      <c r="Q118" s="86">
        <v>21419861</v>
      </c>
      <c r="R118" s="86">
        <v>21419861</v>
      </c>
      <c r="S118" s="86">
        <v>188059861</v>
      </c>
      <c r="T118" s="86">
        <v>0</v>
      </c>
      <c r="U118" s="86">
        <v>35190000</v>
      </c>
      <c r="V118" s="86">
        <v>56528200</v>
      </c>
      <c r="W118" s="86">
        <v>168039200</v>
      </c>
      <c r="X118" s="86">
        <v>355922570</v>
      </c>
      <c r="Y118" s="86">
        <v>382920585</v>
      </c>
      <c r="Z118" s="86">
        <v>497074585</v>
      </c>
      <c r="AA118" s="86">
        <v>1176770514</v>
      </c>
      <c r="AB118" s="86">
        <v>22948629</v>
      </c>
      <c r="AC118" s="86">
        <v>22948629</v>
      </c>
      <c r="AD118" s="86">
        <v>56609865</v>
      </c>
      <c r="AE118" s="86">
        <v>982559865</v>
      </c>
      <c r="AF118" s="86">
        <v>890557656</v>
      </c>
      <c r="AG118" s="86">
        <v>1214364715</v>
      </c>
      <c r="AH118" s="86">
        <v>1239099715</v>
      </c>
    </row>
    <row r="119" spans="2:34">
      <c r="B119" s="41" t="s">
        <v>982</v>
      </c>
      <c r="C119" s="41" t="s">
        <v>982</v>
      </c>
      <c r="D119" s="86">
        <v>111668898298</v>
      </c>
      <c r="E119" s="86">
        <v>113447193025</v>
      </c>
      <c r="F119" s="86"/>
      <c r="G119" s="86">
        <v>60637477307</v>
      </c>
      <c r="H119" s="86">
        <v>77888837670</v>
      </c>
      <c r="I119" s="86">
        <v>335424631760</v>
      </c>
      <c r="J119" s="86">
        <v>106764184455</v>
      </c>
      <c r="K119" s="86">
        <v>137912334783</v>
      </c>
      <c r="L119" s="86">
        <v>75523438508</v>
      </c>
      <c r="M119" s="86">
        <v>48283105136</v>
      </c>
      <c r="N119" s="86">
        <v>84518520490</v>
      </c>
      <c r="O119" s="86">
        <v>115455167039</v>
      </c>
      <c r="P119" s="86">
        <v>24100181598</v>
      </c>
      <c r="Q119" s="86">
        <v>107942726619</v>
      </c>
      <c r="R119" s="86">
        <v>824665470669</v>
      </c>
      <c r="S119" s="86">
        <v>540423494762</v>
      </c>
      <c r="T119" s="86">
        <v>204420545063</v>
      </c>
      <c r="U119" s="86">
        <v>230214435016</v>
      </c>
      <c r="V119" s="86">
        <v>27195713275</v>
      </c>
      <c r="W119" s="86">
        <v>37141751850</v>
      </c>
      <c r="X119" s="86">
        <v>17294003490</v>
      </c>
      <c r="Y119" s="86">
        <v>46847881629</v>
      </c>
      <c r="Z119" s="86">
        <v>45202452169</v>
      </c>
      <c r="AA119" s="86">
        <v>74615524075</v>
      </c>
      <c r="AB119" s="86">
        <v>196810893575</v>
      </c>
      <c r="AC119" s="86">
        <v>184928381055</v>
      </c>
      <c r="AD119" s="86">
        <v>110093292763</v>
      </c>
      <c r="AE119" s="86">
        <v>520161771114</v>
      </c>
      <c r="AF119" s="86">
        <v>47028373577</v>
      </c>
      <c r="AG119" s="86">
        <v>67724022159</v>
      </c>
      <c r="AH119" s="86">
        <v>80848971655</v>
      </c>
    </row>
    <row r="120" spans="2:34">
      <c r="B120" s="42" t="s">
        <v>983</v>
      </c>
      <c r="C120" s="42" t="s">
        <v>983</v>
      </c>
      <c r="D120" s="86">
        <v>95435613129</v>
      </c>
      <c r="E120" s="86">
        <v>103000018280</v>
      </c>
      <c r="F120" s="86"/>
      <c r="G120" s="86">
        <v>45370124047</v>
      </c>
      <c r="H120" s="86">
        <v>60801262901</v>
      </c>
      <c r="I120" s="86">
        <v>278379033415</v>
      </c>
      <c r="J120" s="86">
        <v>68417579613</v>
      </c>
      <c r="K120" s="86">
        <v>84456805286</v>
      </c>
      <c r="L120" s="86">
        <v>72669265200</v>
      </c>
      <c r="M120" s="86">
        <v>36892175683</v>
      </c>
      <c r="N120" s="86">
        <v>75891273910</v>
      </c>
      <c r="O120" s="86">
        <v>89430519177</v>
      </c>
      <c r="P120" s="86">
        <v>11059358895</v>
      </c>
      <c r="Q120" s="86">
        <v>82444537093</v>
      </c>
      <c r="R120" s="86">
        <v>761483763289</v>
      </c>
      <c r="S120" s="86">
        <v>489560493683</v>
      </c>
      <c r="T120" s="86">
        <v>178393552342</v>
      </c>
      <c r="U120" s="86">
        <v>206453955149</v>
      </c>
      <c r="V120" s="86">
        <v>19834208873</v>
      </c>
      <c r="W120" s="86">
        <v>14920231098</v>
      </c>
      <c r="X120" s="86">
        <v>12353848726</v>
      </c>
      <c r="Y120" s="86">
        <v>28284326850</v>
      </c>
      <c r="Z120" s="86">
        <v>30179729229</v>
      </c>
      <c r="AA120" s="86">
        <v>41589554582</v>
      </c>
      <c r="AB120" s="86">
        <v>125215779193</v>
      </c>
      <c r="AC120" s="86">
        <v>124160843743</v>
      </c>
      <c r="AD120" s="86">
        <v>51980756065</v>
      </c>
      <c r="AE120" s="86">
        <v>448777249874</v>
      </c>
      <c r="AF120" s="86">
        <v>31616066140</v>
      </c>
      <c r="AG120" s="86">
        <v>56293019789</v>
      </c>
      <c r="AH120" s="86">
        <v>57634676773</v>
      </c>
    </row>
    <row r="121" spans="2:34">
      <c r="B121" s="42" t="s">
        <v>984</v>
      </c>
      <c r="C121" s="42" t="s">
        <v>984</v>
      </c>
      <c r="D121" s="86">
        <v>10967890232</v>
      </c>
      <c r="E121" s="86">
        <v>4546751643</v>
      </c>
      <c r="F121" s="86"/>
      <c r="G121" s="86">
        <v>10077094393</v>
      </c>
      <c r="H121" s="86">
        <v>14383335398</v>
      </c>
      <c r="I121" s="86">
        <v>19382732635</v>
      </c>
      <c r="J121" s="86">
        <v>12498662003</v>
      </c>
      <c r="K121" s="86">
        <v>19596652823</v>
      </c>
      <c r="L121" s="86">
        <v>2102645634</v>
      </c>
      <c r="M121" s="86">
        <v>11229137669</v>
      </c>
      <c r="N121" s="86">
        <v>7133543618</v>
      </c>
      <c r="O121" s="86">
        <v>7284707109</v>
      </c>
      <c r="P121" s="86">
        <v>7054896483</v>
      </c>
      <c r="Q121" s="86">
        <v>9338346225</v>
      </c>
      <c r="R121" s="86">
        <v>11328995892</v>
      </c>
      <c r="S121" s="86">
        <v>11390114184</v>
      </c>
      <c r="T121" s="86">
        <v>16697893255</v>
      </c>
      <c r="U121" s="86">
        <v>16064319021</v>
      </c>
      <c r="V121" s="86">
        <v>5317629037</v>
      </c>
      <c r="W121" s="86">
        <v>7831908219</v>
      </c>
      <c r="X121" s="86">
        <v>682868497</v>
      </c>
      <c r="Y121" s="86">
        <v>9912129572</v>
      </c>
      <c r="Z121" s="86">
        <v>802517677</v>
      </c>
      <c r="AA121" s="86">
        <v>1308828605</v>
      </c>
      <c r="AB121" s="86">
        <v>10673882566</v>
      </c>
      <c r="AC121" s="86">
        <v>6090751447</v>
      </c>
      <c r="AD121" s="86">
        <v>5195258685</v>
      </c>
      <c r="AE121" s="86">
        <v>10389625064</v>
      </c>
      <c r="AF121" s="86">
        <v>5547567410</v>
      </c>
      <c r="AG121" s="86">
        <v>785960140</v>
      </c>
      <c r="AH121" s="86">
        <v>4904192622</v>
      </c>
    </row>
    <row r="122" spans="2:34">
      <c r="B122" s="42" t="s">
        <v>923</v>
      </c>
      <c r="C122" s="42" t="s">
        <v>923</v>
      </c>
      <c r="D122" s="86">
        <v>5265394937</v>
      </c>
      <c r="E122" s="86">
        <v>5900423102</v>
      </c>
      <c r="F122" s="86"/>
      <c r="G122" s="86">
        <v>5190258867</v>
      </c>
      <c r="H122" s="86">
        <v>2704239371</v>
      </c>
      <c r="I122" s="86">
        <v>37662865710</v>
      </c>
      <c r="J122" s="86">
        <v>25847942839</v>
      </c>
      <c r="K122" s="86">
        <v>33858876674</v>
      </c>
      <c r="L122" s="86">
        <v>751527674</v>
      </c>
      <c r="M122" s="86">
        <v>161791784</v>
      </c>
      <c r="N122" s="86">
        <v>1493702962</v>
      </c>
      <c r="O122" s="86">
        <v>18739940753</v>
      </c>
      <c r="P122" s="86">
        <v>5985926220</v>
      </c>
      <c r="Q122" s="86">
        <v>16159843301</v>
      </c>
      <c r="R122" s="86">
        <v>51852711488</v>
      </c>
      <c r="S122" s="86">
        <v>39472886895</v>
      </c>
      <c r="T122" s="86">
        <v>9329099466</v>
      </c>
      <c r="U122" s="86">
        <v>7696160846</v>
      </c>
      <c r="V122" s="86">
        <v>2043875365</v>
      </c>
      <c r="W122" s="86">
        <v>14389612533</v>
      </c>
      <c r="X122" s="86">
        <v>4257286267</v>
      </c>
      <c r="Y122" s="86">
        <v>8651425207</v>
      </c>
      <c r="Z122" s="86">
        <v>14220205263</v>
      </c>
      <c r="AA122" s="86">
        <v>31717140888</v>
      </c>
      <c r="AB122" s="86">
        <v>60921231816</v>
      </c>
      <c r="AC122" s="86">
        <v>54676785865</v>
      </c>
      <c r="AD122" s="86">
        <v>52917278013</v>
      </c>
      <c r="AE122" s="86">
        <v>60994896176</v>
      </c>
      <c r="AF122" s="86">
        <v>9864740027</v>
      </c>
      <c r="AG122" s="86">
        <v>10645042230</v>
      </c>
      <c r="AH122" s="86">
        <v>18310102260</v>
      </c>
    </row>
    <row r="123" spans="2:34">
      <c r="B123" s="41" t="s">
        <v>985</v>
      </c>
      <c r="C123" s="41" t="s">
        <v>985</v>
      </c>
      <c r="D123" s="86">
        <v>193391275019</v>
      </c>
      <c r="E123" s="86">
        <v>28757691964</v>
      </c>
      <c r="F123" s="86"/>
      <c r="G123" s="86">
        <v>170596509162</v>
      </c>
      <c r="H123" s="86">
        <v>263043052008</v>
      </c>
      <c r="I123" s="86">
        <v>85468173099</v>
      </c>
      <c r="J123" s="86">
        <v>193564197306</v>
      </c>
      <c r="K123" s="86">
        <v>320708894015</v>
      </c>
      <c r="L123" s="86">
        <v>133557520398</v>
      </c>
      <c r="M123" s="86">
        <v>265268841971</v>
      </c>
      <c r="N123" s="86">
        <v>388534858951</v>
      </c>
      <c r="O123" s="86">
        <v>495678855298</v>
      </c>
      <c r="P123" s="86">
        <v>89247165674</v>
      </c>
      <c r="Q123" s="86">
        <v>196545405874</v>
      </c>
      <c r="R123" s="86">
        <v>300328934032</v>
      </c>
      <c r="S123" s="86">
        <v>406461794641</v>
      </c>
      <c r="T123" s="86">
        <v>53861489027</v>
      </c>
      <c r="U123" s="86">
        <v>195367874493</v>
      </c>
      <c r="V123" s="86">
        <v>298898974870</v>
      </c>
      <c r="W123" s="86">
        <v>406959854196</v>
      </c>
      <c r="X123" s="86">
        <v>72067104619</v>
      </c>
      <c r="Y123" s="86">
        <v>146017115021</v>
      </c>
      <c r="Z123" s="86">
        <v>255058488255</v>
      </c>
      <c r="AA123" s="86">
        <v>364833008387</v>
      </c>
      <c r="AB123" s="86">
        <v>138589301353</v>
      </c>
      <c r="AC123" s="86">
        <v>299109743622</v>
      </c>
      <c r="AD123" s="86">
        <v>441382075596</v>
      </c>
      <c r="AE123" s="86">
        <v>565312925522</v>
      </c>
      <c r="AF123" s="86">
        <v>123131538281</v>
      </c>
      <c r="AG123" s="86">
        <v>260755102295</v>
      </c>
      <c r="AH123" s="86">
        <v>406788065752</v>
      </c>
    </row>
    <row r="124" spans="2:34">
      <c r="B124" s="42" t="s">
        <v>983</v>
      </c>
      <c r="C124" s="42" t="s">
        <v>983</v>
      </c>
      <c r="D124" s="86">
        <v>3563178869</v>
      </c>
      <c r="E124" s="86">
        <v>1339200479</v>
      </c>
      <c r="F124" s="86"/>
      <c r="G124" s="86">
        <v>5027831089</v>
      </c>
      <c r="H124" s="86">
        <v>12488365822</v>
      </c>
      <c r="I124" s="86">
        <v>11515050397</v>
      </c>
      <c r="J124" s="86">
        <v>13844165599</v>
      </c>
      <c r="K124" s="86">
        <v>28609113432</v>
      </c>
      <c r="L124" s="86">
        <v>9231672104</v>
      </c>
      <c r="M124" s="86">
        <v>31484266082</v>
      </c>
      <c r="N124" s="86">
        <v>51948339887</v>
      </c>
      <c r="O124" s="86">
        <v>61330948602</v>
      </c>
      <c r="P124" s="86">
        <v>585038529</v>
      </c>
      <c r="Q124" s="86">
        <v>4334819376</v>
      </c>
      <c r="R124" s="86">
        <v>7252161707</v>
      </c>
      <c r="S124" s="86">
        <v>10576722652</v>
      </c>
      <c r="T124" s="86">
        <v>1808809197</v>
      </c>
      <c r="U124" s="86">
        <v>2774316455</v>
      </c>
      <c r="V124" s="86">
        <v>4427779575</v>
      </c>
      <c r="W124" s="86">
        <v>5754003386</v>
      </c>
      <c r="X124" s="86">
        <v>1105017748</v>
      </c>
      <c r="Y124" s="86">
        <v>1899529706</v>
      </c>
      <c r="Z124" s="86">
        <v>2270112945</v>
      </c>
      <c r="AA124" s="86">
        <v>2805632524</v>
      </c>
      <c r="AB124" s="86">
        <v>423363985</v>
      </c>
      <c r="AC124" s="86">
        <v>4886262189</v>
      </c>
      <c r="AD124" s="86">
        <v>5260343849</v>
      </c>
      <c r="AE124" s="86">
        <v>6075319654</v>
      </c>
      <c r="AF124" s="86">
        <v>2181678541</v>
      </c>
      <c r="AG124" s="86">
        <v>4786547467</v>
      </c>
      <c r="AH124" s="86">
        <v>12694589902</v>
      </c>
    </row>
    <row r="125" spans="2:34">
      <c r="B125" s="42" t="s">
        <v>984</v>
      </c>
      <c r="C125" s="42" t="s">
        <v>984</v>
      </c>
      <c r="D125" s="86">
        <v>180015661313</v>
      </c>
      <c r="E125" s="86">
        <v>27280469079</v>
      </c>
      <c r="F125" s="86"/>
      <c r="G125" s="86">
        <v>163566420108</v>
      </c>
      <c r="H125" s="86">
        <v>245741544721</v>
      </c>
      <c r="I125" s="86">
        <v>72978812003</v>
      </c>
      <c r="J125" s="86">
        <v>178609498282</v>
      </c>
      <c r="K125" s="86">
        <v>290863337959</v>
      </c>
      <c r="L125" s="86">
        <v>123826251241</v>
      </c>
      <c r="M125" s="86">
        <v>232603312472</v>
      </c>
      <c r="N125" s="86">
        <v>334466826986</v>
      </c>
      <c r="O125" s="86">
        <v>431872628698</v>
      </c>
      <c r="P125" s="86">
        <v>88116312365</v>
      </c>
      <c r="Q125" s="86">
        <v>189558538089</v>
      </c>
      <c r="R125" s="86">
        <v>284810155577</v>
      </c>
      <c r="S125" s="86">
        <v>385478169051</v>
      </c>
      <c r="T125" s="86">
        <v>51881251506</v>
      </c>
      <c r="U125" s="86">
        <v>192335691172</v>
      </c>
      <c r="V125" s="86">
        <v>293887159549</v>
      </c>
      <c r="W125" s="86">
        <v>400553475064</v>
      </c>
      <c r="X125" s="86">
        <v>70606034007</v>
      </c>
      <c r="Y125" s="86">
        <v>142087651079</v>
      </c>
      <c r="Z125" s="86">
        <v>250411422574</v>
      </c>
      <c r="AA125" s="86">
        <v>359136022740</v>
      </c>
      <c r="AB125" s="86">
        <v>136909184518</v>
      </c>
      <c r="AC125" s="86">
        <v>293326806189</v>
      </c>
      <c r="AD125" s="86">
        <v>434343245010</v>
      </c>
      <c r="AE125" s="86">
        <v>556025651484</v>
      </c>
      <c r="AF125" s="86">
        <v>109261624335</v>
      </c>
      <c r="AG125" s="86">
        <v>234005729873</v>
      </c>
      <c r="AH125" s="86">
        <v>369967781895</v>
      </c>
    </row>
    <row r="126" spans="2:34">
      <c r="B126" s="42" t="s">
        <v>923</v>
      </c>
      <c r="C126" s="42" t="s">
        <v>923</v>
      </c>
      <c r="D126" s="86">
        <v>9812434837</v>
      </c>
      <c r="E126" s="86">
        <v>138022406</v>
      </c>
      <c r="F126" s="86"/>
      <c r="G126" s="86">
        <v>2002257965</v>
      </c>
      <c r="H126" s="86">
        <v>4813141465</v>
      </c>
      <c r="I126" s="86">
        <v>974310699</v>
      </c>
      <c r="J126" s="86">
        <v>1110533425</v>
      </c>
      <c r="K126" s="86">
        <v>1236442624</v>
      </c>
      <c r="L126" s="86">
        <v>499597053</v>
      </c>
      <c r="M126" s="86">
        <v>1181263417</v>
      </c>
      <c r="N126" s="86">
        <v>2119692078</v>
      </c>
      <c r="O126" s="86">
        <v>2475277998</v>
      </c>
      <c r="P126" s="86">
        <v>545814780</v>
      </c>
      <c r="Q126" s="86">
        <v>2652048409</v>
      </c>
      <c r="R126" s="86">
        <v>8266616748</v>
      </c>
      <c r="S126" s="86">
        <v>10406902938</v>
      </c>
      <c r="T126" s="86">
        <v>171428324</v>
      </c>
      <c r="U126" s="86">
        <v>257866866</v>
      </c>
      <c r="V126" s="86">
        <v>584035746</v>
      </c>
      <c r="W126" s="86">
        <v>652375746</v>
      </c>
      <c r="X126" s="86">
        <v>356052864</v>
      </c>
      <c r="Y126" s="86">
        <v>2029934236</v>
      </c>
      <c r="Z126" s="86">
        <v>2376952736</v>
      </c>
      <c r="AA126" s="86">
        <v>2891353123</v>
      </c>
      <c r="AB126" s="86">
        <v>1256752850</v>
      </c>
      <c r="AC126" s="86">
        <v>896675244</v>
      </c>
      <c r="AD126" s="86">
        <v>1778486737</v>
      </c>
      <c r="AE126" s="86">
        <v>3211954384</v>
      </c>
      <c r="AF126" s="86">
        <v>11688235405</v>
      </c>
      <c r="AG126" s="86">
        <v>21962824955</v>
      </c>
      <c r="AH126" s="86">
        <v>24125693955</v>
      </c>
    </row>
    <row r="127" spans="2:34">
      <c r="B127" s="40" t="s">
        <v>986</v>
      </c>
      <c r="C127" s="40" t="s">
        <v>986</v>
      </c>
      <c r="D127" s="87">
        <v>480695153743</v>
      </c>
      <c r="E127" s="87">
        <v>134761170016</v>
      </c>
      <c r="F127" s="87"/>
      <c r="G127" s="87">
        <v>871822345622</v>
      </c>
      <c r="H127" s="87">
        <v>1049856131953</v>
      </c>
      <c r="I127" s="87">
        <v>510677192577</v>
      </c>
      <c r="J127" s="87">
        <v>637017271321</v>
      </c>
      <c r="K127" s="87">
        <v>924235695010</v>
      </c>
      <c r="L127" s="87">
        <v>296170884192</v>
      </c>
      <c r="M127" s="87">
        <v>629007582085</v>
      </c>
      <c r="N127" s="87">
        <v>859565828855</v>
      </c>
      <c r="O127" s="87">
        <v>1242186687569</v>
      </c>
      <c r="P127" s="87">
        <v>575599956436</v>
      </c>
      <c r="Q127" s="87">
        <v>868617134859</v>
      </c>
      <c r="R127" s="87">
        <v>1210646232359</v>
      </c>
      <c r="S127" s="87">
        <v>1548931032423</v>
      </c>
      <c r="T127" s="87">
        <v>850473009584</v>
      </c>
      <c r="U127" s="87">
        <v>1357375214012</v>
      </c>
      <c r="V127" s="87">
        <v>1965835860132</v>
      </c>
      <c r="W127" s="87">
        <v>2461340178706</v>
      </c>
      <c r="X127" s="87">
        <v>1115115000608</v>
      </c>
      <c r="Y127" s="87">
        <v>1709060578660</v>
      </c>
      <c r="Z127" s="87">
        <v>2260584462758</v>
      </c>
      <c r="AA127" s="87">
        <v>3022809211036</v>
      </c>
      <c r="AB127" s="87">
        <v>1155226731242</v>
      </c>
      <c r="AC127" s="87">
        <v>1931814193900</v>
      </c>
      <c r="AD127" s="87">
        <v>2476280003986</v>
      </c>
      <c r="AE127" s="87">
        <v>3540459766120</v>
      </c>
      <c r="AF127" s="87">
        <v>1762759687475</v>
      </c>
      <c r="AG127" s="87">
        <v>3003650385331</v>
      </c>
      <c r="AH127" s="87">
        <v>4103998512669</v>
      </c>
    </row>
    <row r="128" spans="2:34">
      <c r="B128" s="41" t="s">
        <v>987</v>
      </c>
      <c r="C128" s="41" t="s">
        <v>987</v>
      </c>
      <c r="D128" s="86">
        <v>363305664793</v>
      </c>
      <c r="E128" s="86">
        <v>73915390085</v>
      </c>
      <c r="F128" s="86"/>
      <c r="G128" s="86">
        <v>625333605278</v>
      </c>
      <c r="H128" s="86">
        <v>825121054912</v>
      </c>
      <c r="I128" s="86">
        <v>378843925465</v>
      </c>
      <c r="J128" s="86">
        <v>447271633468</v>
      </c>
      <c r="K128" s="86">
        <v>680958626597</v>
      </c>
      <c r="L128" s="86">
        <v>173172296948</v>
      </c>
      <c r="M128" s="86">
        <v>358963395487</v>
      </c>
      <c r="N128" s="86">
        <v>556593181043</v>
      </c>
      <c r="O128" s="86">
        <v>864728152227</v>
      </c>
      <c r="P128" s="86">
        <v>305436674566</v>
      </c>
      <c r="Q128" s="86">
        <v>605990875294</v>
      </c>
      <c r="R128" s="86">
        <v>941011451047</v>
      </c>
      <c r="S128" s="86">
        <v>1291414812856</v>
      </c>
      <c r="T128" s="86">
        <v>521251123853</v>
      </c>
      <c r="U128" s="86">
        <v>954476150778</v>
      </c>
      <c r="V128" s="86">
        <v>1411827423569</v>
      </c>
      <c r="W128" s="86">
        <v>1855258804546</v>
      </c>
      <c r="X128" s="86">
        <v>500894183141</v>
      </c>
      <c r="Y128" s="86">
        <v>1072549640568</v>
      </c>
      <c r="Z128" s="86">
        <v>1489317589883</v>
      </c>
      <c r="AA128" s="86">
        <v>2433685766324</v>
      </c>
      <c r="AB128" s="86">
        <v>871652765432</v>
      </c>
      <c r="AC128" s="86">
        <v>1397967553355</v>
      </c>
      <c r="AD128" s="86">
        <v>1904280584510</v>
      </c>
      <c r="AE128" s="86">
        <v>2855933043851</v>
      </c>
      <c r="AF128" s="86">
        <v>864176553981</v>
      </c>
      <c r="AG128" s="86">
        <v>1843122025557</v>
      </c>
      <c r="AH128" s="86">
        <v>2872249009444</v>
      </c>
    </row>
    <row r="129" spans="2:34">
      <c r="B129" s="42" t="s">
        <v>988</v>
      </c>
      <c r="C129" s="42" t="s">
        <v>988</v>
      </c>
      <c r="D129" s="86">
        <v>46792971875</v>
      </c>
      <c r="E129" s="86">
        <v>16915129802</v>
      </c>
      <c r="F129" s="86"/>
      <c r="G129" s="86">
        <v>63466446366</v>
      </c>
      <c r="H129" s="86">
        <v>88863564004</v>
      </c>
      <c r="I129" s="86">
        <v>42329293809</v>
      </c>
      <c r="J129" s="86">
        <v>61196840831</v>
      </c>
      <c r="K129" s="86">
        <v>74775995478</v>
      </c>
      <c r="L129" s="86">
        <v>9784412695</v>
      </c>
      <c r="M129" s="86">
        <v>19150878852</v>
      </c>
      <c r="N129" s="86">
        <v>33886058578</v>
      </c>
      <c r="O129" s="86">
        <v>51671471435</v>
      </c>
      <c r="P129" s="86">
        <v>17479662257</v>
      </c>
      <c r="Q129" s="86">
        <v>48656801816</v>
      </c>
      <c r="R129" s="86">
        <v>67725552899</v>
      </c>
      <c r="S129" s="86">
        <v>95042726885</v>
      </c>
      <c r="T129" s="86">
        <v>19646528195</v>
      </c>
      <c r="U129" s="86">
        <v>43518886364</v>
      </c>
      <c r="V129" s="86">
        <v>72411745430</v>
      </c>
      <c r="W129" s="86">
        <v>118707620217</v>
      </c>
      <c r="X129" s="86">
        <v>27577887639</v>
      </c>
      <c r="Y129" s="86">
        <v>50092768761</v>
      </c>
      <c r="Z129" s="86">
        <v>77823220472</v>
      </c>
      <c r="AA129" s="86">
        <v>118809230069</v>
      </c>
      <c r="AB129" s="86">
        <v>39046972750</v>
      </c>
      <c r="AC129" s="86">
        <v>80419679496</v>
      </c>
      <c r="AD129" s="86">
        <v>128016686245</v>
      </c>
      <c r="AE129" s="86">
        <v>175762949314</v>
      </c>
      <c r="AF129" s="86">
        <v>73498697317</v>
      </c>
      <c r="AG129" s="86">
        <v>125493572814</v>
      </c>
      <c r="AH129" s="86">
        <v>210540602253</v>
      </c>
    </row>
    <row r="130" spans="2:34">
      <c r="B130" s="42" t="s">
        <v>989</v>
      </c>
      <c r="C130" s="42" t="s">
        <v>989</v>
      </c>
      <c r="D130" s="86">
        <v>9108855850</v>
      </c>
      <c r="E130" s="86">
        <v>12909616508</v>
      </c>
      <c r="F130" s="86"/>
      <c r="G130" s="86">
        <v>177912700625</v>
      </c>
      <c r="H130" s="86">
        <v>182438305566</v>
      </c>
      <c r="I130" s="86">
        <v>4963107842</v>
      </c>
      <c r="J130" s="86">
        <v>15820644244</v>
      </c>
      <c r="K130" s="86">
        <v>26022896355</v>
      </c>
      <c r="L130" s="86">
        <v>4238119932</v>
      </c>
      <c r="M130" s="86">
        <v>20339705345</v>
      </c>
      <c r="N130" s="86">
        <v>32090445203</v>
      </c>
      <c r="O130" s="86">
        <v>37297423759</v>
      </c>
      <c r="P130" s="86">
        <v>13122159302</v>
      </c>
      <c r="Q130" s="86">
        <v>28177544138</v>
      </c>
      <c r="R130" s="86">
        <v>34742779296</v>
      </c>
      <c r="S130" s="86">
        <v>71680303677</v>
      </c>
      <c r="T130" s="86">
        <v>29787834245</v>
      </c>
      <c r="U130" s="86">
        <v>76703290931</v>
      </c>
      <c r="V130" s="86">
        <v>150874975651</v>
      </c>
      <c r="W130" s="86">
        <v>178280215514</v>
      </c>
      <c r="X130" s="86">
        <v>70001499681</v>
      </c>
      <c r="Y130" s="86">
        <v>89044819534</v>
      </c>
      <c r="Z130" s="86">
        <v>107012002519</v>
      </c>
      <c r="AA130" s="86">
        <v>183224170190</v>
      </c>
      <c r="AB130" s="86">
        <v>31196573287</v>
      </c>
      <c r="AC130" s="86">
        <v>110320699128</v>
      </c>
      <c r="AD130" s="86">
        <v>215069823743</v>
      </c>
      <c r="AE130" s="86">
        <v>321420485480</v>
      </c>
      <c r="AF130" s="86">
        <v>59021525825</v>
      </c>
      <c r="AG130" s="86">
        <v>281544869219</v>
      </c>
      <c r="AH130" s="86">
        <v>471811976797</v>
      </c>
    </row>
    <row r="131" spans="2:34">
      <c r="B131" s="42" t="s">
        <v>990</v>
      </c>
      <c r="C131" s="42" t="s">
        <v>990</v>
      </c>
      <c r="D131" s="86">
        <v>304809048516</v>
      </c>
      <c r="E131" s="86">
        <v>38505968756</v>
      </c>
      <c r="F131" s="86"/>
      <c r="G131" s="86">
        <v>366654652700</v>
      </c>
      <c r="H131" s="86">
        <v>532525583840</v>
      </c>
      <c r="I131" s="86">
        <v>326242916638</v>
      </c>
      <c r="J131" s="86">
        <v>358937813937</v>
      </c>
      <c r="K131" s="86">
        <v>565769303391</v>
      </c>
      <c r="L131" s="86">
        <v>156876809729</v>
      </c>
      <c r="M131" s="86">
        <v>314044986540</v>
      </c>
      <c r="N131" s="86">
        <v>480113846407</v>
      </c>
      <c r="O131" s="86">
        <v>761985059886</v>
      </c>
      <c r="P131" s="86">
        <v>270725431755</v>
      </c>
      <c r="Q131" s="86">
        <v>523013861967</v>
      </c>
      <c r="R131" s="86">
        <v>830358945585</v>
      </c>
      <c r="S131" s="86">
        <v>1114235218682</v>
      </c>
      <c r="T131" s="86">
        <v>467463552483</v>
      </c>
      <c r="U131" s="86">
        <v>826565106815</v>
      </c>
      <c r="V131" s="86">
        <v>1179272724784</v>
      </c>
      <c r="W131" s="86">
        <v>1546467655542</v>
      </c>
      <c r="X131" s="86">
        <v>402432360256</v>
      </c>
      <c r="Y131" s="86">
        <v>931612941943</v>
      </c>
      <c r="Z131" s="86">
        <v>1297490993156</v>
      </c>
      <c r="AA131" s="86">
        <v>2120966769515</v>
      </c>
      <c r="AB131" s="86">
        <v>794901179318</v>
      </c>
      <c r="AC131" s="86">
        <v>1195039729274</v>
      </c>
      <c r="AD131" s="86">
        <v>1546773934386</v>
      </c>
      <c r="AE131" s="86">
        <v>2340424365338</v>
      </c>
      <c r="AF131" s="86">
        <v>717390562934</v>
      </c>
      <c r="AG131" s="86">
        <v>1412529443179</v>
      </c>
      <c r="AH131" s="86">
        <v>2159506736225</v>
      </c>
    </row>
    <row r="132" spans="2:34">
      <c r="B132" s="42" t="s">
        <v>991</v>
      </c>
      <c r="C132" s="42" t="s">
        <v>991</v>
      </c>
      <c r="D132" s="86">
        <v>0</v>
      </c>
      <c r="E132" s="86">
        <v>2866596731</v>
      </c>
      <c r="F132" s="86"/>
      <c r="G132" s="86">
        <v>10480543065</v>
      </c>
      <c r="H132" s="86">
        <v>14199032840</v>
      </c>
      <c r="I132" s="86">
        <v>4410483465</v>
      </c>
      <c r="J132" s="86">
        <v>9914574889</v>
      </c>
      <c r="K132" s="86">
        <v>12818136687</v>
      </c>
      <c r="L132" s="86">
        <v>2199832171</v>
      </c>
      <c r="M132" s="86">
        <v>5225266816</v>
      </c>
      <c r="N132" s="86">
        <v>10085536679</v>
      </c>
      <c r="O132" s="86">
        <v>12579468928</v>
      </c>
      <c r="P132" s="86">
        <v>932711677</v>
      </c>
      <c r="Q132" s="86">
        <v>1943968200</v>
      </c>
      <c r="R132" s="86">
        <v>2827414666</v>
      </c>
      <c r="S132" s="86">
        <v>4490062920</v>
      </c>
      <c r="T132" s="86">
        <v>605789209</v>
      </c>
      <c r="U132" s="86">
        <v>1745768698</v>
      </c>
      <c r="V132" s="86">
        <v>2132701594</v>
      </c>
      <c r="W132" s="86">
        <v>2515063330</v>
      </c>
      <c r="X132" s="86">
        <v>376982419</v>
      </c>
      <c r="Y132" s="86">
        <v>737453771</v>
      </c>
      <c r="Z132" s="86">
        <v>1434898220</v>
      </c>
      <c r="AA132" s="86">
        <v>1644682742</v>
      </c>
      <c r="AB132" s="86">
        <v>223335258</v>
      </c>
      <c r="AC132" s="86">
        <v>463597976</v>
      </c>
      <c r="AD132" s="86">
        <v>1013409958</v>
      </c>
      <c r="AE132" s="86">
        <v>1747148858</v>
      </c>
      <c r="AF132" s="86">
        <v>842667726</v>
      </c>
      <c r="AG132" s="86">
        <v>1843219181</v>
      </c>
      <c r="AH132" s="86">
        <v>3091239238</v>
      </c>
    </row>
    <row r="133" spans="2:34">
      <c r="B133" s="42" t="s">
        <v>992</v>
      </c>
      <c r="C133" s="42" t="s">
        <v>992</v>
      </c>
      <c r="D133" s="86">
        <v>2594788552</v>
      </c>
      <c r="E133" s="86">
        <v>2718078288</v>
      </c>
      <c r="F133" s="86"/>
      <c r="G133" s="86">
        <v>6819262522</v>
      </c>
      <c r="H133" s="86">
        <v>7094568662</v>
      </c>
      <c r="I133" s="86">
        <v>898123711</v>
      </c>
      <c r="J133" s="86">
        <v>1401759567</v>
      </c>
      <c r="K133" s="86">
        <v>1572294686</v>
      </c>
      <c r="L133" s="86">
        <v>73122421</v>
      </c>
      <c r="M133" s="86">
        <v>202557934</v>
      </c>
      <c r="N133" s="86">
        <v>417294176</v>
      </c>
      <c r="O133" s="86">
        <v>1194728219</v>
      </c>
      <c r="P133" s="86">
        <v>3176709575</v>
      </c>
      <c r="Q133" s="86">
        <v>4198699173</v>
      </c>
      <c r="R133" s="86">
        <v>5356758601</v>
      </c>
      <c r="S133" s="86">
        <v>5966500692</v>
      </c>
      <c r="T133" s="86">
        <v>3747419721</v>
      </c>
      <c r="U133" s="86">
        <v>5943097970</v>
      </c>
      <c r="V133" s="86">
        <v>7135276110</v>
      </c>
      <c r="W133" s="86">
        <v>9288249943</v>
      </c>
      <c r="X133" s="86">
        <v>505453146</v>
      </c>
      <c r="Y133" s="86">
        <v>1061656559</v>
      </c>
      <c r="Z133" s="86">
        <v>5556475516</v>
      </c>
      <c r="AA133" s="86">
        <v>9031637436</v>
      </c>
      <c r="AB133" s="86">
        <v>6077906579</v>
      </c>
      <c r="AC133" s="86">
        <v>10649677466</v>
      </c>
      <c r="AD133" s="86">
        <v>12333505495</v>
      </c>
      <c r="AE133" s="86">
        <v>15478844261</v>
      </c>
      <c r="AF133" s="86">
        <v>13126308741</v>
      </c>
      <c r="AG133" s="86">
        <v>20878052965</v>
      </c>
      <c r="AH133" s="86">
        <v>25304027444</v>
      </c>
    </row>
    <row r="134" spans="2:34">
      <c r="B134" s="42" t="s">
        <v>993</v>
      </c>
      <c r="C134" s="42" t="s">
        <v>993</v>
      </c>
      <c r="D134" s="86">
        <v>0</v>
      </c>
      <c r="E134" s="86">
        <v>0</v>
      </c>
      <c r="F134" s="86"/>
      <c r="G134" s="86">
        <v>0</v>
      </c>
      <c r="H134" s="86">
        <v>0</v>
      </c>
      <c r="I134" s="86">
        <v>0</v>
      </c>
      <c r="J134" s="86">
        <v>0</v>
      </c>
      <c r="K134" s="86">
        <v>0</v>
      </c>
      <c r="L134" s="86">
        <v>0</v>
      </c>
      <c r="M134" s="86">
        <v>0</v>
      </c>
      <c r="N134" s="86">
        <v>0</v>
      </c>
      <c r="O134" s="86">
        <v>0</v>
      </c>
      <c r="P134" s="86">
        <v>0</v>
      </c>
      <c r="Q134" s="86">
        <v>0</v>
      </c>
      <c r="R134" s="86">
        <v>0</v>
      </c>
      <c r="S134" s="86">
        <v>0</v>
      </c>
      <c r="T134" s="86">
        <v>0</v>
      </c>
      <c r="U134" s="86">
        <v>0</v>
      </c>
      <c r="V134" s="86">
        <v>0</v>
      </c>
      <c r="W134" s="86">
        <v>0</v>
      </c>
      <c r="X134" s="86">
        <v>0</v>
      </c>
      <c r="Y134" s="86">
        <v>0</v>
      </c>
      <c r="Z134" s="86">
        <v>0</v>
      </c>
      <c r="AA134" s="86">
        <v>9276372</v>
      </c>
      <c r="AB134" s="86">
        <v>206798240</v>
      </c>
      <c r="AC134" s="86">
        <v>1074170015</v>
      </c>
      <c r="AD134" s="86">
        <v>1073224683</v>
      </c>
      <c r="AE134" s="86">
        <v>1099250600</v>
      </c>
      <c r="AF134" s="86">
        <v>296791438</v>
      </c>
      <c r="AG134" s="86">
        <v>832868199</v>
      </c>
      <c r="AH134" s="86">
        <v>1994427487</v>
      </c>
    </row>
    <row r="135" spans="2:34">
      <c r="B135" s="41" t="s">
        <v>994</v>
      </c>
      <c r="C135" s="41" t="s">
        <v>994</v>
      </c>
      <c r="D135" s="86">
        <v>117389488950</v>
      </c>
      <c r="E135" s="86">
        <v>60845779931</v>
      </c>
      <c r="F135" s="86"/>
      <c r="G135" s="86">
        <v>246488740344</v>
      </c>
      <c r="H135" s="86">
        <v>224735077041</v>
      </c>
      <c r="I135" s="86">
        <v>131833267112</v>
      </c>
      <c r="J135" s="86">
        <v>189745637853</v>
      </c>
      <c r="K135" s="86">
        <v>243277068413</v>
      </c>
      <c r="L135" s="86">
        <v>122998587244</v>
      </c>
      <c r="M135" s="86">
        <v>270044186598</v>
      </c>
      <c r="N135" s="86">
        <v>302972647812</v>
      </c>
      <c r="O135" s="86">
        <v>377458535342</v>
      </c>
      <c r="P135" s="86">
        <v>270163281870</v>
      </c>
      <c r="Q135" s="86">
        <v>262626259565</v>
      </c>
      <c r="R135" s="86">
        <v>269634781312</v>
      </c>
      <c r="S135" s="86">
        <v>257516219567</v>
      </c>
      <c r="T135" s="86">
        <v>329221885731</v>
      </c>
      <c r="U135" s="86">
        <v>402899063234</v>
      </c>
      <c r="V135" s="86">
        <v>554008436563</v>
      </c>
      <c r="W135" s="86">
        <v>606081374160</v>
      </c>
      <c r="X135" s="86">
        <v>614220817467</v>
      </c>
      <c r="Y135" s="86">
        <v>636510938092</v>
      </c>
      <c r="Z135" s="86">
        <v>771266872875</v>
      </c>
      <c r="AA135" s="86">
        <v>589123444712</v>
      </c>
      <c r="AB135" s="86">
        <v>283573965810</v>
      </c>
      <c r="AC135" s="86">
        <v>533846640545</v>
      </c>
      <c r="AD135" s="86">
        <v>571999419476</v>
      </c>
      <c r="AE135" s="86">
        <v>684526722269</v>
      </c>
      <c r="AF135" s="86">
        <v>898583133494</v>
      </c>
      <c r="AG135" s="86">
        <v>1160528359774</v>
      </c>
      <c r="AH135" s="86">
        <v>1231749503225</v>
      </c>
    </row>
    <row r="136" spans="2:34">
      <c r="B136" s="42" t="s">
        <v>995</v>
      </c>
      <c r="C136" s="42" t="s">
        <v>995</v>
      </c>
      <c r="D136" s="86">
        <v>19836012698</v>
      </c>
      <c r="E136" s="86">
        <v>8770106024</v>
      </c>
      <c r="F136" s="86"/>
      <c r="G136" s="86">
        <v>18597804010</v>
      </c>
      <c r="H136" s="86">
        <v>20430558215</v>
      </c>
      <c r="I136" s="86">
        <v>27932070964</v>
      </c>
      <c r="J136" s="86">
        <v>29735542226</v>
      </c>
      <c r="K136" s="86">
        <v>33522724704</v>
      </c>
      <c r="L136" s="86">
        <v>9673627033</v>
      </c>
      <c r="M136" s="86">
        <v>23307717433</v>
      </c>
      <c r="N136" s="86">
        <v>46299606855</v>
      </c>
      <c r="O136" s="86">
        <v>66993005497</v>
      </c>
      <c r="P136" s="86">
        <v>39765728073</v>
      </c>
      <c r="Q136" s="86">
        <v>24885424159</v>
      </c>
      <c r="R136" s="86">
        <v>64575663152</v>
      </c>
      <c r="S136" s="86">
        <v>53988686120</v>
      </c>
      <c r="T136" s="86">
        <v>54726944606</v>
      </c>
      <c r="U136" s="86">
        <v>111581795733</v>
      </c>
      <c r="V136" s="86">
        <v>116093925197</v>
      </c>
      <c r="W136" s="86">
        <v>87402310620</v>
      </c>
      <c r="X136" s="86">
        <v>35432365123</v>
      </c>
      <c r="Y136" s="86">
        <v>50529458125</v>
      </c>
      <c r="Z136" s="86">
        <v>126263999922</v>
      </c>
      <c r="AA136" s="86">
        <v>220002576618</v>
      </c>
      <c r="AB136" s="86">
        <v>72813426855</v>
      </c>
      <c r="AC136" s="86">
        <v>137838703924</v>
      </c>
      <c r="AD136" s="86">
        <v>187991960148</v>
      </c>
      <c r="AE136" s="86">
        <v>276579155689</v>
      </c>
      <c r="AF136" s="86">
        <v>139073711781</v>
      </c>
      <c r="AG136" s="86">
        <v>295796136571</v>
      </c>
      <c r="AH136" s="86">
        <v>441738149020</v>
      </c>
    </row>
    <row r="137" spans="2:34">
      <c r="B137" s="42" t="s">
        <v>996</v>
      </c>
      <c r="C137" s="42" t="s">
        <v>996</v>
      </c>
      <c r="D137" s="86">
        <v>22729373623</v>
      </c>
      <c r="E137" s="86">
        <v>10169553419</v>
      </c>
      <c r="F137" s="86"/>
      <c r="G137" s="86">
        <v>43653341017</v>
      </c>
      <c r="H137" s="86">
        <v>44480678659</v>
      </c>
      <c r="I137" s="86">
        <v>16159513153</v>
      </c>
      <c r="J137" s="86">
        <v>22054818407</v>
      </c>
      <c r="K137" s="86">
        <v>32432438012</v>
      </c>
      <c r="L137" s="86">
        <v>2900939791</v>
      </c>
      <c r="M137" s="86">
        <v>26935205965</v>
      </c>
      <c r="N137" s="86">
        <v>15456648943</v>
      </c>
      <c r="O137" s="86">
        <v>25292212152</v>
      </c>
      <c r="P137" s="86">
        <v>13679478359</v>
      </c>
      <c r="Q137" s="86">
        <v>8057870901</v>
      </c>
      <c r="R137" s="86">
        <v>17842422062</v>
      </c>
      <c r="S137" s="86">
        <v>14909302956</v>
      </c>
      <c r="T137" s="86">
        <v>47171942390</v>
      </c>
      <c r="U137" s="86">
        <v>26114212069</v>
      </c>
      <c r="V137" s="86">
        <v>25786205634</v>
      </c>
      <c r="W137" s="86">
        <v>16390368506</v>
      </c>
      <c r="X137" s="86">
        <v>24019364878</v>
      </c>
      <c r="Y137" s="86">
        <v>6323163575</v>
      </c>
      <c r="Z137" s="86">
        <v>12221511778</v>
      </c>
      <c r="AA137" s="86">
        <v>43921736294</v>
      </c>
      <c r="AB137" s="86">
        <v>13007881536</v>
      </c>
      <c r="AC137" s="86">
        <v>95647204267</v>
      </c>
      <c r="AD137" s="86">
        <v>63974346543</v>
      </c>
      <c r="AE137" s="86">
        <v>68292389621</v>
      </c>
      <c r="AF137" s="86">
        <v>104745401602</v>
      </c>
      <c r="AG137" s="86">
        <v>191515781202</v>
      </c>
      <c r="AH137" s="86">
        <v>278106922606</v>
      </c>
    </row>
    <row r="138" spans="2:34">
      <c r="B138" s="42" t="s">
        <v>997</v>
      </c>
      <c r="C138" s="42" t="s">
        <v>997</v>
      </c>
      <c r="D138" s="86">
        <v>67461532777</v>
      </c>
      <c r="E138" s="86">
        <v>33032167172</v>
      </c>
      <c r="F138" s="86"/>
      <c r="G138" s="86">
        <v>169363625219</v>
      </c>
      <c r="H138" s="86">
        <v>146085681370</v>
      </c>
      <c r="I138" s="86">
        <v>84307637654</v>
      </c>
      <c r="J138" s="86">
        <v>136183505719</v>
      </c>
      <c r="K138" s="86">
        <v>175431617364</v>
      </c>
      <c r="L138" s="86">
        <v>109655838520</v>
      </c>
      <c r="M138" s="86">
        <v>219006084671</v>
      </c>
      <c r="N138" s="86">
        <v>239838955122</v>
      </c>
      <c r="O138" s="86">
        <v>283941642430</v>
      </c>
      <c r="P138" s="86">
        <v>216005420894</v>
      </c>
      <c r="Q138" s="86">
        <v>227881911213</v>
      </c>
      <c r="R138" s="86">
        <v>185571879745</v>
      </c>
      <c r="S138" s="86">
        <v>187243218805</v>
      </c>
      <c r="T138" s="86">
        <v>227006470935</v>
      </c>
      <c r="U138" s="86">
        <v>265136256976</v>
      </c>
      <c r="V138" s="86">
        <v>411026122950</v>
      </c>
      <c r="W138" s="86">
        <v>501929603043</v>
      </c>
      <c r="X138" s="86">
        <v>554109390251</v>
      </c>
      <c r="Y138" s="86">
        <v>578469711262</v>
      </c>
      <c r="Z138" s="86">
        <v>631656391640</v>
      </c>
      <c r="AA138" s="86">
        <v>317198873596</v>
      </c>
      <c r="AB138" s="86">
        <v>192754114444</v>
      </c>
      <c r="AC138" s="86">
        <v>293386647403</v>
      </c>
      <c r="AD138" s="86">
        <v>311760453094</v>
      </c>
      <c r="AE138" s="86">
        <v>332942520685</v>
      </c>
      <c r="AF138" s="86">
        <v>641636358074</v>
      </c>
      <c r="AG138" s="86">
        <v>654427614738</v>
      </c>
      <c r="AH138" s="86">
        <v>491279662996</v>
      </c>
    </row>
    <row r="139" spans="2:34">
      <c r="B139" s="42" t="s">
        <v>998</v>
      </c>
      <c r="C139" s="42" t="s">
        <v>998</v>
      </c>
      <c r="D139" s="86">
        <v>7299539924</v>
      </c>
      <c r="E139" s="86">
        <v>8312066899</v>
      </c>
      <c r="F139" s="86"/>
      <c r="G139" s="86">
        <v>14731739129</v>
      </c>
      <c r="H139" s="86">
        <v>13564536011</v>
      </c>
      <c r="I139" s="86">
        <v>3307710030</v>
      </c>
      <c r="J139" s="86">
        <v>1695474836</v>
      </c>
      <c r="K139" s="86">
        <v>1854360148</v>
      </c>
      <c r="L139" s="86">
        <v>759786724</v>
      </c>
      <c r="M139" s="86">
        <v>739031175</v>
      </c>
      <c r="N139" s="86">
        <v>1038103971</v>
      </c>
      <c r="O139" s="86">
        <v>1147883051</v>
      </c>
      <c r="P139" s="86">
        <v>705996919</v>
      </c>
      <c r="Q139" s="86">
        <v>1523867120</v>
      </c>
      <c r="R139" s="86">
        <v>1194108533</v>
      </c>
      <c r="S139" s="86">
        <v>1226583998</v>
      </c>
      <c r="T139" s="86">
        <v>186896075</v>
      </c>
      <c r="U139" s="86">
        <v>0</v>
      </c>
      <c r="V139" s="86">
        <v>322560000</v>
      </c>
      <c r="W139" s="86">
        <v>213078000</v>
      </c>
      <c r="X139" s="86">
        <v>357954000</v>
      </c>
      <c r="Y139" s="86">
        <v>49017000</v>
      </c>
      <c r="Z139" s="86">
        <v>123561000</v>
      </c>
      <c r="AA139" s="86">
        <v>162498100</v>
      </c>
      <c r="AB139" s="86">
        <v>119079000</v>
      </c>
      <c r="AC139" s="86">
        <v>2844884700</v>
      </c>
      <c r="AD139" s="86">
        <v>3127357572</v>
      </c>
      <c r="AE139" s="86">
        <v>4037359375</v>
      </c>
      <c r="AF139" s="86">
        <v>7236543221</v>
      </c>
      <c r="AG139" s="86">
        <v>14509016193</v>
      </c>
      <c r="AH139" s="86">
        <v>14267739702</v>
      </c>
    </row>
    <row r="140" spans="2:34">
      <c r="B140" s="42" t="s">
        <v>999</v>
      </c>
      <c r="C140" s="42" t="s">
        <v>999</v>
      </c>
      <c r="D140" s="86">
        <v>63029928</v>
      </c>
      <c r="E140" s="86">
        <v>561886417</v>
      </c>
      <c r="F140" s="86"/>
      <c r="G140" s="86">
        <v>142230969</v>
      </c>
      <c r="H140" s="86">
        <v>173622786</v>
      </c>
      <c r="I140" s="86">
        <v>126335311</v>
      </c>
      <c r="J140" s="86">
        <v>76296665</v>
      </c>
      <c r="K140" s="86">
        <v>35928185</v>
      </c>
      <c r="L140" s="86">
        <v>8395176</v>
      </c>
      <c r="M140" s="86">
        <v>56147354</v>
      </c>
      <c r="N140" s="86">
        <v>339332921</v>
      </c>
      <c r="O140" s="86">
        <v>83792212</v>
      </c>
      <c r="P140" s="86">
        <v>6657625</v>
      </c>
      <c r="Q140" s="86">
        <v>277186172</v>
      </c>
      <c r="R140" s="86">
        <v>450707820</v>
      </c>
      <c r="S140" s="86">
        <v>148427688</v>
      </c>
      <c r="T140" s="86">
        <v>129631725</v>
      </c>
      <c r="U140" s="86">
        <v>66798456</v>
      </c>
      <c r="V140" s="86">
        <v>779622782</v>
      </c>
      <c r="W140" s="86">
        <v>146013991</v>
      </c>
      <c r="X140" s="86">
        <v>301743215</v>
      </c>
      <c r="Y140" s="86">
        <v>1139588130</v>
      </c>
      <c r="Z140" s="86">
        <v>1001408535</v>
      </c>
      <c r="AA140" s="86">
        <v>7589935607</v>
      </c>
      <c r="AB140" s="86">
        <v>4187028960</v>
      </c>
      <c r="AC140" s="86">
        <v>4037861956</v>
      </c>
      <c r="AD140" s="86">
        <v>4942080152</v>
      </c>
      <c r="AE140" s="86">
        <v>295703952</v>
      </c>
      <c r="AF140" s="86">
        <v>5803980266</v>
      </c>
      <c r="AG140" s="86">
        <v>3805936636</v>
      </c>
      <c r="AH140" s="86">
        <v>5558634671</v>
      </c>
    </row>
    <row r="141" spans="2:34">
      <c r="B141" s="42" t="s">
        <v>1000</v>
      </c>
      <c r="C141" s="42" t="s">
        <v>1000</v>
      </c>
      <c r="D141" s="86">
        <v>0</v>
      </c>
      <c r="E141" s="86">
        <v>0</v>
      </c>
      <c r="F141" s="86"/>
      <c r="G141" s="86">
        <v>0</v>
      </c>
      <c r="H141" s="86">
        <v>0</v>
      </c>
      <c r="I141" s="86">
        <v>0</v>
      </c>
      <c r="J141" s="86">
        <v>0</v>
      </c>
      <c r="K141" s="86">
        <v>0</v>
      </c>
      <c r="L141" s="86">
        <v>0</v>
      </c>
      <c r="M141" s="86">
        <v>0</v>
      </c>
      <c r="N141" s="86">
        <v>0</v>
      </c>
      <c r="O141" s="86">
        <v>0</v>
      </c>
      <c r="P141" s="86">
        <v>0</v>
      </c>
      <c r="Q141" s="86">
        <v>0</v>
      </c>
      <c r="R141" s="86">
        <v>0</v>
      </c>
      <c r="S141" s="86">
        <v>0</v>
      </c>
      <c r="T141" s="86">
        <v>0</v>
      </c>
      <c r="U141" s="86">
        <v>0</v>
      </c>
      <c r="V141" s="86">
        <v>0</v>
      </c>
      <c r="W141" s="86">
        <v>0</v>
      </c>
      <c r="X141" s="86">
        <v>0</v>
      </c>
      <c r="Y141" s="86">
        <v>0</v>
      </c>
      <c r="Z141" s="86">
        <v>0</v>
      </c>
      <c r="AA141" s="86">
        <v>247824497</v>
      </c>
      <c r="AB141" s="86">
        <v>692435015</v>
      </c>
      <c r="AC141" s="86">
        <v>91338295</v>
      </c>
      <c r="AD141" s="86">
        <v>203221967</v>
      </c>
      <c r="AE141" s="86">
        <v>2379592947</v>
      </c>
      <c r="AF141" s="86">
        <v>87138550</v>
      </c>
      <c r="AG141" s="86">
        <v>473874434</v>
      </c>
      <c r="AH141" s="86">
        <v>798394230</v>
      </c>
    </row>
    <row r="142" spans="2:34">
      <c r="B142" s="40" t="s">
        <v>1001</v>
      </c>
      <c r="C142" s="40" t="s">
        <v>1001</v>
      </c>
      <c r="D142" s="87">
        <v>555121803221</v>
      </c>
      <c r="E142" s="87">
        <v>153164875610</v>
      </c>
      <c r="F142" s="87"/>
      <c r="G142" s="87">
        <v>449458101075</v>
      </c>
      <c r="H142" s="87">
        <v>586493336898</v>
      </c>
      <c r="I142" s="87">
        <v>135230571510</v>
      </c>
      <c r="J142" s="87">
        <v>262934189467</v>
      </c>
      <c r="K142" s="87">
        <v>392506969745</v>
      </c>
      <c r="L142" s="87">
        <v>132830834496</v>
      </c>
      <c r="M142" s="87">
        <v>274632055363</v>
      </c>
      <c r="N142" s="87">
        <v>417498171936</v>
      </c>
      <c r="O142" s="87">
        <v>561361140089</v>
      </c>
      <c r="P142" s="87">
        <v>143588469074</v>
      </c>
      <c r="Q142" s="87">
        <v>294852266952</v>
      </c>
      <c r="R142" s="87">
        <v>437457003280</v>
      </c>
      <c r="S142" s="87">
        <v>575914694342</v>
      </c>
      <c r="T142" s="87">
        <v>137173330034</v>
      </c>
      <c r="U142" s="87">
        <v>273083739501</v>
      </c>
      <c r="V142" s="87">
        <v>409644030939</v>
      </c>
      <c r="W142" s="87">
        <v>545034840799</v>
      </c>
      <c r="X142" s="87">
        <v>140468209222</v>
      </c>
      <c r="Y142" s="87">
        <v>290318552061</v>
      </c>
      <c r="Z142" s="87">
        <v>444342798313</v>
      </c>
      <c r="AA142" s="87">
        <v>610013723618</v>
      </c>
      <c r="AB142" s="87">
        <v>187658191964</v>
      </c>
      <c r="AC142" s="87">
        <v>399050311784</v>
      </c>
      <c r="AD142" s="87">
        <v>612385277407</v>
      </c>
      <c r="AE142" s="87">
        <v>838557959375</v>
      </c>
      <c r="AF142" s="87">
        <v>234518478419</v>
      </c>
      <c r="AG142" s="87">
        <v>475948965298</v>
      </c>
      <c r="AH142" s="87">
        <v>700424698910</v>
      </c>
    </row>
    <row r="143" spans="2:34">
      <c r="B143" s="41" t="s">
        <v>1002</v>
      </c>
      <c r="C143" s="41" t="s">
        <v>1002</v>
      </c>
      <c r="D143" s="86">
        <v>87371813601</v>
      </c>
      <c r="E143" s="86">
        <v>21684569445</v>
      </c>
      <c r="F143" s="86"/>
      <c r="G143" s="86">
        <v>64648167249</v>
      </c>
      <c r="H143" s="86">
        <v>85786265784</v>
      </c>
      <c r="I143" s="86">
        <v>22537342001</v>
      </c>
      <c r="J143" s="86">
        <v>45068587147</v>
      </c>
      <c r="K143" s="86">
        <v>67506784939</v>
      </c>
      <c r="L143" s="86">
        <v>21946070520</v>
      </c>
      <c r="M143" s="86">
        <v>45707062195</v>
      </c>
      <c r="N143" s="86">
        <v>69237405910</v>
      </c>
      <c r="O143" s="86">
        <v>92286196919</v>
      </c>
      <c r="P143" s="86">
        <v>22505204706</v>
      </c>
      <c r="Q143" s="86">
        <v>50466320691</v>
      </c>
      <c r="R143" s="86">
        <v>78999668609</v>
      </c>
      <c r="S143" s="86">
        <v>106514459786</v>
      </c>
      <c r="T143" s="86">
        <v>26670946032</v>
      </c>
      <c r="U143" s="86">
        <v>55516884881</v>
      </c>
      <c r="V143" s="86">
        <v>86222231956</v>
      </c>
      <c r="W143" s="86">
        <v>116106137289</v>
      </c>
      <c r="X143" s="86">
        <v>29207183625</v>
      </c>
      <c r="Y143" s="86">
        <v>60934816265</v>
      </c>
      <c r="Z143" s="86">
        <v>95817545100</v>
      </c>
      <c r="AA143" s="86">
        <v>133489623074</v>
      </c>
      <c r="AB143" s="86">
        <v>41508445346</v>
      </c>
      <c r="AC143" s="86">
        <v>87293584490</v>
      </c>
      <c r="AD143" s="86">
        <v>132116418529</v>
      </c>
      <c r="AE143" s="86">
        <v>172283064236</v>
      </c>
      <c r="AF143" s="86">
        <v>40225026182</v>
      </c>
      <c r="AG143" s="86">
        <v>83655825354</v>
      </c>
      <c r="AH143" s="86">
        <v>123957485780</v>
      </c>
    </row>
    <row r="144" spans="2:34">
      <c r="B144" s="42" t="s">
        <v>1003</v>
      </c>
      <c r="C144" s="42" t="s">
        <v>1003</v>
      </c>
      <c r="D144" s="86">
        <v>44167910096</v>
      </c>
      <c r="E144" s="86">
        <v>9811492588</v>
      </c>
      <c r="F144" s="86"/>
      <c r="G144" s="86">
        <v>28281653115</v>
      </c>
      <c r="H144" s="86">
        <v>37573579033</v>
      </c>
      <c r="I144" s="86">
        <v>10760055371</v>
      </c>
      <c r="J144" s="86">
        <v>21229282490</v>
      </c>
      <c r="K144" s="86">
        <v>31468789352</v>
      </c>
      <c r="L144" s="86">
        <v>9546563675</v>
      </c>
      <c r="M144" s="86">
        <v>20393008862</v>
      </c>
      <c r="N144" s="86">
        <v>31235321626</v>
      </c>
      <c r="O144" s="86">
        <v>41646971070</v>
      </c>
      <c r="P144" s="86">
        <v>10140815031</v>
      </c>
      <c r="Q144" s="86">
        <v>23712772059</v>
      </c>
      <c r="R144" s="86">
        <v>36870844865</v>
      </c>
      <c r="S144" s="86">
        <v>49348152144</v>
      </c>
      <c r="T144" s="86">
        <v>12069045542</v>
      </c>
      <c r="U144" s="86">
        <v>25426244149</v>
      </c>
      <c r="V144" s="86">
        <v>40083742939</v>
      </c>
      <c r="W144" s="86">
        <v>53867838292</v>
      </c>
      <c r="X144" s="86">
        <v>13325383401</v>
      </c>
      <c r="Y144" s="86">
        <v>27505643409</v>
      </c>
      <c r="Z144" s="86">
        <v>43283030203</v>
      </c>
      <c r="AA144" s="86">
        <v>60421330638</v>
      </c>
      <c r="AB144" s="86">
        <v>20065760047</v>
      </c>
      <c r="AC144" s="86">
        <v>43060639734</v>
      </c>
      <c r="AD144" s="86">
        <v>64250766109</v>
      </c>
      <c r="AE144" s="86">
        <v>81834950814</v>
      </c>
      <c r="AF144" s="86">
        <v>17266035815</v>
      </c>
      <c r="AG144" s="86">
        <v>34984241003</v>
      </c>
      <c r="AH144" s="86">
        <v>50014827233</v>
      </c>
    </row>
    <row r="145" spans="2:34">
      <c r="B145" s="42" t="s">
        <v>1004</v>
      </c>
      <c r="C145" s="42" t="s">
        <v>1004</v>
      </c>
      <c r="D145" s="86">
        <v>0</v>
      </c>
      <c r="E145" s="86">
        <v>0</v>
      </c>
      <c r="F145" s="86"/>
      <c r="G145" s="86">
        <v>0</v>
      </c>
      <c r="H145" s="86">
        <v>0</v>
      </c>
      <c r="I145" s="86">
        <v>0</v>
      </c>
      <c r="J145" s="86">
        <v>0</v>
      </c>
      <c r="K145" s="86">
        <v>0</v>
      </c>
      <c r="L145" s="86">
        <v>0</v>
      </c>
      <c r="M145" s="86">
        <v>0</v>
      </c>
      <c r="N145" s="86">
        <v>0</v>
      </c>
      <c r="O145" s="86">
        <v>0</v>
      </c>
      <c r="P145" s="86">
        <v>0</v>
      </c>
      <c r="Q145" s="86">
        <v>0</v>
      </c>
      <c r="R145" s="86">
        <v>0</v>
      </c>
      <c r="S145" s="86">
        <v>0</v>
      </c>
      <c r="T145" s="86">
        <v>0</v>
      </c>
      <c r="U145" s="86">
        <v>0</v>
      </c>
      <c r="V145" s="86">
        <v>0</v>
      </c>
      <c r="W145" s="86">
        <v>0</v>
      </c>
      <c r="X145" s="86">
        <v>0</v>
      </c>
      <c r="Y145" s="86">
        <v>0</v>
      </c>
      <c r="Z145" s="86">
        <v>0</v>
      </c>
      <c r="AA145" s="86">
        <v>0</v>
      </c>
      <c r="AB145" s="86">
        <v>0</v>
      </c>
      <c r="AC145" s="86">
        <v>0</v>
      </c>
      <c r="AD145" s="86">
        <v>0</v>
      </c>
      <c r="AE145" s="86">
        <v>0</v>
      </c>
      <c r="AF145" s="86">
        <v>0</v>
      </c>
      <c r="AG145" s="86">
        <v>0</v>
      </c>
      <c r="AH145" s="86">
        <v>0</v>
      </c>
    </row>
    <row r="146" spans="2:34">
      <c r="B146" s="42" t="s">
        <v>1005</v>
      </c>
      <c r="C146" s="42" t="s">
        <v>1005</v>
      </c>
      <c r="D146" s="86">
        <v>0</v>
      </c>
      <c r="E146" s="86">
        <v>0</v>
      </c>
      <c r="F146" s="86"/>
      <c r="G146" s="86">
        <v>0</v>
      </c>
      <c r="H146" s="86">
        <v>0</v>
      </c>
      <c r="I146" s="86">
        <v>0</v>
      </c>
      <c r="J146" s="86">
        <v>0</v>
      </c>
      <c r="K146" s="86">
        <v>0</v>
      </c>
      <c r="L146" s="86">
        <v>0</v>
      </c>
      <c r="M146" s="86">
        <v>0</v>
      </c>
      <c r="N146" s="86">
        <v>0</v>
      </c>
      <c r="O146" s="86">
        <v>0</v>
      </c>
      <c r="P146" s="86">
        <v>0</v>
      </c>
      <c r="Q146" s="86">
        <v>0</v>
      </c>
      <c r="R146" s="86">
        <v>0</v>
      </c>
      <c r="S146" s="86">
        <v>0</v>
      </c>
      <c r="T146" s="86">
        <v>0</v>
      </c>
      <c r="U146" s="86">
        <v>0</v>
      </c>
      <c r="V146" s="86">
        <v>0</v>
      </c>
      <c r="W146" s="86">
        <v>0</v>
      </c>
      <c r="X146" s="86">
        <v>0</v>
      </c>
      <c r="Y146" s="86">
        <v>0</v>
      </c>
      <c r="Z146" s="86">
        <v>0</v>
      </c>
      <c r="AA146" s="86">
        <v>0</v>
      </c>
      <c r="AB146" s="86">
        <v>0</v>
      </c>
      <c r="AC146" s="86">
        <v>0</v>
      </c>
      <c r="AD146" s="86">
        <v>0</v>
      </c>
      <c r="AE146" s="86">
        <v>0</v>
      </c>
      <c r="AF146" s="86">
        <v>0</v>
      </c>
      <c r="AG146" s="86">
        <v>0</v>
      </c>
      <c r="AH146" s="86">
        <v>0</v>
      </c>
    </row>
    <row r="147" spans="2:34">
      <c r="B147" s="42" t="s">
        <v>1006</v>
      </c>
      <c r="C147" s="42" t="s">
        <v>1006</v>
      </c>
      <c r="D147" s="86">
        <v>43203903505</v>
      </c>
      <c r="E147" s="86">
        <v>11873076857</v>
      </c>
      <c r="F147" s="86"/>
      <c r="G147" s="86">
        <v>36366514134</v>
      </c>
      <c r="H147" s="86">
        <v>48212686751</v>
      </c>
      <c r="I147" s="86">
        <v>11777286630</v>
      </c>
      <c r="J147" s="86">
        <v>23839304657</v>
      </c>
      <c r="K147" s="86">
        <v>36037995587</v>
      </c>
      <c r="L147" s="86">
        <v>12399506845</v>
      </c>
      <c r="M147" s="86">
        <v>25314053333</v>
      </c>
      <c r="N147" s="86">
        <v>38002084284</v>
      </c>
      <c r="O147" s="86">
        <v>50639225849</v>
      </c>
      <c r="P147" s="86">
        <v>12364389675</v>
      </c>
      <c r="Q147" s="86">
        <v>26753548632</v>
      </c>
      <c r="R147" s="86">
        <v>42128823744</v>
      </c>
      <c r="S147" s="86">
        <v>57166307642</v>
      </c>
      <c r="T147" s="86">
        <v>14601900490</v>
      </c>
      <c r="U147" s="86">
        <v>30090640732</v>
      </c>
      <c r="V147" s="86">
        <v>46138489017</v>
      </c>
      <c r="W147" s="86">
        <v>62238298997</v>
      </c>
      <c r="X147" s="86">
        <v>15881800224</v>
      </c>
      <c r="Y147" s="86">
        <v>33429172856</v>
      </c>
      <c r="Z147" s="86">
        <v>52534514897</v>
      </c>
      <c r="AA147" s="86">
        <v>73068292436</v>
      </c>
      <c r="AB147" s="86">
        <v>21442685299</v>
      </c>
      <c r="AC147" s="86">
        <v>44232944756</v>
      </c>
      <c r="AD147" s="86">
        <v>67865652420</v>
      </c>
      <c r="AE147" s="86">
        <v>90448113422</v>
      </c>
      <c r="AF147" s="86">
        <v>22958990367</v>
      </c>
      <c r="AG147" s="86">
        <v>48671584351</v>
      </c>
      <c r="AH147" s="86">
        <v>73942658547</v>
      </c>
    </row>
    <row r="148" spans="2:34">
      <c r="B148" s="42" t="s">
        <v>1007</v>
      </c>
      <c r="C148" s="42" t="s">
        <v>1007</v>
      </c>
      <c r="D148" s="86">
        <v>0</v>
      </c>
      <c r="E148" s="86">
        <v>0</v>
      </c>
      <c r="F148" s="86"/>
      <c r="G148" s="86">
        <v>0</v>
      </c>
      <c r="H148" s="86">
        <v>0</v>
      </c>
      <c r="I148" s="86">
        <v>0</v>
      </c>
      <c r="J148" s="86">
        <v>0</v>
      </c>
      <c r="K148" s="86">
        <v>0</v>
      </c>
      <c r="L148" s="86">
        <v>0</v>
      </c>
      <c r="M148" s="86">
        <v>0</v>
      </c>
      <c r="N148" s="86">
        <v>0</v>
      </c>
      <c r="O148" s="86">
        <v>0</v>
      </c>
      <c r="P148" s="86">
        <v>0</v>
      </c>
      <c r="Q148" s="86">
        <v>0</v>
      </c>
      <c r="R148" s="86">
        <v>0</v>
      </c>
      <c r="S148" s="86">
        <v>0</v>
      </c>
      <c r="T148" s="86">
        <v>0</v>
      </c>
      <c r="U148" s="86">
        <v>0</v>
      </c>
      <c r="V148" s="86">
        <v>0</v>
      </c>
      <c r="W148" s="86">
        <v>0</v>
      </c>
      <c r="X148" s="86">
        <v>0</v>
      </c>
      <c r="Y148" s="86">
        <v>0</v>
      </c>
      <c r="Z148" s="86">
        <v>0</v>
      </c>
      <c r="AA148" s="86">
        <v>0</v>
      </c>
      <c r="AB148" s="86">
        <v>0</v>
      </c>
      <c r="AC148" s="86">
        <v>0</v>
      </c>
      <c r="AD148" s="86">
        <v>0</v>
      </c>
      <c r="AE148" s="86">
        <v>0</v>
      </c>
      <c r="AF148" s="86">
        <v>0</v>
      </c>
      <c r="AG148" s="86">
        <v>0</v>
      </c>
      <c r="AH148" s="86">
        <v>0</v>
      </c>
    </row>
    <row r="149" spans="2:34">
      <c r="B149" s="41" t="s">
        <v>1008</v>
      </c>
      <c r="C149" s="41" t="s">
        <v>1008</v>
      </c>
      <c r="D149" s="86">
        <v>1598785477</v>
      </c>
      <c r="E149" s="86">
        <v>1613205478</v>
      </c>
      <c r="F149" s="86"/>
      <c r="G149" s="86">
        <v>9136575329</v>
      </c>
      <c r="H149" s="86">
        <v>12951506835</v>
      </c>
      <c r="I149" s="86">
        <v>3778506842</v>
      </c>
      <c r="J149" s="86">
        <v>7869253602</v>
      </c>
      <c r="K149" s="86">
        <v>10871832118</v>
      </c>
      <c r="L149" s="86">
        <v>2610616435</v>
      </c>
      <c r="M149" s="86">
        <v>4630075337</v>
      </c>
      <c r="N149" s="86">
        <v>5385304103</v>
      </c>
      <c r="O149" s="86">
        <v>5467339719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6">
        <v>0</v>
      </c>
      <c r="V149" s="86">
        <v>1080924657</v>
      </c>
      <c r="W149" s="86">
        <v>1080924657</v>
      </c>
      <c r="X149" s="86">
        <v>0</v>
      </c>
      <c r="Y149" s="86">
        <v>0</v>
      </c>
      <c r="Z149" s="86">
        <v>0</v>
      </c>
      <c r="AA149" s="86">
        <v>202578606</v>
      </c>
      <c r="AB149" s="86">
        <v>849083641</v>
      </c>
      <c r="AC149" s="86">
        <v>1822699256</v>
      </c>
      <c r="AD149" s="86">
        <v>2639131752</v>
      </c>
      <c r="AE149" s="86">
        <v>2957821024</v>
      </c>
      <c r="AF149" s="86">
        <v>120870247</v>
      </c>
      <c r="AG149" s="86">
        <v>243083497</v>
      </c>
      <c r="AH149" s="86">
        <v>357505459</v>
      </c>
    </row>
    <row r="150" spans="2:34">
      <c r="B150" s="41" t="s">
        <v>1009</v>
      </c>
      <c r="C150" s="41" t="s">
        <v>1009</v>
      </c>
      <c r="D150" s="86">
        <v>979476098</v>
      </c>
      <c r="E150" s="86">
        <v>382181539</v>
      </c>
      <c r="F150" s="86"/>
      <c r="G150" s="86">
        <v>642893482</v>
      </c>
      <c r="H150" s="86">
        <v>1348427728</v>
      </c>
      <c r="I150" s="86">
        <v>125000000</v>
      </c>
      <c r="J150" s="86">
        <v>866109665</v>
      </c>
      <c r="K150" s="86">
        <v>1271888760</v>
      </c>
      <c r="L150" s="86">
        <v>1487909669</v>
      </c>
      <c r="M150" s="86">
        <v>3137295210</v>
      </c>
      <c r="N150" s="86">
        <v>3706449580</v>
      </c>
      <c r="O150" s="86">
        <v>4456034400</v>
      </c>
      <c r="P150" s="86">
        <v>631245197</v>
      </c>
      <c r="Q150" s="86">
        <v>1083658025</v>
      </c>
      <c r="R150" s="86">
        <v>2523662847</v>
      </c>
      <c r="S150" s="86">
        <v>3903591764</v>
      </c>
      <c r="T150" s="86">
        <v>2398293500</v>
      </c>
      <c r="U150" s="86">
        <v>6835725166</v>
      </c>
      <c r="V150" s="86">
        <v>10363826927</v>
      </c>
      <c r="W150" s="86">
        <v>14341138878</v>
      </c>
      <c r="X150" s="86">
        <v>5009187825</v>
      </c>
      <c r="Y150" s="86">
        <v>12348549111</v>
      </c>
      <c r="Z150" s="86">
        <v>19778415529</v>
      </c>
      <c r="AA150" s="86">
        <v>28977328939</v>
      </c>
      <c r="AB150" s="86">
        <v>8807067961</v>
      </c>
      <c r="AC150" s="86">
        <v>19277884802</v>
      </c>
      <c r="AD150" s="86">
        <v>30651888132</v>
      </c>
      <c r="AE150" s="86">
        <v>41497908136</v>
      </c>
      <c r="AF150" s="86">
        <v>18121303273</v>
      </c>
      <c r="AG150" s="86">
        <v>38346742650</v>
      </c>
      <c r="AH150" s="86">
        <v>62080508120</v>
      </c>
    </row>
    <row r="151" spans="2:34">
      <c r="B151" s="41" t="s">
        <v>1010</v>
      </c>
      <c r="C151" s="41" t="s">
        <v>1010</v>
      </c>
      <c r="D151" s="86">
        <v>0</v>
      </c>
      <c r="E151" s="86">
        <v>0</v>
      </c>
      <c r="F151" s="86"/>
      <c r="G151" s="86">
        <v>0</v>
      </c>
      <c r="H151" s="86">
        <v>0</v>
      </c>
      <c r="I151" s="86">
        <v>0</v>
      </c>
      <c r="J151" s="86">
        <v>0</v>
      </c>
      <c r="K151" s="86">
        <v>0</v>
      </c>
      <c r="L151" s="86">
        <v>0</v>
      </c>
      <c r="M151" s="86">
        <v>0</v>
      </c>
      <c r="N151" s="86">
        <v>0</v>
      </c>
      <c r="O151" s="86">
        <v>0</v>
      </c>
      <c r="P151" s="86">
        <v>0</v>
      </c>
      <c r="Q151" s="86">
        <v>0</v>
      </c>
      <c r="R151" s="86">
        <v>0</v>
      </c>
      <c r="S151" s="86">
        <v>0</v>
      </c>
      <c r="T151" s="86">
        <v>0</v>
      </c>
      <c r="U151" s="86">
        <v>0</v>
      </c>
      <c r="V151" s="86">
        <v>0</v>
      </c>
      <c r="W151" s="86">
        <v>0</v>
      </c>
      <c r="X151" s="86">
        <v>0</v>
      </c>
      <c r="Y151" s="86">
        <v>0</v>
      </c>
      <c r="Z151" s="86">
        <v>0</v>
      </c>
      <c r="AA151" s="86">
        <v>0</v>
      </c>
      <c r="AB151" s="86">
        <v>0</v>
      </c>
      <c r="AC151" s="86">
        <v>0</v>
      </c>
      <c r="AD151" s="86">
        <v>0</v>
      </c>
      <c r="AE151" s="86">
        <v>0</v>
      </c>
      <c r="AF151" s="86">
        <v>0</v>
      </c>
      <c r="AG151" s="86">
        <v>0</v>
      </c>
      <c r="AH151" s="86">
        <v>0</v>
      </c>
    </row>
    <row r="152" spans="2:34">
      <c r="B152" s="41" t="s">
        <v>1011</v>
      </c>
      <c r="C152" s="41" t="s">
        <v>1011</v>
      </c>
      <c r="D152" s="86">
        <v>309840033871</v>
      </c>
      <c r="E152" s="86">
        <v>97565430521</v>
      </c>
      <c r="F152" s="86"/>
      <c r="G152" s="86">
        <v>301037201274</v>
      </c>
      <c r="H152" s="86">
        <v>394775220375</v>
      </c>
      <c r="I152" s="86">
        <v>95967804367</v>
      </c>
      <c r="J152" s="86">
        <v>184343991800</v>
      </c>
      <c r="K152" s="86">
        <v>275285212014</v>
      </c>
      <c r="L152" s="86">
        <v>91863041786</v>
      </c>
      <c r="M152" s="86">
        <v>188053308962</v>
      </c>
      <c r="N152" s="86">
        <v>282874887946</v>
      </c>
      <c r="O152" s="86">
        <v>377395255064</v>
      </c>
      <c r="P152" s="86">
        <v>95320516953</v>
      </c>
      <c r="Q152" s="86">
        <v>193583137203</v>
      </c>
      <c r="R152" s="86">
        <v>286536375404</v>
      </c>
      <c r="S152" s="86">
        <v>380897517887</v>
      </c>
      <c r="T152" s="86">
        <v>88968402808</v>
      </c>
      <c r="U152" s="86">
        <v>175099751789</v>
      </c>
      <c r="V152" s="86">
        <v>256980477113</v>
      </c>
      <c r="W152" s="86">
        <v>340058191058</v>
      </c>
      <c r="X152" s="86">
        <v>86811569828</v>
      </c>
      <c r="Y152" s="86">
        <v>176941922937</v>
      </c>
      <c r="Z152" s="86">
        <v>268100406253</v>
      </c>
      <c r="AA152" s="86">
        <v>368039103831</v>
      </c>
      <c r="AB152" s="86">
        <v>110584432023</v>
      </c>
      <c r="AC152" s="86">
        <v>228591313980</v>
      </c>
      <c r="AD152" s="86">
        <v>347627040204</v>
      </c>
      <c r="AE152" s="86">
        <v>474949089748</v>
      </c>
      <c r="AF152" s="86">
        <v>122133671813</v>
      </c>
      <c r="AG152" s="86">
        <v>256692871415</v>
      </c>
      <c r="AH152" s="86">
        <v>384602622575</v>
      </c>
    </row>
    <row r="153" spans="2:34">
      <c r="B153" s="41" t="s">
        <v>1012</v>
      </c>
      <c r="C153" s="41" t="s">
        <v>1012</v>
      </c>
      <c r="D153" s="86">
        <v>29921148</v>
      </c>
      <c r="E153" s="86">
        <v>14281929</v>
      </c>
      <c r="F153" s="86"/>
      <c r="G153" s="86">
        <v>49526907</v>
      </c>
      <c r="H153" s="86">
        <v>63580010</v>
      </c>
      <c r="I153" s="86">
        <v>12014337</v>
      </c>
      <c r="J153" s="86">
        <v>19783077</v>
      </c>
      <c r="K153" s="86">
        <v>29151232</v>
      </c>
      <c r="L153" s="86">
        <v>9267100</v>
      </c>
      <c r="M153" s="86">
        <v>17036798</v>
      </c>
      <c r="N153" s="86">
        <v>23401598</v>
      </c>
      <c r="O153" s="86">
        <v>25723996</v>
      </c>
      <c r="P153" s="86">
        <v>2381153</v>
      </c>
      <c r="Q153" s="86">
        <v>7442013</v>
      </c>
      <c r="R153" s="86">
        <v>10946395</v>
      </c>
      <c r="S153" s="86">
        <v>13720243</v>
      </c>
      <c r="T153" s="86">
        <v>2606446</v>
      </c>
      <c r="U153" s="86">
        <v>5497667</v>
      </c>
      <c r="V153" s="86">
        <v>8398553</v>
      </c>
      <c r="W153" s="86">
        <v>9664200</v>
      </c>
      <c r="X153" s="86">
        <v>81</v>
      </c>
      <c r="Y153" s="86">
        <v>81</v>
      </c>
      <c r="Z153" s="86">
        <v>81</v>
      </c>
      <c r="AA153" s="86">
        <v>81</v>
      </c>
      <c r="AB153" s="86">
        <v>0</v>
      </c>
      <c r="AC153" s="86">
        <v>0</v>
      </c>
      <c r="AD153" s="86">
        <v>0</v>
      </c>
      <c r="AE153" s="86">
        <v>0</v>
      </c>
      <c r="AF153" s="86">
        <v>0</v>
      </c>
      <c r="AG153" s="86">
        <v>0</v>
      </c>
      <c r="AH153" s="86">
        <v>0</v>
      </c>
    </row>
    <row r="154" spans="2:34">
      <c r="B154" s="41" t="s">
        <v>1013</v>
      </c>
      <c r="C154" s="41" t="s">
        <v>1013</v>
      </c>
      <c r="D154" s="86">
        <v>6793905863</v>
      </c>
      <c r="E154" s="86">
        <v>2246567861</v>
      </c>
      <c r="F154" s="86"/>
      <c r="G154" s="86">
        <v>5847702797</v>
      </c>
      <c r="H154" s="86">
        <v>7612096364</v>
      </c>
      <c r="I154" s="86">
        <v>2201721728</v>
      </c>
      <c r="J154" s="86">
        <v>3020789852</v>
      </c>
      <c r="K154" s="86">
        <v>3666839921</v>
      </c>
      <c r="L154" s="86">
        <v>1465286815</v>
      </c>
      <c r="M154" s="86">
        <v>4131831169</v>
      </c>
      <c r="N154" s="86">
        <v>9056546728</v>
      </c>
      <c r="O154" s="86">
        <v>13783722960</v>
      </c>
      <c r="P154" s="86">
        <v>4693376669</v>
      </c>
      <c r="Q154" s="86">
        <v>8045741095</v>
      </c>
      <c r="R154" s="86">
        <v>11886818717</v>
      </c>
      <c r="S154" s="86">
        <v>13335854260</v>
      </c>
      <c r="T154" s="86">
        <v>1821002448</v>
      </c>
      <c r="U154" s="86">
        <v>3393572430</v>
      </c>
      <c r="V154" s="86">
        <v>5065803489</v>
      </c>
      <c r="W154" s="86">
        <v>6426409645</v>
      </c>
      <c r="X154" s="86">
        <v>2059475061</v>
      </c>
      <c r="Y154" s="86">
        <v>3844672252</v>
      </c>
      <c r="Z154" s="86">
        <v>6194965747</v>
      </c>
      <c r="AA154" s="86">
        <v>8699441839</v>
      </c>
      <c r="AB154" s="86">
        <v>4801729875</v>
      </c>
      <c r="AC154" s="86">
        <v>11141481777</v>
      </c>
      <c r="AD154" s="86">
        <v>20825271430</v>
      </c>
      <c r="AE154" s="86">
        <v>34171929243</v>
      </c>
      <c r="AF154" s="86">
        <v>13730622948</v>
      </c>
      <c r="AG154" s="86">
        <v>24731521572</v>
      </c>
      <c r="AH154" s="86">
        <v>34442528118</v>
      </c>
    </row>
    <row r="155" spans="2:34">
      <c r="B155" s="41" t="s">
        <v>1014</v>
      </c>
      <c r="C155" s="41" t="s">
        <v>1014</v>
      </c>
      <c r="D155" s="86">
        <v>6690635047</v>
      </c>
      <c r="E155" s="86">
        <v>1409286747</v>
      </c>
      <c r="F155" s="86"/>
      <c r="G155" s="86">
        <v>4363123034</v>
      </c>
      <c r="H155" s="86">
        <v>5790329449</v>
      </c>
      <c r="I155" s="86">
        <v>1072636442</v>
      </c>
      <c r="J155" s="86">
        <v>1813194211</v>
      </c>
      <c r="K155" s="86">
        <v>3172870056</v>
      </c>
      <c r="L155" s="86">
        <v>920743512</v>
      </c>
      <c r="M155" s="86">
        <v>1945369688</v>
      </c>
      <c r="N155" s="86">
        <v>3253536629</v>
      </c>
      <c r="O155" s="86">
        <v>5464252295</v>
      </c>
      <c r="P155" s="86">
        <v>1334611946</v>
      </c>
      <c r="Q155" s="86">
        <v>2986994642</v>
      </c>
      <c r="R155" s="86">
        <v>3882559227</v>
      </c>
      <c r="S155" s="86">
        <v>4682288127</v>
      </c>
      <c r="T155" s="86">
        <v>1376228445</v>
      </c>
      <c r="U155" s="86">
        <v>2502657859</v>
      </c>
      <c r="V155" s="86">
        <v>3494853173</v>
      </c>
      <c r="W155" s="86">
        <v>4647423275</v>
      </c>
      <c r="X155" s="86">
        <v>1038729766</v>
      </c>
      <c r="Y155" s="86">
        <v>2090684799</v>
      </c>
      <c r="Z155" s="86">
        <v>3187629773</v>
      </c>
      <c r="AA155" s="86">
        <v>4372840796</v>
      </c>
      <c r="AB155" s="86">
        <v>1033166372</v>
      </c>
      <c r="AC155" s="86">
        <v>2612522361</v>
      </c>
      <c r="AD155" s="86">
        <v>3556779809</v>
      </c>
      <c r="AE155" s="86">
        <v>4818907228</v>
      </c>
      <c r="AF155" s="86">
        <v>1113750858</v>
      </c>
      <c r="AG155" s="86">
        <v>2359157265</v>
      </c>
      <c r="AH155" s="86">
        <v>3835794335</v>
      </c>
    </row>
    <row r="156" spans="2:34">
      <c r="B156" s="41" t="s">
        <v>1015</v>
      </c>
      <c r="C156" s="41" t="s">
        <v>1015</v>
      </c>
      <c r="D156" s="86">
        <v>0</v>
      </c>
      <c r="E156" s="86">
        <v>0</v>
      </c>
      <c r="F156" s="86"/>
      <c r="G156" s="86">
        <v>0</v>
      </c>
      <c r="H156" s="86">
        <v>0</v>
      </c>
      <c r="I156" s="86">
        <v>0</v>
      </c>
      <c r="J156" s="86">
        <v>0</v>
      </c>
      <c r="K156" s="86">
        <v>0</v>
      </c>
      <c r="L156" s="86">
        <v>0</v>
      </c>
      <c r="M156" s="86">
        <v>2099544</v>
      </c>
      <c r="N156" s="86">
        <v>2099544</v>
      </c>
      <c r="O156" s="86">
        <v>2099544</v>
      </c>
      <c r="P156" s="86">
        <v>72572874</v>
      </c>
      <c r="Q156" s="86">
        <v>154549164</v>
      </c>
      <c r="R156" s="86">
        <v>154549164</v>
      </c>
      <c r="S156" s="86">
        <v>226010186</v>
      </c>
      <c r="T156" s="86">
        <v>18757262</v>
      </c>
      <c r="U156" s="86">
        <v>18757262</v>
      </c>
      <c r="V156" s="86">
        <v>18757262</v>
      </c>
      <c r="W156" s="86">
        <v>18757262</v>
      </c>
      <c r="X156" s="86">
        <v>0</v>
      </c>
      <c r="Y156" s="86">
        <v>0</v>
      </c>
      <c r="Z156" s="86">
        <v>0</v>
      </c>
      <c r="AA156" s="86">
        <v>0</v>
      </c>
      <c r="AB156" s="86">
        <v>0</v>
      </c>
      <c r="AC156" s="86">
        <v>0</v>
      </c>
      <c r="AD156" s="86">
        <v>0</v>
      </c>
      <c r="AE156" s="86">
        <v>13789800</v>
      </c>
      <c r="AF156" s="86">
        <v>5745205</v>
      </c>
      <c r="AG156" s="86">
        <v>12880540</v>
      </c>
      <c r="AH156" s="86">
        <v>13965471</v>
      </c>
    </row>
    <row r="157" spans="2:34">
      <c r="B157" s="41" t="s">
        <v>1016</v>
      </c>
      <c r="C157" s="41" t="s">
        <v>1016</v>
      </c>
      <c r="D157" s="86">
        <v>1570326</v>
      </c>
      <c r="E157" s="86">
        <v>0</v>
      </c>
      <c r="F157" s="86"/>
      <c r="G157" s="86">
        <v>0</v>
      </c>
      <c r="H157" s="86">
        <v>0</v>
      </c>
      <c r="I157" s="86">
        <v>0</v>
      </c>
      <c r="J157" s="86">
        <v>0</v>
      </c>
      <c r="K157" s="86">
        <v>0</v>
      </c>
      <c r="L157" s="86">
        <v>0</v>
      </c>
      <c r="M157" s="86">
        <v>0</v>
      </c>
      <c r="N157" s="86">
        <v>0</v>
      </c>
      <c r="O157" s="86">
        <v>0</v>
      </c>
      <c r="P157" s="86">
        <v>0</v>
      </c>
      <c r="Q157" s="86">
        <v>0</v>
      </c>
      <c r="R157" s="86">
        <v>0</v>
      </c>
      <c r="S157" s="86">
        <v>0</v>
      </c>
      <c r="T157" s="86">
        <v>0</v>
      </c>
      <c r="U157" s="86">
        <v>0</v>
      </c>
      <c r="V157" s="86">
        <v>0</v>
      </c>
      <c r="W157" s="86">
        <v>0</v>
      </c>
      <c r="X157" s="86">
        <v>0</v>
      </c>
      <c r="Y157" s="86">
        <v>0</v>
      </c>
      <c r="Z157" s="86">
        <v>0</v>
      </c>
      <c r="AA157" s="86">
        <v>0</v>
      </c>
      <c r="AB157" s="86">
        <v>0</v>
      </c>
      <c r="AC157" s="86">
        <v>0</v>
      </c>
      <c r="AD157" s="86">
        <v>0</v>
      </c>
      <c r="AE157" s="86">
        <v>0</v>
      </c>
      <c r="AF157" s="86">
        <v>0</v>
      </c>
      <c r="AG157" s="86">
        <v>0</v>
      </c>
      <c r="AH157" s="86">
        <v>0</v>
      </c>
    </row>
    <row r="158" spans="2:34">
      <c r="B158" s="41" t="s">
        <v>1017</v>
      </c>
      <c r="C158" s="41" t="s">
        <v>1017</v>
      </c>
      <c r="D158" s="86">
        <v>704812139</v>
      </c>
      <c r="E158" s="86">
        <v>18540269</v>
      </c>
      <c r="F158" s="86"/>
      <c r="G158" s="86">
        <v>122134724</v>
      </c>
      <c r="H158" s="86">
        <v>145205951</v>
      </c>
      <c r="I158" s="86">
        <v>41760817</v>
      </c>
      <c r="J158" s="86">
        <v>148152309</v>
      </c>
      <c r="K158" s="86">
        <v>158549567</v>
      </c>
      <c r="L158" s="86">
        <v>0</v>
      </c>
      <c r="M158" s="86">
        <v>4158902</v>
      </c>
      <c r="N158" s="86">
        <v>4158902</v>
      </c>
      <c r="O158" s="86">
        <v>362712317</v>
      </c>
      <c r="P158" s="86">
        <v>0</v>
      </c>
      <c r="Q158" s="86">
        <v>0</v>
      </c>
      <c r="R158" s="86">
        <v>0</v>
      </c>
      <c r="S158" s="86">
        <v>0</v>
      </c>
      <c r="T158" s="86">
        <v>0</v>
      </c>
      <c r="U158" s="86">
        <v>0</v>
      </c>
      <c r="V158" s="86">
        <v>0</v>
      </c>
      <c r="W158" s="86">
        <v>0</v>
      </c>
      <c r="X158" s="86">
        <v>0</v>
      </c>
      <c r="Y158" s="86">
        <v>0</v>
      </c>
      <c r="Z158" s="86">
        <v>0</v>
      </c>
      <c r="AA158" s="86">
        <v>0</v>
      </c>
      <c r="AB158" s="86">
        <v>0</v>
      </c>
      <c r="AC158" s="86">
        <v>0</v>
      </c>
      <c r="AD158" s="86">
        <v>0</v>
      </c>
      <c r="AE158" s="86">
        <v>0</v>
      </c>
      <c r="AF158" s="86">
        <v>0</v>
      </c>
      <c r="AG158" s="86">
        <v>0</v>
      </c>
      <c r="AH158" s="86">
        <v>0</v>
      </c>
    </row>
    <row r="159" spans="2:34">
      <c r="B159" s="41" t="s">
        <v>1018</v>
      </c>
      <c r="C159" s="41" t="s">
        <v>1018</v>
      </c>
      <c r="D159" s="86">
        <v>9054245</v>
      </c>
      <c r="E159" s="86">
        <v>0</v>
      </c>
      <c r="F159" s="86"/>
      <c r="G159" s="86">
        <v>0</v>
      </c>
      <c r="H159" s="86">
        <v>0</v>
      </c>
      <c r="I159" s="86">
        <v>0</v>
      </c>
      <c r="J159" s="86">
        <v>0</v>
      </c>
      <c r="K159" s="86">
        <v>0</v>
      </c>
      <c r="L159" s="86">
        <v>0</v>
      </c>
      <c r="M159" s="86">
        <v>0</v>
      </c>
      <c r="N159" s="86">
        <v>0</v>
      </c>
      <c r="O159" s="86">
        <v>0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6">
        <v>1040491</v>
      </c>
      <c r="V159" s="86">
        <v>1040491</v>
      </c>
      <c r="W159" s="86">
        <v>1040491</v>
      </c>
      <c r="X159" s="86">
        <v>0</v>
      </c>
      <c r="Y159" s="86">
        <v>0</v>
      </c>
      <c r="Z159" s="86">
        <v>0</v>
      </c>
      <c r="AA159" s="86">
        <v>0</v>
      </c>
      <c r="AB159" s="86">
        <v>0</v>
      </c>
      <c r="AC159" s="86">
        <v>0</v>
      </c>
      <c r="AD159" s="86">
        <v>0</v>
      </c>
      <c r="AE159" s="86">
        <v>0</v>
      </c>
      <c r="AF159" s="86">
        <v>0</v>
      </c>
      <c r="AG159" s="86">
        <v>0</v>
      </c>
      <c r="AH159" s="86">
        <v>0</v>
      </c>
    </row>
    <row r="160" spans="2:34">
      <c r="B160" s="41" t="s">
        <v>1019</v>
      </c>
      <c r="C160" s="41" t="s">
        <v>1019</v>
      </c>
      <c r="D160" s="86">
        <v>0</v>
      </c>
      <c r="E160" s="86">
        <v>0</v>
      </c>
      <c r="F160" s="86"/>
      <c r="G160" s="86">
        <v>0</v>
      </c>
      <c r="H160" s="86">
        <v>0</v>
      </c>
      <c r="I160" s="86">
        <v>0</v>
      </c>
      <c r="J160" s="86">
        <v>0</v>
      </c>
      <c r="K160" s="86">
        <v>0</v>
      </c>
      <c r="L160" s="86">
        <v>0</v>
      </c>
      <c r="M160" s="86">
        <v>0</v>
      </c>
      <c r="N160" s="86">
        <v>0</v>
      </c>
      <c r="O160" s="86">
        <v>0</v>
      </c>
      <c r="P160" s="86">
        <v>0</v>
      </c>
      <c r="Q160" s="86">
        <v>0</v>
      </c>
      <c r="R160" s="86">
        <v>0</v>
      </c>
      <c r="S160" s="86">
        <v>0</v>
      </c>
      <c r="T160" s="86">
        <v>0</v>
      </c>
      <c r="U160" s="86">
        <v>684354</v>
      </c>
      <c r="V160" s="86">
        <v>933880</v>
      </c>
      <c r="W160" s="86">
        <v>5861790</v>
      </c>
      <c r="X160" s="86">
        <v>1230316</v>
      </c>
      <c r="Y160" s="86">
        <v>1405121</v>
      </c>
      <c r="Z160" s="86">
        <v>5067123</v>
      </c>
      <c r="AA160" s="86">
        <v>5067123</v>
      </c>
      <c r="AB160" s="86">
        <v>0</v>
      </c>
      <c r="AC160" s="86">
        <v>0</v>
      </c>
      <c r="AD160" s="86">
        <v>0</v>
      </c>
      <c r="AE160" s="86">
        <v>0</v>
      </c>
      <c r="AF160" s="86">
        <v>0</v>
      </c>
      <c r="AG160" s="86">
        <v>1746531</v>
      </c>
      <c r="AH160" s="86">
        <v>3937140</v>
      </c>
    </row>
    <row r="161" spans="2:34">
      <c r="B161" s="41" t="s">
        <v>1020</v>
      </c>
      <c r="C161" s="41" t="s">
        <v>1020</v>
      </c>
      <c r="D161" s="86">
        <v>0</v>
      </c>
      <c r="E161" s="86">
        <v>0</v>
      </c>
      <c r="F161" s="86"/>
      <c r="G161" s="86">
        <v>0</v>
      </c>
      <c r="H161" s="86">
        <v>0</v>
      </c>
      <c r="I161" s="86">
        <v>0</v>
      </c>
      <c r="J161" s="86">
        <v>0</v>
      </c>
      <c r="K161" s="86">
        <v>0</v>
      </c>
      <c r="L161" s="86">
        <v>0</v>
      </c>
      <c r="M161" s="86">
        <v>0</v>
      </c>
      <c r="N161" s="86">
        <v>0</v>
      </c>
      <c r="O161" s="86">
        <v>0</v>
      </c>
      <c r="P161" s="86">
        <v>0</v>
      </c>
      <c r="Q161" s="86">
        <v>0</v>
      </c>
      <c r="R161" s="86">
        <v>0</v>
      </c>
      <c r="S161" s="86">
        <v>0</v>
      </c>
      <c r="T161" s="86">
        <v>0</v>
      </c>
      <c r="U161" s="86">
        <v>0</v>
      </c>
      <c r="V161" s="86">
        <v>0</v>
      </c>
      <c r="W161" s="86">
        <v>0</v>
      </c>
      <c r="X161" s="86">
        <v>0</v>
      </c>
      <c r="Y161" s="86">
        <v>0</v>
      </c>
      <c r="Z161" s="86">
        <v>0</v>
      </c>
      <c r="AA161" s="86">
        <v>0</v>
      </c>
      <c r="AB161" s="86">
        <v>0</v>
      </c>
      <c r="AC161" s="86">
        <v>0</v>
      </c>
      <c r="AD161" s="86">
        <v>0</v>
      </c>
      <c r="AE161" s="86">
        <v>0</v>
      </c>
      <c r="AF161" s="86">
        <v>0</v>
      </c>
      <c r="AG161" s="86">
        <v>0</v>
      </c>
      <c r="AH161" s="86">
        <v>0</v>
      </c>
    </row>
    <row r="162" spans="2:34">
      <c r="B162" s="41" t="s">
        <v>1021</v>
      </c>
      <c r="C162" s="41" t="s">
        <v>1021</v>
      </c>
      <c r="D162" s="86">
        <v>67951043433</v>
      </c>
      <c r="E162" s="86">
        <v>14694517594</v>
      </c>
      <c r="F162" s="86"/>
      <c r="G162" s="86">
        <v>47419416300</v>
      </c>
      <c r="H162" s="86">
        <v>59921112647</v>
      </c>
      <c r="I162" s="86">
        <v>8135795038</v>
      </c>
      <c r="J162" s="86">
        <v>15860566439</v>
      </c>
      <c r="K162" s="86">
        <v>23276980618</v>
      </c>
      <c r="L162" s="86">
        <v>9584087321</v>
      </c>
      <c r="M162" s="86">
        <v>21896956897</v>
      </c>
      <c r="N162" s="86">
        <v>35397448406</v>
      </c>
      <c r="O162" s="86">
        <v>50201028266</v>
      </c>
      <c r="P162" s="86">
        <v>17344386925</v>
      </c>
      <c r="Q162" s="86">
        <v>33954512904</v>
      </c>
      <c r="R162" s="86">
        <v>47513461902</v>
      </c>
      <c r="S162" s="86">
        <v>59444724862</v>
      </c>
      <c r="T162" s="86">
        <v>12107997250</v>
      </c>
      <c r="U162" s="86">
        <v>24092718470</v>
      </c>
      <c r="V162" s="86">
        <v>36851774961</v>
      </c>
      <c r="W162" s="86">
        <v>48994674401</v>
      </c>
      <c r="X162" s="86">
        <v>11293875622</v>
      </c>
      <c r="Y162" s="86">
        <v>24213606748</v>
      </c>
      <c r="Z162" s="86">
        <v>36705696557</v>
      </c>
      <c r="AA162" s="86">
        <v>47663044011</v>
      </c>
      <c r="AB162" s="86">
        <v>9203267616</v>
      </c>
      <c r="AC162" s="86">
        <v>17986416338</v>
      </c>
      <c r="AD162" s="86">
        <v>29863087282</v>
      </c>
      <c r="AE162" s="86">
        <v>46771936005</v>
      </c>
      <c r="AF162" s="86">
        <v>16968877287</v>
      </c>
      <c r="AG162" s="86">
        <v>30028748272</v>
      </c>
      <c r="AH162" s="86">
        <v>40891483345</v>
      </c>
    </row>
    <row r="163" spans="2:34">
      <c r="B163" s="41" t="s">
        <v>1022</v>
      </c>
      <c r="C163" s="41" t="s">
        <v>1022</v>
      </c>
      <c r="D163" s="86">
        <v>1362337076</v>
      </c>
      <c r="E163" s="86">
        <v>163612793</v>
      </c>
      <c r="F163" s="86"/>
      <c r="G163" s="86">
        <v>417286185</v>
      </c>
      <c r="H163" s="86">
        <v>536764954</v>
      </c>
      <c r="I163" s="86">
        <v>148404437</v>
      </c>
      <c r="J163" s="86">
        <v>282193066</v>
      </c>
      <c r="K163" s="86">
        <v>406901195</v>
      </c>
      <c r="L163" s="86">
        <v>145560484</v>
      </c>
      <c r="M163" s="86">
        <v>275499965</v>
      </c>
      <c r="N163" s="86">
        <v>423980410</v>
      </c>
      <c r="O163" s="86">
        <v>543148305</v>
      </c>
      <c r="P163" s="86">
        <v>167009148</v>
      </c>
      <c r="Q163" s="86">
        <v>352378090</v>
      </c>
      <c r="R163" s="86">
        <v>540206197</v>
      </c>
      <c r="S163" s="86">
        <v>691683875</v>
      </c>
      <c r="T163" s="86">
        <v>145037509</v>
      </c>
      <c r="U163" s="86">
        <v>292330576</v>
      </c>
      <c r="V163" s="86">
        <v>418838630</v>
      </c>
      <c r="W163" s="86">
        <v>565294775</v>
      </c>
      <c r="X163" s="86">
        <v>118283201</v>
      </c>
      <c r="Y163" s="86">
        <v>253592009</v>
      </c>
      <c r="Z163" s="86">
        <v>394674306</v>
      </c>
      <c r="AA163" s="86">
        <v>583051636</v>
      </c>
      <c r="AB163" s="86">
        <v>303168544</v>
      </c>
      <c r="AC163" s="86">
        <v>713808528</v>
      </c>
      <c r="AD163" s="86">
        <v>1059978470</v>
      </c>
      <c r="AE163" s="86">
        <v>1462906253</v>
      </c>
      <c r="AF163" s="86">
        <v>310284599</v>
      </c>
      <c r="AG163" s="86">
        <v>632177516</v>
      </c>
      <c r="AH163" s="86">
        <v>1022559059</v>
      </c>
    </row>
    <row r="164" spans="2:34">
      <c r="B164" s="41" t="s">
        <v>1023</v>
      </c>
      <c r="C164" s="41" t="s">
        <v>1023</v>
      </c>
      <c r="D164" s="86">
        <v>0</v>
      </c>
      <c r="E164" s="86">
        <v>0</v>
      </c>
      <c r="F164" s="86"/>
      <c r="G164" s="86">
        <v>0</v>
      </c>
      <c r="H164" s="86">
        <v>0</v>
      </c>
      <c r="I164" s="86">
        <v>0</v>
      </c>
      <c r="J164" s="86">
        <v>0</v>
      </c>
      <c r="K164" s="86">
        <v>0</v>
      </c>
      <c r="L164" s="86">
        <v>0</v>
      </c>
      <c r="M164" s="86">
        <v>0</v>
      </c>
      <c r="N164" s="86">
        <v>0</v>
      </c>
      <c r="O164" s="86">
        <v>0</v>
      </c>
      <c r="P164" s="86">
        <v>0</v>
      </c>
      <c r="Q164" s="86">
        <v>0</v>
      </c>
      <c r="R164" s="86">
        <v>0</v>
      </c>
      <c r="S164" s="86">
        <v>0</v>
      </c>
      <c r="T164" s="86">
        <v>0</v>
      </c>
      <c r="U164" s="86">
        <v>0</v>
      </c>
      <c r="V164" s="86">
        <v>0</v>
      </c>
      <c r="W164" s="86">
        <v>0</v>
      </c>
      <c r="X164" s="86">
        <v>0</v>
      </c>
      <c r="Y164" s="86">
        <v>0</v>
      </c>
      <c r="Z164" s="86">
        <v>0</v>
      </c>
      <c r="AA164" s="86">
        <v>0</v>
      </c>
      <c r="AB164" s="86">
        <v>0</v>
      </c>
      <c r="AC164" s="86">
        <v>0</v>
      </c>
      <c r="AD164" s="86">
        <v>0</v>
      </c>
      <c r="AE164" s="86">
        <v>0</v>
      </c>
      <c r="AF164" s="86">
        <v>0</v>
      </c>
      <c r="AG164" s="86">
        <v>0</v>
      </c>
      <c r="AH164" s="86">
        <v>0</v>
      </c>
    </row>
    <row r="165" spans="2:34">
      <c r="B165" s="41" t="s">
        <v>1024</v>
      </c>
      <c r="C165" s="41" t="s">
        <v>1024</v>
      </c>
      <c r="D165" s="86">
        <v>0</v>
      </c>
      <c r="E165" s="86">
        <v>0</v>
      </c>
      <c r="F165" s="86"/>
      <c r="G165" s="86">
        <v>0</v>
      </c>
      <c r="H165" s="86">
        <v>0</v>
      </c>
      <c r="I165" s="86">
        <v>0</v>
      </c>
      <c r="J165" s="86">
        <v>0</v>
      </c>
      <c r="K165" s="86">
        <v>0</v>
      </c>
      <c r="L165" s="86">
        <v>0</v>
      </c>
      <c r="M165" s="86">
        <v>0</v>
      </c>
      <c r="N165" s="86">
        <v>0</v>
      </c>
      <c r="O165" s="86">
        <v>0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86">
        <v>0</v>
      </c>
      <c r="X165" s="86">
        <v>0</v>
      </c>
      <c r="Y165" s="86">
        <v>0</v>
      </c>
      <c r="Z165" s="86">
        <v>0</v>
      </c>
      <c r="AA165" s="86">
        <v>0</v>
      </c>
      <c r="AB165" s="86">
        <v>0</v>
      </c>
      <c r="AC165" s="86">
        <v>0</v>
      </c>
      <c r="AD165" s="86">
        <v>0</v>
      </c>
      <c r="AE165" s="86">
        <v>0</v>
      </c>
      <c r="AF165" s="86">
        <v>0</v>
      </c>
      <c r="AG165" s="86">
        <v>0</v>
      </c>
      <c r="AH165" s="86">
        <v>0</v>
      </c>
    </row>
    <row r="166" spans="2:34">
      <c r="B166" s="41" t="s">
        <v>1025</v>
      </c>
      <c r="C166" s="41" t="s">
        <v>1025</v>
      </c>
      <c r="D166" s="86">
        <v>71788414897</v>
      </c>
      <c r="E166" s="86">
        <v>13372681434</v>
      </c>
      <c r="F166" s="86"/>
      <c r="G166" s="86">
        <v>15774073794</v>
      </c>
      <c r="H166" s="86">
        <v>17562826801</v>
      </c>
      <c r="I166" s="86">
        <v>1209585501</v>
      </c>
      <c r="J166" s="86">
        <v>3641568299</v>
      </c>
      <c r="K166" s="86">
        <v>6859959325</v>
      </c>
      <c r="L166" s="86">
        <v>2798250854</v>
      </c>
      <c r="M166" s="86">
        <v>4831360696</v>
      </c>
      <c r="N166" s="86">
        <v>8132952180</v>
      </c>
      <c r="O166" s="86">
        <v>11373626304</v>
      </c>
      <c r="P166" s="86">
        <v>1517163503</v>
      </c>
      <c r="Q166" s="86">
        <v>4217533125</v>
      </c>
      <c r="R166" s="86">
        <v>5408754818</v>
      </c>
      <c r="S166" s="86">
        <v>6204843352</v>
      </c>
      <c r="T166" s="86">
        <v>3664058334</v>
      </c>
      <c r="U166" s="86">
        <v>5324118556</v>
      </c>
      <c r="V166" s="86">
        <v>9136169847</v>
      </c>
      <c r="W166" s="86">
        <v>12779323078</v>
      </c>
      <c r="X166" s="86">
        <v>4928673897</v>
      </c>
      <c r="Y166" s="86">
        <v>9689302738</v>
      </c>
      <c r="Z166" s="86">
        <v>14158397844</v>
      </c>
      <c r="AA166" s="86">
        <v>17981643682</v>
      </c>
      <c r="AB166" s="86">
        <v>10567830586</v>
      </c>
      <c r="AC166" s="86">
        <v>29610600252</v>
      </c>
      <c r="AD166" s="86">
        <v>44045681799</v>
      </c>
      <c r="AE166" s="86">
        <v>59630607702</v>
      </c>
      <c r="AF166" s="86">
        <v>21788326007</v>
      </c>
      <c r="AG166" s="86">
        <v>39244210686</v>
      </c>
      <c r="AH166" s="86">
        <v>49216309508</v>
      </c>
    </row>
    <row r="167" spans="2:34">
      <c r="B167" s="40" t="s">
        <v>1026</v>
      </c>
      <c r="C167" s="40" t="s">
        <v>1026</v>
      </c>
      <c r="D167" s="87">
        <v>5786918616</v>
      </c>
      <c r="E167" s="87">
        <v>3635000</v>
      </c>
      <c r="F167" s="87"/>
      <c r="G167" s="87">
        <v>375558720</v>
      </c>
      <c r="H167" s="87">
        <v>375558720</v>
      </c>
      <c r="I167" s="87">
        <v>0</v>
      </c>
      <c r="J167" s="87">
        <v>0</v>
      </c>
      <c r="K167" s="87">
        <v>0</v>
      </c>
      <c r="L167" s="87">
        <v>0</v>
      </c>
      <c r="M167" s="87">
        <v>0</v>
      </c>
      <c r="N167" s="87">
        <v>5385960915</v>
      </c>
      <c r="O167" s="87">
        <v>5385960915</v>
      </c>
      <c r="P167" s="87">
        <v>700508145</v>
      </c>
      <c r="Q167" s="87">
        <v>2631967888</v>
      </c>
      <c r="R167" s="87">
        <v>2631967888</v>
      </c>
      <c r="S167" s="87">
        <v>2631967888</v>
      </c>
      <c r="T167" s="87">
        <v>28199655</v>
      </c>
      <c r="U167" s="87">
        <v>28203099</v>
      </c>
      <c r="V167" s="87">
        <v>116347864</v>
      </c>
      <c r="W167" s="87">
        <v>119244334</v>
      </c>
      <c r="X167" s="87">
        <v>134225551</v>
      </c>
      <c r="Y167" s="87">
        <v>141634785</v>
      </c>
      <c r="Z167" s="87">
        <v>159100785</v>
      </c>
      <c r="AA167" s="87">
        <v>159100785</v>
      </c>
      <c r="AB167" s="87">
        <v>0</v>
      </c>
      <c r="AC167" s="87">
        <v>941700000</v>
      </c>
      <c r="AD167" s="87">
        <v>378277220</v>
      </c>
      <c r="AE167" s="87">
        <v>2598763913</v>
      </c>
      <c r="AF167" s="87">
        <v>875521600</v>
      </c>
      <c r="AG167" s="87">
        <v>1014736680</v>
      </c>
      <c r="AH167" s="87">
        <v>1592660302</v>
      </c>
    </row>
    <row r="168" spans="2:34">
      <c r="B168" s="41" t="s">
        <v>1027</v>
      </c>
      <c r="C168" s="41" t="s">
        <v>1027</v>
      </c>
      <c r="D168" s="86">
        <v>1643283774</v>
      </c>
      <c r="E168" s="86">
        <v>0</v>
      </c>
      <c r="F168" s="86"/>
      <c r="G168" s="86">
        <v>0</v>
      </c>
      <c r="H168" s="86">
        <v>0</v>
      </c>
      <c r="I168" s="86">
        <v>0</v>
      </c>
      <c r="J168" s="86">
        <v>0</v>
      </c>
      <c r="K168" s="86">
        <v>0</v>
      </c>
      <c r="L168" s="86">
        <v>0</v>
      </c>
      <c r="M168" s="86">
        <v>0</v>
      </c>
      <c r="N168" s="86">
        <v>0</v>
      </c>
      <c r="O168" s="86">
        <v>0</v>
      </c>
      <c r="P168" s="86">
        <v>0</v>
      </c>
      <c r="Q168" s="86">
        <v>1850605743</v>
      </c>
      <c r="R168" s="86">
        <v>1850605743</v>
      </c>
      <c r="S168" s="86">
        <v>1850605743</v>
      </c>
      <c r="T168" s="86">
        <v>0</v>
      </c>
      <c r="U168" s="86">
        <v>0</v>
      </c>
      <c r="V168" s="86">
        <v>0</v>
      </c>
      <c r="W168" s="86">
        <v>2896470</v>
      </c>
      <c r="X168" s="86">
        <v>0</v>
      </c>
      <c r="Y168" s="86">
        <v>0</v>
      </c>
      <c r="Z168" s="86">
        <v>0</v>
      </c>
      <c r="AA168" s="86">
        <v>0</v>
      </c>
      <c r="AB168" s="86">
        <v>0</v>
      </c>
      <c r="AC168" s="86">
        <v>0</v>
      </c>
      <c r="AD168" s="86">
        <v>0</v>
      </c>
      <c r="AE168" s="86">
        <v>0</v>
      </c>
      <c r="AF168" s="86">
        <v>0</v>
      </c>
      <c r="AG168" s="86">
        <v>0</v>
      </c>
      <c r="AH168" s="86">
        <v>107140000</v>
      </c>
    </row>
    <row r="169" spans="2:34">
      <c r="B169" s="41" t="s">
        <v>1028</v>
      </c>
      <c r="C169" s="41" t="s">
        <v>1028</v>
      </c>
      <c r="D169" s="86">
        <v>0</v>
      </c>
      <c r="E169" s="86">
        <v>0</v>
      </c>
      <c r="F169" s="86"/>
      <c r="G169" s="86">
        <v>0</v>
      </c>
      <c r="H169" s="86">
        <v>0</v>
      </c>
      <c r="I169" s="86">
        <v>0</v>
      </c>
      <c r="J169" s="86">
        <v>0</v>
      </c>
      <c r="K169" s="86">
        <v>0</v>
      </c>
      <c r="L169" s="86">
        <v>0</v>
      </c>
      <c r="M169" s="86">
        <v>0</v>
      </c>
      <c r="N169" s="86">
        <v>0</v>
      </c>
      <c r="O169" s="86">
        <v>0</v>
      </c>
      <c r="P169" s="86">
        <v>0</v>
      </c>
      <c r="Q169" s="86">
        <v>0</v>
      </c>
      <c r="R169" s="86">
        <v>0</v>
      </c>
      <c r="S169" s="86">
        <v>0</v>
      </c>
      <c r="T169" s="86">
        <v>0</v>
      </c>
      <c r="U169" s="86">
        <v>0</v>
      </c>
      <c r="V169" s="86">
        <v>0</v>
      </c>
      <c r="W169" s="86">
        <v>0</v>
      </c>
      <c r="X169" s="86">
        <v>0</v>
      </c>
      <c r="Y169" s="86">
        <v>0</v>
      </c>
      <c r="Z169" s="86">
        <v>0</v>
      </c>
      <c r="AA169" s="86">
        <v>0</v>
      </c>
      <c r="AB169" s="86">
        <v>0</v>
      </c>
      <c r="AC169" s="86">
        <v>941700000</v>
      </c>
      <c r="AD169" s="86">
        <v>114626000</v>
      </c>
      <c r="AE169" s="86">
        <v>163092200</v>
      </c>
      <c r="AF169" s="86">
        <v>202165900</v>
      </c>
      <c r="AG169" s="86">
        <v>341380980</v>
      </c>
      <c r="AH169" s="86">
        <v>1485520302</v>
      </c>
    </row>
    <row r="170" spans="2:34">
      <c r="B170" s="41" t="s">
        <v>1029</v>
      </c>
      <c r="C170" s="41" t="s">
        <v>1029</v>
      </c>
      <c r="D170" s="86">
        <v>4143634842</v>
      </c>
      <c r="E170" s="86">
        <v>3635000</v>
      </c>
      <c r="F170" s="86"/>
      <c r="G170" s="86">
        <v>375558720</v>
      </c>
      <c r="H170" s="86">
        <v>375558720</v>
      </c>
      <c r="I170" s="86">
        <v>0</v>
      </c>
      <c r="J170" s="86">
        <v>0</v>
      </c>
      <c r="K170" s="86">
        <v>0</v>
      </c>
      <c r="L170" s="86">
        <v>0</v>
      </c>
      <c r="M170" s="86">
        <v>0</v>
      </c>
      <c r="N170" s="86">
        <v>5385960915</v>
      </c>
      <c r="O170" s="86">
        <v>5385960915</v>
      </c>
      <c r="P170" s="86">
        <v>700508145</v>
      </c>
      <c r="Q170" s="86">
        <v>781362145</v>
      </c>
      <c r="R170" s="86">
        <v>781362145</v>
      </c>
      <c r="S170" s="86">
        <v>781362145</v>
      </c>
      <c r="T170" s="86">
        <v>28199655</v>
      </c>
      <c r="U170" s="86">
        <v>28203099</v>
      </c>
      <c r="V170" s="86">
        <v>116347864</v>
      </c>
      <c r="W170" s="86">
        <v>116347864</v>
      </c>
      <c r="X170" s="86">
        <v>134225551</v>
      </c>
      <c r="Y170" s="86">
        <v>141634785</v>
      </c>
      <c r="Z170" s="86">
        <v>159100785</v>
      </c>
      <c r="AA170" s="86">
        <v>159100785</v>
      </c>
      <c r="AB170" s="86">
        <v>0</v>
      </c>
      <c r="AC170" s="86">
        <v>0</v>
      </c>
      <c r="AD170" s="86">
        <v>263651220</v>
      </c>
      <c r="AE170" s="86">
        <v>2435671713</v>
      </c>
      <c r="AF170" s="86">
        <v>673355700</v>
      </c>
      <c r="AG170" s="86">
        <v>673355700</v>
      </c>
      <c r="AH170" s="86">
        <v>0</v>
      </c>
    </row>
    <row r="171" spans="2:34">
      <c r="B171" s="41" t="s">
        <v>1030</v>
      </c>
      <c r="C171" s="41" t="s">
        <v>1030</v>
      </c>
      <c r="D171" s="86">
        <v>0</v>
      </c>
      <c r="E171" s="86">
        <v>0</v>
      </c>
      <c r="F171" s="86"/>
      <c r="G171" s="86">
        <v>0</v>
      </c>
      <c r="H171" s="86">
        <v>0</v>
      </c>
      <c r="I171" s="86">
        <v>0</v>
      </c>
      <c r="J171" s="86">
        <v>0</v>
      </c>
      <c r="K171" s="86">
        <v>0</v>
      </c>
      <c r="L171" s="86">
        <v>0</v>
      </c>
      <c r="M171" s="86">
        <v>0</v>
      </c>
      <c r="N171" s="86">
        <v>0</v>
      </c>
      <c r="O171" s="86">
        <v>0</v>
      </c>
      <c r="P171" s="86">
        <v>0</v>
      </c>
      <c r="Q171" s="86">
        <v>0</v>
      </c>
      <c r="R171" s="86">
        <v>0</v>
      </c>
      <c r="S171" s="86">
        <v>0</v>
      </c>
      <c r="T171" s="86">
        <v>0</v>
      </c>
      <c r="U171" s="86">
        <v>0</v>
      </c>
      <c r="V171" s="86">
        <v>0</v>
      </c>
      <c r="W171" s="86">
        <v>0</v>
      </c>
      <c r="X171" s="86">
        <v>0</v>
      </c>
      <c r="Y171" s="86">
        <v>0</v>
      </c>
      <c r="Z171" s="86">
        <v>0</v>
      </c>
      <c r="AA171" s="86">
        <v>0</v>
      </c>
      <c r="AB171" s="86">
        <v>0</v>
      </c>
      <c r="AC171" s="86">
        <v>0</v>
      </c>
      <c r="AD171" s="86">
        <v>0</v>
      </c>
      <c r="AE171" s="86">
        <v>0</v>
      </c>
      <c r="AF171" s="86">
        <v>0</v>
      </c>
      <c r="AG171" s="86">
        <v>0</v>
      </c>
      <c r="AH171" s="86">
        <v>0</v>
      </c>
    </row>
    <row r="172" spans="2:34">
      <c r="B172" s="40" t="s">
        <v>1031</v>
      </c>
      <c r="C172" s="40" t="s">
        <v>1031</v>
      </c>
      <c r="D172" s="87">
        <v>15569029854</v>
      </c>
      <c r="E172" s="87">
        <v>3301984776</v>
      </c>
      <c r="F172" s="87"/>
      <c r="G172" s="87">
        <v>383145939</v>
      </c>
      <c r="H172" s="87">
        <v>1975352543</v>
      </c>
      <c r="I172" s="87">
        <v>9143307604</v>
      </c>
      <c r="J172" s="87">
        <v>3356039852</v>
      </c>
      <c r="K172" s="87">
        <v>5110065787</v>
      </c>
      <c r="L172" s="87">
        <v>4611527641</v>
      </c>
      <c r="M172" s="87">
        <v>3780276790</v>
      </c>
      <c r="N172" s="87">
        <v>15529513093</v>
      </c>
      <c r="O172" s="87">
        <v>43256765353</v>
      </c>
      <c r="P172" s="87">
        <v>9493976388</v>
      </c>
      <c r="Q172" s="87">
        <v>18965490372</v>
      </c>
      <c r="R172" s="87">
        <v>82937857425</v>
      </c>
      <c r="S172" s="87">
        <v>79976127993</v>
      </c>
      <c r="T172" s="87">
        <v>77319905702</v>
      </c>
      <c r="U172" s="87">
        <v>136229795369</v>
      </c>
      <c r="V172" s="87">
        <v>200848244591</v>
      </c>
      <c r="W172" s="87">
        <v>231437859710</v>
      </c>
      <c r="X172" s="87">
        <v>55935026991</v>
      </c>
      <c r="Y172" s="87">
        <v>88845321508</v>
      </c>
      <c r="Z172" s="87">
        <v>126024066897</v>
      </c>
      <c r="AA172" s="87">
        <v>206337533371</v>
      </c>
      <c r="AB172" s="87">
        <v>101611024130</v>
      </c>
      <c r="AC172" s="87">
        <v>214453161468</v>
      </c>
      <c r="AD172" s="87">
        <v>305421490468</v>
      </c>
      <c r="AE172" s="87">
        <v>418938441093</v>
      </c>
      <c r="AF172" s="87">
        <v>134962937604</v>
      </c>
      <c r="AG172" s="87">
        <v>442628323551</v>
      </c>
      <c r="AH172" s="87">
        <v>632494166668</v>
      </c>
    </row>
    <row r="173" spans="2:34">
      <c r="B173" s="41" t="s">
        <v>1032</v>
      </c>
      <c r="C173" s="41" t="s">
        <v>1032</v>
      </c>
      <c r="D173" s="86">
        <v>554891917</v>
      </c>
      <c r="E173" s="86">
        <v>62435778</v>
      </c>
      <c r="F173" s="86"/>
      <c r="G173" s="86">
        <v>383145937</v>
      </c>
      <c r="H173" s="86">
        <v>948986751</v>
      </c>
      <c r="I173" s="86">
        <v>1143009946</v>
      </c>
      <c r="J173" s="86">
        <v>1613874584</v>
      </c>
      <c r="K173" s="86">
        <v>2270312438</v>
      </c>
      <c r="L173" s="86">
        <v>893061738</v>
      </c>
      <c r="M173" s="86">
        <v>1663822131</v>
      </c>
      <c r="N173" s="86">
        <v>4404831762</v>
      </c>
      <c r="O173" s="86">
        <v>14937804001</v>
      </c>
      <c r="P173" s="86">
        <v>6805565793</v>
      </c>
      <c r="Q173" s="86">
        <v>14719608306</v>
      </c>
      <c r="R173" s="86">
        <v>42915176026</v>
      </c>
      <c r="S173" s="86">
        <v>72297428183</v>
      </c>
      <c r="T173" s="86">
        <v>74152242183</v>
      </c>
      <c r="U173" s="86">
        <v>130369490047</v>
      </c>
      <c r="V173" s="86">
        <v>189189800089</v>
      </c>
      <c r="W173" s="86">
        <v>226875831944</v>
      </c>
      <c r="X173" s="86">
        <v>40613951294</v>
      </c>
      <c r="Y173" s="86">
        <v>73334821784</v>
      </c>
      <c r="Z173" s="86">
        <v>117098893372</v>
      </c>
      <c r="AA173" s="86">
        <v>185480767757</v>
      </c>
      <c r="AB173" s="86">
        <v>97522362067</v>
      </c>
      <c r="AC173" s="86">
        <v>205167630286</v>
      </c>
      <c r="AD173" s="86">
        <v>301652294964</v>
      </c>
      <c r="AE173" s="86">
        <v>417025150809</v>
      </c>
      <c r="AF173" s="86">
        <v>125472187669</v>
      </c>
      <c r="AG173" s="86">
        <v>409473098558</v>
      </c>
      <c r="AH173" s="86">
        <v>588548111114</v>
      </c>
    </row>
    <row r="174" spans="2:34">
      <c r="B174" s="41" t="s">
        <v>1033</v>
      </c>
      <c r="C174" s="41" t="s">
        <v>1033</v>
      </c>
      <c r="D174" s="86">
        <v>15014137937</v>
      </c>
      <c r="E174" s="86">
        <v>3239548998</v>
      </c>
      <c r="F174" s="86"/>
      <c r="G174" s="86">
        <v>2</v>
      </c>
      <c r="H174" s="86">
        <v>1026365792</v>
      </c>
      <c r="I174" s="86">
        <v>8000297658</v>
      </c>
      <c r="J174" s="86">
        <v>1742165268</v>
      </c>
      <c r="K174" s="86">
        <v>2839753349</v>
      </c>
      <c r="L174" s="86">
        <v>3718465903</v>
      </c>
      <c r="M174" s="86">
        <v>2116454659</v>
      </c>
      <c r="N174" s="86">
        <v>11124681331</v>
      </c>
      <c r="O174" s="86">
        <v>28318961352</v>
      </c>
      <c r="P174" s="86">
        <v>2688410595</v>
      </c>
      <c r="Q174" s="86">
        <v>4245882066</v>
      </c>
      <c r="R174" s="86">
        <v>40022681399</v>
      </c>
      <c r="S174" s="86">
        <v>7678699810</v>
      </c>
      <c r="T174" s="86">
        <v>3167663519</v>
      </c>
      <c r="U174" s="86">
        <v>5860305322</v>
      </c>
      <c r="V174" s="86">
        <v>11658444502</v>
      </c>
      <c r="W174" s="86">
        <v>4562027766</v>
      </c>
      <c r="X174" s="86">
        <v>15321075697</v>
      </c>
      <c r="Y174" s="86">
        <v>15510499724</v>
      </c>
      <c r="Z174" s="86">
        <v>8925173525</v>
      </c>
      <c r="AA174" s="86">
        <v>20856765614</v>
      </c>
      <c r="AB174" s="86">
        <v>4088662063</v>
      </c>
      <c r="AC174" s="86">
        <v>9285531182</v>
      </c>
      <c r="AD174" s="86">
        <v>3769195504</v>
      </c>
      <c r="AE174" s="86">
        <v>1913290284</v>
      </c>
      <c r="AF174" s="86">
        <v>9490749935</v>
      </c>
      <c r="AG174" s="86">
        <v>33155224993</v>
      </c>
      <c r="AH174" s="86">
        <v>43946055554</v>
      </c>
    </row>
    <row r="175" spans="2:34">
      <c r="B175" s="40" t="s">
        <v>1034</v>
      </c>
      <c r="C175" s="40" t="s">
        <v>1034</v>
      </c>
      <c r="D175" s="87">
        <v>129342383131</v>
      </c>
      <c r="E175" s="87">
        <v>21463230928</v>
      </c>
      <c r="F175" s="87"/>
      <c r="G175" s="87">
        <v>72875694595</v>
      </c>
      <c r="H175" s="87">
        <v>113399244781</v>
      </c>
      <c r="I175" s="87">
        <v>68710898906</v>
      </c>
      <c r="J175" s="87">
        <v>107909805121</v>
      </c>
      <c r="K175" s="87">
        <v>155674138287</v>
      </c>
      <c r="L175" s="87">
        <v>37608298769</v>
      </c>
      <c r="M175" s="87">
        <v>99057921843</v>
      </c>
      <c r="N175" s="87">
        <v>145205316043</v>
      </c>
      <c r="O175" s="87">
        <v>209794522059</v>
      </c>
      <c r="P175" s="87">
        <v>90862790761</v>
      </c>
      <c r="Q175" s="87">
        <v>164629037109</v>
      </c>
      <c r="R175" s="87">
        <v>205150792645</v>
      </c>
      <c r="S175" s="87">
        <v>227184199414</v>
      </c>
      <c r="T175" s="87">
        <v>80443389684</v>
      </c>
      <c r="U175" s="87">
        <v>110530265854</v>
      </c>
      <c r="V175" s="87">
        <v>158831040722</v>
      </c>
      <c r="W175" s="87">
        <v>214050337933</v>
      </c>
      <c r="X175" s="87">
        <v>111429028404</v>
      </c>
      <c r="Y175" s="87">
        <v>188461194987</v>
      </c>
      <c r="Z175" s="87">
        <v>246884664741</v>
      </c>
      <c r="AA175" s="87">
        <v>320503392882</v>
      </c>
      <c r="AB175" s="87">
        <v>154812304517</v>
      </c>
      <c r="AC175" s="87">
        <v>239455420404</v>
      </c>
      <c r="AD175" s="87">
        <v>294370982445</v>
      </c>
      <c r="AE175" s="87">
        <v>376882286435</v>
      </c>
      <c r="AF175" s="87">
        <v>163231998050</v>
      </c>
      <c r="AG175" s="87">
        <v>294536129295</v>
      </c>
      <c r="AH175" s="87">
        <v>387188027443</v>
      </c>
    </row>
    <row r="176" spans="2:34">
      <c r="B176" s="41" t="s">
        <v>1035</v>
      </c>
      <c r="C176" s="41" t="s">
        <v>1035</v>
      </c>
      <c r="D176" s="86">
        <v>44076695689</v>
      </c>
      <c r="E176" s="86">
        <v>2001521020</v>
      </c>
      <c r="F176" s="86"/>
      <c r="G176" s="86">
        <v>6156027134</v>
      </c>
      <c r="H176" s="86">
        <v>17584452566</v>
      </c>
      <c r="I176" s="86">
        <v>39598536140</v>
      </c>
      <c r="J176" s="86">
        <v>41856841805</v>
      </c>
      <c r="K176" s="86">
        <v>43572738986</v>
      </c>
      <c r="L176" s="86">
        <v>15480130601</v>
      </c>
      <c r="M176" s="86">
        <v>44824625557</v>
      </c>
      <c r="N176" s="86">
        <v>46030028391</v>
      </c>
      <c r="O176" s="86">
        <v>48386149712</v>
      </c>
      <c r="P176" s="86">
        <v>43674457272</v>
      </c>
      <c r="Q176" s="86">
        <v>47676836438</v>
      </c>
      <c r="R176" s="86">
        <v>49309191885</v>
      </c>
      <c r="S176" s="86">
        <v>51109511955</v>
      </c>
      <c r="T176" s="86">
        <v>45916045879</v>
      </c>
      <c r="U176" s="86">
        <v>50488012610</v>
      </c>
      <c r="V176" s="86">
        <v>55617811049</v>
      </c>
      <c r="W176" s="86">
        <v>58623316093</v>
      </c>
      <c r="X176" s="86">
        <v>63910603073</v>
      </c>
      <c r="Y176" s="86">
        <v>73831123583</v>
      </c>
      <c r="Z176" s="86">
        <v>85708858412</v>
      </c>
      <c r="AA176" s="86">
        <v>101618526471</v>
      </c>
      <c r="AB176" s="86">
        <v>68245803770</v>
      </c>
      <c r="AC176" s="86">
        <v>76933253278</v>
      </c>
      <c r="AD176" s="86">
        <v>82568554180</v>
      </c>
      <c r="AE176" s="86">
        <v>85681111729</v>
      </c>
      <c r="AF176" s="86">
        <v>74561213422</v>
      </c>
      <c r="AG176" s="86">
        <v>88053575972</v>
      </c>
      <c r="AH176" s="86">
        <v>92538162645</v>
      </c>
    </row>
    <row r="177" spans="2:34">
      <c r="B177" s="41" t="s">
        <v>1036</v>
      </c>
      <c r="C177" s="41" t="s">
        <v>1036</v>
      </c>
      <c r="D177" s="86">
        <v>148979200</v>
      </c>
      <c r="E177" s="86">
        <v>3925619</v>
      </c>
      <c r="F177" s="86"/>
      <c r="G177" s="86">
        <v>85446189</v>
      </c>
      <c r="H177" s="86">
        <v>95365717</v>
      </c>
      <c r="I177" s="86">
        <v>2192982</v>
      </c>
      <c r="J177" s="86">
        <v>4003064</v>
      </c>
      <c r="K177" s="86">
        <v>64414399</v>
      </c>
      <c r="L177" s="86">
        <v>58998</v>
      </c>
      <c r="M177" s="86">
        <v>7179570</v>
      </c>
      <c r="N177" s="86">
        <v>10696230</v>
      </c>
      <c r="O177" s="86">
        <v>19112361411</v>
      </c>
      <c r="P177" s="86">
        <v>2124607429</v>
      </c>
      <c r="Q177" s="86">
        <v>8589022636</v>
      </c>
      <c r="R177" s="86">
        <v>8597193541</v>
      </c>
      <c r="S177" s="86">
        <v>8829460627</v>
      </c>
      <c r="T177" s="86">
        <v>4491670022</v>
      </c>
      <c r="U177" s="86">
        <v>4594131416</v>
      </c>
      <c r="V177" s="86">
        <v>4601871817</v>
      </c>
      <c r="W177" s="86">
        <v>5210600371</v>
      </c>
      <c r="X177" s="86">
        <v>648360466</v>
      </c>
      <c r="Y177" s="86">
        <v>705198100</v>
      </c>
      <c r="Z177" s="86">
        <v>1618871176</v>
      </c>
      <c r="AA177" s="86">
        <v>2159864398</v>
      </c>
      <c r="AB177" s="86">
        <v>6617729982</v>
      </c>
      <c r="AC177" s="86">
        <v>18939244636</v>
      </c>
      <c r="AD177" s="86">
        <v>33604351968</v>
      </c>
      <c r="AE177" s="86">
        <v>64177937919</v>
      </c>
      <c r="AF177" s="86">
        <v>33912132969</v>
      </c>
      <c r="AG177" s="86">
        <v>60898075099</v>
      </c>
      <c r="AH177" s="86">
        <v>80476617052</v>
      </c>
    </row>
    <row r="178" spans="2:34">
      <c r="B178" s="41" t="s">
        <v>1037</v>
      </c>
      <c r="C178" s="41" t="s">
        <v>1037</v>
      </c>
      <c r="D178" s="86">
        <v>51640088243</v>
      </c>
      <c r="E178" s="86">
        <v>11014317769</v>
      </c>
      <c r="F178" s="86"/>
      <c r="G178" s="86">
        <v>30913867079</v>
      </c>
      <c r="H178" s="86">
        <v>39388213846</v>
      </c>
      <c r="I178" s="86">
        <v>8222075703</v>
      </c>
      <c r="J178" s="86">
        <v>17021299728</v>
      </c>
      <c r="K178" s="86">
        <v>24850334023</v>
      </c>
      <c r="L178" s="86">
        <v>7935777890</v>
      </c>
      <c r="M178" s="86">
        <v>16248904717</v>
      </c>
      <c r="N178" s="86">
        <v>24777042414</v>
      </c>
      <c r="O178" s="86">
        <v>33035764827</v>
      </c>
      <c r="P178" s="86">
        <v>7478878606</v>
      </c>
      <c r="Q178" s="86">
        <v>15403494595</v>
      </c>
      <c r="R178" s="86">
        <v>23105302265</v>
      </c>
      <c r="S178" s="86">
        <v>29926606254</v>
      </c>
      <c r="T178" s="86">
        <v>7158611459</v>
      </c>
      <c r="U178" s="86">
        <v>13873948893</v>
      </c>
      <c r="V178" s="86">
        <v>20742415247</v>
      </c>
      <c r="W178" s="86">
        <v>27591454450</v>
      </c>
      <c r="X178" s="86">
        <v>6511580048</v>
      </c>
      <c r="Y178" s="86">
        <v>13648635823</v>
      </c>
      <c r="Z178" s="86">
        <v>20942226661</v>
      </c>
      <c r="AA178" s="86">
        <v>28698473356</v>
      </c>
      <c r="AB178" s="86">
        <v>8845277527</v>
      </c>
      <c r="AC178" s="86">
        <v>18056760126</v>
      </c>
      <c r="AD178" s="86">
        <v>26913467089</v>
      </c>
      <c r="AE178" s="86">
        <v>35708858313</v>
      </c>
      <c r="AF178" s="86">
        <v>9020672955</v>
      </c>
      <c r="AG178" s="86">
        <v>18452139984</v>
      </c>
      <c r="AH178" s="86">
        <v>26841128586</v>
      </c>
    </row>
    <row r="179" spans="2:34">
      <c r="B179" s="41" t="s">
        <v>1038</v>
      </c>
      <c r="C179" s="41" t="s">
        <v>1038</v>
      </c>
      <c r="D179" s="86">
        <v>0</v>
      </c>
      <c r="E179" s="86">
        <v>0</v>
      </c>
      <c r="F179" s="86"/>
      <c r="G179" s="86">
        <v>0</v>
      </c>
      <c r="H179" s="86">
        <v>0</v>
      </c>
      <c r="I179" s="86">
        <v>0</v>
      </c>
      <c r="J179" s="86">
        <v>0</v>
      </c>
      <c r="K179" s="86">
        <v>0</v>
      </c>
      <c r="L179" s="86">
        <v>0</v>
      </c>
      <c r="M179" s="86">
        <v>0</v>
      </c>
      <c r="N179" s="86">
        <v>0</v>
      </c>
      <c r="O179" s="86">
        <v>0</v>
      </c>
      <c r="P179" s="86">
        <v>0</v>
      </c>
      <c r="Q179" s="86">
        <v>0</v>
      </c>
      <c r="R179" s="86">
        <v>0</v>
      </c>
      <c r="S179" s="86">
        <v>0</v>
      </c>
      <c r="T179" s="86">
        <v>0</v>
      </c>
      <c r="U179" s="86">
        <v>0</v>
      </c>
      <c r="V179" s="86">
        <v>0</v>
      </c>
      <c r="W179" s="86">
        <v>0</v>
      </c>
      <c r="X179" s="86">
        <v>0</v>
      </c>
      <c r="Y179" s="86">
        <v>0</v>
      </c>
      <c r="Z179" s="86">
        <v>0</v>
      </c>
      <c r="AA179" s="86">
        <v>0</v>
      </c>
      <c r="AB179" s="86">
        <v>0</v>
      </c>
      <c r="AC179" s="86">
        <v>0</v>
      </c>
      <c r="AD179" s="86">
        <v>0</v>
      </c>
      <c r="AE179" s="86">
        <v>0</v>
      </c>
      <c r="AF179" s="86">
        <v>0</v>
      </c>
      <c r="AG179" s="86">
        <v>0</v>
      </c>
      <c r="AH179" s="86">
        <v>0</v>
      </c>
    </row>
    <row r="180" spans="2:34">
      <c r="B180" s="42" t="s">
        <v>1039</v>
      </c>
      <c r="C180" s="42" t="s">
        <v>1039</v>
      </c>
      <c r="D180" s="86">
        <v>0</v>
      </c>
      <c r="E180" s="86">
        <v>0</v>
      </c>
      <c r="F180" s="86"/>
      <c r="G180" s="86">
        <v>0</v>
      </c>
      <c r="H180" s="86">
        <v>0</v>
      </c>
      <c r="I180" s="86">
        <v>0</v>
      </c>
      <c r="J180" s="86">
        <v>0</v>
      </c>
      <c r="K180" s="86">
        <v>0</v>
      </c>
      <c r="L180" s="86">
        <v>0</v>
      </c>
      <c r="M180" s="86">
        <v>0</v>
      </c>
      <c r="N180" s="86">
        <v>0</v>
      </c>
      <c r="O180" s="86">
        <v>0</v>
      </c>
      <c r="P180" s="86">
        <v>0</v>
      </c>
      <c r="Q180" s="86">
        <v>0</v>
      </c>
      <c r="R180" s="86">
        <v>0</v>
      </c>
      <c r="S180" s="86">
        <v>0</v>
      </c>
      <c r="T180" s="86">
        <v>0</v>
      </c>
      <c r="U180" s="86">
        <v>0</v>
      </c>
      <c r="V180" s="86">
        <v>0</v>
      </c>
      <c r="W180" s="86">
        <v>0</v>
      </c>
      <c r="X180" s="86">
        <v>0</v>
      </c>
      <c r="Y180" s="86">
        <v>0</v>
      </c>
      <c r="Z180" s="86">
        <v>0</v>
      </c>
      <c r="AA180" s="86">
        <v>0</v>
      </c>
      <c r="AB180" s="86">
        <v>0</v>
      </c>
      <c r="AC180" s="86">
        <v>0</v>
      </c>
      <c r="AD180" s="86">
        <v>0</v>
      </c>
      <c r="AE180" s="86">
        <v>0</v>
      </c>
      <c r="AF180" s="86">
        <v>0</v>
      </c>
      <c r="AG180" s="86">
        <v>0</v>
      </c>
      <c r="AH180" s="86">
        <v>0</v>
      </c>
    </row>
    <row r="181" spans="2:34">
      <c r="B181" s="42" t="s">
        <v>1040</v>
      </c>
      <c r="C181" s="42" t="s">
        <v>1040</v>
      </c>
      <c r="D181" s="86">
        <v>0</v>
      </c>
      <c r="E181" s="86">
        <v>0</v>
      </c>
      <c r="F181" s="86"/>
      <c r="G181" s="86">
        <v>0</v>
      </c>
      <c r="H181" s="86">
        <v>0</v>
      </c>
      <c r="I181" s="86">
        <v>0</v>
      </c>
      <c r="J181" s="86">
        <v>0</v>
      </c>
      <c r="K181" s="86">
        <v>0</v>
      </c>
      <c r="L181" s="86">
        <v>0</v>
      </c>
      <c r="M181" s="86">
        <v>0</v>
      </c>
      <c r="N181" s="86">
        <v>0</v>
      </c>
      <c r="O181" s="86">
        <v>0</v>
      </c>
      <c r="P181" s="86">
        <v>0</v>
      </c>
      <c r="Q181" s="86">
        <v>0</v>
      </c>
      <c r="R181" s="86">
        <v>0</v>
      </c>
      <c r="S181" s="86">
        <v>0</v>
      </c>
      <c r="T181" s="86">
        <v>0</v>
      </c>
      <c r="U181" s="86">
        <v>0</v>
      </c>
      <c r="V181" s="86">
        <v>0</v>
      </c>
      <c r="W181" s="86">
        <v>0</v>
      </c>
      <c r="X181" s="86">
        <v>0</v>
      </c>
      <c r="Y181" s="86">
        <v>0</v>
      </c>
      <c r="Z181" s="86">
        <v>0</v>
      </c>
      <c r="AA181" s="86">
        <v>0</v>
      </c>
      <c r="AB181" s="86">
        <v>0</v>
      </c>
      <c r="AC181" s="86">
        <v>0</v>
      </c>
      <c r="AD181" s="86">
        <v>0</v>
      </c>
      <c r="AE181" s="86">
        <v>0</v>
      </c>
      <c r="AF181" s="86">
        <v>0</v>
      </c>
      <c r="AG181" s="86">
        <v>0</v>
      </c>
      <c r="AH181" s="86">
        <v>0</v>
      </c>
    </row>
    <row r="182" spans="2:34">
      <c r="B182" s="41" t="s">
        <v>1041</v>
      </c>
      <c r="C182" s="41" t="s">
        <v>1041</v>
      </c>
      <c r="D182" s="86">
        <v>0</v>
      </c>
      <c r="E182" s="86">
        <v>0</v>
      </c>
      <c r="F182" s="86"/>
      <c r="G182" s="86">
        <v>0</v>
      </c>
      <c r="H182" s="86">
        <v>0</v>
      </c>
      <c r="I182" s="86">
        <v>0</v>
      </c>
      <c r="J182" s="86">
        <v>0</v>
      </c>
      <c r="K182" s="86">
        <v>0</v>
      </c>
      <c r="L182" s="86">
        <v>0</v>
      </c>
      <c r="M182" s="86">
        <v>0</v>
      </c>
      <c r="N182" s="86">
        <v>0</v>
      </c>
      <c r="O182" s="86">
        <v>0</v>
      </c>
      <c r="P182" s="86">
        <v>0</v>
      </c>
      <c r="Q182" s="86">
        <v>0</v>
      </c>
      <c r="R182" s="86">
        <v>0</v>
      </c>
      <c r="S182" s="86">
        <v>0</v>
      </c>
      <c r="T182" s="86">
        <v>0</v>
      </c>
      <c r="U182" s="86">
        <v>0</v>
      </c>
      <c r="V182" s="86">
        <v>0</v>
      </c>
      <c r="W182" s="86">
        <v>0</v>
      </c>
      <c r="X182" s="86">
        <v>0</v>
      </c>
      <c r="Y182" s="86">
        <v>0</v>
      </c>
      <c r="Z182" s="86">
        <v>0</v>
      </c>
      <c r="AA182" s="86">
        <v>0</v>
      </c>
      <c r="AB182" s="86">
        <v>0</v>
      </c>
      <c r="AC182" s="86">
        <v>0</v>
      </c>
      <c r="AD182" s="86">
        <v>0</v>
      </c>
      <c r="AE182" s="86">
        <v>0</v>
      </c>
      <c r="AF182" s="86">
        <v>0</v>
      </c>
      <c r="AG182" s="86">
        <v>0</v>
      </c>
      <c r="AH182" s="86">
        <v>0</v>
      </c>
    </row>
    <row r="183" spans="2:34">
      <c r="B183" s="41" t="s">
        <v>1042</v>
      </c>
      <c r="C183" s="41" t="s">
        <v>1042</v>
      </c>
      <c r="D183" s="86">
        <v>0</v>
      </c>
      <c r="E183" s="86">
        <v>0</v>
      </c>
      <c r="F183" s="86"/>
      <c r="G183" s="86">
        <v>0</v>
      </c>
      <c r="H183" s="86">
        <v>0</v>
      </c>
      <c r="I183" s="86">
        <v>0</v>
      </c>
      <c r="J183" s="86">
        <v>0</v>
      </c>
      <c r="K183" s="86">
        <v>0</v>
      </c>
      <c r="L183" s="86">
        <v>0</v>
      </c>
      <c r="M183" s="86">
        <v>0</v>
      </c>
      <c r="N183" s="86">
        <v>0</v>
      </c>
      <c r="O183" s="86">
        <v>0</v>
      </c>
      <c r="P183" s="86">
        <v>0</v>
      </c>
      <c r="Q183" s="86">
        <v>0</v>
      </c>
      <c r="R183" s="86">
        <v>0</v>
      </c>
      <c r="S183" s="86">
        <v>0</v>
      </c>
      <c r="T183" s="86">
        <v>0</v>
      </c>
      <c r="U183" s="86">
        <v>0</v>
      </c>
      <c r="V183" s="86">
        <v>0</v>
      </c>
      <c r="W183" s="86">
        <v>0</v>
      </c>
      <c r="X183" s="86">
        <v>0</v>
      </c>
      <c r="Y183" s="86">
        <v>0</v>
      </c>
      <c r="Z183" s="86">
        <v>0</v>
      </c>
      <c r="AA183" s="86">
        <v>0</v>
      </c>
      <c r="AB183" s="86">
        <v>0</v>
      </c>
      <c r="AC183" s="86">
        <v>0</v>
      </c>
      <c r="AD183" s="86">
        <v>0</v>
      </c>
      <c r="AE183" s="86">
        <v>0</v>
      </c>
      <c r="AF183" s="86">
        <v>0</v>
      </c>
      <c r="AG183" s="86">
        <v>0</v>
      </c>
      <c r="AH183" s="86">
        <v>0</v>
      </c>
    </row>
    <row r="184" spans="2:34">
      <c r="B184" s="42" t="s">
        <v>1043</v>
      </c>
      <c r="C184" s="42" t="s">
        <v>1043</v>
      </c>
      <c r="D184" s="86">
        <v>0</v>
      </c>
      <c r="E184" s="86">
        <v>0</v>
      </c>
      <c r="F184" s="86"/>
      <c r="G184" s="86">
        <v>0</v>
      </c>
      <c r="H184" s="86">
        <v>0</v>
      </c>
      <c r="I184" s="86">
        <v>0</v>
      </c>
      <c r="J184" s="86">
        <v>0</v>
      </c>
      <c r="K184" s="86">
        <v>0</v>
      </c>
      <c r="L184" s="86">
        <v>0</v>
      </c>
      <c r="M184" s="86">
        <v>0</v>
      </c>
      <c r="N184" s="86">
        <v>0</v>
      </c>
      <c r="O184" s="86">
        <v>0</v>
      </c>
      <c r="P184" s="86">
        <v>0</v>
      </c>
      <c r="Q184" s="86">
        <v>0</v>
      </c>
      <c r="R184" s="86">
        <v>0</v>
      </c>
      <c r="S184" s="86">
        <v>0</v>
      </c>
      <c r="T184" s="86">
        <v>0</v>
      </c>
      <c r="U184" s="86">
        <v>0</v>
      </c>
      <c r="V184" s="86">
        <v>0</v>
      </c>
      <c r="W184" s="86">
        <v>0</v>
      </c>
      <c r="X184" s="86">
        <v>0</v>
      </c>
      <c r="Y184" s="86">
        <v>0</v>
      </c>
      <c r="Z184" s="86">
        <v>0</v>
      </c>
      <c r="AA184" s="86">
        <v>0</v>
      </c>
      <c r="AB184" s="86">
        <v>0</v>
      </c>
      <c r="AC184" s="86">
        <v>0</v>
      </c>
      <c r="AD184" s="86">
        <v>0</v>
      </c>
      <c r="AE184" s="86">
        <v>0</v>
      </c>
      <c r="AF184" s="86">
        <v>0</v>
      </c>
      <c r="AG184" s="86">
        <v>0</v>
      </c>
      <c r="AH184" s="86">
        <v>0</v>
      </c>
    </row>
    <row r="185" spans="2:34">
      <c r="B185" s="42" t="s">
        <v>1044</v>
      </c>
      <c r="C185" s="42" t="s">
        <v>1044</v>
      </c>
      <c r="D185" s="86">
        <v>0</v>
      </c>
      <c r="E185" s="86">
        <v>0</v>
      </c>
      <c r="F185" s="86"/>
      <c r="G185" s="86">
        <v>0</v>
      </c>
      <c r="H185" s="86">
        <v>0</v>
      </c>
      <c r="I185" s="86">
        <v>0</v>
      </c>
      <c r="J185" s="86">
        <v>0</v>
      </c>
      <c r="K185" s="86">
        <v>0</v>
      </c>
      <c r="L185" s="86">
        <v>0</v>
      </c>
      <c r="M185" s="86">
        <v>0</v>
      </c>
      <c r="N185" s="86">
        <v>0</v>
      </c>
      <c r="O185" s="86">
        <v>0</v>
      </c>
      <c r="P185" s="86">
        <v>0</v>
      </c>
      <c r="Q185" s="86">
        <v>0</v>
      </c>
      <c r="R185" s="86">
        <v>0</v>
      </c>
      <c r="S185" s="86">
        <v>0</v>
      </c>
      <c r="T185" s="86">
        <v>0</v>
      </c>
      <c r="U185" s="86">
        <v>0</v>
      </c>
      <c r="V185" s="86">
        <v>0</v>
      </c>
      <c r="W185" s="86">
        <v>0</v>
      </c>
      <c r="X185" s="86">
        <v>0</v>
      </c>
      <c r="Y185" s="86">
        <v>0</v>
      </c>
      <c r="Z185" s="86">
        <v>0</v>
      </c>
      <c r="AA185" s="86">
        <v>0</v>
      </c>
      <c r="AB185" s="86">
        <v>0</v>
      </c>
      <c r="AC185" s="86">
        <v>0</v>
      </c>
      <c r="AD185" s="86">
        <v>0</v>
      </c>
      <c r="AE185" s="86">
        <v>0</v>
      </c>
      <c r="AF185" s="86">
        <v>0</v>
      </c>
      <c r="AG185" s="86">
        <v>0</v>
      </c>
      <c r="AH185" s="86">
        <v>0</v>
      </c>
    </row>
    <row r="186" spans="2:34">
      <c r="B186" s="42" t="s">
        <v>1045</v>
      </c>
      <c r="C186" s="42" t="s">
        <v>1045</v>
      </c>
      <c r="D186" s="86">
        <v>0</v>
      </c>
      <c r="E186" s="86">
        <v>0</v>
      </c>
      <c r="F186" s="86"/>
      <c r="G186" s="86">
        <v>0</v>
      </c>
      <c r="H186" s="86">
        <v>0</v>
      </c>
      <c r="I186" s="86">
        <v>0</v>
      </c>
      <c r="J186" s="86">
        <v>0</v>
      </c>
      <c r="K186" s="86">
        <v>0</v>
      </c>
      <c r="L186" s="86">
        <v>0</v>
      </c>
      <c r="M186" s="86">
        <v>0</v>
      </c>
      <c r="N186" s="86">
        <v>0</v>
      </c>
      <c r="O186" s="86">
        <v>0</v>
      </c>
      <c r="P186" s="86">
        <v>0</v>
      </c>
      <c r="Q186" s="86">
        <v>0</v>
      </c>
      <c r="R186" s="86">
        <v>0</v>
      </c>
      <c r="S186" s="86">
        <v>0</v>
      </c>
      <c r="T186" s="86">
        <v>0</v>
      </c>
      <c r="U186" s="86">
        <v>0</v>
      </c>
      <c r="V186" s="86">
        <v>0</v>
      </c>
      <c r="W186" s="86">
        <v>0</v>
      </c>
      <c r="X186" s="86">
        <v>0</v>
      </c>
      <c r="Y186" s="86">
        <v>0</v>
      </c>
      <c r="Z186" s="86">
        <v>0</v>
      </c>
      <c r="AA186" s="86">
        <v>0</v>
      </c>
      <c r="AB186" s="86">
        <v>0</v>
      </c>
      <c r="AC186" s="86">
        <v>0</v>
      </c>
      <c r="AD186" s="86">
        <v>0</v>
      </c>
      <c r="AE186" s="86">
        <v>0</v>
      </c>
      <c r="AF186" s="86">
        <v>0</v>
      </c>
      <c r="AG186" s="86">
        <v>0</v>
      </c>
      <c r="AH186" s="86">
        <v>0</v>
      </c>
    </row>
    <row r="187" spans="2:34">
      <c r="B187" s="42" t="s">
        <v>932</v>
      </c>
      <c r="C187" s="42" t="s">
        <v>932</v>
      </c>
      <c r="D187" s="86">
        <v>0</v>
      </c>
      <c r="E187" s="86">
        <v>0</v>
      </c>
      <c r="F187" s="86"/>
      <c r="G187" s="86">
        <v>0</v>
      </c>
      <c r="H187" s="86">
        <v>0</v>
      </c>
      <c r="I187" s="86">
        <v>0</v>
      </c>
      <c r="J187" s="86">
        <v>0</v>
      </c>
      <c r="K187" s="86">
        <v>0</v>
      </c>
      <c r="L187" s="86">
        <v>0</v>
      </c>
      <c r="M187" s="86">
        <v>0</v>
      </c>
      <c r="N187" s="86">
        <v>0</v>
      </c>
      <c r="O187" s="86">
        <v>0</v>
      </c>
      <c r="P187" s="86">
        <v>0</v>
      </c>
      <c r="Q187" s="86">
        <v>0</v>
      </c>
      <c r="R187" s="86">
        <v>0</v>
      </c>
      <c r="S187" s="86">
        <v>0</v>
      </c>
      <c r="T187" s="86">
        <v>0</v>
      </c>
      <c r="U187" s="86">
        <v>0</v>
      </c>
      <c r="V187" s="86">
        <v>0</v>
      </c>
      <c r="W187" s="86">
        <v>0</v>
      </c>
      <c r="X187" s="86">
        <v>0</v>
      </c>
      <c r="Y187" s="86">
        <v>0</v>
      </c>
      <c r="Z187" s="86">
        <v>0</v>
      </c>
      <c r="AA187" s="86">
        <v>0</v>
      </c>
      <c r="AB187" s="86">
        <v>0</v>
      </c>
      <c r="AC187" s="86">
        <v>0</v>
      </c>
      <c r="AD187" s="86">
        <v>0</v>
      </c>
      <c r="AE187" s="86">
        <v>0</v>
      </c>
      <c r="AF187" s="86">
        <v>0</v>
      </c>
      <c r="AG187" s="86">
        <v>0</v>
      </c>
      <c r="AH187" s="86">
        <v>0</v>
      </c>
    </row>
    <row r="188" spans="2:34">
      <c r="B188" s="41" t="s">
        <v>1046</v>
      </c>
      <c r="C188" s="41" t="s">
        <v>1046</v>
      </c>
      <c r="D188" s="86">
        <v>0</v>
      </c>
      <c r="E188" s="86">
        <v>0</v>
      </c>
      <c r="F188" s="86"/>
      <c r="G188" s="86">
        <v>0</v>
      </c>
      <c r="H188" s="86">
        <v>0</v>
      </c>
      <c r="I188" s="86">
        <v>0</v>
      </c>
      <c r="J188" s="86">
        <v>0</v>
      </c>
      <c r="K188" s="86">
        <v>0</v>
      </c>
      <c r="L188" s="86">
        <v>0</v>
      </c>
      <c r="M188" s="86">
        <v>0</v>
      </c>
      <c r="N188" s="86">
        <v>0</v>
      </c>
      <c r="O188" s="86">
        <v>0</v>
      </c>
      <c r="P188" s="86">
        <v>0</v>
      </c>
      <c r="Q188" s="86">
        <v>0</v>
      </c>
      <c r="R188" s="86">
        <v>0</v>
      </c>
      <c r="S188" s="86">
        <v>0</v>
      </c>
      <c r="T188" s="86">
        <v>0</v>
      </c>
      <c r="U188" s="86">
        <v>21417</v>
      </c>
      <c r="V188" s="86">
        <v>5771298</v>
      </c>
      <c r="W188" s="86">
        <v>11097978</v>
      </c>
      <c r="X188" s="86">
        <v>993580</v>
      </c>
      <c r="Y188" s="86">
        <v>4422905</v>
      </c>
      <c r="Z188" s="86">
        <v>228755288</v>
      </c>
      <c r="AA188" s="86">
        <v>238039013</v>
      </c>
      <c r="AB188" s="86">
        <v>7606008</v>
      </c>
      <c r="AC188" s="86">
        <v>8770368</v>
      </c>
      <c r="AD188" s="86">
        <v>9949563</v>
      </c>
      <c r="AE188" s="86">
        <v>65981033</v>
      </c>
      <c r="AF188" s="86">
        <v>149150766</v>
      </c>
      <c r="AG188" s="86">
        <v>320041214</v>
      </c>
      <c r="AH188" s="86">
        <v>1384479480</v>
      </c>
    </row>
    <row r="189" spans="2:34">
      <c r="B189" s="41" t="s">
        <v>1047</v>
      </c>
      <c r="C189" s="41" t="s">
        <v>1047</v>
      </c>
      <c r="D189" s="86">
        <v>0</v>
      </c>
      <c r="E189" s="86">
        <v>0</v>
      </c>
      <c r="F189" s="86"/>
      <c r="G189" s="86">
        <v>0</v>
      </c>
      <c r="H189" s="86">
        <v>0</v>
      </c>
      <c r="I189" s="86">
        <v>0</v>
      </c>
      <c r="J189" s="86">
        <v>0</v>
      </c>
      <c r="K189" s="86">
        <v>0</v>
      </c>
      <c r="L189" s="86">
        <v>0</v>
      </c>
      <c r="M189" s="86">
        <v>0</v>
      </c>
      <c r="N189" s="86">
        <v>0</v>
      </c>
      <c r="O189" s="86">
        <v>0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6">
        <v>0</v>
      </c>
      <c r="V189" s="86">
        <v>0</v>
      </c>
      <c r="W189" s="86">
        <v>0</v>
      </c>
      <c r="X189" s="86">
        <v>0</v>
      </c>
      <c r="Y189" s="86">
        <v>0</v>
      </c>
      <c r="Z189" s="86">
        <v>25932026</v>
      </c>
      <c r="AA189" s="86">
        <v>2043206</v>
      </c>
      <c r="AB189" s="86">
        <v>0</v>
      </c>
      <c r="AC189" s="86">
        <v>0</v>
      </c>
      <c r="AD189" s="86">
        <v>0</v>
      </c>
      <c r="AE189" s="86">
        <v>114233893</v>
      </c>
      <c r="AF189" s="86">
        <v>57029794</v>
      </c>
      <c r="AG189" s="86">
        <v>452289461</v>
      </c>
      <c r="AH189" s="86">
        <v>0</v>
      </c>
    </row>
    <row r="190" spans="2:34">
      <c r="B190" s="41" t="s">
        <v>1048</v>
      </c>
      <c r="C190" s="41" t="s">
        <v>1048</v>
      </c>
      <c r="D190" s="86">
        <v>168032322</v>
      </c>
      <c r="E190" s="86">
        <v>247217160</v>
      </c>
      <c r="F190" s="86"/>
      <c r="G190" s="86">
        <v>330279081</v>
      </c>
      <c r="H190" s="86">
        <v>472747494</v>
      </c>
      <c r="I190" s="86">
        <v>141842698</v>
      </c>
      <c r="J190" s="86">
        <v>172097324</v>
      </c>
      <c r="K190" s="86">
        <v>666972166</v>
      </c>
      <c r="L190" s="86">
        <v>150000174</v>
      </c>
      <c r="M190" s="86">
        <v>200618290</v>
      </c>
      <c r="N190" s="86">
        <v>294958110</v>
      </c>
      <c r="O190" s="86">
        <v>370730116</v>
      </c>
      <c r="P190" s="86">
        <v>311461803</v>
      </c>
      <c r="Q190" s="86">
        <v>430708161</v>
      </c>
      <c r="R190" s="86">
        <v>518992645</v>
      </c>
      <c r="S190" s="86">
        <v>626670716</v>
      </c>
      <c r="T190" s="86">
        <v>554010292</v>
      </c>
      <c r="U190" s="86">
        <v>652083330</v>
      </c>
      <c r="V190" s="86">
        <v>652218768</v>
      </c>
      <c r="W190" s="86">
        <v>2485632030</v>
      </c>
      <c r="X190" s="86">
        <v>362060380</v>
      </c>
      <c r="Y190" s="86">
        <v>670719811</v>
      </c>
      <c r="Z190" s="86">
        <v>670719811</v>
      </c>
      <c r="AA190" s="86">
        <v>777955485</v>
      </c>
      <c r="AB190" s="86">
        <v>8453483</v>
      </c>
      <c r="AC190" s="86">
        <v>67259473</v>
      </c>
      <c r="AD190" s="86">
        <v>67259473</v>
      </c>
      <c r="AE190" s="86">
        <v>224354037</v>
      </c>
      <c r="AF190" s="86">
        <v>545268594</v>
      </c>
      <c r="AG190" s="86">
        <v>829201089</v>
      </c>
      <c r="AH190" s="86">
        <v>952925459</v>
      </c>
    </row>
    <row r="191" spans="2:34">
      <c r="B191" s="42" t="s">
        <v>1049</v>
      </c>
      <c r="C191" s="42" t="s">
        <v>1049</v>
      </c>
      <c r="D191" s="86">
        <v>0</v>
      </c>
      <c r="E191" s="86">
        <v>0</v>
      </c>
      <c r="F191" s="86"/>
      <c r="G191" s="86">
        <v>0</v>
      </c>
      <c r="H191" s="86">
        <v>0</v>
      </c>
      <c r="I191" s="86">
        <v>29735075</v>
      </c>
      <c r="J191" s="86">
        <v>59989701</v>
      </c>
      <c r="K191" s="86">
        <v>336180</v>
      </c>
      <c r="L191" s="86">
        <v>114524</v>
      </c>
      <c r="M191" s="86">
        <v>232005</v>
      </c>
      <c r="N191" s="86">
        <v>352524</v>
      </c>
      <c r="O191" s="86">
        <v>474827</v>
      </c>
      <c r="P191" s="86">
        <v>121395</v>
      </c>
      <c r="Q191" s="86">
        <v>245925</v>
      </c>
      <c r="R191" s="86">
        <v>373676</v>
      </c>
      <c r="S191" s="86">
        <v>503317</v>
      </c>
      <c r="T191" s="86">
        <v>130119</v>
      </c>
      <c r="U191" s="86">
        <v>262141</v>
      </c>
      <c r="V191" s="86">
        <v>397579</v>
      </c>
      <c r="W191" s="86">
        <v>535020</v>
      </c>
      <c r="X191" s="86">
        <v>136421</v>
      </c>
      <c r="Y191" s="86">
        <v>136421</v>
      </c>
      <c r="Z191" s="86">
        <v>136421</v>
      </c>
      <c r="AA191" s="86">
        <v>136421</v>
      </c>
      <c r="AB191" s="86">
        <v>0</v>
      </c>
      <c r="AC191" s="86">
        <v>0</v>
      </c>
      <c r="AD191" s="86">
        <v>0</v>
      </c>
      <c r="AE191" s="86">
        <v>0</v>
      </c>
      <c r="AF191" s="86">
        <v>26499665</v>
      </c>
      <c r="AG191" s="86">
        <v>607170484</v>
      </c>
      <c r="AH191" s="86">
        <v>607170484</v>
      </c>
    </row>
    <row r="192" spans="2:34">
      <c r="B192" s="42" t="s">
        <v>1050</v>
      </c>
      <c r="C192" s="42" t="s">
        <v>1050</v>
      </c>
      <c r="D192" s="86">
        <v>168032322</v>
      </c>
      <c r="E192" s="86">
        <v>247217160</v>
      </c>
      <c r="F192" s="86"/>
      <c r="G192" s="86">
        <v>330279081</v>
      </c>
      <c r="H192" s="86">
        <v>472747494</v>
      </c>
      <c r="I192" s="86">
        <v>112107623</v>
      </c>
      <c r="J192" s="86">
        <v>112107623</v>
      </c>
      <c r="K192" s="86">
        <v>666635986</v>
      </c>
      <c r="L192" s="86">
        <v>149885650</v>
      </c>
      <c r="M192" s="86">
        <v>200386285</v>
      </c>
      <c r="N192" s="86">
        <v>294605586</v>
      </c>
      <c r="O192" s="86">
        <v>370255289</v>
      </c>
      <c r="P192" s="86">
        <v>311340408</v>
      </c>
      <c r="Q192" s="86">
        <v>430462236</v>
      </c>
      <c r="R192" s="86">
        <v>518618969</v>
      </c>
      <c r="S192" s="86">
        <v>626167399</v>
      </c>
      <c r="T192" s="86">
        <v>553880173</v>
      </c>
      <c r="U192" s="86">
        <v>651821189</v>
      </c>
      <c r="V192" s="86">
        <v>651821189</v>
      </c>
      <c r="W192" s="86">
        <v>2485097010</v>
      </c>
      <c r="X192" s="86">
        <v>361923959</v>
      </c>
      <c r="Y192" s="86">
        <v>670583390</v>
      </c>
      <c r="Z192" s="86">
        <v>670583390</v>
      </c>
      <c r="AA192" s="86">
        <v>777819064</v>
      </c>
      <c r="AB192" s="86">
        <v>0</v>
      </c>
      <c r="AC192" s="86">
        <v>58805990</v>
      </c>
      <c r="AD192" s="86">
        <v>58805990</v>
      </c>
      <c r="AE192" s="86">
        <v>215900554</v>
      </c>
      <c r="AF192" s="86">
        <v>31329958</v>
      </c>
      <c r="AG192" s="86">
        <v>195615327</v>
      </c>
      <c r="AH192" s="86">
        <v>319339697</v>
      </c>
    </row>
    <row r="193" spans="1:34">
      <c r="B193" s="42" t="s">
        <v>1051</v>
      </c>
      <c r="C193" s="42" t="s">
        <v>1051</v>
      </c>
      <c r="D193" s="86">
        <v>0</v>
      </c>
      <c r="E193" s="86">
        <v>0</v>
      </c>
      <c r="F193" s="86"/>
      <c r="G193" s="86">
        <v>0</v>
      </c>
      <c r="H193" s="86">
        <v>0</v>
      </c>
      <c r="I193" s="86">
        <v>0</v>
      </c>
      <c r="J193" s="86">
        <v>0</v>
      </c>
      <c r="K193" s="86">
        <v>0</v>
      </c>
      <c r="L193" s="86">
        <v>0</v>
      </c>
      <c r="M193" s="86">
        <v>0</v>
      </c>
      <c r="N193" s="86">
        <v>0</v>
      </c>
      <c r="O193" s="86">
        <v>0</v>
      </c>
      <c r="P193" s="86">
        <v>0</v>
      </c>
      <c r="Q193" s="86">
        <v>0</v>
      </c>
      <c r="R193" s="86">
        <v>0</v>
      </c>
      <c r="S193" s="86">
        <v>0</v>
      </c>
      <c r="T193" s="86">
        <v>0</v>
      </c>
      <c r="U193" s="86">
        <v>0</v>
      </c>
      <c r="V193" s="86">
        <v>0</v>
      </c>
      <c r="W193" s="86">
        <v>0</v>
      </c>
      <c r="X193" s="86">
        <v>0</v>
      </c>
      <c r="Y193" s="86">
        <v>0</v>
      </c>
      <c r="Z193" s="86">
        <v>0</v>
      </c>
      <c r="AA193" s="86">
        <v>0</v>
      </c>
      <c r="AB193" s="86">
        <v>0</v>
      </c>
      <c r="AC193" s="86">
        <v>0</v>
      </c>
      <c r="AD193" s="86">
        <v>0</v>
      </c>
      <c r="AE193" s="86">
        <v>0</v>
      </c>
      <c r="AF193" s="86">
        <v>0</v>
      </c>
      <c r="AG193" s="86">
        <v>0</v>
      </c>
      <c r="AH193" s="86">
        <v>0</v>
      </c>
    </row>
    <row r="194" spans="1:34">
      <c r="B194" s="42" t="s">
        <v>932</v>
      </c>
      <c r="C194" s="42" t="s">
        <v>932</v>
      </c>
      <c r="D194" s="86">
        <v>0</v>
      </c>
      <c r="E194" s="86">
        <v>0</v>
      </c>
      <c r="F194" s="86"/>
      <c r="G194" s="86">
        <v>0</v>
      </c>
      <c r="H194" s="86">
        <v>0</v>
      </c>
      <c r="I194" s="86">
        <v>0</v>
      </c>
      <c r="J194" s="86">
        <v>0</v>
      </c>
      <c r="K194" s="86">
        <v>0</v>
      </c>
      <c r="L194" s="86">
        <v>0</v>
      </c>
      <c r="M194" s="86">
        <v>0</v>
      </c>
      <c r="N194" s="86">
        <v>0</v>
      </c>
      <c r="O194" s="86">
        <v>0</v>
      </c>
      <c r="P194" s="86">
        <v>0</v>
      </c>
      <c r="Q194" s="86">
        <v>0</v>
      </c>
      <c r="R194" s="86">
        <v>0</v>
      </c>
      <c r="S194" s="86">
        <v>0</v>
      </c>
      <c r="T194" s="86">
        <v>0</v>
      </c>
      <c r="U194" s="86">
        <v>0</v>
      </c>
      <c r="V194" s="86">
        <v>0</v>
      </c>
      <c r="W194" s="86">
        <v>0</v>
      </c>
      <c r="X194" s="86">
        <v>0</v>
      </c>
      <c r="Y194" s="86">
        <v>0</v>
      </c>
      <c r="Z194" s="86">
        <v>0</v>
      </c>
      <c r="AA194" s="86">
        <v>0</v>
      </c>
      <c r="AB194" s="86">
        <v>8453483</v>
      </c>
      <c r="AC194" s="86">
        <v>8453483</v>
      </c>
      <c r="AD194" s="86">
        <v>8453483</v>
      </c>
      <c r="AE194" s="86">
        <v>8453483</v>
      </c>
      <c r="AF194" s="86">
        <v>487438971</v>
      </c>
      <c r="AG194" s="86">
        <v>26415278</v>
      </c>
      <c r="AH194" s="86">
        <v>26415278</v>
      </c>
    </row>
    <row r="195" spans="1:34">
      <c r="B195" s="41" t="s">
        <v>1052</v>
      </c>
      <c r="C195" s="41" t="s">
        <v>1052</v>
      </c>
      <c r="D195" s="86">
        <v>0</v>
      </c>
      <c r="E195" s="86">
        <v>0</v>
      </c>
      <c r="F195" s="86"/>
      <c r="G195" s="86">
        <v>0</v>
      </c>
      <c r="H195" s="86">
        <v>0</v>
      </c>
      <c r="I195" s="86">
        <v>15027541</v>
      </c>
      <c r="J195" s="86">
        <v>17046223</v>
      </c>
      <c r="K195" s="86">
        <v>17047441</v>
      </c>
      <c r="L195" s="86">
        <v>1785956</v>
      </c>
      <c r="M195" s="86">
        <v>1785956</v>
      </c>
      <c r="N195" s="86">
        <v>716605225</v>
      </c>
      <c r="O195" s="86">
        <v>2577804420</v>
      </c>
      <c r="P195" s="86">
        <v>0</v>
      </c>
      <c r="Q195" s="86">
        <v>0</v>
      </c>
      <c r="R195" s="86">
        <v>0</v>
      </c>
      <c r="S195" s="86">
        <v>0</v>
      </c>
      <c r="T195" s="86">
        <v>0</v>
      </c>
      <c r="U195" s="86">
        <v>0</v>
      </c>
      <c r="V195" s="86">
        <v>38961520</v>
      </c>
      <c r="W195" s="86">
        <v>89316237</v>
      </c>
      <c r="X195" s="86">
        <v>21172168</v>
      </c>
      <c r="Y195" s="86">
        <v>21172168</v>
      </c>
      <c r="Z195" s="86">
        <v>565753625</v>
      </c>
      <c r="AA195" s="86">
        <v>565753625</v>
      </c>
      <c r="AB195" s="86">
        <v>0</v>
      </c>
      <c r="AC195" s="86">
        <v>0</v>
      </c>
      <c r="AD195" s="86">
        <v>63391555</v>
      </c>
      <c r="AE195" s="86">
        <v>0</v>
      </c>
      <c r="AF195" s="86">
        <v>103005711</v>
      </c>
      <c r="AG195" s="86">
        <v>103005711</v>
      </c>
      <c r="AH195" s="86">
        <v>103005711</v>
      </c>
    </row>
    <row r="196" spans="1:34" s="56" customFormat="1">
      <c r="A196" s="46"/>
      <c r="B196" s="41" t="s">
        <v>1053</v>
      </c>
      <c r="C196" s="41" t="s">
        <v>1053</v>
      </c>
      <c r="D196" s="86">
        <v>0</v>
      </c>
      <c r="E196" s="86">
        <v>0</v>
      </c>
      <c r="F196" s="86"/>
      <c r="G196" s="86">
        <v>0</v>
      </c>
      <c r="H196" s="86">
        <v>0</v>
      </c>
      <c r="I196" s="86">
        <v>0</v>
      </c>
      <c r="J196" s="86">
        <v>0</v>
      </c>
      <c r="K196" s="86">
        <v>0</v>
      </c>
      <c r="L196" s="86">
        <v>0</v>
      </c>
      <c r="M196" s="86">
        <v>0</v>
      </c>
      <c r="N196" s="86">
        <v>0</v>
      </c>
      <c r="O196" s="86">
        <v>0</v>
      </c>
      <c r="P196" s="86">
        <v>0</v>
      </c>
      <c r="Q196" s="86">
        <v>0</v>
      </c>
      <c r="R196" s="86">
        <v>0</v>
      </c>
      <c r="S196" s="86">
        <v>0</v>
      </c>
      <c r="T196" s="86">
        <v>0</v>
      </c>
      <c r="U196" s="86">
        <v>0</v>
      </c>
      <c r="V196" s="86">
        <v>0</v>
      </c>
      <c r="W196" s="86">
        <v>0</v>
      </c>
      <c r="X196" s="86">
        <v>0</v>
      </c>
      <c r="Y196" s="86">
        <v>0</v>
      </c>
      <c r="Z196" s="86">
        <v>0</v>
      </c>
      <c r="AA196" s="86">
        <v>0</v>
      </c>
      <c r="AB196" s="86">
        <v>9009315471</v>
      </c>
      <c r="AC196" s="86">
        <v>15784602004</v>
      </c>
      <c r="AD196" s="86">
        <v>21082061440</v>
      </c>
      <c r="AE196" s="86">
        <v>29680541339</v>
      </c>
      <c r="AF196" s="86">
        <v>10387014620</v>
      </c>
      <c r="AG196" s="86">
        <v>15916639016</v>
      </c>
      <c r="AH196" s="86">
        <v>15950412146</v>
      </c>
    </row>
    <row r="197" spans="1:34">
      <c r="B197" s="41" t="s">
        <v>1054</v>
      </c>
      <c r="C197" s="41" t="s">
        <v>1054</v>
      </c>
      <c r="D197" s="86">
        <v>154212834</v>
      </c>
      <c r="E197" s="86">
        <v>279784617</v>
      </c>
      <c r="F197" s="86"/>
      <c r="G197" s="86">
        <v>386054229</v>
      </c>
      <c r="H197" s="86">
        <v>385887122</v>
      </c>
      <c r="I197" s="86">
        <v>0</v>
      </c>
      <c r="J197" s="86">
        <v>0</v>
      </c>
      <c r="K197" s="86">
        <v>114227711</v>
      </c>
      <c r="L197" s="86">
        <v>115727817</v>
      </c>
      <c r="M197" s="86">
        <v>0</v>
      </c>
      <c r="N197" s="86">
        <v>4242959</v>
      </c>
      <c r="O197" s="86">
        <v>322569992</v>
      </c>
      <c r="P197" s="86">
        <v>0</v>
      </c>
      <c r="Q197" s="86">
        <v>0</v>
      </c>
      <c r="R197" s="86">
        <v>0</v>
      </c>
      <c r="S197" s="86">
        <v>0</v>
      </c>
      <c r="T197" s="86">
        <v>464888606</v>
      </c>
      <c r="U197" s="86">
        <v>520716461</v>
      </c>
      <c r="V197" s="86">
        <v>280054344</v>
      </c>
      <c r="W197" s="86">
        <v>1557974234</v>
      </c>
      <c r="X197" s="86">
        <v>0</v>
      </c>
      <c r="Y197" s="86">
        <v>3311444264</v>
      </c>
      <c r="Z197" s="86">
        <v>307856705</v>
      </c>
      <c r="AA197" s="86">
        <v>10960000056</v>
      </c>
      <c r="AB197" s="86">
        <v>0</v>
      </c>
      <c r="AC197" s="86">
        <v>0</v>
      </c>
      <c r="AD197" s="86">
        <v>586883547</v>
      </c>
      <c r="AE197" s="86">
        <v>5911548683</v>
      </c>
      <c r="AF197" s="86">
        <v>4065194941</v>
      </c>
      <c r="AG197" s="86">
        <v>18323563004</v>
      </c>
      <c r="AH197" s="86">
        <v>18353543721</v>
      </c>
    </row>
    <row r="198" spans="1:34" s="56" customFormat="1">
      <c r="A198" s="46"/>
      <c r="B198" s="41" t="s">
        <v>1055</v>
      </c>
      <c r="C198" s="41" t="s">
        <v>1055</v>
      </c>
      <c r="D198" s="86">
        <v>33109503337</v>
      </c>
      <c r="E198" s="86">
        <v>7916464743</v>
      </c>
      <c r="F198" s="86"/>
      <c r="G198" s="86">
        <v>34960799224</v>
      </c>
      <c r="H198" s="86">
        <v>55423600805</v>
      </c>
      <c r="I198" s="86">
        <v>20728173462</v>
      </c>
      <c r="J198" s="86">
        <v>48829630835</v>
      </c>
      <c r="K198" s="86">
        <v>86369227001</v>
      </c>
      <c r="L198" s="86">
        <v>13916799083</v>
      </c>
      <c r="M198" s="86">
        <v>37753157759</v>
      </c>
      <c r="N198" s="86">
        <v>73346273383</v>
      </c>
      <c r="O198" s="86">
        <v>105950159590</v>
      </c>
      <c r="P198" s="86">
        <v>37267965026</v>
      </c>
      <c r="Q198" s="86">
        <v>92523554652</v>
      </c>
      <c r="R198" s="86">
        <v>123614691682</v>
      </c>
      <c r="S198" s="86">
        <v>136685098483</v>
      </c>
      <c r="T198" s="86">
        <v>21834014859</v>
      </c>
      <c r="U198" s="86">
        <v>40362605369</v>
      </c>
      <c r="V198" s="86">
        <v>76846786919</v>
      </c>
      <c r="W198" s="86">
        <v>118419609880</v>
      </c>
      <c r="X198" s="86">
        <v>39949228336</v>
      </c>
      <c r="Y198" s="86">
        <v>96127415745</v>
      </c>
      <c r="Z198" s="86">
        <v>136521942506</v>
      </c>
      <c r="AA198" s="86">
        <v>174980255583</v>
      </c>
      <c r="AB198" s="86">
        <v>61464820154</v>
      </c>
      <c r="AC198" s="86">
        <v>107905239082</v>
      </c>
      <c r="AD198" s="86">
        <v>125575474260</v>
      </c>
      <c r="AE198" s="86">
        <v>148760958780</v>
      </c>
      <c r="AF198" s="86">
        <v>27686231556</v>
      </c>
      <c r="AG198" s="86">
        <v>85464084170</v>
      </c>
      <c r="AH198" s="86">
        <v>141582168317</v>
      </c>
    </row>
    <row r="199" spans="1:34">
      <c r="B199" s="41" t="s">
        <v>1056</v>
      </c>
      <c r="C199" s="41" t="s">
        <v>1056</v>
      </c>
      <c r="D199" s="86">
        <v>0</v>
      </c>
      <c r="E199" s="86">
        <v>0</v>
      </c>
      <c r="F199" s="86"/>
      <c r="G199" s="86">
        <v>0</v>
      </c>
      <c r="H199" s="86">
        <v>0</v>
      </c>
      <c r="I199" s="86">
        <v>0</v>
      </c>
      <c r="J199" s="86">
        <v>0</v>
      </c>
      <c r="K199" s="86">
        <v>0</v>
      </c>
      <c r="L199" s="86">
        <v>0</v>
      </c>
      <c r="M199" s="86">
        <v>0</v>
      </c>
      <c r="N199" s="86">
        <v>0</v>
      </c>
      <c r="O199" s="86">
        <v>0</v>
      </c>
      <c r="P199" s="86">
        <v>0</v>
      </c>
      <c r="Q199" s="86">
        <v>0</v>
      </c>
      <c r="R199" s="86">
        <v>0</v>
      </c>
      <c r="S199" s="86">
        <v>0</v>
      </c>
      <c r="T199" s="86">
        <v>0</v>
      </c>
      <c r="U199" s="86">
        <v>0</v>
      </c>
      <c r="V199" s="86">
        <v>0</v>
      </c>
      <c r="W199" s="86">
        <v>0</v>
      </c>
      <c r="X199" s="86">
        <v>0</v>
      </c>
      <c r="Y199" s="86">
        <v>0</v>
      </c>
      <c r="Z199" s="86">
        <v>0</v>
      </c>
      <c r="AA199" s="86">
        <v>0</v>
      </c>
      <c r="AB199" s="86">
        <v>0</v>
      </c>
      <c r="AC199" s="86">
        <v>0</v>
      </c>
      <c r="AD199" s="86">
        <v>0</v>
      </c>
      <c r="AE199" s="86">
        <v>0</v>
      </c>
      <c r="AF199" s="86">
        <v>0</v>
      </c>
      <c r="AG199" s="86">
        <v>0</v>
      </c>
      <c r="AH199" s="86">
        <v>0</v>
      </c>
    </row>
    <row r="200" spans="1:34">
      <c r="B200" s="41" t="s">
        <v>950</v>
      </c>
      <c r="C200" s="41" t="s">
        <v>950</v>
      </c>
      <c r="D200" s="86">
        <v>44871506</v>
      </c>
      <c r="E200" s="86">
        <v>0</v>
      </c>
      <c r="F200" s="86"/>
      <c r="G200" s="86">
        <v>43221659</v>
      </c>
      <c r="H200" s="86">
        <v>48977231</v>
      </c>
      <c r="I200" s="86">
        <v>3050380</v>
      </c>
      <c r="J200" s="86">
        <v>8886142</v>
      </c>
      <c r="K200" s="86">
        <v>19176560</v>
      </c>
      <c r="L200" s="86">
        <v>8018250</v>
      </c>
      <c r="M200" s="86">
        <v>21649994</v>
      </c>
      <c r="N200" s="86">
        <v>25469331</v>
      </c>
      <c r="O200" s="86">
        <v>38981991</v>
      </c>
      <c r="P200" s="86">
        <v>5420625</v>
      </c>
      <c r="Q200" s="86">
        <v>5420627</v>
      </c>
      <c r="R200" s="86">
        <v>5420627</v>
      </c>
      <c r="S200" s="86">
        <v>6851379</v>
      </c>
      <c r="T200" s="86">
        <v>24148567</v>
      </c>
      <c r="U200" s="86">
        <v>38746358</v>
      </c>
      <c r="V200" s="86">
        <v>45149760</v>
      </c>
      <c r="W200" s="86">
        <v>61336660</v>
      </c>
      <c r="X200" s="86">
        <v>25030353</v>
      </c>
      <c r="Y200" s="86">
        <v>141062588</v>
      </c>
      <c r="Z200" s="86">
        <v>293748531</v>
      </c>
      <c r="AA200" s="86">
        <v>502481689</v>
      </c>
      <c r="AB200" s="86">
        <v>613298122</v>
      </c>
      <c r="AC200" s="86">
        <v>1760291437</v>
      </c>
      <c r="AD200" s="86">
        <v>3899589370</v>
      </c>
      <c r="AE200" s="86">
        <v>6556760709</v>
      </c>
      <c r="AF200" s="86">
        <v>2745082722</v>
      </c>
      <c r="AG200" s="86">
        <v>5723514575</v>
      </c>
      <c r="AH200" s="86">
        <v>9005584326</v>
      </c>
    </row>
    <row r="201" spans="1:34">
      <c r="B201" s="40" t="s">
        <v>1057</v>
      </c>
      <c r="C201" s="1283" t="s">
        <v>2294</v>
      </c>
      <c r="D201" s="87">
        <v>0</v>
      </c>
      <c r="E201" s="87">
        <v>0</v>
      </c>
      <c r="F201" s="87"/>
      <c r="G201" s="87">
        <v>0</v>
      </c>
      <c r="H201" s="87">
        <v>0</v>
      </c>
      <c r="I201" s="87">
        <v>0</v>
      </c>
      <c r="J201" s="87">
        <v>0</v>
      </c>
      <c r="K201" s="87">
        <v>0</v>
      </c>
      <c r="L201" s="87">
        <v>0</v>
      </c>
      <c r="M201" s="87">
        <v>0</v>
      </c>
      <c r="N201" s="87">
        <v>0</v>
      </c>
      <c r="O201" s="87">
        <v>0</v>
      </c>
      <c r="P201" s="87">
        <v>0</v>
      </c>
      <c r="Q201" s="87">
        <v>0</v>
      </c>
      <c r="R201" s="87">
        <v>0</v>
      </c>
      <c r="S201" s="87">
        <v>0</v>
      </c>
      <c r="T201" s="87">
        <v>0</v>
      </c>
      <c r="U201" s="87">
        <v>0</v>
      </c>
      <c r="V201" s="87">
        <v>0</v>
      </c>
      <c r="W201" s="87">
        <v>0</v>
      </c>
      <c r="X201" s="87">
        <v>0</v>
      </c>
      <c r="Y201" s="87">
        <v>0</v>
      </c>
      <c r="Z201" s="87">
        <v>0</v>
      </c>
      <c r="AA201" s="87">
        <v>0</v>
      </c>
      <c r="AB201" s="87">
        <v>0</v>
      </c>
      <c r="AC201" s="87">
        <v>0</v>
      </c>
      <c r="AD201" s="87">
        <v>0</v>
      </c>
      <c r="AE201" s="87">
        <v>0</v>
      </c>
      <c r="AF201" s="87">
        <v>0</v>
      </c>
      <c r="AG201" s="87">
        <v>0</v>
      </c>
      <c r="AH201" s="87">
        <v>0</v>
      </c>
    </row>
    <row r="202" spans="1:34">
      <c r="B202" s="41" t="s">
        <v>1058</v>
      </c>
      <c r="C202" s="41" t="s">
        <v>1058</v>
      </c>
      <c r="D202" s="86">
        <v>0</v>
      </c>
      <c r="E202" s="86">
        <v>0</v>
      </c>
      <c r="F202" s="86"/>
      <c r="G202" s="86">
        <v>0</v>
      </c>
      <c r="H202" s="86">
        <v>0</v>
      </c>
      <c r="I202" s="86">
        <v>0</v>
      </c>
      <c r="J202" s="86">
        <v>0</v>
      </c>
      <c r="K202" s="86">
        <v>0</v>
      </c>
      <c r="L202" s="86">
        <v>0</v>
      </c>
      <c r="M202" s="86">
        <v>0</v>
      </c>
      <c r="N202" s="86">
        <v>0</v>
      </c>
      <c r="O202" s="86">
        <v>0</v>
      </c>
      <c r="P202" s="86">
        <v>0</v>
      </c>
      <c r="Q202" s="86">
        <v>0</v>
      </c>
      <c r="R202" s="86">
        <v>0</v>
      </c>
      <c r="S202" s="86">
        <v>0</v>
      </c>
      <c r="T202" s="86">
        <v>0</v>
      </c>
      <c r="U202" s="86">
        <v>0</v>
      </c>
      <c r="V202" s="86">
        <v>0</v>
      </c>
      <c r="W202" s="86">
        <v>0</v>
      </c>
      <c r="X202" s="86">
        <v>0</v>
      </c>
      <c r="Y202" s="86">
        <v>0</v>
      </c>
      <c r="Z202" s="86">
        <v>0</v>
      </c>
      <c r="AA202" s="86">
        <v>0</v>
      </c>
      <c r="AB202" s="86">
        <v>0</v>
      </c>
      <c r="AC202" s="86">
        <v>0</v>
      </c>
      <c r="AD202" s="86">
        <v>0</v>
      </c>
      <c r="AE202" s="86">
        <v>0</v>
      </c>
      <c r="AF202" s="86">
        <v>0</v>
      </c>
      <c r="AG202" s="86">
        <v>0</v>
      </c>
      <c r="AH202" s="86">
        <v>0</v>
      </c>
    </row>
    <row r="203" spans="1:34">
      <c r="B203" s="42" t="s">
        <v>1059</v>
      </c>
      <c r="C203" s="42" t="s">
        <v>1059</v>
      </c>
      <c r="D203" s="86">
        <v>0</v>
      </c>
      <c r="E203" s="86">
        <v>0</v>
      </c>
      <c r="F203" s="86"/>
      <c r="G203" s="86">
        <v>0</v>
      </c>
      <c r="H203" s="86">
        <v>0</v>
      </c>
      <c r="I203" s="86">
        <v>0</v>
      </c>
      <c r="J203" s="86">
        <v>0</v>
      </c>
      <c r="K203" s="86">
        <v>0</v>
      </c>
      <c r="L203" s="86">
        <v>0</v>
      </c>
      <c r="M203" s="86">
        <v>0</v>
      </c>
      <c r="N203" s="86">
        <v>0</v>
      </c>
      <c r="O203" s="86">
        <v>0</v>
      </c>
      <c r="P203" s="86">
        <v>0</v>
      </c>
      <c r="Q203" s="86">
        <v>0</v>
      </c>
      <c r="R203" s="86">
        <v>0</v>
      </c>
      <c r="S203" s="86">
        <v>0</v>
      </c>
      <c r="T203" s="86">
        <v>0</v>
      </c>
      <c r="U203" s="86">
        <v>0</v>
      </c>
      <c r="V203" s="86">
        <v>0</v>
      </c>
      <c r="W203" s="86">
        <v>0</v>
      </c>
      <c r="X203" s="86">
        <v>0</v>
      </c>
      <c r="Y203" s="86">
        <v>0</v>
      </c>
      <c r="Z203" s="86">
        <v>0</v>
      </c>
      <c r="AA203" s="86">
        <v>0</v>
      </c>
      <c r="AB203" s="86">
        <v>0</v>
      </c>
      <c r="AC203" s="86">
        <v>0</v>
      </c>
      <c r="AD203" s="86">
        <v>0</v>
      </c>
      <c r="AE203" s="86">
        <v>0</v>
      </c>
      <c r="AF203" s="86">
        <v>0</v>
      </c>
      <c r="AG203" s="86">
        <v>0</v>
      </c>
      <c r="AH203" s="86">
        <v>0</v>
      </c>
    </row>
    <row r="204" spans="1:34">
      <c r="B204" s="42" t="s">
        <v>1040</v>
      </c>
      <c r="C204" s="42" t="s">
        <v>1040</v>
      </c>
      <c r="D204" s="86">
        <v>0</v>
      </c>
      <c r="E204" s="86">
        <v>0</v>
      </c>
      <c r="F204" s="86"/>
      <c r="G204" s="86">
        <v>0</v>
      </c>
      <c r="H204" s="86">
        <v>0</v>
      </c>
      <c r="I204" s="86">
        <v>0</v>
      </c>
      <c r="J204" s="86">
        <v>0</v>
      </c>
      <c r="K204" s="86">
        <v>0</v>
      </c>
      <c r="L204" s="86">
        <v>0</v>
      </c>
      <c r="M204" s="86">
        <v>0</v>
      </c>
      <c r="N204" s="86">
        <v>0</v>
      </c>
      <c r="O204" s="86">
        <v>0</v>
      </c>
      <c r="P204" s="86">
        <v>0</v>
      </c>
      <c r="Q204" s="86">
        <v>0</v>
      </c>
      <c r="R204" s="86">
        <v>0</v>
      </c>
      <c r="S204" s="86">
        <v>0</v>
      </c>
      <c r="T204" s="86">
        <v>0</v>
      </c>
      <c r="U204" s="86">
        <v>0</v>
      </c>
      <c r="V204" s="86">
        <v>0</v>
      </c>
      <c r="W204" s="86">
        <v>0</v>
      </c>
      <c r="X204" s="86">
        <v>0</v>
      </c>
      <c r="Y204" s="86">
        <v>0</v>
      </c>
      <c r="Z204" s="86">
        <v>0</v>
      </c>
      <c r="AA204" s="86">
        <v>0</v>
      </c>
      <c r="AB204" s="86">
        <v>0</v>
      </c>
      <c r="AC204" s="86">
        <v>0</v>
      </c>
      <c r="AD204" s="86">
        <v>0</v>
      </c>
      <c r="AE204" s="86">
        <v>0</v>
      </c>
      <c r="AF204" s="86">
        <v>0</v>
      </c>
      <c r="AG204" s="86">
        <v>0</v>
      </c>
      <c r="AH204" s="86">
        <v>0</v>
      </c>
    </row>
    <row r="205" spans="1:34">
      <c r="B205" s="41" t="s">
        <v>1060</v>
      </c>
      <c r="C205" s="41" t="s">
        <v>1060</v>
      </c>
      <c r="D205" s="86">
        <v>0</v>
      </c>
      <c r="E205" s="86">
        <v>0</v>
      </c>
      <c r="F205" s="86"/>
      <c r="G205" s="86">
        <v>0</v>
      </c>
      <c r="H205" s="86">
        <v>0</v>
      </c>
      <c r="I205" s="86">
        <v>0</v>
      </c>
      <c r="J205" s="86">
        <v>0</v>
      </c>
      <c r="K205" s="86">
        <v>0</v>
      </c>
      <c r="L205" s="86">
        <v>0</v>
      </c>
      <c r="M205" s="86">
        <v>0</v>
      </c>
      <c r="N205" s="86">
        <v>0</v>
      </c>
      <c r="O205" s="86">
        <v>0</v>
      </c>
      <c r="P205" s="86">
        <v>0</v>
      </c>
      <c r="Q205" s="86">
        <v>0</v>
      </c>
      <c r="R205" s="86">
        <v>0</v>
      </c>
      <c r="S205" s="86">
        <v>0</v>
      </c>
      <c r="T205" s="86">
        <v>0</v>
      </c>
      <c r="U205" s="86">
        <v>0</v>
      </c>
      <c r="V205" s="86">
        <v>0</v>
      </c>
      <c r="W205" s="86">
        <v>0</v>
      </c>
      <c r="X205" s="86">
        <v>0</v>
      </c>
      <c r="Y205" s="86">
        <v>0</v>
      </c>
      <c r="Z205" s="86">
        <v>0</v>
      </c>
      <c r="AA205" s="86">
        <v>0</v>
      </c>
      <c r="AB205" s="86">
        <v>0</v>
      </c>
      <c r="AC205" s="86">
        <v>0</v>
      </c>
      <c r="AD205" s="86">
        <v>0</v>
      </c>
      <c r="AE205" s="86">
        <v>0</v>
      </c>
      <c r="AF205" s="86">
        <v>0</v>
      </c>
      <c r="AG205" s="86">
        <v>0</v>
      </c>
      <c r="AH205" s="86">
        <v>0</v>
      </c>
    </row>
    <row r="206" spans="1:34">
      <c r="B206" s="42" t="s">
        <v>1061</v>
      </c>
      <c r="C206" s="42" t="s">
        <v>1061</v>
      </c>
      <c r="D206" s="86">
        <v>0</v>
      </c>
      <c r="E206" s="86">
        <v>0</v>
      </c>
      <c r="F206" s="86"/>
      <c r="G206" s="86">
        <v>0</v>
      </c>
      <c r="H206" s="86">
        <v>0</v>
      </c>
      <c r="I206" s="86">
        <v>0</v>
      </c>
      <c r="J206" s="86">
        <v>0</v>
      </c>
      <c r="K206" s="86">
        <v>0</v>
      </c>
      <c r="L206" s="86">
        <v>0</v>
      </c>
      <c r="M206" s="86">
        <v>0</v>
      </c>
      <c r="N206" s="86">
        <v>0</v>
      </c>
      <c r="O206" s="86">
        <v>0</v>
      </c>
      <c r="P206" s="86">
        <v>0</v>
      </c>
      <c r="Q206" s="86">
        <v>0</v>
      </c>
      <c r="R206" s="86">
        <v>0</v>
      </c>
      <c r="S206" s="86">
        <v>0</v>
      </c>
      <c r="T206" s="86">
        <v>0</v>
      </c>
      <c r="U206" s="86">
        <v>0</v>
      </c>
      <c r="V206" s="86">
        <v>0</v>
      </c>
      <c r="W206" s="86">
        <v>0</v>
      </c>
      <c r="X206" s="86">
        <v>0</v>
      </c>
      <c r="Y206" s="86">
        <v>0</v>
      </c>
      <c r="Z206" s="86">
        <v>0</v>
      </c>
      <c r="AA206" s="86">
        <v>0</v>
      </c>
      <c r="AB206" s="86">
        <v>0</v>
      </c>
      <c r="AC206" s="86">
        <v>0</v>
      </c>
      <c r="AD206" s="86">
        <v>0</v>
      </c>
      <c r="AE206" s="86">
        <v>0</v>
      </c>
      <c r="AF206" s="86">
        <v>0</v>
      </c>
      <c r="AG206" s="86">
        <v>0</v>
      </c>
      <c r="AH206" s="86">
        <v>0</v>
      </c>
    </row>
    <row r="207" spans="1:34">
      <c r="B207" s="42" t="s">
        <v>1040</v>
      </c>
      <c r="C207" s="42" t="s">
        <v>1040</v>
      </c>
      <c r="D207" s="86">
        <v>0</v>
      </c>
      <c r="E207" s="86">
        <v>0</v>
      </c>
      <c r="F207" s="86"/>
      <c r="G207" s="86">
        <v>0</v>
      </c>
      <c r="H207" s="86">
        <v>0</v>
      </c>
      <c r="I207" s="86">
        <v>0</v>
      </c>
      <c r="J207" s="86">
        <v>0</v>
      </c>
      <c r="K207" s="86">
        <v>0</v>
      </c>
      <c r="L207" s="86">
        <v>0</v>
      </c>
      <c r="M207" s="86">
        <v>0</v>
      </c>
      <c r="N207" s="86">
        <v>0</v>
      </c>
      <c r="O207" s="86">
        <v>0</v>
      </c>
      <c r="P207" s="86">
        <v>0</v>
      </c>
      <c r="Q207" s="86">
        <v>0</v>
      </c>
      <c r="R207" s="86">
        <v>0</v>
      </c>
      <c r="S207" s="86">
        <v>0</v>
      </c>
      <c r="T207" s="86">
        <v>0</v>
      </c>
      <c r="U207" s="86">
        <v>0</v>
      </c>
      <c r="V207" s="86">
        <v>0</v>
      </c>
      <c r="W207" s="86">
        <v>0</v>
      </c>
      <c r="X207" s="86">
        <v>0</v>
      </c>
      <c r="Y207" s="86">
        <v>0</v>
      </c>
      <c r="Z207" s="86">
        <v>0</v>
      </c>
      <c r="AA207" s="86">
        <v>0</v>
      </c>
      <c r="AB207" s="86">
        <v>0</v>
      </c>
      <c r="AC207" s="86">
        <v>0</v>
      </c>
      <c r="AD207" s="86">
        <v>0</v>
      </c>
      <c r="AE207" s="86">
        <v>0</v>
      </c>
      <c r="AF207" s="86">
        <v>0</v>
      </c>
      <c r="AG207" s="86">
        <v>0</v>
      </c>
      <c r="AH207" s="86">
        <v>0</v>
      </c>
    </row>
    <row r="208" spans="1:34">
      <c r="B208" s="41" t="s">
        <v>1062</v>
      </c>
      <c r="C208" s="41" t="s">
        <v>1062</v>
      </c>
      <c r="D208" s="86">
        <v>0</v>
      </c>
      <c r="E208" s="86">
        <v>0</v>
      </c>
      <c r="F208" s="86"/>
      <c r="G208" s="86">
        <v>0</v>
      </c>
      <c r="H208" s="86">
        <v>0</v>
      </c>
      <c r="I208" s="86">
        <v>0</v>
      </c>
      <c r="J208" s="86">
        <v>0</v>
      </c>
      <c r="K208" s="86">
        <v>0</v>
      </c>
      <c r="L208" s="86">
        <v>0</v>
      </c>
      <c r="M208" s="86">
        <v>0</v>
      </c>
      <c r="N208" s="86">
        <v>0</v>
      </c>
      <c r="O208" s="86">
        <v>0</v>
      </c>
      <c r="P208" s="86">
        <v>0</v>
      </c>
      <c r="Q208" s="86">
        <v>0</v>
      </c>
      <c r="R208" s="86">
        <v>0</v>
      </c>
      <c r="S208" s="86">
        <v>0</v>
      </c>
      <c r="T208" s="86">
        <v>0</v>
      </c>
      <c r="U208" s="86">
        <v>0</v>
      </c>
      <c r="V208" s="86">
        <v>0</v>
      </c>
      <c r="W208" s="86">
        <v>0</v>
      </c>
      <c r="X208" s="86">
        <v>0</v>
      </c>
      <c r="Y208" s="86">
        <v>0</v>
      </c>
      <c r="Z208" s="86">
        <v>0</v>
      </c>
      <c r="AA208" s="86">
        <v>0</v>
      </c>
      <c r="AB208" s="86">
        <v>0</v>
      </c>
      <c r="AC208" s="86">
        <v>0</v>
      </c>
      <c r="AD208" s="86">
        <v>0</v>
      </c>
      <c r="AE208" s="86">
        <v>0</v>
      </c>
      <c r="AF208" s="86">
        <v>0</v>
      </c>
      <c r="AG208" s="86">
        <v>0</v>
      </c>
      <c r="AH208" s="86">
        <v>0</v>
      </c>
    </row>
    <row r="209" spans="2:34">
      <c r="B209" s="42" t="s">
        <v>1063</v>
      </c>
      <c r="C209" s="42" t="s">
        <v>1063</v>
      </c>
      <c r="D209" s="86">
        <v>0</v>
      </c>
      <c r="E209" s="86">
        <v>0</v>
      </c>
      <c r="F209" s="86"/>
      <c r="G209" s="86">
        <v>0</v>
      </c>
      <c r="H209" s="86">
        <v>0</v>
      </c>
      <c r="I209" s="86">
        <v>0</v>
      </c>
      <c r="J209" s="86">
        <v>0</v>
      </c>
      <c r="K209" s="86">
        <v>0</v>
      </c>
      <c r="L209" s="86">
        <v>0</v>
      </c>
      <c r="M209" s="86">
        <v>0</v>
      </c>
      <c r="N209" s="86">
        <v>0</v>
      </c>
      <c r="O209" s="86">
        <v>0</v>
      </c>
      <c r="P209" s="86">
        <v>0</v>
      </c>
      <c r="Q209" s="86">
        <v>0</v>
      </c>
      <c r="R209" s="86">
        <v>0</v>
      </c>
      <c r="S209" s="86">
        <v>0</v>
      </c>
      <c r="T209" s="86">
        <v>0</v>
      </c>
      <c r="U209" s="86">
        <v>0</v>
      </c>
      <c r="V209" s="86">
        <v>0</v>
      </c>
      <c r="W209" s="86">
        <v>0</v>
      </c>
      <c r="X209" s="86">
        <v>0</v>
      </c>
      <c r="Y209" s="86">
        <v>0</v>
      </c>
      <c r="Z209" s="86">
        <v>0</v>
      </c>
      <c r="AA209" s="86">
        <v>0</v>
      </c>
      <c r="AB209" s="86">
        <v>0</v>
      </c>
      <c r="AC209" s="86">
        <v>0</v>
      </c>
      <c r="AD209" s="86">
        <v>0</v>
      </c>
      <c r="AE209" s="86">
        <v>0</v>
      </c>
      <c r="AF209" s="86">
        <v>0</v>
      </c>
      <c r="AG209" s="86">
        <v>0</v>
      </c>
      <c r="AH209" s="86">
        <v>0</v>
      </c>
    </row>
    <row r="210" spans="2:34">
      <c r="B210" s="42" t="s">
        <v>1064</v>
      </c>
      <c r="C210" s="42" t="s">
        <v>1064</v>
      </c>
      <c r="D210" s="86">
        <v>0</v>
      </c>
      <c r="E210" s="86">
        <v>0</v>
      </c>
      <c r="F210" s="86"/>
      <c r="G210" s="86">
        <v>0</v>
      </c>
      <c r="H210" s="86">
        <v>0</v>
      </c>
      <c r="I210" s="86">
        <v>0</v>
      </c>
      <c r="J210" s="86">
        <v>0</v>
      </c>
      <c r="K210" s="86">
        <v>0</v>
      </c>
      <c r="L210" s="86">
        <v>0</v>
      </c>
      <c r="M210" s="86">
        <v>0</v>
      </c>
      <c r="N210" s="86">
        <v>0</v>
      </c>
      <c r="O210" s="86">
        <v>0</v>
      </c>
      <c r="P210" s="86">
        <v>0</v>
      </c>
      <c r="Q210" s="86">
        <v>0</v>
      </c>
      <c r="R210" s="86">
        <v>0</v>
      </c>
      <c r="S210" s="86">
        <v>0</v>
      </c>
      <c r="T210" s="86">
        <v>0</v>
      </c>
      <c r="U210" s="86">
        <v>0</v>
      </c>
      <c r="V210" s="86">
        <v>0</v>
      </c>
      <c r="W210" s="86">
        <v>0</v>
      </c>
      <c r="X210" s="86">
        <v>0</v>
      </c>
      <c r="Y210" s="86">
        <v>0</v>
      </c>
      <c r="Z210" s="86">
        <v>0</v>
      </c>
      <c r="AA210" s="86">
        <v>0</v>
      </c>
      <c r="AB210" s="86">
        <v>0</v>
      </c>
      <c r="AC210" s="86">
        <v>0</v>
      </c>
      <c r="AD210" s="86">
        <v>0</v>
      </c>
      <c r="AE210" s="86">
        <v>0</v>
      </c>
      <c r="AF210" s="86">
        <v>0</v>
      </c>
      <c r="AG210" s="86">
        <v>0</v>
      </c>
      <c r="AH210" s="86">
        <v>0</v>
      </c>
    </row>
    <row r="211" spans="2:34">
      <c r="B211" s="42" t="s">
        <v>923</v>
      </c>
      <c r="C211" s="42" t="s">
        <v>923</v>
      </c>
      <c r="D211" s="86">
        <v>0</v>
      </c>
      <c r="E211" s="86">
        <v>0</v>
      </c>
      <c r="F211" s="86"/>
      <c r="G211" s="86">
        <v>0</v>
      </c>
      <c r="H211" s="86">
        <v>0</v>
      </c>
      <c r="I211" s="86">
        <v>0</v>
      </c>
      <c r="J211" s="86">
        <v>0</v>
      </c>
      <c r="K211" s="86">
        <v>0</v>
      </c>
      <c r="L211" s="86">
        <v>0</v>
      </c>
      <c r="M211" s="86">
        <v>0</v>
      </c>
      <c r="N211" s="86">
        <v>0</v>
      </c>
      <c r="O211" s="86">
        <v>0</v>
      </c>
      <c r="P211" s="86">
        <v>0</v>
      </c>
      <c r="Q211" s="86">
        <v>0</v>
      </c>
      <c r="R211" s="86">
        <v>0</v>
      </c>
      <c r="S211" s="86">
        <v>0</v>
      </c>
      <c r="T211" s="86">
        <v>0</v>
      </c>
      <c r="U211" s="86">
        <v>0</v>
      </c>
      <c r="V211" s="86">
        <v>0</v>
      </c>
      <c r="W211" s="86">
        <v>0</v>
      </c>
      <c r="X211" s="86">
        <v>0</v>
      </c>
      <c r="Y211" s="86">
        <v>0</v>
      </c>
      <c r="Z211" s="86">
        <v>0</v>
      </c>
      <c r="AA211" s="86">
        <v>0</v>
      </c>
      <c r="AB211" s="86">
        <v>0</v>
      </c>
      <c r="AC211" s="86">
        <v>0</v>
      </c>
      <c r="AD211" s="86">
        <v>0</v>
      </c>
      <c r="AE211" s="86">
        <v>0</v>
      </c>
      <c r="AF211" s="86">
        <v>0</v>
      </c>
      <c r="AG211" s="86">
        <v>0</v>
      </c>
      <c r="AH211" s="86">
        <v>0</v>
      </c>
    </row>
    <row r="212" spans="2:34">
      <c r="B212" s="41" t="s">
        <v>1065</v>
      </c>
      <c r="C212" s="41" t="s">
        <v>1065</v>
      </c>
      <c r="D212" s="86">
        <v>0</v>
      </c>
      <c r="E212" s="86">
        <v>0</v>
      </c>
      <c r="F212" s="86"/>
      <c r="G212" s="86">
        <v>0</v>
      </c>
      <c r="H212" s="86">
        <v>0</v>
      </c>
      <c r="I212" s="86">
        <v>0</v>
      </c>
      <c r="J212" s="86">
        <v>0</v>
      </c>
      <c r="K212" s="86">
        <v>0</v>
      </c>
      <c r="L212" s="86">
        <v>0</v>
      </c>
      <c r="M212" s="86">
        <v>0</v>
      </c>
      <c r="N212" s="86">
        <v>0</v>
      </c>
      <c r="O212" s="86">
        <v>0</v>
      </c>
      <c r="P212" s="86">
        <v>0</v>
      </c>
      <c r="Q212" s="86">
        <v>0</v>
      </c>
      <c r="R212" s="86">
        <v>0</v>
      </c>
      <c r="S212" s="86">
        <v>0</v>
      </c>
      <c r="T212" s="86">
        <v>0</v>
      </c>
      <c r="U212" s="86">
        <v>0</v>
      </c>
      <c r="V212" s="86">
        <v>0</v>
      </c>
      <c r="W212" s="86">
        <v>0</v>
      </c>
      <c r="X212" s="86">
        <v>0</v>
      </c>
      <c r="Y212" s="86">
        <v>0</v>
      </c>
      <c r="Z212" s="86">
        <v>0</v>
      </c>
      <c r="AA212" s="86">
        <v>0</v>
      </c>
      <c r="AB212" s="86">
        <v>0</v>
      </c>
      <c r="AC212" s="86">
        <v>0</v>
      </c>
      <c r="AD212" s="86">
        <v>0</v>
      </c>
      <c r="AE212" s="86">
        <v>0</v>
      </c>
      <c r="AF212" s="86">
        <v>0</v>
      </c>
      <c r="AG212" s="86">
        <v>0</v>
      </c>
      <c r="AH212" s="86">
        <v>0</v>
      </c>
    </row>
    <row r="213" spans="2:34">
      <c r="B213" s="42" t="s">
        <v>1066</v>
      </c>
      <c r="C213" s="42" t="s">
        <v>1066</v>
      </c>
      <c r="D213" s="86">
        <v>0</v>
      </c>
      <c r="E213" s="86">
        <v>0</v>
      </c>
      <c r="F213" s="86"/>
      <c r="G213" s="86">
        <v>0</v>
      </c>
      <c r="H213" s="86">
        <v>0</v>
      </c>
      <c r="I213" s="86">
        <v>0</v>
      </c>
      <c r="J213" s="86">
        <v>0</v>
      </c>
      <c r="K213" s="86">
        <v>0</v>
      </c>
      <c r="L213" s="86">
        <v>0</v>
      </c>
      <c r="M213" s="86">
        <v>0</v>
      </c>
      <c r="N213" s="86">
        <v>0</v>
      </c>
      <c r="O213" s="86">
        <v>0</v>
      </c>
      <c r="P213" s="86">
        <v>0</v>
      </c>
      <c r="Q213" s="86">
        <v>0</v>
      </c>
      <c r="R213" s="86">
        <v>0</v>
      </c>
      <c r="S213" s="86">
        <v>0</v>
      </c>
      <c r="T213" s="86">
        <v>0</v>
      </c>
      <c r="U213" s="86">
        <v>0</v>
      </c>
      <c r="V213" s="86">
        <v>0</v>
      </c>
      <c r="W213" s="86">
        <v>0</v>
      </c>
      <c r="X213" s="86">
        <v>0</v>
      </c>
      <c r="Y213" s="86">
        <v>0</v>
      </c>
      <c r="Z213" s="86">
        <v>0</v>
      </c>
      <c r="AA213" s="86">
        <v>0</v>
      </c>
      <c r="AB213" s="86">
        <v>0</v>
      </c>
      <c r="AC213" s="86">
        <v>0</v>
      </c>
      <c r="AD213" s="86">
        <v>0</v>
      </c>
      <c r="AE213" s="86">
        <v>0</v>
      </c>
      <c r="AF213" s="86">
        <v>0</v>
      </c>
      <c r="AG213" s="86">
        <v>0</v>
      </c>
      <c r="AH213" s="86">
        <v>0</v>
      </c>
    </row>
    <row r="214" spans="2:34">
      <c r="B214" s="42" t="s">
        <v>1067</v>
      </c>
      <c r="C214" s="42" t="s">
        <v>1067</v>
      </c>
      <c r="D214" s="86">
        <v>0</v>
      </c>
      <c r="E214" s="86">
        <v>0</v>
      </c>
      <c r="F214" s="86"/>
      <c r="G214" s="86">
        <v>0</v>
      </c>
      <c r="H214" s="86">
        <v>0</v>
      </c>
      <c r="I214" s="86">
        <v>0</v>
      </c>
      <c r="J214" s="86">
        <v>0</v>
      </c>
      <c r="K214" s="86">
        <v>0</v>
      </c>
      <c r="L214" s="86">
        <v>0</v>
      </c>
      <c r="M214" s="86">
        <v>0</v>
      </c>
      <c r="N214" s="86">
        <v>0</v>
      </c>
      <c r="O214" s="86">
        <v>0</v>
      </c>
      <c r="P214" s="86">
        <v>0</v>
      </c>
      <c r="Q214" s="86">
        <v>0</v>
      </c>
      <c r="R214" s="86">
        <v>0</v>
      </c>
      <c r="S214" s="86">
        <v>0</v>
      </c>
      <c r="T214" s="86">
        <v>0</v>
      </c>
      <c r="U214" s="86">
        <v>0</v>
      </c>
      <c r="V214" s="86">
        <v>0</v>
      </c>
      <c r="W214" s="86">
        <v>0</v>
      </c>
      <c r="X214" s="86">
        <v>0</v>
      </c>
      <c r="Y214" s="86">
        <v>0</v>
      </c>
      <c r="Z214" s="86">
        <v>0</v>
      </c>
      <c r="AA214" s="86">
        <v>0</v>
      </c>
      <c r="AB214" s="86">
        <v>0</v>
      </c>
      <c r="AC214" s="86">
        <v>0</v>
      </c>
      <c r="AD214" s="86">
        <v>0</v>
      </c>
      <c r="AE214" s="86">
        <v>0</v>
      </c>
      <c r="AF214" s="86">
        <v>0</v>
      </c>
      <c r="AG214" s="86">
        <v>0</v>
      </c>
      <c r="AH214" s="86">
        <v>0</v>
      </c>
    </row>
    <row r="215" spans="2:34">
      <c r="B215" s="42" t="s">
        <v>923</v>
      </c>
      <c r="C215" s="42" t="s">
        <v>923</v>
      </c>
      <c r="D215" s="86">
        <v>0</v>
      </c>
      <c r="E215" s="86">
        <v>0</v>
      </c>
      <c r="F215" s="86"/>
      <c r="G215" s="86">
        <v>0</v>
      </c>
      <c r="H215" s="86">
        <v>0</v>
      </c>
      <c r="I215" s="86">
        <v>0</v>
      </c>
      <c r="J215" s="86">
        <v>0</v>
      </c>
      <c r="K215" s="86">
        <v>0</v>
      </c>
      <c r="L215" s="86">
        <v>0</v>
      </c>
      <c r="M215" s="86">
        <v>0</v>
      </c>
      <c r="N215" s="86">
        <v>0</v>
      </c>
      <c r="O215" s="86">
        <v>0</v>
      </c>
      <c r="P215" s="86">
        <v>0</v>
      </c>
      <c r="Q215" s="86">
        <v>0</v>
      </c>
      <c r="R215" s="86">
        <v>0</v>
      </c>
      <c r="S215" s="86">
        <v>0</v>
      </c>
      <c r="T215" s="86">
        <v>0</v>
      </c>
      <c r="U215" s="86">
        <v>0</v>
      </c>
      <c r="V215" s="86">
        <v>0</v>
      </c>
      <c r="W215" s="86">
        <v>0</v>
      </c>
      <c r="X215" s="86">
        <v>0</v>
      </c>
      <c r="Y215" s="86">
        <v>0</v>
      </c>
      <c r="Z215" s="86">
        <v>0</v>
      </c>
      <c r="AA215" s="86">
        <v>0</v>
      </c>
      <c r="AB215" s="86">
        <v>0</v>
      </c>
      <c r="AC215" s="86">
        <v>0</v>
      </c>
      <c r="AD215" s="86">
        <v>0</v>
      </c>
      <c r="AE215" s="86">
        <v>0</v>
      </c>
      <c r="AF215" s="86">
        <v>0</v>
      </c>
      <c r="AG215" s="86">
        <v>0</v>
      </c>
      <c r="AH215" s="86">
        <v>0</v>
      </c>
    </row>
    <row r="216" spans="2:34">
      <c r="B216" s="41" t="s">
        <v>1068</v>
      </c>
      <c r="C216" s="41" t="s">
        <v>1068</v>
      </c>
      <c r="D216" s="86">
        <v>0</v>
      </c>
      <c r="E216" s="86">
        <v>0</v>
      </c>
      <c r="F216" s="86"/>
      <c r="G216" s="86">
        <v>0</v>
      </c>
      <c r="H216" s="86">
        <v>0</v>
      </c>
      <c r="I216" s="86">
        <v>0</v>
      </c>
      <c r="J216" s="86">
        <v>0</v>
      </c>
      <c r="K216" s="86">
        <v>0</v>
      </c>
      <c r="L216" s="86">
        <v>0</v>
      </c>
      <c r="M216" s="86">
        <v>0</v>
      </c>
      <c r="N216" s="86">
        <v>0</v>
      </c>
      <c r="O216" s="86">
        <v>0</v>
      </c>
      <c r="P216" s="86">
        <v>0</v>
      </c>
      <c r="Q216" s="86">
        <v>0</v>
      </c>
      <c r="R216" s="86">
        <v>0</v>
      </c>
      <c r="S216" s="86">
        <v>0</v>
      </c>
      <c r="T216" s="86">
        <v>0</v>
      </c>
      <c r="U216" s="86">
        <v>0</v>
      </c>
      <c r="V216" s="86">
        <v>0</v>
      </c>
      <c r="W216" s="86">
        <v>0</v>
      </c>
      <c r="X216" s="86">
        <v>0</v>
      </c>
      <c r="Y216" s="86">
        <v>0</v>
      </c>
      <c r="Z216" s="86">
        <v>0</v>
      </c>
      <c r="AA216" s="86">
        <v>0</v>
      </c>
      <c r="AB216" s="86">
        <v>0</v>
      </c>
      <c r="AC216" s="86">
        <v>0</v>
      </c>
      <c r="AD216" s="86">
        <v>0</v>
      </c>
      <c r="AE216" s="86">
        <v>0</v>
      </c>
      <c r="AF216" s="86">
        <v>0</v>
      </c>
      <c r="AG216" s="86">
        <v>0</v>
      </c>
      <c r="AH216" s="86">
        <v>0</v>
      </c>
    </row>
    <row r="217" spans="2:34">
      <c r="B217" s="39" t="s">
        <v>1069</v>
      </c>
      <c r="C217" s="39" t="s">
        <v>1069</v>
      </c>
      <c r="D217" s="88">
        <v>2063170567995</v>
      </c>
      <c r="E217" s="88">
        <v>603813603438</v>
      </c>
      <c r="F217" s="88"/>
      <c r="G217" s="88">
        <v>2159665762945</v>
      </c>
      <c r="H217" s="88">
        <v>2794952484516</v>
      </c>
      <c r="I217" s="88">
        <v>1344150400738</v>
      </c>
      <c r="J217" s="88">
        <v>1728960839137</v>
      </c>
      <c r="K217" s="88">
        <v>2509643612065</v>
      </c>
      <c r="L217" s="88">
        <v>792606195131</v>
      </c>
      <c r="M217" s="88">
        <v>1532430336007</v>
      </c>
      <c r="N217" s="88">
        <v>2253444609041</v>
      </c>
      <c r="O217" s="88">
        <v>3152714305328</v>
      </c>
      <c r="P217" s="88">
        <v>1105524224695</v>
      </c>
      <c r="Q217" s="88">
        <v>1920241262991</v>
      </c>
      <c r="R217" s="88">
        <v>3536487063814</v>
      </c>
      <c r="S217" s="88">
        <v>4004633986182</v>
      </c>
      <c r="T217" s="88">
        <v>1569273042043</v>
      </c>
      <c r="U217" s="88">
        <v>2623677286251</v>
      </c>
      <c r="V217" s="88">
        <v>3596480633116</v>
      </c>
      <c r="W217" s="88">
        <v>4599752359827</v>
      </c>
      <c r="X217" s="88">
        <v>1687607070446</v>
      </c>
      <c r="Y217" s="88">
        <v>2832528089162</v>
      </c>
      <c r="Z217" s="88">
        <v>3951238452003</v>
      </c>
      <c r="AA217" s="88">
        <v>5373354397770</v>
      </c>
      <c r="AB217" s="88">
        <v>2116060831196</v>
      </c>
      <c r="AC217" s="88">
        <v>3683460116253</v>
      </c>
      <c r="AD217" s="88">
        <v>4830580118212</v>
      </c>
      <c r="AE217" s="88">
        <v>7168204305636</v>
      </c>
      <c r="AF217" s="88">
        <v>2822637749252</v>
      </c>
      <c r="AG217" s="88">
        <v>5147696291397</v>
      </c>
      <c r="AH217" s="88">
        <v>7259005799637</v>
      </c>
    </row>
    <row r="218" spans="2:34">
      <c r="B218" s="40" t="s">
        <v>1070</v>
      </c>
      <c r="C218" s="40" t="s">
        <v>1070</v>
      </c>
      <c r="D218" s="87">
        <v>62209872925</v>
      </c>
      <c r="E218" s="87">
        <v>14647323532</v>
      </c>
      <c r="F218" s="87"/>
      <c r="G218" s="87">
        <v>44015444994</v>
      </c>
      <c r="H218" s="87">
        <v>57951943597</v>
      </c>
      <c r="I218" s="87">
        <v>17697994476</v>
      </c>
      <c r="J218" s="87">
        <v>32999438552</v>
      </c>
      <c r="K218" s="87">
        <v>48541176223</v>
      </c>
      <c r="L218" s="87">
        <v>15690306369</v>
      </c>
      <c r="M218" s="87">
        <v>30529835062</v>
      </c>
      <c r="N218" s="87">
        <v>46143314131</v>
      </c>
      <c r="O218" s="87">
        <v>63068642860</v>
      </c>
      <c r="P218" s="87">
        <v>16984998860</v>
      </c>
      <c r="Q218" s="87">
        <v>38941286992</v>
      </c>
      <c r="R218" s="87">
        <v>63343997790</v>
      </c>
      <c r="S218" s="87">
        <v>84760050584</v>
      </c>
      <c r="T218" s="87">
        <v>25889807637</v>
      </c>
      <c r="U218" s="87">
        <v>50576916883</v>
      </c>
      <c r="V218" s="87">
        <v>74678892923</v>
      </c>
      <c r="W218" s="87">
        <v>97604771661</v>
      </c>
      <c r="X218" s="87">
        <v>21851283873</v>
      </c>
      <c r="Y218" s="87">
        <v>46118808674</v>
      </c>
      <c r="Z218" s="87">
        <v>70599259642</v>
      </c>
      <c r="AA218" s="87">
        <v>99143664262</v>
      </c>
      <c r="AB218" s="87">
        <v>32115210106</v>
      </c>
      <c r="AC218" s="87">
        <v>61897049477</v>
      </c>
      <c r="AD218" s="87">
        <v>91063423850</v>
      </c>
      <c r="AE218" s="87">
        <v>121764250209</v>
      </c>
      <c r="AF218" s="87">
        <v>29359018774</v>
      </c>
      <c r="AG218" s="87">
        <v>61859129486</v>
      </c>
      <c r="AH218" s="87">
        <v>90630741835</v>
      </c>
    </row>
    <row r="219" spans="2:34">
      <c r="B219" s="41" t="s">
        <v>1071</v>
      </c>
      <c r="C219" s="41" t="s">
        <v>1071</v>
      </c>
      <c r="D219" s="86">
        <v>27747322350</v>
      </c>
      <c r="E219" s="86">
        <v>6513487918</v>
      </c>
      <c r="F219" s="86"/>
      <c r="G219" s="86">
        <v>19091218659</v>
      </c>
      <c r="H219" s="86">
        <v>25003020466</v>
      </c>
      <c r="I219" s="86">
        <v>7812477898</v>
      </c>
      <c r="J219" s="86">
        <v>14866067786</v>
      </c>
      <c r="K219" s="86">
        <v>21719649107</v>
      </c>
      <c r="L219" s="86">
        <v>6944166589</v>
      </c>
      <c r="M219" s="86">
        <v>12682910883</v>
      </c>
      <c r="N219" s="86">
        <v>19355747378</v>
      </c>
      <c r="O219" s="86">
        <v>26777393731</v>
      </c>
      <c r="P219" s="86">
        <v>7384809253</v>
      </c>
      <c r="Q219" s="86">
        <v>16237788266</v>
      </c>
      <c r="R219" s="86">
        <v>27263657062</v>
      </c>
      <c r="S219" s="86">
        <v>36787555971</v>
      </c>
      <c r="T219" s="86">
        <v>10742733880</v>
      </c>
      <c r="U219" s="86">
        <v>20598245403</v>
      </c>
      <c r="V219" s="86">
        <v>30703211058</v>
      </c>
      <c r="W219" s="86">
        <v>41039454079</v>
      </c>
      <c r="X219" s="86">
        <v>9605893064</v>
      </c>
      <c r="Y219" s="86">
        <v>20483036717</v>
      </c>
      <c r="Z219" s="86">
        <v>31921789913</v>
      </c>
      <c r="AA219" s="86">
        <v>44301136112</v>
      </c>
      <c r="AB219" s="86">
        <v>16143202035</v>
      </c>
      <c r="AC219" s="86">
        <v>28869506203</v>
      </c>
      <c r="AD219" s="86">
        <v>40822556112</v>
      </c>
      <c r="AE219" s="86">
        <v>56586526075</v>
      </c>
      <c r="AF219" s="86">
        <v>13572194067</v>
      </c>
      <c r="AG219" s="86">
        <v>27135259041</v>
      </c>
      <c r="AH219" s="86">
        <v>41248399451</v>
      </c>
    </row>
    <row r="220" spans="2:34">
      <c r="B220" s="42" t="s">
        <v>1072</v>
      </c>
      <c r="C220" s="42" t="s">
        <v>1072</v>
      </c>
      <c r="D220" s="86">
        <v>26266548549</v>
      </c>
      <c r="E220" s="86">
        <v>5672851157</v>
      </c>
      <c r="F220" s="86"/>
      <c r="G220" s="86">
        <v>16476769816</v>
      </c>
      <c r="H220" s="86">
        <v>21395582955</v>
      </c>
      <c r="I220" s="86">
        <v>6589997754</v>
      </c>
      <c r="J220" s="86">
        <v>12625902677</v>
      </c>
      <c r="K220" s="86">
        <v>18568337278</v>
      </c>
      <c r="L220" s="86">
        <v>5778584754</v>
      </c>
      <c r="M220" s="86">
        <v>10443141178</v>
      </c>
      <c r="N220" s="86">
        <v>15875246767</v>
      </c>
      <c r="O220" s="86">
        <v>21272247110</v>
      </c>
      <c r="P220" s="86">
        <v>5361680588</v>
      </c>
      <c r="Q220" s="86">
        <v>12160665791</v>
      </c>
      <c r="R220" s="86">
        <v>19181252415</v>
      </c>
      <c r="S220" s="86">
        <v>25250227491</v>
      </c>
      <c r="T220" s="86">
        <v>6781336128</v>
      </c>
      <c r="U220" s="86">
        <v>13631405455</v>
      </c>
      <c r="V220" s="86">
        <v>20416671737</v>
      </c>
      <c r="W220" s="86">
        <v>27144591685</v>
      </c>
      <c r="X220" s="86">
        <v>6786093290</v>
      </c>
      <c r="Y220" s="86">
        <v>14897589393</v>
      </c>
      <c r="Z220" s="86">
        <v>23544290207</v>
      </c>
      <c r="AA220" s="86">
        <v>33242538970</v>
      </c>
      <c r="AB220" s="86">
        <v>12530161570</v>
      </c>
      <c r="AC220" s="86">
        <v>22359682036</v>
      </c>
      <c r="AD220" s="86">
        <v>31396542736</v>
      </c>
      <c r="AE220" s="86">
        <v>43048225770</v>
      </c>
      <c r="AF220" s="86">
        <v>9797251659</v>
      </c>
      <c r="AG220" s="86">
        <v>19650137161</v>
      </c>
      <c r="AH220" s="86">
        <v>29934799175</v>
      </c>
    </row>
    <row r="221" spans="2:34">
      <c r="B221" s="42" t="s">
        <v>1073</v>
      </c>
      <c r="C221" s="42" t="s">
        <v>1073</v>
      </c>
      <c r="D221" s="86">
        <v>1480773801</v>
      </c>
      <c r="E221" s="86">
        <v>840636761</v>
      </c>
      <c r="F221" s="86"/>
      <c r="G221" s="86">
        <v>2614448843</v>
      </c>
      <c r="H221" s="86">
        <v>3607437511</v>
      </c>
      <c r="I221" s="86">
        <v>1222480144</v>
      </c>
      <c r="J221" s="86">
        <v>2240165109</v>
      </c>
      <c r="K221" s="86">
        <v>3151311829</v>
      </c>
      <c r="L221" s="86">
        <v>1165581835</v>
      </c>
      <c r="M221" s="86">
        <v>2239769705</v>
      </c>
      <c r="N221" s="86">
        <v>3480500611</v>
      </c>
      <c r="O221" s="86">
        <v>5505146621</v>
      </c>
      <c r="P221" s="86">
        <v>2023128665</v>
      </c>
      <c r="Q221" s="86">
        <v>4077122475</v>
      </c>
      <c r="R221" s="86">
        <v>8082404647</v>
      </c>
      <c r="S221" s="86">
        <v>11537328480</v>
      </c>
      <c r="T221" s="86">
        <v>3961397752</v>
      </c>
      <c r="U221" s="86">
        <v>6966839948</v>
      </c>
      <c r="V221" s="86">
        <v>10286539321</v>
      </c>
      <c r="W221" s="86">
        <v>13894862394</v>
      </c>
      <c r="X221" s="86">
        <v>2819799774</v>
      </c>
      <c r="Y221" s="86">
        <v>5585447324</v>
      </c>
      <c r="Z221" s="86">
        <v>8377499706</v>
      </c>
      <c r="AA221" s="86">
        <v>11058597142</v>
      </c>
      <c r="AB221" s="86">
        <v>3613040465</v>
      </c>
      <c r="AC221" s="86">
        <v>6509824167</v>
      </c>
      <c r="AD221" s="86">
        <v>9426013376</v>
      </c>
      <c r="AE221" s="86">
        <v>13538300305</v>
      </c>
      <c r="AF221" s="86">
        <v>3774942408</v>
      </c>
      <c r="AG221" s="86">
        <v>7485121880</v>
      </c>
      <c r="AH221" s="86">
        <v>11313600276</v>
      </c>
    </row>
    <row r="222" spans="2:34">
      <c r="B222" s="41" t="s">
        <v>1074</v>
      </c>
      <c r="C222" s="41" t="s">
        <v>1074</v>
      </c>
      <c r="D222" s="86">
        <v>0</v>
      </c>
      <c r="E222" s="86">
        <v>0</v>
      </c>
      <c r="F222" s="86"/>
      <c r="G222" s="86">
        <v>0</v>
      </c>
      <c r="H222" s="86">
        <v>0</v>
      </c>
      <c r="I222" s="86">
        <v>0</v>
      </c>
      <c r="J222" s="86">
        <v>0</v>
      </c>
      <c r="K222" s="86">
        <v>0</v>
      </c>
      <c r="L222" s="86">
        <v>0</v>
      </c>
      <c r="M222" s="86">
        <v>0</v>
      </c>
      <c r="N222" s="86">
        <v>0</v>
      </c>
      <c r="O222" s="86">
        <v>0</v>
      </c>
      <c r="P222" s="86">
        <v>0</v>
      </c>
      <c r="Q222" s="86">
        <v>0</v>
      </c>
      <c r="R222" s="86">
        <v>0</v>
      </c>
      <c r="S222" s="86">
        <v>0</v>
      </c>
      <c r="T222" s="86">
        <v>0</v>
      </c>
      <c r="U222" s="86">
        <v>0</v>
      </c>
      <c r="V222" s="86">
        <v>0</v>
      </c>
      <c r="W222" s="86">
        <v>0</v>
      </c>
      <c r="X222" s="86">
        <v>0</v>
      </c>
      <c r="Y222" s="86">
        <v>0</v>
      </c>
      <c r="Z222" s="86">
        <v>0</v>
      </c>
      <c r="AA222" s="86">
        <v>0</v>
      </c>
      <c r="AB222" s="86">
        <v>0</v>
      </c>
      <c r="AC222" s="86">
        <v>0</v>
      </c>
      <c r="AD222" s="86">
        <v>0</v>
      </c>
      <c r="AE222" s="86">
        <v>0</v>
      </c>
      <c r="AF222" s="86">
        <v>0</v>
      </c>
      <c r="AG222" s="86">
        <v>0</v>
      </c>
      <c r="AH222" s="86">
        <v>0</v>
      </c>
    </row>
    <row r="223" spans="2:34">
      <c r="B223" s="41" t="s">
        <v>1075</v>
      </c>
      <c r="C223" s="41" t="s">
        <v>1075</v>
      </c>
      <c r="D223" s="86">
        <v>0</v>
      </c>
      <c r="E223" s="86">
        <v>0</v>
      </c>
      <c r="F223" s="86"/>
      <c r="G223" s="86">
        <v>0</v>
      </c>
      <c r="H223" s="86">
        <v>0</v>
      </c>
      <c r="I223" s="86">
        <v>0</v>
      </c>
      <c r="J223" s="86">
        <v>0</v>
      </c>
      <c r="K223" s="86">
        <v>0</v>
      </c>
      <c r="L223" s="86">
        <v>0</v>
      </c>
      <c r="M223" s="86">
        <v>0</v>
      </c>
      <c r="N223" s="86">
        <v>0</v>
      </c>
      <c r="O223" s="86">
        <v>0</v>
      </c>
      <c r="P223" s="86">
        <v>0</v>
      </c>
      <c r="Q223" s="86">
        <v>0</v>
      </c>
      <c r="R223" s="86">
        <v>0</v>
      </c>
      <c r="S223" s="86">
        <v>0</v>
      </c>
      <c r="T223" s="86">
        <v>0</v>
      </c>
      <c r="U223" s="86">
        <v>0</v>
      </c>
      <c r="V223" s="86">
        <v>0</v>
      </c>
      <c r="W223" s="86">
        <v>0</v>
      </c>
      <c r="X223" s="86">
        <v>0</v>
      </c>
      <c r="Y223" s="86">
        <v>0</v>
      </c>
      <c r="Z223" s="86">
        <v>0</v>
      </c>
      <c r="AA223" s="86">
        <v>0</v>
      </c>
      <c r="AB223" s="86">
        <v>0</v>
      </c>
      <c r="AC223" s="86">
        <v>0</v>
      </c>
      <c r="AD223" s="86">
        <v>0</v>
      </c>
      <c r="AE223" s="86">
        <v>0</v>
      </c>
      <c r="AF223" s="86">
        <v>0</v>
      </c>
      <c r="AG223" s="86">
        <v>0</v>
      </c>
      <c r="AH223" s="86">
        <v>0</v>
      </c>
    </row>
    <row r="224" spans="2:34">
      <c r="B224" s="41" t="s">
        <v>1076</v>
      </c>
      <c r="C224" s="41" t="s">
        <v>1076</v>
      </c>
      <c r="D224" s="86">
        <v>0</v>
      </c>
      <c r="E224" s="86">
        <v>0</v>
      </c>
      <c r="F224" s="86"/>
      <c r="G224" s="86">
        <v>0</v>
      </c>
      <c r="H224" s="86">
        <v>0</v>
      </c>
      <c r="I224" s="86">
        <v>0</v>
      </c>
      <c r="J224" s="86">
        <v>0</v>
      </c>
      <c r="K224" s="86">
        <v>0</v>
      </c>
      <c r="L224" s="86">
        <v>0</v>
      </c>
      <c r="M224" s="86">
        <v>0</v>
      </c>
      <c r="N224" s="86">
        <v>0</v>
      </c>
      <c r="O224" s="86">
        <v>0</v>
      </c>
      <c r="P224" s="86">
        <v>0</v>
      </c>
      <c r="Q224" s="86">
        <v>0</v>
      </c>
      <c r="R224" s="86">
        <v>0</v>
      </c>
      <c r="S224" s="86">
        <v>0</v>
      </c>
      <c r="T224" s="86">
        <v>0</v>
      </c>
      <c r="U224" s="86">
        <v>0</v>
      </c>
      <c r="V224" s="86">
        <v>0</v>
      </c>
      <c r="W224" s="86">
        <v>0</v>
      </c>
      <c r="X224" s="86">
        <v>0</v>
      </c>
      <c r="Y224" s="86">
        <v>0</v>
      </c>
      <c r="Z224" s="86">
        <v>0</v>
      </c>
      <c r="AA224" s="86">
        <v>0</v>
      </c>
      <c r="AB224" s="86">
        <v>0</v>
      </c>
      <c r="AC224" s="86">
        <v>0</v>
      </c>
      <c r="AD224" s="86">
        <v>0</v>
      </c>
      <c r="AE224" s="86">
        <v>0</v>
      </c>
      <c r="AF224" s="86">
        <v>0</v>
      </c>
      <c r="AG224" s="86">
        <v>0</v>
      </c>
      <c r="AH224" s="86">
        <v>0</v>
      </c>
    </row>
    <row r="225" spans="2:34">
      <c r="B225" s="41" t="s">
        <v>1077</v>
      </c>
      <c r="C225" s="41" t="s">
        <v>1077</v>
      </c>
      <c r="D225" s="86">
        <v>0</v>
      </c>
      <c r="E225" s="86">
        <v>0</v>
      </c>
      <c r="F225" s="86"/>
      <c r="G225" s="86">
        <v>0</v>
      </c>
      <c r="H225" s="86">
        <v>0</v>
      </c>
      <c r="I225" s="86">
        <v>0</v>
      </c>
      <c r="J225" s="86">
        <v>0</v>
      </c>
      <c r="K225" s="86">
        <v>0</v>
      </c>
      <c r="L225" s="86">
        <v>0</v>
      </c>
      <c r="M225" s="86">
        <v>0</v>
      </c>
      <c r="N225" s="86">
        <v>0</v>
      </c>
      <c r="O225" s="86">
        <v>0</v>
      </c>
      <c r="P225" s="86">
        <v>0</v>
      </c>
      <c r="Q225" s="86">
        <v>0</v>
      </c>
      <c r="R225" s="86">
        <v>0</v>
      </c>
      <c r="S225" s="86">
        <v>0</v>
      </c>
      <c r="T225" s="86">
        <v>0</v>
      </c>
      <c r="U225" s="86">
        <v>0</v>
      </c>
      <c r="V225" s="86">
        <v>0</v>
      </c>
      <c r="W225" s="86">
        <v>0</v>
      </c>
      <c r="X225" s="86">
        <v>0</v>
      </c>
      <c r="Y225" s="86">
        <v>0</v>
      </c>
      <c r="Z225" s="86">
        <v>0</v>
      </c>
      <c r="AA225" s="86">
        <v>0</v>
      </c>
      <c r="AB225" s="86">
        <v>0</v>
      </c>
      <c r="AC225" s="86">
        <v>0</v>
      </c>
      <c r="AD225" s="86">
        <v>0</v>
      </c>
      <c r="AE225" s="86">
        <v>0</v>
      </c>
      <c r="AF225" s="86">
        <v>0</v>
      </c>
      <c r="AG225" s="86">
        <v>0</v>
      </c>
      <c r="AH225" s="86">
        <v>0</v>
      </c>
    </row>
    <row r="226" spans="2:34">
      <c r="B226" s="41" t="s">
        <v>1078</v>
      </c>
      <c r="C226" s="41" t="s">
        <v>1078</v>
      </c>
      <c r="D226" s="86">
        <v>0</v>
      </c>
      <c r="E226" s="86">
        <v>0</v>
      </c>
      <c r="F226" s="86"/>
      <c r="G226" s="86">
        <v>0</v>
      </c>
      <c r="H226" s="86">
        <v>0</v>
      </c>
      <c r="I226" s="86">
        <v>0</v>
      </c>
      <c r="J226" s="86">
        <v>56000</v>
      </c>
      <c r="K226" s="86">
        <v>224000</v>
      </c>
      <c r="L226" s="86">
        <v>104000</v>
      </c>
      <c r="M226" s="86">
        <v>368000</v>
      </c>
      <c r="N226" s="86">
        <v>456000</v>
      </c>
      <c r="O226" s="86">
        <v>536000</v>
      </c>
      <c r="P226" s="86">
        <v>56000</v>
      </c>
      <c r="Q226" s="86">
        <v>184000</v>
      </c>
      <c r="R226" s="86">
        <v>280000</v>
      </c>
      <c r="S226" s="86">
        <v>344000</v>
      </c>
      <c r="T226" s="86">
        <v>160000</v>
      </c>
      <c r="U226" s="86">
        <v>552000</v>
      </c>
      <c r="V226" s="86">
        <v>664000</v>
      </c>
      <c r="W226" s="86">
        <v>888000</v>
      </c>
      <c r="X226" s="86">
        <v>144000</v>
      </c>
      <c r="Y226" s="86">
        <v>368000</v>
      </c>
      <c r="Z226" s="86">
        <v>512000</v>
      </c>
      <c r="AA226" s="86">
        <v>696000</v>
      </c>
      <c r="AB226" s="86">
        <v>128000</v>
      </c>
      <c r="AC226" s="86">
        <v>336000</v>
      </c>
      <c r="AD226" s="86">
        <v>480000</v>
      </c>
      <c r="AE226" s="86">
        <v>648000</v>
      </c>
      <c r="AF226" s="86">
        <v>80000</v>
      </c>
      <c r="AG226" s="86">
        <v>272000</v>
      </c>
      <c r="AH226" s="86">
        <v>344000</v>
      </c>
    </row>
    <row r="227" spans="2:34">
      <c r="B227" s="41" t="s">
        <v>1079</v>
      </c>
      <c r="C227" s="41" t="s">
        <v>1079</v>
      </c>
      <c r="D227" s="86">
        <v>34462550575</v>
      </c>
      <c r="E227" s="86">
        <v>8133835614</v>
      </c>
      <c r="F227" s="86"/>
      <c r="G227" s="86">
        <v>24924226335</v>
      </c>
      <c r="H227" s="86">
        <v>32948923131</v>
      </c>
      <c r="I227" s="86">
        <v>9885516578</v>
      </c>
      <c r="J227" s="86">
        <v>18133314766</v>
      </c>
      <c r="K227" s="86">
        <v>26821303116</v>
      </c>
      <c r="L227" s="86">
        <v>8746035780</v>
      </c>
      <c r="M227" s="86">
        <v>17846556179</v>
      </c>
      <c r="N227" s="86">
        <v>26787110753</v>
      </c>
      <c r="O227" s="86">
        <v>36290713129</v>
      </c>
      <c r="P227" s="86">
        <v>9600133607</v>
      </c>
      <c r="Q227" s="86">
        <v>22703314726</v>
      </c>
      <c r="R227" s="86">
        <v>36080060728</v>
      </c>
      <c r="S227" s="86">
        <v>47972150613</v>
      </c>
      <c r="T227" s="86">
        <v>15146913757</v>
      </c>
      <c r="U227" s="86">
        <v>29978119480</v>
      </c>
      <c r="V227" s="86">
        <v>43975017865</v>
      </c>
      <c r="W227" s="86">
        <v>56564429582</v>
      </c>
      <c r="X227" s="86">
        <v>12245246809</v>
      </c>
      <c r="Y227" s="86">
        <v>25635403957</v>
      </c>
      <c r="Z227" s="86">
        <v>38676957729</v>
      </c>
      <c r="AA227" s="86">
        <v>54841832150</v>
      </c>
      <c r="AB227" s="86">
        <v>15971880071</v>
      </c>
      <c r="AC227" s="86">
        <v>33027207274</v>
      </c>
      <c r="AD227" s="86">
        <v>50240387738</v>
      </c>
      <c r="AE227" s="86">
        <v>65177076134</v>
      </c>
      <c r="AF227" s="86">
        <v>15786744707</v>
      </c>
      <c r="AG227" s="86">
        <v>34723598445</v>
      </c>
      <c r="AH227" s="86">
        <v>49381998384</v>
      </c>
    </row>
    <row r="228" spans="2:34">
      <c r="B228" s="40" t="s">
        <v>1080</v>
      </c>
      <c r="C228" s="40" t="s">
        <v>1080</v>
      </c>
      <c r="D228" s="87">
        <v>592352997304</v>
      </c>
      <c r="E228" s="87">
        <v>160014696225</v>
      </c>
      <c r="F228" s="87"/>
      <c r="G228" s="87">
        <v>799480426292</v>
      </c>
      <c r="H228" s="87">
        <v>1009808766203</v>
      </c>
      <c r="I228" s="87">
        <v>453282329769</v>
      </c>
      <c r="J228" s="87">
        <v>761897225579</v>
      </c>
      <c r="K228" s="87">
        <v>1075967751716</v>
      </c>
      <c r="L228" s="87">
        <v>258345803959</v>
      </c>
      <c r="M228" s="87">
        <v>564177167424</v>
      </c>
      <c r="N228" s="87">
        <v>815176934243</v>
      </c>
      <c r="O228" s="87">
        <v>1147210371841</v>
      </c>
      <c r="P228" s="87">
        <v>389606480173</v>
      </c>
      <c r="Q228" s="87">
        <v>686220862040</v>
      </c>
      <c r="R228" s="87">
        <v>995135120929</v>
      </c>
      <c r="S228" s="87">
        <v>1209080102438</v>
      </c>
      <c r="T228" s="87">
        <v>195474629280</v>
      </c>
      <c r="U228" s="87">
        <v>507140799837</v>
      </c>
      <c r="V228" s="87">
        <v>995759001939</v>
      </c>
      <c r="W228" s="87">
        <v>1357745987891</v>
      </c>
      <c r="X228" s="87">
        <v>738229713646</v>
      </c>
      <c r="Y228" s="87">
        <v>1207857866474</v>
      </c>
      <c r="Z228" s="87">
        <v>1624513732592</v>
      </c>
      <c r="AA228" s="87">
        <v>2174744611923</v>
      </c>
      <c r="AB228" s="87">
        <v>621410087773</v>
      </c>
      <c r="AC228" s="87">
        <v>985432899056</v>
      </c>
      <c r="AD228" s="87">
        <v>1277528690652</v>
      </c>
      <c r="AE228" s="87">
        <v>1923399575101</v>
      </c>
      <c r="AF228" s="87">
        <v>1253578465367</v>
      </c>
      <c r="AG228" s="87">
        <v>1820601881368</v>
      </c>
      <c r="AH228" s="87">
        <v>2388616865559</v>
      </c>
    </row>
    <row r="229" spans="2:34">
      <c r="B229" s="41" t="s">
        <v>1081</v>
      </c>
      <c r="C229" s="1281" t="s">
        <v>2295</v>
      </c>
      <c r="D229" s="86">
        <v>252028229536</v>
      </c>
      <c r="E229" s="86">
        <v>50822617290</v>
      </c>
      <c r="F229" s="86"/>
      <c r="G229" s="86">
        <v>181075876625</v>
      </c>
      <c r="H229" s="86">
        <v>245165825668</v>
      </c>
      <c r="I229" s="86">
        <v>149377841952</v>
      </c>
      <c r="J229" s="86">
        <v>228177306026</v>
      </c>
      <c r="K229" s="86">
        <v>289171725311</v>
      </c>
      <c r="L229" s="86">
        <v>49026560277</v>
      </c>
      <c r="M229" s="86">
        <v>89921817889</v>
      </c>
      <c r="N229" s="86">
        <v>140362958285</v>
      </c>
      <c r="O229" s="86">
        <v>209659548830</v>
      </c>
      <c r="P229" s="86">
        <v>60641866167</v>
      </c>
      <c r="Q229" s="86">
        <v>152195359847</v>
      </c>
      <c r="R229" s="86">
        <v>232391920928</v>
      </c>
      <c r="S229" s="86">
        <v>307736693758</v>
      </c>
      <c r="T229" s="86">
        <v>57520993475</v>
      </c>
      <c r="U229" s="86">
        <v>134452845799</v>
      </c>
      <c r="V229" s="86">
        <v>215015021417</v>
      </c>
      <c r="W229" s="86">
        <v>303110889375</v>
      </c>
      <c r="X229" s="86">
        <v>79217093734</v>
      </c>
      <c r="Y229" s="86">
        <v>182054886276</v>
      </c>
      <c r="Z229" s="86">
        <v>277077725035</v>
      </c>
      <c r="AA229" s="86">
        <v>401314756385</v>
      </c>
      <c r="AB229" s="86">
        <v>176977924879</v>
      </c>
      <c r="AC229" s="86">
        <v>292794933334</v>
      </c>
      <c r="AD229" s="86">
        <v>414940685881</v>
      </c>
      <c r="AE229" s="86">
        <v>556451874083</v>
      </c>
      <c r="AF229" s="86">
        <v>86468639107</v>
      </c>
      <c r="AG229" s="86">
        <v>172916742789</v>
      </c>
      <c r="AH229" s="86">
        <v>285743038056</v>
      </c>
    </row>
    <row r="230" spans="2:34">
      <c r="B230" s="42" t="s">
        <v>1082</v>
      </c>
      <c r="C230" s="42" t="s">
        <v>1082</v>
      </c>
      <c r="D230" s="86">
        <v>143953988698</v>
      </c>
      <c r="E230" s="86">
        <v>28281397801</v>
      </c>
      <c r="F230" s="86"/>
      <c r="G230" s="86">
        <v>85073812596</v>
      </c>
      <c r="H230" s="86">
        <v>105711174618</v>
      </c>
      <c r="I230" s="86">
        <v>54458988248</v>
      </c>
      <c r="J230" s="86">
        <v>87013865198</v>
      </c>
      <c r="K230" s="86">
        <v>127079443215</v>
      </c>
      <c r="L230" s="86">
        <v>38393331390</v>
      </c>
      <c r="M230" s="86">
        <v>65030719555</v>
      </c>
      <c r="N230" s="86">
        <v>92866833927</v>
      </c>
      <c r="O230" s="86">
        <v>138995445833</v>
      </c>
      <c r="P230" s="86">
        <v>25856604471</v>
      </c>
      <c r="Q230" s="86">
        <v>78468719317</v>
      </c>
      <c r="R230" s="86">
        <v>124938473870</v>
      </c>
      <c r="S230" s="86">
        <v>157573358140</v>
      </c>
      <c r="T230" s="86">
        <v>37260752656</v>
      </c>
      <c r="U230" s="86">
        <v>85074173893</v>
      </c>
      <c r="V230" s="86">
        <v>124543136599</v>
      </c>
      <c r="W230" s="86">
        <v>162099438938</v>
      </c>
      <c r="X230" s="86">
        <v>40417621666</v>
      </c>
      <c r="Y230" s="86">
        <v>107695641817</v>
      </c>
      <c r="Z230" s="86">
        <v>161078698670</v>
      </c>
      <c r="AA230" s="86">
        <v>233291061362</v>
      </c>
      <c r="AB230" s="86">
        <v>133791247624</v>
      </c>
      <c r="AC230" s="86">
        <v>215898465643</v>
      </c>
      <c r="AD230" s="86">
        <v>295184151418</v>
      </c>
      <c r="AE230" s="86">
        <v>405392902498</v>
      </c>
      <c r="AF230" s="86">
        <v>53027020290</v>
      </c>
      <c r="AG230" s="86">
        <v>115828030756</v>
      </c>
      <c r="AH230" s="86">
        <v>197288826888</v>
      </c>
    </row>
    <row r="231" spans="2:34">
      <c r="B231" s="42" t="s">
        <v>1083</v>
      </c>
      <c r="C231" s="42" t="s">
        <v>1083</v>
      </c>
      <c r="D231" s="86">
        <v>0</v>
      </c>
      <c r="E231" s="86">
        <v>0</v>
      </c>
      <c r="F231" s="86"/>
      <c r="G231" s="86">
        <v>0</v>
      </c>
      <c r="H231" s="86">
        <v>0</v>
      </c>
      <c r="I231" s="86">
        <v>0</v>
      </c>
      <c r="J231" s="86">
        <v>0</v>
      </c>
      <c r="K231" s="86">
        <v>0</v>
      </c>
      <c r="L231" s="86">
        <v>0</v>
      </c>
      <c r="M231" s="86">
        <v>0</v>
      </c>
      <c r="N231" s="86">
        <v>0</v>
      </c>
      <c r="O231" s="86">
        <v>0</v>
      </c>
      <c r="P231" s="86">
        <v>0</v>
      </c>
      <c r="Q231" s="86">
        <v>0</v>
      </c>
      <c r="R231" s="86">
        <v>0</v>
      </c>
      <c r="S231" s="86">
        <v>0</v>
      </c>
      <c r="T231" s="86">
        <v>0</v>
      </c>
      <c r="U231" s="86">
        <v>0</v>
      </c>
      <c r="V231" s="86">
        <v>0</v>
      </c>
      <c r="W231" s="86">
        <v>0</v>
      </c>
      <c r="X231" s="86">
        <v>0</v>
      </c>
      <c r="Y231" s="86">
        <v>0</v>
      </c>
      <c r="Z231" s="86">
        <v>0</v>
      </c>
      <c r="AA231" s="86">
        <v>0</v>
      </c>
      <c r="AB231" s="86">
        <v>0</v>
      </c>
      <c r="AC231" s="86">
        <v>0</v>
      </c>
      <c r="AD231" s="86">
        <v>0</v>
      </c>
      <c r="AE231" s="86">
        <v>0</v>
      </c>
      <c r="AF231" s="86">
        <v>0</v>
      </c>
      <c r="AG231" s="86">
        <v>0</v>
      </c>
      <c r="AH231" s="86">
        <v>0</v>
      </c>
    </row>
    <row r="232" spans="2:34">
      <c r="B232" s="42" t="s">
        <v>1084</v>
      </c>
      <c r="C232" s="42" t="s">
        <v>1084</v>
      </c>
      <c r="D232" s="86">
        <v>97516878719</v>
      </c>
      <c r="E232" s="86">
        <v>21980249258</v>
      </c>
      <c r="F232" s="86"/>
      <c r="G232" s="86">
        <v>92506333148</v>
      </c>
      <c r="H232" s="86">
        <v>123707953569</v>
      </c>
      <c r="I232" s="86">
        <v>92489837303</v>
      </c>
      <c r="J232" s="86">
        <v>134007609519</v>
      </c>
      <c r="K232" s="86">
        <v>152875539432</v>
      </c>
      <c r="L232" s="86">
        <v>9779682165</v>
      </c>
      <c r="M232" s="86">
        <v>21704365159</v>
      </c>
      <c r="N232" s="86">
        <v>42058423598</v>
      </c>
      <c r="O232" s="86">
        <v>61433442916</v>
      </c>
      <c r="P232" s="86">
        <v>33120006336</v>
      </c>
      <c r="Q232" s="86">
        <v>67021942877</v>
      </c>
      <c r="R232" s="86">
        <v>97581006572</v>
      </c>
      <c r="S232" s="86">
        <v>130728029705</v>
      </c>
      <c r="T232" s="86">
        <v>19082200828</v>
      </c>
      <c r="U232" s="86">
        <v>42244740872</v>
      </c>
      <c r="V232" s="86">
        <v>76669751901</v>
      </c>
      <c r="W232" s="86">
        <v>119769679219</v>
      </c>
      <c r="X232" s="86">
        <v>36550645629</v>
      </c>
      <c r="Y232" s="86">
        <v>70788250043</v>
      </c>
      <c r="Z232" s="86">
        <v>109799281498</v>
      </c>
      <c r="AA232" s="86">
        <v>159530490628</v>
      </c>
      <c r="AB232" s="86">
        <v>42349513786</v>
      </c>
      <c r="AC232" s="86">
        <v>73555955396</v>
      </c>
      <c r="AD232" s="86">
        <v>110411029924</v>
      </c>
      <c r="AE232" s="86">
        <v>137994393075</v>
      </c>
      <c r="AF232" s="86">
        <v>31715780319</v>
      </c>
      <c r="AG232" s="86">
        <v>52086172040</v>
      </c>
      <c r="AH232" s="86">
        <v>74185318650</v>
      </c>
    </row>
    <row r="233" spans="2:34">
      <c r="B233" s="42" t="s">
        <v>1085</v>
      </c>
      <c r="C233" s="42" t="s">
        <v>1085</v>
      </c>
      <c r="D233" s="86">
        <v>5736158973</v>
      </c>
      <c r="E233" s="86">
        <v>37773840</v>
      </c>
      <c r="F233" s="86"/>
      <c r="G233" s="86">
        <v>187961147</v>
      </c>
      <c r="H233" s="86">
        <v>204094605</v>
      </c>
      <c r="I233" s="86">
        <v>74442634</v>
      </c>
      <c r="J233" s="86">
        <v>80871378</v>
      </c>
      <c r="K233" s="86">
        <v>87595020</v>
      </c>
      <c r="L233" s="86">
        <v>9019295</v>
      </c>
      <c r="M233" s="86">
        <v>31404611</v>
      </c>
      <c r="N233" s="86">
        <v>43796258</v>
      </c>
      <c r="O233" s="86">
        <v>65886126</v>
      </c>
      <c r="P233" s="86">
        <v>42421927</v>
      </c>
      <c r="Q233" s="86">
        <v>845738906</v>
      </c>
      <c r="R233" s="86">
        <v>152821325</v>
      </c>
      <c r="S233" s="86">
        <v>159545286</v>
      </c>
      <c r="T233" s="86">
        <v>16111418</v>
      </c>
      <c r="U233" s="86">
        <v>53920626</v>
      </c>
      <c r="V233" s="86">
        <v>85063830</v>
      </c>
      <c r="W233" s="86">
        <v>264624976</v>
      </c>
      <c r="X233" s="86">
        <v>8989367</v>
      </c>
      <c r="Y233" s="86">
        <v>16775784</v>
      </c>
      <c r="Z233" s="86">
        <v>29022427</v>
      </c>
      <c r="AA233" s="86">
        <v>80721254</v>
      </c>
      <c r="AB233" s="86">
        <v>330310285</v>
      </c>
      <c r="AC233" s="86">
        <v>1988868001</v>
      </c>
      <c r="AD233" s="86">
        <v>7381001767</v>
      </c>
      <c r="AE233" s="86">
        <v>9893901097</v>
      </c>
      <c r="AF233" s="86">
        <v>151678305</v>
      </c>
      <c r="AG233" s="86">
        <v>942361408</v>
      </c>
      <c r="AH233" s="86">
        <v>9460038766</v>
      </c>
    </row>
    <row r="234" spans="2:34">
      <c r="B234" s="42" t="s">
        <v>1086</v>
      </c>
      <c r="C234" s="42" t="s">
        <v>1086</v>
      </c>
      <c r="D234" s="86">
        <v>4277970059</v>
      </c>
      <c r="E234" s="86">
        <v>356175190</v>
      </c>
      <c r="F234" s="86"/>
      <c r="G234" s="86">
        <v>985552297</v>
      </c>
      <c r="H234" s="86">
        <v>6454236293</v>
      </c>
      <c r="I234" s="86">
        <v>1488434857</v>
      </c>
      <c r="J234" s="86">
        <v>1864441170</v>
      </c>
      <c r="K234" s="86">
        <v>1970951495</v>
      </c>
      <c r="L234" s="86">
        <v>4201844</v>
      </c>
      <c r="M234" s="86">
        <v>8515820</v>
      </c>
      <c r="N234" s="86">
        <v>62707577</v>
      </c>
      <c r="O234" s="86">
        <v>204303194</v>
      </c>
      <c r="P234" s="86">
        <v>40579446</v>
      </c>
      <c r="Q234" s="86">
        <v>117854715</v>
      </c>
      <c r="R234" s="86">
        <v>117854715</v>
      </c>
      <c r="S234" s="86">
        <v>129794435</v>
      </c>
      <c r="T234" s="86">
        <v>44980278</v>
      </c>
      <c r="U234" s="86">
        <v>45489866</v>
      </c>
      <c r="V234" s="86">
        <v>72552882</v>
      </c>
      <c r="W234" s="86">
        <v>72552882</v>
      </c>
      <c r="X234" s="86">
        <v>12611568</v>
      </c>
      <c r="Y234" s="86">
        <v>12611568</v>
      </c>
      <c r="Z234" s="86">
        <v>13874307</v>
      </c>
      <c r="AA234" s="86">
        <v>304522471</v>
      </c>
      <c r="AB234" s="86">
        <v>198534776</v>
      </c>
      <c r="AC234" s="86">
        <v>198534776</v>
      </c>
      <c r="AD234" s="86">
        <v>199429722</v>
      </c>
      <c r="AE234" s="86">
        <v>247216018</v>
      </c>
      <c r="AF234" s="86">
        <v>11095570</v>
      </c>
      <c r="AG234" s="86">
        <v>11095570</v>
      </c>
      <c r="AH234" s="86">
        <v>11248996</v>
      </c>
    </row>
    <row r="235" spans="2:34">
      <c r="B235" s="42" t="s">
        <v>1087</v>
      </c>
      <c r="C235" s="1282" t="s">
        <v>2296</v>
      </c>
      <c r="D235" s="86">
        <v>543233087</v>
      </c>
      <c r="E235" s="86">
        <v>167021201</v>
      </c>
      <c r="F235" s="86"/>
      <c r="G235" s="86">
        <v>2322217437</v>
      </c>
      <c r="H235" s="86">
        <v>9088366583</v>
      </c>
      <c r="I235" s="86">
        <v>866138910</v>
      </c>
      <c r="J235" s="86">
        <v>5210518761</v>
      </c>
      <c r="K235" s="86">
        <v>7158196149</v>
      </c>
      <c r="L235" s="86">
        <v>840325583</v>
      </c>
      <c r="M235" s="86">
        <v>3146812744</v>
      </c>
      <c r="N235" s="86">
        <v>5331196925</v>
      </c>
      <c r="O235" s="86">
        <v>8960470761</v>
      </c>
      <c r="P235" s="86">
        <v>1582253987</v>
      </c>
      <c r="Q235" s="86">
        <v>5741104032</v>
      </c>
      <c r="R235" s="86">
        <v>9601764446</v>
      </c>
      <c r="S235" s="86">
        <v>19145966192</v>
      </c>
      <c r="T235" s="86">
        <v>1116948295</v>
      </c>
      <c r="U235" s="86">
        <v>7034520542</v>
      </c>
      <c r="V235" s="86">
        <v>13644516205</v>
      </c>
      <c r="W235" s="86">
        <v>20904593360</v>
      </c>
      <c r="X235" s="86">
        <v>2227225504</v>
      </c>
      <c r="Y235" s="86">
        <v>3541607064</v>
      </c>
      <c r="Z235" s="86">
        <v>6156848133</v>
      </c>
      <c r="AA235" s="86">
        <v>8107960670</v>
      </c>
      <c r="AB235" s="86">
        <v>308318408</v>
      </c>
      <c r="AC235" s="86">
        <v>1153109518</v>
      </c>
      <c r="AD235" s="86">
        <v>1765073050</v>
      </c>
      <c r="AE235" s="86">
        <v>2923461395</v>
      </c>
      <c r="AF235" s="86">
        <v>1563064623</v>
      </c>
      <c r="AG235" s="86">
        <v>4049083015</v>
      </c>
      <c r="AH235" s="86">
        <v>4797604756</v>
      </c>
    </row>
    <row r="236" spans="2:34">
      <c r="B236" s="42" t="s">
        <v>943</v>
      </c>
      <c r="C236" s="42" t="s">
        <v>943</v>
      </c>
      <c r="D236" s="86">
        <v>0</v>
      </c>
      <c r="E236" s="86">
        <v>0</v>
      </c>
      <c r="F236" s="86"/>
      <c r="G236" s="86">
        <v>0</v>
      </c>
      <c r="H236" s="86">
        <v>0</v>
      </c>
      <c r="I236" s="86">
        <v>0</v>
      </c>
      <c r="J236" s="86">
        <v>0</v>
      </c>
      <c r="K236" s="86">
        <v>0</v>
      </c>
      <c r="L236" s="86">
        <v>0</v>
      </c>
      <c r="M236" s="86">
        <v>0</v>
      </c>
      <c r="N236" s="86">
        <v>0</v>
      </c>
      <c r="O236" s="86">
        <v>0</v>
      </c>
      <c r="P236" s="86">
        <v>0</v>
      </c>
      <c r="Q236" s="86">
        <v>0</v>
      </c>
      <c r="R236" s="86">
        <v>0</v>
      </c>
      <c r="S236" s="86">
        <v>0</v>
      </c>
      <c r="T236" s="86">
        <v>0</v>
      </c>
      <c r="U236" s="86">
        <v>0</v>
      </c>
      <c r="V236" s="86">
        <v>0</v>
      </c>
      <c r="W236" s="86">
        <v>0</v>
      </c>
      <c r="X236" s="86">
        <v>0</v>
      </c>
      <c r="Y236" s="86">
        <v>0</v>
      </c>
      <c r="Z236" s="86">
        <v>0</v>
      </c>
      <c r="AA236" s="86">
        <v>0</v>
      </c>
      <c r="AB236" s="86">
        <v>0</v>
      </c>
      <c r="AC236" s="86">
        <v>0</v>
      </c>
      <c r="AD236" s="86">
        <v>0</v>
      </c>
      <c r="AE236" s="86">
        <v>0</v>
      </c>
      <c r="AF236" s="86">
        <v>0</v>
      </c>
      <c r="AG236" s="86">
        <v>0</v>
      </c>
      <c r="AH236" s="86">
        <v>0</v>
      </c>
    </row>
    <row r="237" spans="2:34">
      <c r="B237" s="41" t="s">
        <v>1088</v>
      </c>
      <c r="C237" s="1281" t="s">
        <v>2297</v>
      </c>
      <c r="D237" s="86">
        <v>46190715991</v>
      </c>
      <c r="E237" s="86">
        <v>38205191653</v>
      </c>
      <c r="F237" s="86"/>
      <c r="G237" s="86">
        <v>40065923538</v>
      </c>
      <c r="H237" s="86">
        <v>45604627955</v>
      </c>
      <c r="I237" s="86">
        <v>120707906898</v>
      </c>
      <c r="J237" s="86">
        <v>38591411983</v>
      </c>
      <c r="K237" s="86">
        <v>83117357948</v>
      </c>
      <c r="L237" s="86">
        <v>12302815969</v>
      </c>
      <c r="M237" s="86">
        <v>12382200863</v>
      </c>
      <c r="N237" s="86">
        <v>40796519072</v>
      </c>
      <c r="O237" s="86">
        <v>41317583701</v>
      </c>
      <c r="P237" s="86">
        <v>1290284472</v>
      </c>
      <c r="Q237" s="86">
        <v>6379864712</v>
      </c>
      <c r="R237" s="86">
        <v>15622147603</v>
      </c>
      <c r="S237" s="86">
        <v>32113263986</v>
      </c>
      <c r="T237" s="86">
        <v>10603822869</v>
      </c>
      <c r="U237" s="86">
        <v>4948452821</v>
      </c>
      <c r="V237" s="86">
        <v>33165342183</v>
      </c>
      <c r="W237" s="86">
        <v>45262830373</v>
      </c>
      <c r="X237" s="86">
        <v>30106859066</v>
      </c>
      <c r="Y237" s="86">
        <v>9614294886</v>
      </c>
      <c r="Z237" s="86">
        <v>48125672101</v>
      </c>
      <c r="AA237" s="86">
        <v>117786158385</v>
      </c>
      <c r="AB237" s="86">
        <v>50820423895</v>
      </c>
      <c r="AC237" s="86">
        <v>62517349349</v>
      </c>
      <c r="AD237" s="86">
        <v>20417160553</v>
      </c>
      <c r="AE237" s="86">
        <v>161854662413</v>
      </c>
      <c r="AF237" s="86">
        <v>6106525151</v>
      </c>
      <c r="AG237" s="86">
        <v>10364698135</v>
      </c>
      <c r="AH237" s="86">
        <v>18015074766</v>
      </c>
    </row>
    <row r="238" spans="2:34">
      <c r="B238" s="42" t="s">
        <v>1089</v>
      </c>
      <c r="C238" s="42" t="s">
        <v>1089</v>
      </c>
      <c r="D238" s="86">
        <v>16825932838</v>
      </c>
      <c r="E238" s="86">
        <v>35900372669</v>
      </c>
      <c r="F238" s="86"/>
      <c r="G238" s="86">
        <v>1054048860</v>
      </c>
      <c r="H238" s="86">
        <v>18395020838</v>
      </c>
      <c r="I238" s="86">
        <v>68318207730</v>
      </c>
      <c r="J238" s="86">
        <v>1942500</v>
      </c>
      <c r="K238" s="86">
        <v>18471865840</v>
      </c>
      <c r="L238" s="86">
        <v>9078811103</v>
      </c>
      <c r="M238" s="86">
        <v>5356914939</v>
      </c>
      <c r="N238" s="86">
        <v>25767395108</v>
      </c>
      <c r="O238" s="86">
        <v>28091446066</v>
      </c>
      <c r="P238" s="86">
        <v>0</v>
      </c>
      <c r="Q238" s="86">
        <v>1647168979</v>
      </c>
      <c r="R238" s="86">
        <v>5982216959</v>
      </c>
      <c r="S238" s="86">
        <v>9015182554</v>
      </c>
      <c r="T238" s="86">
        <v>392558523</v>
      </c>
      <c r="U238" s="86">
        <v>3677898721</v>
      </c>
      <c r="V238" s="86">
        <v>2454630998</v>
      </c>
      <c r="W238" s="86">
        <v>1968365513</v>
      </c>
      <c r="X238" s="86">
        <v>3658185020</v>
      </c>
      <c r="Y238" s="86">
        <v>12404344</v>
      </c>
      <c r="Z238" s="86">
        <v>11923298</v>
      </c>
      <c r="AA238" s="86">
        <v>6051160595</v>
      </c>
      <c r="AB238" s="86">
        <v>28542161866</v>
      </c>
      <c r="AC238" s="86">
        <v>43352794228</v>
      </c>
      <c r="AD238" s="86">
        <v>5979867852</v>
      </c>
      <c r="AE238" s="86">
        <v>126155802651</v>
      </c>
      <c r="AF238" s="86">
        <v>2876864543</v>
      </c>
      <c r="AG238" s="86">
        <v>6128627744</v>
      </c>
      <c r="AH238" s="86">
        <v>11975709422</v>
      </c>
    </row>
    <row r="239" spans="2:34">
      <c r="B239" s="42" t="s">
        <v>1090</v>
      </c>
      <c r="C239" s="42" t="s">
        <v>1090</v>
      </c>
      <c r="D239" s="86">
        <v>0</v>
      </c>
      <c r="E239" s="86">
        <v>0</v>
      </c>
      <c r="F239" s="86"/>
      <c r="G239" s="86">
        <v>0</v>
      </c>
      <c r="H239" s="86">
        <v>0</v>
      </c>
      <c r="I239" s="86">
        <v>0</v>
      </c>
      <c r="J239" s="86">
        <v>0</v>
      </c>
      <c r="K239" s="86">
        <v>0</v>
      </c>
      <c r="L239" s="86">
        <v>0</v>
      </c>
      <c r="M239" s="86">
        <v>0</v>
      </c>
      <c r="N239" s="86">
        <v>0</v>
      </c>
      <c r="O239" s="86">
        <v>0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6">
        <v>0</v>
      </c>
      <c r="V239" s="86">
        <v>0</v>
      </c>
      <c r="W239" s="86">
        <v>0</v>
      </c>
      <c r="X239" s="86">
        <v>0</v>
      </c>
      <c r="Y239" s="86">
        <v>0</v>
      </c>
      <c r="Z239" s="86">
        <v>0</v>
      </c>
      <c r="AA239" s="86">
        <v>0</v>
      </c>
      <c r="AB239" s="86">
        <v>0</v>
      </c>
      <c r="AC239" s="86">
        <v>0</v>
      </c>
      <c r="AD239" s="86">
        <v>0</v>
      </c>
      <c r="AE239" s="86">
        <v>0</v>
      </c>
      <c r="AF239" s="86">
        <v>0</v>
      </c>
      <c r="AG239" s="86">
        <v>0</v>
      </c>
      <c r="AH239" s="86">
        <v>0</v>
      </c>
    </row>
    <row r="240" spans="2:34">
      <c r="B240" s="42" t="s">
        <v>1091</v>
      </c>
      <c r="C240" s="42" t="s">
        <v>1091</v>
      </c>
      <c r="D240" s="86">
        <v>23681932979</v>
      </c>
      <c r="E240" s="86">
        <v>1390075747</v>
      </c>
      <c r="F240" s="86"/>
      <c r="G240" s="86">
        <v>33846067701</v>
      </c>
      <c r="H240" s="86">
        <v>27169752114</v>
      </c>
      <c r="I240" s="86">
        <v>51901630832</v>
      </c>
      <c r="J240" s="86">
        <v>38342507686</v>
      </c>
      <c r="K240" s="86">
        <v>61969564385</v>
      </c>
      <c r="L240" s="86">
        <v>3193882813</v>
      </c>
      <c r="M240" s="86">
        <v>7025285924</v>
      </c>
      <c r="N240" s="86">
        <v>15029123964</v>
      </c>
      <c r="O240" s="86">
        <v>13226137635</v>
      </c>
      <c r="P240" s="86">
        <v>1288665000</v>
      </c>
      <c r="Q240" s="86">
        <v>4732695733</v>
      </c>
      <c r="R240" s="86">
        <v>9520034393</v>
      </c>
      <c r="S240" s="86">
        <v>23077707652</v>
      </c>
      <c r="T240" s="86">
        <v>10211264346</v>
      </c>
      <c r="U240" s="86">
        <v>1270554100</v>
      </c>
      <c r="V240" s="86">
        <v>30710711185</v>
      </c>
      <c r="W240" s="86">
        <v>43294423787</v>
      </c>
      <c r="X240" s="86">
        <v>26448674046</v>
      </c>
      <c r="Y240" s="86">
        <v>9601890542</v>
      </c>
      <c r="Z240" s="86">
        <v>48113748803</v>
      </c>
      <c r="AA240" s="86">
        <v>111641045225</v>
      </c>
      <c r="AB240" s="86">
        <v>12134858960</v>
      </c>
      <c r="AC240" s="86">
        <v>3235061500</v>
      </c>
      <c r="AD240" s="86">
        <v>2902612205</v>
      </c>
      <c r="AE240" s="86">
        <v>3679282388</v>
      </c>
      <c r="AF240" s="86">
        <v>138915500</v>
      </c>
      <c r="AG240" s="86">
        <v>1053928362</v>
      </c>
      <c r="AH240" s="86">
        <v>640966500</v>
      </c>
    </row>
    <row r="241" spans="2:34">
      <c r="B241" s="42" t="s">
        <v>1092</v>
      </c>
      <c r="C241" s="42" t="s">
        <v>1092</v>
      </c>
      <c r="D241" s="86">
        <v>1672150770</v>
      </c>
      <c r="E241" s="86">
        <v>914743237</v>
      </c>
      <c r="F241" s="86"/>
      <c r="G241" s="86">
        <v>122183824</v>
      </c>
      <c r="H241" s="86">
        <v>39855003</v>
      </c>
      <c r="I241" s="86">
        <v>488068336</v>
      </c>
      <c r="J241" s="86">
        <v>246961797</v>
      </c>
      <c r="K241" s="86">
        <v>162444102</v>
      </c>
      <c r="L241" s="86">
        <v>30122053</v>
      </c>
      <c r="M241" s="86">
        <v>0</v>
      </c>
      <c r="N241" s="86">
        <v>0</v>
      </c>
      <c r="O241" s="86">
        <v>0</v>
      </c>
      <c r="P241" s="86">
        <v>0</v>
      </c>
      <c r="Q241" s="86">
        <v>0</v>
      </c>
      <c r="R241" s="86">
        <v>0</v>
      </c>
      <c r="S241" s="86">
        <v>0</v>
      </c>
      <c r="T241" s="86">
        <v>0</v>
      </c>
      <c r="U241" s="86">
        <v>0</v>
      </c>
      <c r="V241" s="86">
        <v>0</v>
      </c>
      <c r="W241" s="86">
        <v>41073</v>
      </c>
      <c r="X241" s="86">
        <v>0</v>
      </c>
      <c r="Y241" s="86">
        <v>0</v>
      </c>
      <c r="Z241" s="86">
        <v>0</v>
      </c>
      <c r="AA241" s="86">
        <v>11304000</v>
      </c>
      <c r="AB241" s="86">
        <v>10143403069</v>
      </c>
      <c r="AC241" s="86">
        <v>15929493621</v>
      </c>
      <c r="AD241" s="86">
        <v>11534680496</v>
      </c>
      <c r="AE241" s="86">
        <v>32019577374</v>
      </c>
      <c r="AF241" s="86">
        <v>2851275108</v>
      </c>
      <c r="AG241" s="86">
        <v>3182142029</v>
      </c>
      <c r="AH241" s="86">
        <v>5398398844</v>
      </c>
    </row>
    <row r="242" spans="2:34">
      <c r="B242" s="42" t="s">
        <v>1093</v>
      </c>
      <c r="C242" s="42" t="s">
        <v>1093</v>
      </c>
      <c r="D242" s="86">
        <v>4010699404</v>
      </c>
      <c r="E242" s="86">
        <v>0</v>
      </c>
      <c r="F242" s="86"/>
      <c r="G242" s="86">
        <v>5043623153</v>
      </c>
      <c r="H242" s="86">
        <v>0</v>
      </c>
      <c r="I242" s="86">
        <v>0</v>
      </c>
      <c r="J242" s="86">
        <v>0</v>
      </c>
      <c r="K242" s="86">
        <v>2513483621</v>
      </c>
      <c r="L242" s="86">
        <v>0</v>
      </c>
      <c r="M242" s="86">
        <v>0</v>
      </c>
      <c r="N242" s="86">
        <v>0</v>
      </c>
      <c r="O242" s="86">
        <v>0</v>
      </c>
      <c r="P242" s="86">
        <v>1619472</v>
      </c>
      <c r="Q242" s="86">
        <v>0</v>
      </c>
      <c r="R242" s="86">
        <v>119896251</v>
      </c>
      <c r="S242" s="86">
        <v>20373780</v>
      </c>
      <c r="T242" s="86">
        <v>0</v>
      </c>
      <c r="U242" s="86">
        <v>0</v>
      </c>
      <c r="V242" s="86">
        <v>0</v>
      </c>
      <c r="W242" s="86">
        <v>0</v>
      </c>
      <c r="X242" s="86">
        <v>0</v>
      </c>
      <c r="Y242" s="86">
        <v>0</v>
      </c>
      <c r="Z242" s="86">
        <v>0</v>
      </c>
      <c r="AA242" s="86">
        <v>82648565</v>
      </c>
      <c r="AB242" s="86">
        <v>0</v>
      </c>
      <c r="AC242" s="86">
        <v>0</v>
      </c>
      <c r="AD242" s="86">
        <v>0</v>
      </c>
      <c r="AE242" s="86">
        <v>0</v>
      </c>
      <c r="AF242" s="86">
        <v>0</v>
      </c>
      <c r="AG242" s="86">
        <v>0</v>
      </c>
      <c r="AH242" s="86">
        <v>0</v>
      </c>
    </row>
    <row r="243" spans="2:34">
      <c r="B243" s="42" t="s">
        <v>965</v>
      </c>
      <c r="C243" s="42" t="s">
        <v>965</v>
      </c>
      <c r="D243" s="86">
        <v>0</v>
      </c>
      <c r="E243" s="86">
        <v>0</v>
      </c>
      <c r="F243" s="86"/>
      <c r="G243" s="86">
        <v>0</v>
      </c>
      <c r="H243" s="86">
        <v>0</v>
      </c>
      <c r="I243" s="86">
        <v>0</v>
      </c>
      <c r="J243" s="86">
        <v>0</v>
      </c>
      <c r="K243" s="86">
        <v>0</v>
      </c>
      <c r="L243" s="86">
        <v>0</v>
      </c>
      <c r="M243" s="86">
        <v>0</v>
      </c>
      <c r="N243" s="86">
        <v>0</v>
      </c>
      <c r="O243" s="86">
        <v>0</v>
      </c>
      <c r="P243" s="86">
        <v>0</v>
      </c>
      <c r="Q243" s="86">
        <v>0</v>
      </c>
      <c r="R243" s="86">
        <v>0</v>
      </c>
      <c r="S243" s="86">
        <v>0</v>
      </c>
      <c r="T243" s="86">
        <v>0</v>
      </c>
      <c r="U243" s="86">
        <v>0</v>
      </c>
      <c r="V243" s="86">
        <v>0</v>
      </c>
      <c r="W243" s="86">
        <v>0</v>
      </c>
      <c r="X243" s="86">
        <v>0</v>
      </c>
      <c r="Y243" s="86">
        <v>0</v>
      </c>
      <c r="Z243" s="86">
        <v>0</v>
      </c>
      <c r="AA243" s="86">
        <v>0</v>
      </c>
      <c r="AB243" s="86">
        <v>0</v>
      </c>
      <c r="AC243" s="86">
        <v>0</v>
      </c>
      <c r="AD243" s="86">
        <v>0</v>
      </c>
      <c r="AE243" s="86">
        <v>0</v>
      </c>
      <c r="AF243" s="86">
        <v>239470000</v>
      </c>
      <c r="AG243" s="86">
        <v>0</v>
      </c>
      <c r="AH243" s="86">
        <v>0</v>
      </c>
    </row>
    <row r="244" spans="2:34">
      <c r="B244" s="41" t="s">
        <v>1094</v>
      </c>
      <c r="C244" s="1281" t="s">
        <v>2298</v>
      </c>
      <c r="D244" s="86">
        <v>649820451</v>
      </c>
      <c r="E244" s="86">
        <v>0</v>
      </c>
      <c r="F244" s="86"/>
      <c r="G244" s="86">
        <v>0</v>
      </c>
      <c r="H244" s="86">
        <v>0</v>
      </c>
      <c r="I244" s="86">
        <v>7021630</v>
      </c>
      <c r="J244" s="86">
        <v>5236765784</v>
      </c>
      <c r="K244" s="86">
        <v>9950863563</v>
      </c>
      <c r="L244" s="86">
        <v>0</v>
      </c>
      <c r="M244" s="86">
        <v>0</v>
      </c>
      <c r="N244" s="86">
        <v>1181817000</v>
      </c>
      <c r="O244" s="86">
        <v>1181817000</v>
      </c>
      <c r="P244" s="86">
        <v>289675430</v>
      </c>
      <c r="Q244" s="86">
        <v>359871457</v>
      </c>
      <c r="R244" s="86">
        <v>489421253</v>
      </c>
      <c r="S244" s="86">
        <v>1441864313</v>
      </c>
      <c r="T244" s="86">
        <v>2607922701</v>
      </c>
      <c r="U244" s="86">
        <v>5780543721</v>
      </c>
      <c r="V244" s="86">
        <v>7922369548</v>
      </c>
      <c r="W244" s="86">
        <v>8136477706</v>
      </c>
      <c r="X244" s="86">
        <v>2004729186</v>
      </c>
      <c r="Y244" s="86">
        <v>2761283571</v>
      </c>
      <c r="Z244" s="86">
        <v>3977371048</v>
      </c>
      <c r="AA244" s="86">
        <v>6747969682</v>
      </c>
      <c r="AB244" s="86">
        <v>909714562</v>
      </c>
      <c r="AC244" s="86">
        <v>1727189839</v>
      </c>
      <c r="AD244" s="86">
        <v>2208950853</v>
      </c>
      <c r="AE244" s="86">
        <v>2310712860</v>
      </c>
      <c r="AF244" s="86">
        <v>52717272</v>
      </c>
      <c r="AG244" s="86">
        <v>52717272</v>
      </c>
      <c r="AH244" s="86">
        <v>52717272</v>
      </c>
    </row>
    <row r="245" spans="2:34">
      <c r="B245" s="42" t="s">
        <v>1082</v>
      </c>
      <c r="C245" s="1277"/>
      <c r="D245" s="86">
        <v>570000000</v>
      </c>
      <c r="E245" s="86">
        <v>0</v>
      </c>
      <c r="F245" s="86"/>
      <c r="G245" s="86">
        <v>0</v>
      </c>
      <c r="H245" s="86">
        <v>0</v>
      </c>
      <c r="I245" s="86">
        <v>7021630</v>
      </c>
      <c r="J245" s="86">
        <v>5083732876</v>
      </c>
      <c r="K245" s="86">
        <v>9180230960</v>
      </c>
      <c r="L245" s="86">
        <v>0</v>
      </c>
      <c r="M245" s="86">
        <v>0</v>
      </c>
      <c r="N245" s="86">
        <v>1181817000</v>
      </c>
      <c r="O245" s="86">
        <v>1181817000</v>
      </c>
      <c r="P245" s="86">
        <v>0</v>
      </c>
      <c r="Q245" s="86">
        <v>0</v>
      </c>
      <c r="R245" s="86">
        <v>12926864</v>
      </c>
      <c r="S245" s="86">
        <v>697348425</v>
      </c>
      <c r="T245" s="86">
        <v>10579459</v>
      </c>
      <c r="U245" s="86">
        <v>10579459</v>
      </c>
      <c r="V245" s="86">
        <v>664587250</v>
      </c>
      <c r="W245" s="86">
        <v>689527135</v>
      </c>
      <c r="X245" s="86">
        <v>0</v>
      </c>
      <c r="Y245" s="86">
        <v>0</v>
      </c>
      <c r="Z245" s="86">
        <v>25869625</v>
      </c>
      <c r="AA245" s="86">
        <v>744508634</v>
      </c>
      <c r="AB245" s="86"/>
      <c r="AC245" s="86"/>
      <c r="AD245" s="86"/>
      <c r="AE245" s="86"/>
      <c r="AF245" s="86"/>
      <c r="AG245" s="86"/>
      <c r="AH245" s="86"/>
    </row>
    <row r="246" spans="2:34">
      <c r="B246" s="42" t="s">
        <v>1095</v>
      </c>
      <c r="C246" s="42" t="s">
        <v>1100</v>
      </c>
      <c r="D246" s="86">
        <v>4456189</v>
      </c>
      <c r="E246" s="86">
        <v>0</v>
      </c>
      <c r="F246" s="86"/>
      <c r="G246" s="86">
        <v>0</v>
      </c>
      <c r="H246" s="86">
        <v>0</v>
      </c>
      <c r="I246" s="86">
        <v>0</v>
      </c>
      <c r="J246" s="86">
        <v>0</v>
      </c>
      <c r="K246" s="86">
        <v>0</v>
      </c>
      <c r="L246" s="86">
        <v>0</v>
      </c>
      <c r="M246" s="86">
        <v>0</v>
      </c>
      <c r="N246" s="86">
        <v>0</v>
      </c>
      <c r="O246" s="86">
        <v>0</v>
      </c>
      <c r="P246" s="86">
        <v>0</v>
      </c>
      <c r="Q246" s="86">
        <v>0</v>
      </c>
      <c r="R246" s="86">
        <v>0</v>
      </c>
      <c r="S246" s="86">
        <v>0</v>
      </c>
      <c r="T246" s="86">
        <v>0</v>
      </c>
      <c r="U246" s="86">
        <v>0</v>
      </c>
      <c r="V246" s="86">
        <v>1358449970</v>
      </c>
      <c r="W246" s="86">
        <v>1462778243</v>
      </c>
      <c r="X246" s="86">
        <v>292072388</v>
      </c>
      <c r="Y246" s="86">
        <v>676291670</v>
      </c>
      <c r="Z246" s="86">
        <v>1823023844</v>
      </c>
      <c r="AA246" s="86">
        <v>3526949598</v>
      </c>
      <c r="AB246" s="86">
        <v>909714562</v>
      </c>
      <c r="AC246" s="86">
        <v>1727189839</v>
      </c>
      <c r="AD246" s="86">
        <v>2208950853</v>
      </c>
      <c r="AE246" s="86">
        <v>2310712860</v>
      </c>
      <c r="AF246" s="86">
        <v>52717272</v>
      </c>
      <c r="AG246" s="86">
        <v>52717272</v>
      </c>
      <c r="AH246" s="86">
        <v>52717272</v>
      </c>
    </row>
    <row r="247" spans="2:34">
      <c r="B247" s="42" t="s">
        <v>1096</v>
      </c>
      <c r="C247" s="42" t="s">
        <v>2299</v>
      </c>
      <c r="D247" s="86">
        <v>1122195</v>
      </c>
      <c r="E247" s="86">
        <v>0</v>
      </c>
      <c r="F247" s="86"/>
      <c r="G247" s="86">
        <v>0</v>
      </c>
      <c r="H247" s="86">
        <v>0</v>
      </c>
      <c r="I247" s="86">
        <v>0</v>
      </c>
      <c r="J247" s="86">
        <v>153032908</v>
      </c>
      <c r="K247" s="86">
        <v>770631603</v>
      </c>
      <c r="L247" s="86">
        <v>0</v>
      </c>
      <c r="M247" s="86">
        <v>0</v>
      </c>
      <c r="N247" s="86">
        <v>0</v>
      </c>
      <c r="O247" s="86">
        <v>0</v>
      </c>
      <c r="P247" s="86">
        <v>289675430</v>
      </c>
      <c r="Q247" s="86">
        <v>359871457</v>
      </c>
      <c r="R247" s="86">
        <v>476494389</v>
      </c>
      <c r="S247" s="86">
        <v>744515888</v>
      </c>
      <c r="T247" s="86">
        <v>2597343242</v>
      </c>
      <c r="U247" s="86">
        <v>5769964262</v>
      </c>
      <c r="V247" s="86">
        <v>5899332328</v>
      </c>
      <c r="W247" s="86">
        <v>5984172328</v>
      </c>
      <c r="X247" s="86">
        <v>1712656798</v>
      </c>
      <c r="Y247" s="86">
        <v>2084991901</v>
      </c>
      <c r="Z247" s="86">
        <v>2128477579</v>
      </c>
      <c r="AA247" s="86">
        <v>2476511450</v>
      </c>
      <c r="AB247" s="86">
        <v>0</v>
      </c>
      <c r="AC247" s="86">
        <v>0</v>
      </c>
      <c r="AD247" s="86">
        <v>0</v>
      </c>
      <c r="AE247" s="86">
        <v>0</v>
      </c>
      <c r="AF247" s="86">
        <v>0</v>
      </c>
      <c r="AG247" s="86">
        <v>0</v>
      </c>
      <c r="AH247" s="86">
        <v>0</v>
      </c>
    </row>
    <row r="248" spans="2:34">
      <c r="B248" s="42" t="s">
        <v>1097</v>
      </c>
      <c r="C248" s="42" t="s">
        <v>2300</v>
      </c>
      <c r="D248" s="86">
        <v>0</v>
      </c>
      <c r="E248" s="86">
        <v>0</v>
      </c>
      <c r="F248" s="86"/>
      <c r="G248" s="86">
        <v>0</v>
      </c>
      <c r="H248" s="86">
        <v>0</v>
      </c>
      <c r="I248" s="86">
        <v>0</v>
      </c>
      <c r="J248" s="86">
        <v>0</v>
      </c>
      <c r="K248" s="86">
        <v>0</v>
      </c>
      <c r="L248" s="86">
        <v>0</v>
      </c>
      <c r="M248" s="86">
        <v>0</v>
      </c>
      <c r="N248" s="86">
        <v>0</v>
      </c>
      <c r="O248" s="86">
        <v>0</v>
      </c>
      <c r="P248" s="86">
        <v>0</v>
      </c>
      <c r="Q248" s="86">
        <v>0</v>
      </c>
      <c r="R248" s="86">
        <v>0</v>
      </c>
      <c r="S248" s="86">
        <v>0</v>
      </c>
      <c r="T248" s="86">
        <v>0</v>
      </c>
      <c r="U248" s="86">
        <v>0</v>
      </c>
      <c r="V248" s="86">
        <v>0</v>
      </c>
      <c r="W248" s="86">
        <v>0</v>
      </c>
      <c r="X248" s="86">
        <v>0</v>
      </c>
      <c r="Y248" s="86">
        <v>0</v>
      </c>
      <c r="Z248" s="86">
        <v>0</v>
      </c>
      <c r="AA248" s="86">
        <v>0</v>
      </c>
      <c r="AB248" s="86">
        <v>0</v>
      </c>
      <c r="AC248" s="86">
        <v>0</v>
      </c>
      <c r="AD248" s="86">
        <v>0</v>
      </c>
      <c r="AE248" s="86">
        <v>0</v>
      </c>
      <c r="AF248" s="86">
        <v>0</v>
      </c>
      <c r="AG248" s="86">
        <v>0</v>
      </c>
      <c r="AH248" s="86">
        <v>0</v>
      </c>
    </row>
    <row r="249" spans="2:34">
      <c r="B249" s="42" t="s">
        <v>1098</v>
      </c>
      <c r="C249" s="1282" t="s">
        <v>2301</v>
      </c>
      <c r="D249" s="86">
        <v>0</v>
      </c>
      <c r="E249" s="86">
        <v>0</v>
      </c>
      <c r="F249" s="86"/>
      <c r="G249" s="86">
        <v>0</v>
      </c>
      <c r="H249" s="86">
        <v>0</v>
      </c>
      <c r="I249" s="86">
        <v>0</v>
      </c>
      <c r="J249" s="86">
        <v>0</v>
      </c>
      <c r="K249" s="86">
        <v>1000</v>
      </c>
      <c r="L249" s="86">
        <v>0</v>
      </c>
      <c r="M249" s="86">
        <v>0</v>
      </c>
      <c r="N249" s="86">
        <v>0</v>
      </c>
      <c r="O249" s="86">
        <v>0</v>
      </c>
      <c r="P249" s="86">
        <v>0</v>
      </c>
      <c r="Q249" s="86">
        <v>0</v>
      </c>
      <c r="R249" s="86">
        <v>0</v>
      </c>
      <c r="S249" s="86">
        <v>0</v>
      </c>
      <c r="T249" s="86">
        <v>0</v>
      </c>
      <c r="U249" s="86">
        <v>0</v>
      </c>
      <c r="V249" s="86">
        <v>0</v>
      </c>
      <c r="W249" s="86">
        <v>0</v>
      </c>
      <c r="X249" s="86">
        <v>0</v>
      </c>
      <c r="Y249" s="86">
        <v>0</v>
      </c>
      <c r="Z249" s="86">
        <v>0</v>
      </c>
      <c r="AA249" s="86">
        <v>0</v>
      </c>
      <c r="AB249" s="86">
        <v>0</v>
      </c>
      <c r="AC249" s="86">
        <v>0</v>
      </c>
      <c r="AD249" s="86">
        <v>0</v>
      </c>
      <c r="AE249" s="86">
        <v>0</v>
      </c>
      <c r="AF249" s="86">
        <v>0</v>
      </c>
      <c r="AG249" s="86">
        <v>0</v>
      </c>
      <c r="AH249" s="86">
        <v>0</v>
      </c>
    </row>
    <row r="250" spans="2:34">
      <c r="B250" s="42" t="s">
        <v>965</v>
      </c>
      <c r="C250" s="42" t="s">
        <v>1007</v>
      </c>
      <c r="D250" s="86">
        <v>74242067</v>
      </c>
      <c r="E250" s="86">
        <v>0</v>
      </c>
      <c r="F250" s="86"/>
      <c r="G250" s="86">
        <v>0</v>
      </c>
      <c r="H250" s="86">
        <v>0</v>
      </c>
      <c r="I250" s="86">
        <v>0</v>
      </c>
      <c r="J250" s="86">
        <v>0</v>
      </c>
      <c r="K250" s="86">
        <v>0</v>
      </c>
      <c r="L250" s="86">
        <v>0</v>
      </c>
      <c r="M250" s="86">
        <v>0</v>
      </c>
      <c r="N250" s="86">
        <v>0</v>
      </c>
      <c r="O250" s="86">
        <v>0</v>
      </c>
      <c r="P250" s="86">
        <v>0</v>
      </c>
      <c r="Q250" s="86">
        <v>0</v>
      </c>
      <c r="R250" s="86">
        <v>0</v>
      </c>
      <c r="S250" s="86">
        <v>0</v>
      </c>
      <c r="T250" s="86">
        <v>0</v>
      </c>
      <c r="U250" s="86">
        <v>0</v>
      </c>
      <c r="V250" s="86">
        <v>0</v>
      </c>
      <c r="W250" s="86">
        <v>0</v>
      </c>
      <c r="X250" s="86">
        <v>0</v>
      </c>
      <c r="Y250" s="86">
        <v>0</v>
      </c>
      <c r="Z250" s="86">
        <v>0</v>
      </c>
      <c r="AA250" s="86">
        <v>0</v>
      </c>
      <c r="AB250" s="86">
        <v>0</v>
      </c>
      <c r="AC250" s="86">
        <v>0</v>
      </c>
      <c r="AD250" s="86">
        <v>0</v>
      </c>
      <c r="AE250" s="86">
        <v>0</v>
      </c>
      <c r="AF250" s="86">
        <v>0</v>
      </c>
      <c r="AG250" s="86">
        <v>0</v>
      </c>
      <c r="AH250" s="86">
        <v>0</v>
      </c>
    </row>
    <row r="251" spans="2:34">
      <c r="B251" s="41" t="s">
        <v>1099</v>
      </c>
      <c r="C251" s="1281" t="s">
        <v>2302</v>
      </c>
      <c r="D251" s="86">
        <v>0</v>
      </c>
      <c r="E251" s="86">
        <v>0</v>
      </c>
      <c r="F251" s="86"/>
      <c r="G251" s="86">
        <v>0</v>
      </c>
      <c r="H251" s="86">
        <v>0</v>
      </c>
      <c r="I251" s="86">
        <v>0</v>
      </c>
      <c r="J251" s="86">
        <v>0</v>
      </c>
      <c r="K251" s="86">
        <v>0</v>
      </c>
      <c r="L251" s="86">
        <v>0</v>
      </c>
      <c r="M251" s="86">
        <v>0</v>
      </c>
      <c r="N251" s="86">
        <v>0</v>
      </c>
      <c r="O251" s="86">
        <v>0</v>
      </c>
      <c r="P251" s="86">
        <v>0</v>
      </c>
      <c r="Q251" s="86">
        <v>0</v>
      </c>
      <c r="R251" s="86">
        <v>0</v>
      </c>
      <c r="S251" s="86">
        <v>0</v>
      </c>
      <c r="T251" s="86">
        <v>0</v>
      </c>
      <c r="U251" s="86">
        <v>0</v>
      </c>
      <c r="V251" s="86">
        <v>0</v>
      </c>
      <c r="W251" s="86">
        <v>0</v>
      </c>
      <c r="X251" s="86">
        <v>0</v>
      </c>
      <c r="Y251" s="86">
        <v>0</v>
      </c>
      <c r="Z251" s="86">
        <v>0</v>
      </c>
      <c r="AA251" s="86">
        <v>0</v>
      </c>
      <c r="AB251" s="86">
        <v>0</v>
      </c>
      <c r="AC251" s="86">
        <v>0</v>
      </c>
      <c r="AD251" s="86">
        <v>0</v>
      </c>
      <c r="AE251" s="86">
        <v>0</v>
      </c>
      <c r="AF251" s="86">
        <v>0</v>
      </c>
      <c r="AG251" s="86">
        <v>0</v>
      </c>
      <c r="AH251" s="86">
        <v>0</v>
      </c>
    </row>
    <row r="252" spans="2:34">
      <c r="B252" s="42" t="s">
        <v>1100</v>
      </c>
      <c r="C252" s="42" t="s">
        <v>1100</v>
      </c>
      <c r="D252" s="86">
        <v>0</v>
      </c>
      <c r="E252" s="86">
        <v>0</v>
      </c>
      <c r="F252" s="86"/>
      <c r="G252" s="86">
        <v>0</v>
      </c>
      <c r="H252" s="86">
        <v>0</v>
      </c>
      <c r="I252" s="86">
        <v>0</v>
      </c>
      <c r="J252" s="86">
        <v>0</v>
      </c>
      <c r="K252" s="86">
        <v>0</v>
      </c>
      <c r="L252" s="86">
        <v>0</v>
      </c>
      <c r="M252" s="86">
        <v>0</v>
      </c>
      <c r="N252" s="86">
        <v>0</v>
      </c>
      <c r="O252" s="86">
        <v>0</v>
      </c>
      <c r="P252" s="86">
        <v>0</v>
      </c>
      <c r="Q252" s="86">
        <v>0</v>
      </c>
      <c r="R252" s="86">
        <v>0</v>
      </c>
      <c r="S252" s="86">
        <v>0</v>
      </c>
      <c r="T252" s="86">
        <v>0</v>
      </c>
      <c r="U252" s="86">
        <v>0</v>
      </c>
      <c r="V252" s="86">
        <v>0</v>
      </c>
      <c r="W252" s="86">
        <v>0</v>
      </c>
      <c r="X252" s="86">
        <v>0</v>
      </c>
      <c r="Y252" s="86">
        <v>0</v>
      </c>
      <c r="Z252" s="86">
        <v>0</v>
      </c>
      <c r="AA252" s="86">
        <v>0</v>
      </c>
      <c r="AB252" s="86">
        <v>0</v>
      </c>
      <c r="AC252" s="86">
        <v>0</v>
      </c>
      <c r="AD252" s="86">
        <v>0</v>
      </c>
      <c r="AE252" s="86">
        <v>0</v>
      </c>
      <c r="AF252" s="86">
        <v>0</v>
      </c>
      <c r="AG252" s="86">
        <v>0</v>
      </c>
      <c r="AH252" s="86">
        <v>0</v>
      </c>
    </row>
    <row r="253" spans="2:34">
      <c r="B253" s="42" t="s">
        <v>1101</v>
      </c>
      <c r="C253" s="42" t="s">
        <v>1101</v>
      </c>
      <c r="D253" s="86">
        <v>0</v>
      </c>
      <c r="E253" s="86">
        <v>0</v>
      </c>
      <c r="F253" s="86"/>
      <c r="G253" s="86">
        <v>0</v>
      </c>
      <c r="H253" s="86">
        <v>0</v>
      </c>
      <c r="I253" s="86">
        <v>0</v>
      </c>
      <c r="J253" s="86">
        <v>0</v>
      </c>
      <c r="K253" s="86">
        <v>0</v>
      </c>
      <c r="L253" s="86">
        <v>0</v>
      </c>
      <c r="M253" s="86">
        <v>0</v>
      </c>
      <c r="N253" s="86">
        <v>0</v>
      </c>
      <c r="O253" s="86">
        <v>0</v>
      </c>
      <c r="P253" s="86">
        <v>0</v>
      </c>
      <c r="Q253" s="86">
        <v>0</v>
      </c>
      <c r="R253" s="86">
        <v>0</v>
      </c>
      <c r="S253" s="86">
        <v>0</v>
      </c>
      <c r="T253" s="86">
        <v>0</v>
      </c>
      <c r="U253" s="86">
        <v>0</v>
      </c>
      <c r="V253" s="86">
        <v>0</v>
      </c>
      <c r="W253" s="86">
        <v>0</v>
      </c>
      <c r="X253" s="86">
        <v>0</v>
      </c>
      <c r="Y253" s="86">
        <v>0</v>
      </c>
      <c r="Z253" s="86">
        <v>0</v>
      </c>
      <c r="AA253" s="86">
        <v>0</v>
      </c>
      <c r="AB253" s="86">
        <v>0</v>
      </c>
      <c r="AC253" s="86">
        <v>0</v>
      </c>
      <c r="AD253" s="86">
        <v>0</v>
      </c>
      <c r="AE253" s="86">
        <v>0</v>
      </c>
      <c r="AF253" s="86">
        <v>0</v>
      </c>
      <c r="AG253" s="86">
        <v>0</v>
      </c>
      <c r="AH253" s="86">
        <v>0</v>
      </c>
    </row>
    <row r="254" spans="2:34">
      <c r="B254" s="42" t="s">
        <v>923</v>
      </c>
      <c r="C254" s="42" t="s">
        <v>923</v>
      </c>
      <c r="D254" s="86">
        <v>0</v>
      </c>
      <c r="E254" s="86">
        <v>0</v>
      </c>
      <c r="F254" s="86"/>
      <c r="G254" s="86">
        <v>0</v>
      </c>
      <c r="H254" s="86">
        <v>0</v>
      </c>
      <c r="I254" s="86">
        <v>0</v>
      </c>
      <c r="J254" s="86">
        <v>0</v>
      </c>
      <c r="K254" s="86">
        <v>0</v>
      </c>
      <c r="L254" s="86">
        <v>0</v>
      </c>
      <c r="M254" s="86">
        <v>0</v>
      </c>
      <c r="N254" s="86">
        <v>0</v>
      </c>
      <c r="O254" s="86">
        <v>0</v>
      </c>
      <c r="P254" s="86">
        <v>0</v>
      </c>
      <c r="Q254" s="86">
        <v>0</v>
      </c>
      <c r="R254" s="86">
        <v>0</v>
      </c>
      <c r="S254" s="86">
        <v>0</v>
      </c>
      <c r="T254" s="86">
        <v>0</v>
      </c>
      <c r="U254" s="86">
        <v>0</v>
      </c>
      <c r="V254" s="86">
        <v>0</v>
      </c>
      <c r="W254" s="86">
        <v>0</v>
      </c>
      <c r="X254" s="86">
        <v>0</v>
      </c>
      <c r="Y254" s="86">
        <v>0</v>
      </c>
      <c r="Z254" s="86">
        <v>0</v>
      </c>
      <c r="AA254" s="86">
        <v>0</v>
      </c>
      <c r="AB254" s="86">
        <v>0</v>
      </c>
      <c r="AC254" s="86">
        <v>0</v>
      </c>
      <c r="AD254" s="86">
        <v>0</v>
      </c>
      <c r="AE254" s="86">
        <v>0</v>
      </c>
      <c r="AF254" s="86">
        <v>0</v>
      </c>
      <c r="AG254" s="86">
        <v>0</v>
      </c>
      <c r="AH254" s="86">
        <v>0</v>
      </c>
    </row>
    <row r="255" spans="2:34">
      <c r="B255" s="41" t="s">
        <v>1102</v>
      </c>
      <c r="C255" s="1281" t="s">
        <v>2303</v>
      </c>
      <c r="D255" s="86">
        <v>5350000</v>
      </c>
      <c r="E255" s="86">
        <v>0</v>
      </c>
      <c r="F255" s="86"/>
      <c r="G255" s="86">
        <v>6786356100</v>
      </c>
      <c r="H255" s="86">
        <v>16471975771</v>
      </c>
      <c r="I255" s="86">
        <v>17849180254</v>
      </c>
      <c r="J255" s="86">
        <v>18969785380</v>
      </c>
      <c r="K255" s="86">
        <v>18766671086</v>
      </c>
      <c r="L255" s="86">
        <v>537317932</v>
      </c>
      <c r="M255" s="86">
        <v>1333881862</v>
      </c>
      <c r="N255" s="86">
        <v>1603685942</v>
      </c>
      <c r="O255" s="86">
        <v>9874644839</v>
      </c>
      <c r="P255" s="86">
        <v>9051312050</v>
      </c>
      <c r="Q255" s="86">
        <v>9231312050</v>
      </c>
      <c r="R255" s="86">
        <v>18499621464</v>
      </c>
      <c r="S255" s="86">
        <v>24839159009</v>
      </c>
      <c r="T255" s="86">
        <v>2010981953</v>
      </c>
      <c r="U255" s="86">
        <v>16682790531</v>
      </c>
      <c r="V255" s="86">
        <v>19878650712</v>
      </c>
      <c r="W255" s="86">
        <v>20265256396</v>
      </c>
      <c r="X255" s="86">
        <v>583591422</v>
      </c>
      <c r="Y255" s="86">
        <v>583591422</v>
      </c>
      <c r="Z255" s="86">
        <v>1320545763</v>
      </c>
      <c r="AA255" s="86">
        <v>1452538692</v>
      </c>
      <c r="AB255" s="86">
        <v>93391885</v>
      </c>
      <c r="AC255" s="86">
        <v>115405834</v>
      </c>
      <c r="AD255" s="86">
        <v>319493307</v>
      </c>
      <c r="AE255" s="86">
        <v>353606324</v>
      </c>
      <c r="AF255" s="86">
        <v>0</v>
      </c>
      <c r="AG255" s="86">
        <v>0</v>
      </c>
      <c r="AH255" s="86">
        <v>3470959</v>
      </c>
    </row>
    <row r="256" spans="2:34">
      <c r="B256" s="42" t="s">
        <v>1103</v>
      </c>
      <c r="C256" s="1277"/>
      <c r="D256" s="86">
        <v>0</v>
      </c>
      <c r="E256" s="86">
        <v>0</v>
      </c>
      <c r="F256" s="86"/>
      <c r="G256" s="86">
        <v>6786356100</v>
      </c>
      <c r="H256" s="86">
        <v>16157592949</v>
      </c>
      <c r="I256" s="86">
        <v>17813737014</v>
      </c>
      <c r="J256" s="86">
        <v>18969785380</v>
      </c>
      <c r="K256" s="86">
        <v>18766671086</v>
      </c>
      <c r="L256" s="86">
        <v>337255100</v>
      </c>
      <c r="M256" s="86">
        <v>1133819030</v>
      </c>
      <c r="N256" s="86">
        <v>1403623110</v>
      </c>
      <c r="O256" s="86">
        <v>6405762007</v>
      </c>
      <c r="P256" s="86">
        <v>8477595198</v>
      </c>
      <c r="Q256" s="86">
        <v>8657595198</v>
      </c>
      <c r="R256" s="86">
        <v>13451595198</v>
      </c>
      <c r="S256" s="86">
        <v>19163595198</v>
      </c>
      <c r="T256" s="86">
        <v>0</v>
      </c>
      <c r="U256" s="86">
        <v>6831915093</v>
      </c>
      <c r="V256" s="86">
        <v>9865628031</v>
      </c>
      <c r="W256" s="86">
        <v>9898332417</v>
      </c>
      <c r="X256" s="86">
        <v>86373122</v>
      </c>
      <c r="Y256" s="86">
        <v>86373122</v>
      </c>
      <c r="Z256" s="86">
        <v>675639346</v>
      </c>
      <c r="AA256" s="86">
        <v>675639346</v>
      </c>
      <c r="AB256" s="86"/>
      <c r="AC256" s="86"/>
      <c r="AD256" s="86"/>
      <c r="AE256" s="86"/>
      <c r="AF256" s="86"/>
      <c r="AG256" s="86"/>
      <c r="AH256" s="86"/>
    </row>
    <row r="257" spans="2:34">
      <c r="B257" s="42" t="s">
        <v>1104</v>
      </c>
      <c r="C257" s="1277" t="s">
        <v>2304</v>
      </c>
      <c r="D257" s="86">
        <v>0</v>
      </c>
      <c r="E257" s="86">
        <v>0</v>
      </c>
      <c r="F257" s="86"/>
      <c r="G257" s="86">
        <v>0</v>
      </c>
      <c r="H257" s="86">
        <v>0</v>
      </c>
      <c r="I257" s="86">
        <v>0</v>
      </c>
      <c r="J257" s="86">
        <v>0</v>
      </c>
      <c r="K257" s="86">
        <v>0</v>
      </c>
      <c r="L257" s="86">
        <v>0</v>
      </c>
      <c r="M257" s="86">
        <v>0</v>
      </c>
      <c r="N257" s="86">
        <v>0</v>
      </c>
      <c r="O257" s="86">
        <v>3268820000</v>
      </c>
      <c r="P257" s="86">
        <v>0</v>
      </c>
      <c r="Q257" s="86">
        <v>0</v>
      </c>
      <c r="R257" s="86">
        <v>0</v>
      </c>
      <c r="S257" s="86">
        <v>0</v>
      </c>
      <c r="T257" s="86">
        <v>0</v>
      </c>
      <c r="U257" s="86">
        <v>6731179000</v>
      </c>
      <c r="V257" s="86">
        <v>6731179000</v>
      </c>
      <c r="W257" s="86">
        <v>6731179000</v>
      </c>
      <c r="X257" s="86">
        <v>0</v>
      </c>
      <c r="Y257" s="86">
        <v>0</v>
      </c>
      <c r="Z257" s="86">
        <v>0</v>
      </c>
      <c r="AA257" s="86">
        <v>0</v>
      </c>
      <c r="AB257" s="86">
        <v>92791885</v>
      </c>
      <c r="AC257" s="86">
        <v>20305834</v>
      </c>
      <c r="AD257" s="86">
        <v>132593307</v>
      </c>
      <c r="AE257" s="86">
        <v>123866324</v>
      </c>
      <c r="AF257" s="86">
        <v>0</v>
      </c>
      <c r="AG257" s="86">
        <v>0</v>
      </c>
      <c r="AH257" s="86">
        <v>0</v>
      </c>
    </row>
    <row r="258" spans="2:34">
      <c r="B258" s="534" t="s">
        <v>923</v>
      </c>
      <c r="C258" s="1284" t="s">
        <v>2305</v>
      </c>
      <c r="D258" s="535">
        <v>5350000</v>
      </c>
      <c r="E258" s="535">
        <v>0</v>
      </c>
      <c r="F258" s="535"/>
      <c r="G258" s="535">
        <v>0</v>
      </c>
      <c r="H258" s="535">
        <v>314382822</v>
      </c>
      <c r="I258" s="535">
        <v>35443240</v>
      </c>
      <c r="J258" s="535">
        <v>0</v>
      </c>
      <c r="K258" s="535">
        <v>0</v>
      </c>
      <c r="L258" s="535">
        <v>200062832</v>
      </c>
      <c r="M258" s="535">
        <v>200062832</v>
      </c>
      <c r="N258" s="535">
        <v>200062832</v>
      </c>
      <c r="O258" s="535">
        <v>200062832</v>
      </c>
      <c r="P258" s="535">
        <v>573716852</v>
      </c>
      <c r="Q258" s="535">
        <v>573716852</v>
      </c>
      <c r="R258" s="535">
        <v>5048026266</v>
      </c>
      <c r="S258" s="535">
        <v>5675563811</v>
      </c>
      <c r="T258" s="535">
        <v>2010981953</v>
      </c>
      <c r="U258" s="535">
        <v>3119696438</v>
      </c>
      <c r="V258" s="535">
        <v>3281843681</v>
      </c>
      <c r="W258" s="535">
        <v>3635744979</v>
      </c>
      <c r="X258" s="535">
        <v>497218300</v>
      </c>
      <c r="Y258" s="535">
        <v>497218300</v>
      </c>
      <c r="Z258" s="535">
        <v>644906417</v>
      </c>
      <c r="AA258" s="535">
        <v>776899346</v>
      </c>
      <c r="AB258" s="535">
        <v>600000</v>
      </c>
      <c r="AC258" s="535">
        <v>95100000</v>
      </c>
      <c r="AD258" s="535">
        <v>186900000</v>
      </c>
      <c r="AE258" s="535">
        <v>229740000</v>
      </c>
      <c r="AF258" s="535">
        <v>0</v>
      </c>
      <c r="AG258" s="535">
        <v>0</v>
      </c>
      <c r="AH258" s="535">
        <v>3470959</v>
      </c>
    </row>
    <row r="259" spans="2:34">
      <c r="B259" s="41" t="s">
        <v>1105</v>
      </c>
      <c r="C259" s="41" t="s">
        <v>1105</v>
      </c>
      <c r="D259" s="86">
        <v>0</v>
      </c>
      <c r="E259" s="86">
        <v>2048562975</v>
      </c>
      <c r="F259" s="86"/>
      <c r="G259" s="86">
        <v>2736053450</v>
      </c>
      <c r="H259" s="86">
        <v>7346664761</v>
      </c>
      <c r="I259" s="86">
        <v>0</v>
      </c>
      <c r="J259" s="86">
        <v>1316285721</v>
      </c>
      <c r="K259" s="86">
        <v>0</v>
      </c>
      <c r="L259" s="86">
        <v>1277113597</v>
      </c>
      <c r="M259" s="86">
        <v>3713830693</v>
      </c>
      <c r="N259" s="86">
        <v>1989173107</v>
      </c>
      <c r="O259" s="86">
        <v>4630311933</v>
      </c>
      <c r="P259" s="86">
        <v>15516321808</v>
      </c>
      <c r="Q259" s="86">
        <v>11372061179</v>
      </c>
      <c r="R259" s="86">
        <v>1105246546</v>
      </c>
      <c r="S259" s="86">
        <v>7706701551</v>
      </c>
      <c r="T259" s="86">
        <v>6479061001</v>
      </c>
      <c r="U259" s="86">
        <v>7705490266</v>
      </c>
      <c r="V259" s="86">
        <v>15524103806</v>
      </c>
      <c r="W259" s="86">
        <v>16312600275</v>
      </c>
      <c r="X259" s="86">
        <v>19024882622</v>
      </c>
      <c r="Y259" s="86">
        <v>45721293426</v>
      </c>
      <c r="Z259" s="86">
        <v>52991087270</v>
      </c>
      <c r="AA259" s="86">
        <v>58675683030</v>
      </c>
      <c r="AB259" s="86">
        <v>6064453712</v>
      </c>
      <c r="AC259" s="86">
        <v>17262970978</v>
      </c>
      <c r="AD259" s="86">
        <v>13185992960</v>
      </c>
      <c r="AE259" s="86">
        <v>29929813482</v>
      </c>
      <c r="AF259" s="86">
        <v>31613754063</v>
      </c>
      <c r="AG259" s="86">
        <v>19813091662</v>
      </c>
      <c r="AH259" s="86">
        <v>19386810554</v>
      </c>
    </row>
    <row r="260" spans="2:34">
      <c r="B260" s="42" t="s">
        <v>1089</v>
      </c>
      <c r="C260" s="42" t="s">
        <v>1089</v>
      </c>
      <c r="D260" s="86">
        <v>0</v>
      </c>
      <c r="E260" s="86">
        <v>0</v>
      </c>
      <c r="F260" s="86"/>
      <c r="G260" s="86">
        <v>1097805384</v>
      </c>
      <c r="H260" s="86">
        <v>0</v>
      </c>
      <c r="I260" s="86">
        <v>0</v>
      </c>
      <c r="J260" s="86">
        <v>277173082</v>
      </c>
      <c r="K260" s="86">
        <v>0</v>
      </c>
      <c r="L260" s="86">
        <v>0</v>
      </c>
      <c r="M260" s="86">
        <v>4093926</v>
      </c>
      <c r="N260" s="86">
        <v>10114425</v>
      </c>
      <c r="O260" s="86">
        <v>1204465167</v>
      </c>
      <c r="P260" s="86">
        <v>15516321808</v>
      </c>
      <c r="Q260" s="86">
        <v>10207063081</v>
      </c>
      <c r="R260" s="86">
        <v>1105246546</v>
      </c>
      <c r="S260" s="86">
        <v>6655843635</v>
      </c>
      <c r="T260" s="86">
        <v>2908985683</v>
      </c>
      <c r="U260" s="86">
        <v>1010839610</v>
      </c>
      <c r="V260" s="86">
        <v>12561506730</v>
      </c>
      <c r="W260" s="86">
        <v>13985133998</v>
      </c>
      <c r="X260" s="86">
        <v>19024882622</v>
      </c>
      <c r="Y260" s="86">
        <v>43545254424</v>
      </c>
      <c r="Z260" s="86">
        <v>51600483665</v>
      </c>
      <c r="AA260" s="86">
        <v>56140611093</v>
      </c>
      <c r="AB260" s="86">
        <v>0</v>
      </c>
      <c r="AC260" s="86">
        <v>0</v>
      </c>
      <c r="AD260" s="86">
        <v>0</v>
      </c>
      <c r="AE260" s="86">
        <v>0</v>
      </c>
      <c r="AF260" s="86">
        <v>16799540492</v>
      </c>
      <c r="AG260" s="86">
        <v>9703414162</v>
      </c>
      <c r="AH260" s="86">
        <v>10998150850</v>
      </c>
    </row>
    <row r="261" spans="2:34">
      <c r="B261" s="42" t="s">
        <v>1106</v>
      </c>
      <c r="C261" s="42" t="s">
        <v>1106</v>
      </c>
      <c r="D261" s="86">
        <v>0</v>
      </c>
      <c r="E261" s="86">
        <v>2048562975</v>
      </c>
      <c r="F261" s="86"/>
      <c r="G261" s="86">
        <v>1638248066</v>
      </c>
      <c r="H261" s="86">
        <v>7346664761</v>
      </c>
      <c r="I261" s="86">
        <v>0</v>
      </c>
      <c r="J261" s="86">
        <v>1039112639</v>
      </c>
      <c r="K261" s="86">
        <v>0</v>
      </c>
      <c r="L261" s="86">
        <v>1277113597</v>
      </c>
      <c r="M261" s="86">
        <v>3709736767</v>
      </c>
      <c r="N261" s="86">
        <v>1979058682</v>
      </c>
      <c r="O261" s="86">
        <v>3425846766</v>
      </c>
      <c r="P261" s="86">
        <v>0</v>
      </c>
      <c r="Q261" s="86">
        <v>1164998098</v>
      </c>
      <c r="R261" s="86">
        <v>0</v>
      </c>
      <c r="S261" s="86">
        <v>1050857916</v>
      </c>
      <c r="T261" s="86">
        <v>3570075318</v>
      </c>
      <c r="U261" s="86">
        <v>6694650656</v>
      </c>
      <c r="V261" s="86">
        <v>2962597076</v>
      </c>
      <c r="W261" s="86">
        <v>2327466277</v>
      </c>
      <c r="X261" s="86">
        <v>0</v>
      </c>
      <c r="Y261" s="86">
        <v>2176039002</v>
      </c>
      <c r="Z261" s="86">
        <v>1390603605</v>
      </c>
      <c r="AA261" s="86">
        <v>2535071937</v>
      </c>
      <c r="AB261" s="86">
        <v>6064453712</v>
      </c>
      <c r="AC261" s="86">
        <v>17262970978</v>
      </c>
      <c r="AD261" s="86">
        <v>13185992960</v>
      </c>
      <c r="AE261" s="86">
        <v>29929813482</v>
      </c>
      <c r="AF261" s="86">
        <v>14814213571</v>
      </c>
      <c r="AG261" s="86">
        <v>10109677500</v>
      </c>
      <c r="AH261" s="86">
        <v>8388659704</v>
      </c>
    </row>
    <row r="262" spans="2:34">
      <c r="B262" s="42" t="s">
        <v>923</v>
      </c>
      <c r="C262" s="42" t="s">
        <v>923</v>
      </c>
      <c r="D262" s="86">
        <v>0</v>
      </c>
      <c r="E262" s="86">
        <v>0</v>
      </c>
      <c r="F262" s="86"/>
      <c r="G262" s="86">
        <v>0</v>
      </c>
      <c r="H262" s="86">
        <v>0</v>
      </c>
      <c r="I262" s="86">
        <v>0</v>
      </c>
      <c r="J262" s="86">
        <v>0</v>
      </c>
      <c r="K262" s="86">
        <v>0</v>
      </c>
      <c r="L262" s="86">
        <v>0</v>
      </c>
      <c r="M262" s="86">
        <v>0</v>
      </c>
      <c r="N262" s="86">
        <v>0</v>
      </c>
      <c r="O262" s="86">
        <v>0</v>
      </c>
      <c r="P262" s="86">
        <v>0</v>
      </c>
      <c r="Q262" s="86">
        <v>0</v>
      </c>
      <c r="R262" s="86">
        <v>0</v>
      </c>
      <c r="S262" s="86">
        <v>0</v>
      </c>
      <c r="T262" s="86">
        <v>0</v>
      </c>
      <c r="U262" s="86">
        <v>0</v>
      </c>
      <c r="V262" s="86">
        <v>0</v>
      </c>
      <c r="W262" s="86">
        <v>0</v>
      </c>
      <c r="X262" s="86">
        <v>0</v>
      </c>
      <c r="Y262" s="86">
        <v>0</v>
      </c>
      <c r="Z262" s="86">
        <v>0</v>
      </c>
      <c r="AA262" s="86">
        <v>0</v>
      </c>
      <c r="AB262" s="86">
        <v>0</v>
      </c>
      <c r="AC262" s="86">
        <v>0</v>
      </c>
      <c r="AD262" s="86">
        <v>0</v>
      </c>
      <c r="AE262" s="86">
        <v>0</v>
      </c>
      <c r="AF262" s="86">
        <v>0</v>
      </c>
      <c r="AG262" s="86">
        <v>0</v>
      </c>
      <c r="AH262" s="86">
        <v>0</v>
      </c>
    </row>
    <row r="263" spans="2:34">
      <c r="B263" s="41" t="s">
        <v>1107</v>
      </c>
      <c r="C263" s="41" t="s">
        <v>1107</v>
      </c>
      <c r="D263" s="86">
        <v>137298589</v>
      </c>
      <c r="E263" s="86">
        <v>64387892</v>
      </c>
      <c r="F263" s="86"/>
      <c r="G263" s="86">
        <v>171063116</v>
      </c>
      <c r="H263" s="86">
        <v>1058932247</v>
      </c>
      <c r="I263" s="86">
        <v>6192167892</v>
      </c>
      <c r="J263" s="86">
        <v>9328157303</v>
      </c>
      <c r="K263" s="86">
        <v>21517287642</v>
      </c>
      <c r="L263" s="86">
        <v>19412425384</v>
      </c>
      <c r="M263" s="86">
        <v>20675154690</v>
      </c>
      <c r="N263" s="86">
        <v>23079601786</v>
      </c>
      <c r="O263" s="86">
        <v>24113075275</v>
      </c>
      <c r="P263" s="86">
        <v>2323512892</v>
      </c>
      <c r="Q263" s="86">
        <v>2326505542</v>
      </c>
      <c r="R263" s="86">
        <v>4887745490</v>
      </c>
      <c r="S263" s="86">
        <v>4901751933</v>
      </c>
      <c r="T263" s="86">
        <v>37600000</v>
      </c>
      <c r="U263" s="86">
        <v>38433621</v>
      </c>
      <c r="V263" s="86">
        <v>92222105</v>
      </c>
      <c r="W263" s="86">
        <v>596645337</v>
      </c>
      <c r="X263" s="86">
        <v>217136976</v>
      </c>
      <c r="Y263" s="86">
        <v>266786182</v>
      </c>
      <c r="Z263" s="86">
        <v>266786182</v>
      </c>
      <c r="AA263" s="86">
        <v>1068398840</v>
      </c>
      <c r="AB263" s="86">
        <v>448773597</v>
      </c>
      <c r="AC263" s="86">
        <v>862114477</v>
      </c>
      <c r="AD263" s="86">
        <v>1488311514</v>
      </c>
      <c r="AE263" s="86">
        <v>1606225599</v>
      </c>
      <c r="AF263" s="86">
        <v>98988604</v>
      </c>
      <c r="AG263" s="86">
        <v>587564892</v>
      </c>
      <c r="AH263" s="86">
        <v>713303044</v>
      </c>
    </row>
    <row r="264" spans="2:34">
      <c r="B264" s="42" t="s">
        <v>934</v>
      </c>
      <c r="C264" s="42" t="s">
        <v>934</v>
      </c>
      <c r="D264" s="86">
        <v>0</v>
      </c>
      <c r="E264" s="86">
        <v>0</v>
      </c>
      <c r="F264" s="86"/>
      <c r="G264" s="86">
        <v>0</v>
      </c>
      <c r="H264" s="86">
        <v>0</v>
      </c>
      <c r="I264" s="86">
        <v>0</v>
      </c>
      <c r="J264" s="86">
        <v>0</v>
      </c>
      <c r="K264" s="86">
        <v>0</v>
      </c>
      <c r="L264" s="86">
        <v>0</v>
      </c>
      <c r="M264" s="86">
        <v>0</v>
      </c>
      <c r="N264" s="86">
        <v>0</v>
      </c>
      <c r="O264" s="86">
        <v>0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6">
        <v>0</v>
      </c>
      <c r="V264" s="86">
        <v>0</v>
      </c>
      <c r="W264" s="86">
        <v>0</v>
      </c>
      <c r="X264" s="86">
        <v>0</v>
      </c>
      <c r="Y264" s="86">
        <v>0</v>
      </c>
      <c r="Z264" s="86">
        <v>0</v>
      </c>
      <c r="AA264" s="86">
        <v>0</v>
      </c>
      <c r="AB264" s="86">
        <v>0</v>
      </c>
      <c r="AC264" s="86">
        <v>0</v>
      </c>
      <c r="AD264" s="86">
        <v>0</v>
      </c>
      <c r="AE264" s="86">
        <v>0</v>
      </c>
      <c r="AF264" s="86">
        <v>0</v>
      </c>
      <c r="AG264" s="86">
        <v>0</v>
      </c>
      <c r="AH264" s="86">
        <v>0</v>
      </c>
    </row>
    <row r="265" spans="2:34">
      <c r="B265" s="42" t="s">
        <v>935</v>
      </c>
      <c r="C265" s="42" t="s">
        <v>935</v>
      </c>
      <c r="D265" s="86">
        <v>137298589</v>
      </c>
      <c r="E265" s="86">
        <v>64387892</v>
      </c>
      <c r="F265" s="86"/>
      <c r="G265" s="86">
        <v>171063116</v>
      </c>
      <c r="H265" s="86">
        <v>1058932247</v>
      </c>
      <c r="I265" s="86">
        <v>6192167892</v>
      </c>
      <c r="J265" s="86">
        <v>9328157303</v>
      </c>
      <c r="K265" s="86">
        <v>21517287642</v>
      </c>
      <c r="L265" s="86">
        <v>19412425384</v>
      </c>
      <c r="M265" s="86">
        <v>20675154690</v>
      </c>
      <c r="N265" s="86">
        <v>23079601786</v>
      </c>
      <c r="O265" s="86">
        <v>24113075275</v>
      </c>
      <c r="P265" s="86">
        <v>2323512892</v>
      </c>
      <c r="Q265" s="86">
        <v>2326505542</v>
      </c>
      <c r="R265" s="86">
        <v>4887745490</v>
      </c>
      <c r="S265" s="86">
        <v>4901751933</v>
      </c>
      <c r="T265" s="86">
        <v>37600000</v>
      </c>
      <c r="U265" s="86">
        <v>38433621</v>
      </c>
      <c r="V265" s="86">
        <v>92222105</v>
      </c>
      <c r="W265" s="86">
        <v>596645337</v>
      </c>
      <c r="X265" s="86">
        <v>217136976</v>
      </c>
      <c r="Y265" s="86">
        <v>266786182</v>
      </c>
      <c r="Z265" s="86">
        <v>266786182</v>
      </c>
      <c r="AA265" s="86">
        <v>1062370188</v>
      </c>
      <c r="AB265" s="86">
        <v>436730097</v>
      </c>
      <c r="AC265" s="86">
        <v>849815101</v>
      </c>
      <c r="AD265" s="86">
        <v>1476012138</v>
      </c>
      <c r="AE265" s="86">
        <v>1593926223</v>
      </c>
      <c r="AF265" s="86">
        <v>98988604</v>
      </c>
      <c r="AG265" s="86">
        <v>587564892</v>
      </c>
      <c r="AH265" s="86">
        <v>713303044</v>
      </c>
    </row>
    <row r="266" spans="2:34">
      <c r="B266" s="42" t="s">
        <v>923</v>
      </c>
      <c r="C266" s="42" t="s">
        <v>923</v>
      </c>
      <c r="D266" s="86">
        <v>0</v>
      </c>
      <c r="E266" s="86">
        <v>0</v>
      </c>
      <c r="F266" s="86"/>
      <c r="G266" s="86">
        <v>0</v>
      </c>
      <c r="H266" s="86">
        <v>0</v>
      </c>
      <c r="I266" s="86">
        <v>0</v>
      </c>
      <c r="J266" s="86">
        <v>0</v>
      </c>
      <c r="K266" s="86">
        <v>0</v>
      </c>
      <c r="L266" s="86">
        <v>0</v>
      </c>
      <c r="M266" s="86">
        <v>0</v>
      </c>
      <c r="N266" s="86">
        <v>0</v>
      </c>
      <c r="O266" s="86">
        <v>0</v>
      </c>
      <c r="P266" s="86">
        <v>0</v>
      </c>
      <c r="Q266" s="86">
        <v>0</v>
      </c>
      <c r="R266" s="86">
        <v>0</v>
      </c>
      <c r="S266" s="86">
        <v>0</v>
      </c>
      <c r="T266" s="86">
        <v>0</v>
      </c>
      <c r="U266" s="86">
        <v>0</v>
      </c>
      <c r="V266" s="86">
        <v>0</v>
      </c>
      <c r="W266" s="86">
        <v>0</v>
      </c>
      <c r="X266" s="86">
        <v>0</v>
      </c>
      <c r="Y266" s="86">
        <v>0</v>
      </c>
      <c r="Z266" s="86">
        <v>0</v>
      </c>
      <c r="AA266" s="86">
        <v>6028652</v>
      </c>
      <c r="AB266" s="86">
        <v>12043500</v>
      </c>
      <c r="AC266" s="86">
        <v>12299376</v>
      </c>
      <c r="AD266" s="86">
        <v>12299376</v>
      </c>
      <c r="AE266" s="86">
        <v>12299376</v>
      </c>
      <c r="AF266" s="86">
        <v>0</v>
      </c>
      <c r="AG266" s="86">
        <v>0</v>
      </c>
      <c r="AH266" s="86">
        <v>0</v>
      </c>
    </row>
    <row r="267" spans="2:34">
      <c r="B267" s="41" t="s">
        <v>1108</v>
      </c>
      <c r="C267" s="41" t="s">
        <v>1108</v>
      </c>
      <c r="D267" s="86">
        <v>16464744442</v>
      </c>
      <c r="E267" s="86">
        <v>14647293094</v>
      </c>
      <c r="F267" s="86"/>
      <c r="G267" s="86">
        <v>3030001854</v>
      </c>
      <c r="H267" s="86">
        <v>6158489283</v>
      </c>
      <c r="I267" s="86">
        <v>28066376545</v>
      </c>
      <c r="J267" s="86">
        <v>2709907968</v>
      </c>
      <c r="K267" s="86">
        <v>2027306400</v>
      </c>
      <c r="L267" s="86">
        <v>5861946165</v>
      </c>
      <c r="M267" s="86">
        <v>3442389568</v>
      </c>
      <c r="N267" s="86">
        <v>19785261107</v>
      </c>
      <c r="O267" s="86">
        <v>28776710953</v>
      </c>
      <c r="P267" s="86">
        <v>6074717610</v>
      </c>
      <c r="Q267" s="86">
        <v>27216540333</v>
      </c>
      <c r="R267" s="86">
        <v>150144305384</v>
      </c>
      <c r="S267" s="86">
        <v>114788589297</v>
      </c>
      <c r="T267" s="86">
        <v>23445347709</v>
      </c>
      <c r="U267" s="86">
        <v>39341136276</v>
      </c>
      <c r="V267" s="86">
        <v>5681921047</v>
      </c>
      <c r="W267" s="86">
        <v>4589800476</v>
      </c>
      <c r="X267" s="86">
        <v>3360944222</v>
      </c>
      <c r="Y267" s="86">
        <v>5939371254</v>
      </c>
      <c r="Z267" s="86">
        <v>5898963339</v>
      </c>
      <c r="AA267" s="86">
        <v>8846566969</v>
      </c>
      <c r="AB267" s="86">
        <v>10291889920</v>
      </c>
      <c r="AC267" s="86">
        <v>9320916371</v>
      </c>
      <c r="AD267" s="86">
        <v>3860835021</v>
      </c>
      <c r="AE267" s="86">
        <v>21774234059</v>
      </c>
      <c r="AF267" s="86">
        <v>5884378780</v>
      </c>
      <c r="AG267" s="86">
        <v>4262945818</v>
      </c>
      <c r="AH267" s="86">
        <v>4179375450</v>
      </c>
    </row>
    <row r="268" spans="2:34">
      <c r="B268" s="42" t="s">
        <v>934</v>
      </c>
      <c r="C268" s="42" t="s">
        <v>934</v>
      </c>
      <c r="D268" s="86">
        <v>16455378114</v>
      </c>
      <c r="E268" s="86">
        <v>14647293094</v>
      </c>
      <c r="F268" s="86"/>
      <c r="G268" s="86">
        <v>3030001854</v>
      </c>
      <c r="H268" s="86">
        <v>5730247626</v>
      </c>
      <c r="I268" s="86">
        <v>27700529659</v>
      </c>
      <c r="J268" s="86">
        <v>2509165654</v>
      </c>
      <c r="K268" s="86">
        <v>1237778561</v>
      </c>
      <c r="L268" s="86">
        <v>3466243759</v>
      </c>
      <c r="M268" s="86">
        <v>2021376636</v>
      </c>
      <c r="N268" s="86">
        <v>18709648242</v>
      </c>
      <c r="O268" s="86">
        <v>24914028173</v>
      </c>
      <c r="P268" s="86">
        <v>1348973025</v>
      </c>
      <c r="Q268" s="86">
        <v>22556880548</v>
      </c>
      <c r="R268" s="86">
        <v>150115466534</v>
      </c>
      <c r="S268" s="86">
        <v>109501976010</v>
      </c>
      <c r="T268" s="86">
        <v>23291308989</v>
      </c>
      <c r="U268" s="86">
        <v>39335037509</v>
      </c>
      <c r="V268" s="86">
        <v>2797852035</v>
      </c>
      <c r="W268" s="86">
        <v>1403386916</v>
      </c>
      <c r="X268" s="86">
        <v>2334444220</v>
      </c>
      <c r="Y268" s="86">
        <v>4687631877</v>
      </c>
      <c r="Z268" s="86">
        <v>5552943339</v>
      </c>
      <c r="AA268" s="86">
        <v>6784412594</v>
      </c>
      <c r="AB268" s="86">
        <v>8616696541</v>
      </c>
      <c r="AC268" s="86">
        <v>8804176637</v>
      </c>
      <c r="AD268" s="86">
        <v>3636527219</v>
      </c>
      <c r="AE268" s="86">
        <v>19427185928</v>
      </c>
      <c r="AF268" s="86">
        <v>782465897</v>
      </c>
      <c r="AG268" s="86">
        <v>3549741331</v>
      </c>
      <c r="AH268" s="86">
        <v>4179375450</v>
      </c>
    </row>
    <row r="269" spans="2:34">
      <c r="B269" s="42" t="s">
        <v>935</v>
      </c>
      <c r="C269" s="42" t="s">
        <v>935</v>
      </c>
      <c r="D269" s="86">
        <v>9366328</v>
      </c>
      <c r="E269" s="86">
        <v>0</v>
      </c>
      <c r="F269" s="86"/>
      <c r="G269" s="86">
        <v>0</v>
      </c>
      <c r="H269" s="86">
        <v>428241657</v>
      </c>
      <c r="I269" s="86">
        <v>0</v>
      </c>
      <c r="J269" s="86">
        <v>22355600</v>
      </c>
      <c r="K269" s="86">
        <v>667556696</v>
      </c>
      <c r="L269" s="86">
        <v>2375172406</v>
      </c>
      <c r="M269" s="86">
        <v>1419872932</v>
      </c>
      <c r="N269" s="86">
        <v>1075612865</v>
      </c>
      <c r="O269" s="86">
        <v>3862682780</v>
      </c>
      <c r="P269" s="86">
        <v>4725744585</v>
      </c>
      <c r="Q269" s="86">
        <v>4659659785</v>
      </c>
      <c r="R269" s="86">
        <v>28838850</v>
      </c>
      <c r="S269" s="86">
        <v>5286613287</v>
      </c>
      <c r="T269" s="86">
        <v>139350000</v>
      </c>
      <c r="U269" s="86">
        <v>6008827</v>
      </c>
      <c r="V269" s="86">
        <v>2488574400</v>
      </c>
      <c r="W269" s="86">
        <v>2501538500</v>
      </c>
      <c r="X269" s="86">
        <v>726936550</v>
      </c>
      <c r="Y269" s="86">
        <v>281195239</v>
      </c>
      <c r="Z269" s="86">
        <v>0</v>
      </c>
      <c r="AA269" s="86">
        <v>4375</v>
      </c>
      <c r="AB269" s="86">
        <v>1312956200</v>
      </c>
      <c r="AC269" s="86">
        <v>89700000</v>
      </c>
      <c r="AD269" s="86">
        <v>0</v>
      </c>
      <c r="AE269" s="86">
        <v>349446450</v>
      </c>
      <c r="AF269" s="86">
        <v>5101912883</v>
      </c>
      <c r="AG269" s="86">
        <v>693624487</v>
      </c>
      <c r="AH269" s="86">
        <v>0</v>
      </c>
    </row>
    <row r="270" spans="2:34">
      <c r="B270" s="42" t="s">
        <v>923</v>
      </c>
      <c r="C270" s="42" t="s">
        <v>923</v>
      </c>
      <c r="D270" s="86">
        <v>0</v>
      </c>
      <c r="E270" s="86">
        <v>0</v>
      </c>
      <c r="F270" s="86"/>
      <c r="G270" s="86">
        <v>0</v>
      </c>
      <c r="H270" s="86">
        <v>0</v>
      </c>
      <c r="I270" s="86">
        <v>365846886</v>
      </c>
      <c r="J270" s="86">
        <v>178386714</v>
      </c>
      <c r="K270" s="86">
        <v>121971143</v>
      </c>
      <c r="L270" s="86">
        <v>20530000</v>
      </c>
      <c r="M270" s="86">
        <v>1140000</v>
      </c>
      <c r="N270" s="86">
        <v>0</v>
      </c>
      <c r="O270" s="86">
        <v>0</v>
      </c>
      <c r="P270" s="86">
        <v>0</v>
      </c>
      <c r="Q270" s="86">
        <v>0</v>
      </c>
      <c r="R270" s="86">
        <v>0</v>
      </c>
      <c r="S270" s="86">
        <v>0</v>
      </c>
      <c r="T270" s="86">
        <v>14688720</v>
      </c>
      <c r="U270" s="86">
        <v>89940</v>
      </c>
      <c r="V270" s="86">
        <v>395494612</v>
      </c>
      <c r="W270" s="86">
        <v>684875060</v>
      </c>
      <c r="X270" s="86">
        <v>299563452</v>
      </c>
      <c r="Y270" s="86">
        <v>970544138</v>
      </c>
      <c r="Z270" s="86">
        <v>346020000</v>
      </c>
      <c r="AA270" s="86">
        <v>2062150000</v>
      </c>
      <c r="AB270" s="86">
        <v>362237179</v>
      </c>
      <c r="AC270" s="86">
        <v>427039734</v>
      </c>
      <c r="AD270" s="86">
        <v>224307802</v>
      </c>
      <c r="AE270" s="86">
        <v>1997601681</v>
      </c>
      <c r="AF270" s="86">
        <v>0</v>
      </c>
      <c r="AG270" s="86">
        <v>19580000</v>
      </c>
      <c r="AH270" s="86">
        <v>0</v>
      </c>
    </row>
    <row r="271" spans="2:34">
      <c r="B271" s="41" t="s">
        <v>1109</v>
      </c>
      <c r="C271" s="41" t="s">
        <v>1109</v>
      </c>
      <c r="D271" s="86">
        <v>1250670134</v>
      </c>
      <c r="E271" s="86">
        <v>372367583</v>
      </c>
      <c r="F271" s="86"/>
      <c r="G271" s="86">
        <v>1167908939</v>
      </c>
      <c r="H271" s="86">
        <v>11808753677</v>
      </c>
      <c r="I271" s="86">
        <v>6570743971</v>
      </c>
      <c r="J271" s="86">
        <v>28098628370</v>
      </c>
      <c r="K271" s="86">
        <v>43641333265</v>
      </c>
      <c r="L271" s="86">
        <v>29073548981</v>
      </c>
      <c r="M271" s="86">
        <v>48553176058</v>
      </c>
      <c r="N271" s="86">
        <v>68246121070</v>
      </c>
      <c r="O271" s="86">
        <v>90046325549</v>
      </c>
      <c r="P271" s="86">
        <v>39156377845</v>
      </c>
      <c r="Q271" s="86">
        <v>71353051362</v>
      </c>
      <c r="R271" s="86">
        <v>88477727220</v>
      </c>
      <c r="S271" s="86">
        <v>90347262960</v>
      </c>
      <c r="T271" s="86">
        <v>4853527551</v>
      </c>
      <c r="U271" s="86">
        <v>6452248255</v>
      </c>
      <c r="V271" s="86">
        <v>6906079646</v>
      </c>
      <c r="W271" s="86">
        <v>12728540704</v>
      </c>
      <c r="X271" s="86">
        <v>2825696701</v>
      </c>
      <c r="Y271" s="86">
        <v>9115031186</v>
      </c>
      <c r="Z271" s="86">
        <v>16366876142</v>
      </c>
      <c r="AA271" s="86">
        <v>24785376958</v>
      </c>
      <c r="AB271" s="86">
        <v>9170997097</v>
      </c>
      <c r="AC271" s="86">
        <v>13938906465</v>
      </c>
      <c r="AD271" s="86">
        <v>14611247509</v>
      </c>
      <c r="AE271" s="86">
        <v>17405927936</v>
      </c>
      <c r="AF271" s="86">
        <v>48223033488</v>
      </c>
      <c r="AG271" s="86">
        <v>79298412718</v>
      </c>
      <c r="AH271" s="86">
        <v>106209185184</v>
      </c>
    </row>
    <row r="272" spans="2:34">
      <c r="B272" s="42" t="s">
        <v>934</v>
      </c>
      <c r="C272" s="42" t="s">
        <v>934</v>
      </c>
      <c r="D272" s="86">
        <v>297709294</v>
      </c>
      <c r="E272" s="86">
        <v>333661478</v>
      </c>
      <c r="F272" s="86"/>
      <c r="G272" s="86">
        <v>868772602</v>
      </c>
      <c r="H272" s="86">
        <v>2844423335</v>
      </c>
      <c r="I272" s="86">
        <v>2008035138</v>
      </c>
      <c r="J272" s="86">
        <v>2070358138</v>
      </c>
      <c r="K272" s="86">
        <v>2688496649</v>
      </c>
      <c r="L272" s="86">
        <v>112565819</v>
      </c>
      <c r="M272" s="86">
        <v>358029871</v>
      </c>
      <c r="N272" s="86">
        <v>2427590917</v>
      </c>
      <c r="O272" s="86">
        <v>6672178990</v>
      </c>
      <c r="P272" s="86">
        <v>708205801</v>
      </c>
      <c r="Q272" s="86">
        <v>838287738</v>
      </c>
      <c r="R272" s="86">
        <v>1418296998</v>
      </c>
      <c r="S272" s="86">
        <v>1464552238</v>
      </c>
      <c r="T272" s="86">
        <v>233946501</v>
      </c>
      <c r="U272" s="86">
        <v>264943505</v>
      </c>
      <c r="V272" s="86">
        <v>318915903</v>
      </c>
      <c r="W272" s="86">
        <v>319116603</v>
      </c>
      <c r="X272" s="86">
        <v>14991963</v>
      </c>
      <c r="Y272" s="86">
        <v>494759843</v>
      </c>
      <c r="Z272" s="86">
        <v>494622963</v>
      </c>
      <c r="AA272" s="86">
        <v>505809963</v>
      </c>
      <c r="AB272" s="86">
        <v>7454114</v>
      </c>
      <c r="AC272" s="86">
        <v>8456856</v>
      </c>
      <c r="AD272" s="86">
        <v>18480737</v>
      </c>
      <c r="AE272" s="86">
        <v>42227851</v>
      </c>
      <c r="AF272" s="86">
        <v>3296014</v>
      </c>
      <c r="AG272" s="86">
        <v>3480514</v>
      </c>
      <c r="AH272" s="86">
        <v>6110514</v>
      </c>
    </row>
    <row r="273" spans="2:34">
      <c r="B273" s="42" t="s">
        <v>935</v>
      </c>
      <c r="C273" s="42" t="s">
        <v>935</v>
      </c>
      <c r="D273" s="86">
        <v>952960840</v>
      </c>
      <c r="E273" s="86">
        <v>38706105</v>
      </c>
      <c r="F273" s="86"/>
      <c r="G273" s="86">
        <v>299136337</v>
      </c>
      <c r="H273" s="86">
        <v>8964330342</v>
      </c>
      <c r="I273" s="86">
        <v>4562708833</v>
      </c>
      <c r="J273" s="86">
        <v>26028270232</v>
      </c>
      <c r="K273" s="86">
        <v>40952836616</v>
      </c>
      <c r="L273" s="86">
        <v>28960983162</v>
      </c>
      <c r="M273" s="86">
        <v>48195146187</v>
      </c>
      <c r="N273" s="86">
        <v>65685990153</v>
      </c>
      <c r="O273" s="86">
        <v>83241606559</v>
      </c>
      <c r="P273" s="86">
        <v>38448172044</v>
      </c>
      <c r="Q273" s="86">
        <v>70514763624</v>
      </c>
      <c r="R273" s="86">
        <v>87059430222</v>
      </c>
      <c r="S273" s="86">
        <v>88882710722</v>
      </c>
      <c r="T273" s="86">
        <v>4619581050</v>
      </c>
      <c r="U273" s="86">
        <v>6187304750</v>
      </c>
      <c r="V273" s="86">
        <v>6587163743</v>
      </c>
      <c r="W273" s="86">
        <v>12409424101</v>
      </c>
      <c r="X273" s="86">
        <v>2810704738</v>
      </c>
      <c r="Y273" s="86">
        <v>8620271343</v>
      </c>
      <c r="Z273" s="86">
        <v>15871812299</v>
      </c>
      <c r="AA273" s="86">
        <v>24279126115</v>
      </c>
      <c r="AB273" s="86">
        <v>9163542983</v>
      </c>
      <c r="AC273" s="86">
        <v>13930449609</v>
      </c>
      <c r="AD273" s="86">
        <v>14592766772</v>
      </c>
      <c r="AE273" s="86">
        <v>17363700085</v>
      </c>
      <c r="AF273" s="86">
        <v>48219737474</v>
      </c>
      <c r="AG273" s="86">
        <v>79294932204</v>
      </c>
      <c r="AH273" s="86">
        <v>106203074670</v>
      </c>
    </row>
    <row r="274" spans="2:34">
      <c r="B274" s="42" t="s">
        <v>923</v>
      </c>
      <c r="C274" s="42" t="s">
        <v>923</v>
      </c>
      <c r="D274" s="86">
        <v>0</v>
      </c>
      <c r="E274" s="86">
        <v>0</v>
      </c>
      <c r="F274" s="86"/>
      <c r="G274" s="86">
        <v>0</v>
      </c>
      <c r="H274" s="86">
        <v>0</v>
      </c>
      <c r="I274" s="86">
        <v>0</v>
      </c>
      <c r="J274" s="86">
        <v>0</v>
      </c>
      <c r="K274" s="86">
        <v>0</v>
      </c>
      <c r="L274" s="86">
        <v>0</v>
      </c>
      <c r="M274" s="86">
        <v>0</v>
      </c>
      <c r="N274" s="86">
        <v>132540000</v>
      </c>
      <c r="O274" s="86">
        <v>132540000</v>
      </c>
      <c r="P274" s="86">
        <v>0</v>
      </c>
      <c r="Q274" s="86">
        <v>0</v>
      </c>
      <c r="R274" s="86">
        <v>0</v>
      </c>
      <c r="S274" s="86">
        <v>0</v>
      </c>
      <c r="T274" s="86">
        <v>0</v>
      </c>
      <c r="U274" s="86">
        <v>0</v>
      </c>
      <c r="V274" s="86">
        <v>0</v>
      </c>
      <c r="W274" s="86">
        <v>0</v>
      </c>
      <c r="X274" s="86">
        <v>0</v>
      </c>
      <c r="Y274" s="86">
        <v>0</v>
      </c>
      <c r="Z274" s="86">
        <v>440880</v>
      </c>
      <c r="AA274" s="86">
        <v>440880</v>
      </c>
      <c r="AB274" s="86">
        <v>0</v>
      </c>
      <c r="AC274" s="86">
        <v>0</v>
      </c>
      <c r="AD274" s="86">
        <v>0</v>
      </c>
      <c r="AE274" s="86">
        <v>0</v>
      </c>
      <c r="AF274" s="86">
        <v>0</v>
      </c>
      <c r="AG274" s="86">
        <v>0</v>
      </c>
      <c r="AH274" s="86">
        <v>0</v>
      </c>
    </row>
    <row r="275" spans="2:34">
      <c r="B275" s="41" t="s">
        <v>1110</v>
      </c>
      <c r="C275" s="41" t="s">
        <v>1110</v>
      </c>
      <c r="D275" s="86">
        <v>59661310184</v>
      </c>
      <c r="E275" s="86">
        <v>30693080006</v>
      </c>
      <c r="F275" s="86"/>
      <c r="G275" s="86">
        <v>247023891163</v>
      </c>
      <c r="H275" s="86">
        <v>216798897101</v>
      </c>
      <c r="I275" s="86">
        <v>26966233686</v>
      </c>
      <c r="J275" s="86">
        <v>125251192549</v>
      </c>
      <c r="K275" s="86">
        <v>149694390242</v>
      </c>
      <c r="L275" s="86">
        <v>53878473416</v>
      </c>
      <c r="M275" s="86">
        <v>163453298370</v>
      </c>
      <c r="N275" s="86">
        <v>143696136154</v>
      </c>
      <c r="O275" s="86">
        <v>152709305947</v>
      </c>
      <c r="P275" s="86">
        <v>167734314658</v>
      </c>
      <c r="Q275" s="86">
        <v>119861985083</v>
      </c>
      <c r="R275" s="86">
        <v>31639944922</v>
      </c>
      <c r="S275" s="86">
        <v>56747755677</v>
      </c>
      <c r="T275" s="86">
        <v>46246495904</v>
      </c>
      <c r="U275" s="86">
        <v>87759480501</v>
      </c>
      <c r="V275" s="86">
        <v>314263323890</v>
      </c>
      <c r="W275" s="86">
        <v>385830385543</v>
      </c>
      <c r="X275" s="86">
        <v>359872659324</v>
      </c>
      <c r="Y275" s="86">
        <v>415027363596</v>
      </c>
      <c r="Z275" s="86">
        <v>410138712136</v>
      </c>
      <c r="AA275" s="86">
        <v>282387443745</v>
      </c>
      <c r="AB275" s="86">
        <v>58774297582</v>
      </c>
      <c r="AC275" s="86">
        <v>109143519351</v>
      </c>
      <c r="AD275" s="86">
        <v>227552899428</v>
      </c>
      <c r="AE275" s="86">
        <v>183934940004</v>
      </c>
      <c r="AF275" s="86">
        <v>708442180201</v>
      </c>
      <c r="AG275" s="86">
        <v>609430650069</v>
      </c>
      <c r="AH275" s="86">
        <v>477816060546</v>
      </c>
    </row>
    <row r="276" spans="2:34">
      <c r="B276" s="42" t="s">
        <v>983</v>
      </c>
      <c r="C276" s="42" t="s">
        <v>983</v>
      </c>
      <c r="D276" s="86">
        <v>55447397263</v>
      </c>
      <c r="E276" s="86">
        <v>28553340977</v>
      </c>
      <c r="F276" s="86"/>
      <c r="G276" s="86">
        <v>229296994322</v>
      </c>
      <c r="H276" s="86">
        <v>200301490976</v>
      </c>
      <c r="I276" s="86">
        <v>10663789004</v>
      </c>
      <c r="J276" s="86">
        <v>118183621696</v>
      </c>
      <c r="K276" s="86">
        <v>136074585397</v>
      </c>
      <c r="L276" s="86">
        <v>42405617766</v>
      </c>
      <c r="M276" s="86">
        <v>136877201012</v>
      </c>
      <c r="N276" s="86">
        <v>113194489600</v>
      </c>
      <c r="O276" s="86">
        <v>112958497906</v>
      </c>
      <c r="P276" s="86">
        <v>152566985919</v>
      </c>
      <c r="Q276" s="86">
        <v>112744109094</v>
      </c>
      <c r="R276" s="86">
        <v>28711089256</v>
      </c>
      <c r="S276" s="86">
        <v>54264522569</v>
      </c>
      <c r="T276" s="86">
        <v>34873663098</v>
      </c>
      <c r="U276" s="86">
        <v>67892959519</v>
      </c>
      <c r="V276" s="86">
        <v>285360348960</v>
      </c>
      <c r="W276" s="86">
        <v>365893215419</v>
      </c>
      <c r="X276" s="86">
        <v>334660175031</v>
      </c>
      <c r="Y276" s="86">
        <v>381410257685</v>
      </c>
      <c r="Z276" s="86">
        <v>362374285009</v>
      </c>
      <c r="AA276" s="86">
        <v>241776015618</v>
      </c>
      <c r="AB276" s="86">
        <v>44550094795</v>
      </c>
      <c r="AC276" s="86">
        <v>73786599406</v>
      </c>
      <c r="AD276" s="86">
        <v>181048127065</v>
      </c>
      <c r="AE276" s="86">
        <v>58534014802</v>
      </c>
      <c r="AF276" s="86">
        <v>606099441624</v>
      </c>
      <c r="AG276" s="86">
        <v>485057305297</v>
      </c>
      <c r="AH276" s="86">
        <v>317315428145</v>
      </c>
    </row>
    <row r="277" spans="2:34">
      <c r="B277" s="42" t="s">
        <v>984</v>
      </c>
      <c r="C277" s="42" t="s">
        <v>984</v>
      </c>
      <c r="D277" s="86">
        <v>708339085</v>
      </c>
      <c r="E277" s="86">
        <v>0</v>
      </c>
      <c r="F277" s="86"/>
      <c r="G277" s="86">
        <v>7892025043</v>
      </c>
      <c r="H277" s="86">
        <v>3851585869</v>
      </c>
      <c r="I277" s="86">
        <v>15602864415</v>
      </c>
      <c r="J277" s="86">
        <v>3235480797</v>
      </c>
      <c r="K277" s="86">
        <v>8843043610</v>
      </c>
      <c r="L277" s="86">
        <v>0</v>
      </c>
      <c r="M277" s="86">
        <v>0</v>
      </c>
      <c r="N277" s="86">
        <v>0</v>
      </c>
      <c r="O277" s="86">
        <v>0</v>
      </c>
      <c r="P277" s="86">
        <v>0</v>
      </c>
      <c r="Q277" s="86">
        <v>0</v>
      </c>
      <c r="R277" s="86">
        <v>0</v>
      </c>
      <c r="S277" s="86">
        <v>0</v>
      </c>
      <c r="T277" s="86">
        <v>0</v>
      </c>
      <c r="U277" s="86">
        <v>0</v>
      </c>
      <c r="V277" s="86">
        <v>0</v>
      </c>
      <c r="W277" s="86">
        <v>0</v>
      </c>
      <c r="X277" s="86">
        <v>0</v>
      </c>
      <c r="Y277" s="86">
        <v>0</v>
      </c>
      <c r="Z277" s="86">
        <v>0</v>
      </c>
      <c r="AA277" s="86">
        <v>0</v>
      </c>
      <c r="AB277" s="86">
        <v>0</v>
      </c>
      <c r="AC277" s="86">
        <v>0</v>
      </c>
      <c r="AD277" s="86">
        <v>0</v>
      </c>
      <c r="AE277" s="86">
        <v>0</v>
      </c>
      <c r="AF277" s="86">
        <v>0</v>
      </c>
      <c r="AG277" s="86">
        <v>0</v>
      </c>
      <c r="AH277" s="86">
        <v>0</v>
      </c>
    </row>
    <row r="278" spans="2:34">
      <c r="B278" s="42" t="s">
        <v>923</v>
      </c>
      <c r="C278" s="42" t="s">
        <v>923</v>
      </c>
      <c r="D278" s="86">
        <v>3505573836</v>
      </c>
      <c r="E278" s="86">
        <v>2139739029</v>
      </c>
      <c r="F278" s="86"/>
      <c r="G278" s="86">
        <v>9834871798</v>
      </c>
      <c r="H278" s="86">
        <v>12645820256</v>
      </c>
      <c r="I278" s="86">
        <v>699580267</v>
      </c>
      <c r="J278" s="86">
        <v>3832090056</v>
      </c>
      <c r="K278" s="86">
        <v>4776761235</v>
      </c>
      <c r="L278" s="86">
        <v>11472855650</v>
      </c>
      <c r="M278" s="86">
        <v>26576097358</v>
      </c>
      <c r="N278" s="86">
        <v>30501646554</v>
      </c>
      <c r="O278" s="86">
        <v>39750808041</v>
      </c>
      <c r="P278" s="86">
        <v>15167328739</v>
      </c>
      <c r="Q278" s="86">
        <v>7117875989</v>
      </c>
      <c r="R278" s="86">
        <v>2928855666</v>
      </c>
      <c r="S278" s="86">
        <v>2483233108</v>
      </c>
      <c r="T278" s="86">
        <v>11372832806</v>
      </c>
      <c r="U278" s="86">
        <v>19866520982</v>
      </c>
      <c r="V278" s="86">
        <v>28902974930</v>
      </c>
      <c r="W278" s="86">
        <v>19937170124</v>
      </c>
      <c r="X278" s="86">
        <v>25212484293</v>
      </c>
      <c r="Y278" s="86">
        <v>33617105911</v>
      </c>
      <c r="Z278" s="86">
        <v>47764427127</v>
      </c>
      <c r="AA278" s="86">
        <v>40611428127</v>
      </c>
      <c r="AB278" s="86">
        <v>14224202787</v>
      </c>
      <c r="AC278" s="86">
        <v>35356919945</v>
      </c>
      <c r="AD278" s="86">
        <v>46504772363</v>
      </c>
      <c r="AE278" s="86">
        <v>125400925202</v>
      </c>
      <c r="AF278" s="86">
        <v>102342738577</v>
      </c>
      <c r="AG278" s="86">
        <v>124373344772</v>
      </c>
      <c r="AH278" s="86">
        <v>160500632401</v>
      </c>
    </row>
    <row r="279" spans="2:34">
      <c r="B279" s="41" t="s">
        <v>1111</v>
      </c>
      <c r="C279" s="41" t="s">
        <v>1111</v>
      </c>
      <c r="D279" s="86">
        <v>215964857977</v>
      </c>
      <c r="E279" s="86">
        <v>23161195732</v>
      </c>
      <c r="F279" s="86"/>
      <c r="G279" s="86">
        <v>317423351507</v>
      </c>
      <c r="H279" s="86">
        <v>459394599740</v>
      </c>
      <c r="I279" s="86">
        <v>97544856941</v>
      </c>
      <c r="J279" s="86">
        <v>304217784495</v>
      </c>
      <c r="K279" s="86">
        <v>458080816259</v>
      </c>
      <c r="L279" s="86">
        <v>86975602238</v>
      </c>
      <c r="M279" s="86">
        <v>220701417431</v>
      </c>
      <c r="N279" s="86">
        <v>374435660720</v>
      </c>
      <c r="O279" s="86">
        <v>584901047814</v>
      </c>
      <c r="P279" s="86">
        <v>87528097241</v>
      </c>
      <c r="Q279" s="86">
        <v>285924310475</v>
      </c>
      <c r="R279" s="86">
        <v>451877040119</v>
      </c>
      <c r="S279" s="86">
        <v>568457059954</v>
      </c>
      <c r="T279" s="86">
        <v>41668876117</v>
      </c>
      <c r="U279" s="86">
        <v>203979378046</v>
      </c>
      <c r="V279" s="86">
        <v>377309967585</v>
      </c>
      <c r="W279" s="86">
        <v>560912561706</v>
      </c>
      <c r="X279" s="86">
        <v>241016120393</v>
      </c>
      <c r="Y279" s="86">
        <v>536773964675</v>
      </c>
      <c r="Z279" s="86">
        <v>808349993576</v>
      </c>
      <c r="AA279" s="86">
        <v>1271679719237</v>
      </c>
      <c r="AB279" s="86">
        <v>307858220644</v>
      </c>
      <c r="AC279" s="86">
        <v>477749593058</v>
      </c>
      <c r="AD279" s="86">
        <v>578943113626</v>
      </c>
      <c r="AE279" s="86">
        <v>947777578341</v>
      </c>
      <c r="AF279" s="86">
        <v>366688248701</v>
      </c>
      <c r="AG279" s="86">
        <v>923875058013</v>
      </c>
      <c r="AH279" s="86">
        <v>1476497829728</v>
      </c>
    </row>
    <row r="280" spans="2:34">
      <c r="B280" s="42" t="s">
        <v>983</v>
      </c>
      <c r="C280" s="42" t="s">
        <v>983</v>
      </c>
      <c r="D280" s="86">
        <v>79191571995</v>
      </c>
      <c r="E280" s="86">
        <v>14419721549</v>
      </c>
      <c r="F280" s="86"/>
      <c r="G280" s="86">
        <v>136894456217</v>
      </c>
      <c r="H280" s="86">
        <v>249250945522</v>
      </c>
      <c r="I280" s="86">
        <v>11893348544</v>
      </c>
      <c r="J280" s="86">
        <v>59286276473</v>
      </c>
      <c r="K280" s="86">
        <v>159412070553</v>
      </c>
      <c r="L280" s="86">
        <v>16690330223</v>
      </c>
      <c r="M280" s="86">
        <v>66121938380</v>
      </c>
      <c r="N280" s="86">
        <v>165088912197</v>
      </c>
      <c r="O280" s="86">
        <v>264644444733</v>
      </c>
      <c r="P280" s="86">
        <v>60009308575</v>
      </c>
      <c r="Q280" s="86">
        <v>167572687151</v>
      </c>
      <c r="R280" s="86">
        <v>244895088014</v>
      </c>
      <c r="S280" s="86">
        <v>284770323619</v>
      </c>
      <c r="T280" s="86">
        <v>30496623083</v>
      </c>
      <c r="U280" s="86">
        <v>66838364388</v>
      </c>
      <c r="V280" s="86">
        <v>183800928601</v>
      </c>
      <c r="W280" s="86">
        <v>291647091210</v>
      </c>
      <c r="X280" s="86">
        <v>147639825884</v>
      </c>
      <c r="Y280" s="86">
        <v>263562015931</v>
      </c>
      <c r="Z280" s="86">
        <v>472219931023</v>
      </c>
      <c r="AA280" s="86">
        <v>768460032716</v>
      </c>
      <c r="AB280" s="86">
        <v>37945906413</v>
      </c>
      <c r="AC280" s="86">
        <v>171020233640</v>
      </c>
      <c r="AD280" s="86">
        <v>215381936337</v>
      </c>
      <c r="AE280" s="86">
        <v>312384674184</v>
      </c>
      <c r="AF280" s="86">
        <v>175141375591</v>
      </c>
      <c r="AG280" s="86">
        <v>516802097466</v>
      </c>
      <c r="AH280" s="86">
        <v>797591153924</v>
      </c>
    </row>
    <row r="281" spans="2:34">
      <c r="B281" s="42" t="s">
        <v>984</v>
      </c>
      <c r="C281" s="42" t="s">
        <v>984</v>
      </c>
      <c r="D281" s="86">
        <v>132707174839</v>
      </c>
      <c r="E281" s="86">
        <v>939310202</v>
      </c>
      <c r="F281" s="86"/>
      <c r="G281" s="86">
        <v>156854225948</v>
      </c>
      <c r="H281" s="86">
        <v>181286973920</v>
      </c>
      <c r="I281" s="86">
        <v>77690011873</v>
      </c>
      <c r="J281" s="86">
        <v>228630400518</v>
      </c>
      <c r="K281" s="86">
        <v>274428219982</v>
      </c>
      <c r="L281" s="86">
        <v>62379177885</v>
      </c>
      <c r="M281" s="86">
        <v>138867141451</v>
      </c>
      <c r="N281" s="86">
        <v>185702914134</v>
      </c>
      <c r="O281" s="86">
        <v>291027467297</v>
      </c>
      <c r="P281" s="86">
        <v>21332529568</v>
      </c>
      <c r="Q281" s="86">
        <v>99172154484</v>
      </c>
      <c r="R281" s="86">
        <v>178307355209</v>
      </c>
      <c r="S281" s="86">
        <v>250182993375</v>
      </c>
      <c r="T281" s="86">
        <v>4307864151</v>
      </c>
      <c r="U281" s="86">
        <v>121145144353</v>
      </c>
      <c r="V281" s="86">
        <v>166670383076</v>
      </c>
      <c r="W281" s="86">
        <v>232415724263</v>
      </c>
      <c r="X281" s="86">
        <v>82335994924</v>
      </c>
      <c r="Y281" s="86">
        <v>248579631851</v>
      </c>
      <c r="Z281" s="86">
        <v>288290516431</v>
      </c>
      <c r="AA281" s="86">
        <v>414459881705</v>
      </c>
      <c r="AB281" s="86">
        <v>242947357654</v>
      </c>
      <c r="AC281" s="86">
        <v>259335853396</v>
      </c>
      <c r="AD281" s="86">
        <v>298004492645</v>
      </c>
      <c r="AE281" s="86">
        <v>556630708508</v>
      </c>
      <c r="AF281" s="86">
        <v>146593889495</v>
      </c>
      <c r="AG281" s="86">
        <v>286858998073</v>
      </c>
      <c r="AH281" s="86">
        <v>534267692947</v>
      </c>
    </row>
    <row r="282" spans="2:34">
      <c r="B282" s="42" t="s">
        <v>923</v>
      </c>
      <c r="C282" s="42" t="s">
        <v>923</v>
      </c>
      <c r="D282" s="86">
        <v>4066111143</v>
      </c>
      <c r="E282" s="86">
        <v>7802163981</v>
      </c>
      <c r="F282" s="86"/>
      <c r="G282" s="86">
        <v>23674669342</v>
      </c>
      <c r="H282" s="86">
        <v>28856680298</v>
      </c>
      <c r="I282" s="86">
        <v>7961496524</v>
      </c>
      <c r="J282" s="86">
        <v>16301107504</v>
      </c>
      <c r="K282" s="86">
        <v>24240525724</v>
      </c>
      <c r="L282" s="86">
        <v>7906094130</v>
      </c>
      <c r="M282" s="86">
        <v>15712337600</v>
      </c>
      <c r="N282" s="86">
        <v>23643834389</v>
      </c>
      <c r="O282" s="86">
        <v>29229135784</v>
      </c>
      <c r="P282" s="86">
        <v>6186259098</v>
      </c>
      <c r="Q282" s="86">
        <v>19179468840</v>
      </c>
      <c r="R282" s="86">
        <v>28674596896</v>
      </c>
      <c r="S282" s="86">
        <v>33503742960</v>
      </c>
      <c r="T282" s="86">
        <v>6864388883</v>
      </c>
      <c r="U282" s="86">
        <v>15995869305</v>
      </c>
      <c r="V282" s="86">
        <v>26838655908</v>
      </c>
      <c r="W282" s="86">
        <v>36849746233</v>
      </c>
      <c r="X282" s="86">
        <v>11040299585</v>
      </c>
      <c r="Y282" s="86">
        <v>24632316893</v>
      </c>
      <c r="Z282" s="86">
        <v>47839546122</v>
      </c>
      <c r="AA282" s="86">
        <v>88759804816</v>
      </c>
      <c r="AB282" s="86">
        <v>26964956577</v>
      </c>
      <c r="AC282" s="86">
        <v>47393506022</v>
      </c>
      <c r="AD282" s="86">
        <v>65556684644</v>
      </c>
      <c r="AE282" s="86">
        <v>78762195649</v>
      </c>
      <c r="AF282" s="86">
        <v>44952983615</v>
      </c>
      <c r="AG282" s="86">
        <v>120213962474</v>
      </c>
      <c r="AH282" s="86">
        <v>144638982857</v>
      </c>
    </row>
    <row r="283" spans="2:34">
      <c r="B283" s="40" t="s">
        <v>1112</v>
      </c>
      <c r="C283" s="40" t="s">
        <v>1112</v>
      </c>
      <c r="D283" s="87">
        <v>525757832048</v>
      </c>
      <c r="E283" s="87">
        <v>226814118457</v>
      </c>
      <c r="F283" s="87"/>
      <c r="G283" s="87">
        <v>725820946055</v>
      </c>
      <c r="H283" s="87">
        <v>955423870327</v>
      </c>
      <c r="I283" s="87">
        <v>701871715385</v>
      </c>
      <c r="J283" s="87">
        <v>588054643555</v>
      </c>
      <c r="K283" s="87">
        <v>853233496374</v>
      </c>
      <c r="L283" s="87">
        <v>346916774243</v>
      </c>
      <c r="M283" s="87">
        <v>558108307912</v>
      </c>
      <c r="N283" s="87">
        <v>853130058017</v>
      </c>
      <c r="O283" s="87">
        <v>1228578638241</v>
      </c>
      <c r="P283" s="87">
        <v>509985923768</v>
      </c>
      <c r="Q283" s="87">
        <v>831054573266</v>
      </c>
      <c r="R283" s="87">
        <v>1928559656941</v>
      </c>
      <c r="S283" s="87">
        <v>1940794596432</v>
      </c>
      <c r="T283" s="87">
        <v>1093607202565</v>
      </c>
      <c r="U283" s="87">
        <v>1591351792392</v>
      </c>
      <c r="V283" s="87">
        <v>1728385694906</v>
      </c>
      <c r="W283" s="87">
        <v>2181923993790</v>
      </c>
      <c r="X283" s="87">
        <v>655688675257</v>
      </c>
      <c r="Y283" s="87">
        <v>1115103032617</v>
      </c>
      <c r="Z283" s="87">
        <v>1584190992607</v>
      </c>
      <c r="AA283" s="87">
        <v>2094624678411</v>
      </c>
      <c r="AB283" s="87">
        <v>1107827227263</v>
      </c>
      <c r="AC283" s="87">
        <v>1898159260261</v>
      </c>
      <c r="AD283" s="87">
        <v>2408401890004</v>
      </c>
      <c r="AE283" s="87">
        <v>3695981894385</v>
      </c>
      <c r="AF283" s="87">
        <v>1115228867237</v>
      </c>
      <c r="AG283" s="87">
        <v>2236414270447</v>
      </c>
      <c r="AH283" s="87">
        <v>3217679764813</v>
      </c>
    </row>
    <row r="284" spans="2:34">
      <c r="B284" s="41" t="s">
        <v>1113</v>
      </c>
      <c r="C284" s="41" t="s">
        <v>1113</v>
      </c>
      <c r="D284" s="86">
        <v>401202887750</v>
      </c>
      <c r="E284" s="86">
        <v>99560686673</v>
      </c>
      <c r="F284" s="86"/>
      <c r="G284" s="86">
        <v>576851859058</v>
      </c>
      <c r="H284" s="86">
        <v>757713881535</v>
      </c>
      <c r="I284" s="86">
        <v>257005927832</v>
      </c>
      <c r="J284" s="86">
        <v>431247056180</v>
      </c>
      <c r="K284" s="86">
        <v>661762167762</v>
      </c>
      <c r="L284" s="86">
        <v>211774495912</v>
      </c>
      <c r="M284" s="86">
        <v>414267797049</v>
      </c>
      <c r="N284" s="86">
        <v>621079518310</v>
      </c>
      <c r="O284" s="86">
        <v>929509627308</v>
      </c>
      <c r="P284" s="86">
        <v>302975015776</v>
      </c>
      <c r="Q284" s="86">
        <v>544889622664</v>
      </c>
      <c r="R284" s="86">
        <v>933008878533</v>
      </c>
      <c r="S284" s="86">
        <v>1359082060032</v>
      </c>
      <c r="T284" s="86">
        <v>619325729432</v>
      </c>
      <c r="U284" s="86">
        <v>993331641685</v>
      </c>
      <c r="V284" s="86">
        <v>1412664707294</v>
      </c>
      <c r="W284" s="86">
        <v>1923786275811</v>
      </c>
      <c r="X284" s="86">
        <v>488527339135</v>
      </c>
      <c r="Y284" s="86">
        <v>894372410143</v>
      </c>
      <c r="Z284" s="86">
        <v>1263980940860</v>
      </c>
      <c r="AA284" s="86">
        <v>1725613374342</v>
      </c>
      <c r="AB284" s="86">
        <v>742809447171</v>
      </c>
      <c r="AC284" s="86">
        <v>1343925928339</v>
      </c>
      <c r="AD284" s="86">
        <v>1907873649197</v>
      </c>
      <c r="AE284" s="86">
        <v>2749041365777</v>
      </c>
      <c r="AF284" s="86">
        <v>657713002371</v>
      </c>
      <c r="AG284" s="86">
        <v>1475553917387</v>
      </c>
      <c r="AH284" s="86">
        <v>2269508044314</v>
      </c>
    </row>
    <row r="285" spans="2:34">
      <c r="B285" s="42" t="s">
        <v>1114</v>
      </c>
      <c r="C285" s="42" t="s">
        <v>1114</v>
      </c>
      <c r="D285" s="86">
        <v>60789868842</v>
      </c>
      <c r="E285" s="86">
        <v>22078345935</v>
      </c>
      <c r="F285" s="86"/>
      <c r="G285" s="86">
        <v>74444339139</v>
      </c>
      <c r="H285" s="86">
        <v>114988247479</v>
      </c>
      <c r="I285" s="86">
        <v>42369178169</v>
      </c>
      <c r="J285" s="86">
        <v>65964565490</v>
      </c>
      <c r="K285" s="86">
        <v>82223908205</v>
      </c>
      <c r="L285" s="86">
        <v>14393426924</v>
      </c>
      <c r="M285" s="86">
        <v>34576218176</v>
      </c>
      <c r="N285" s="86">
        <v>71172667413</v>
      </c>
      <c r="O285" s="86">
        <v>109436339358</v>
      </c>
      <c r="P285" s="86">
        <v>48475284226</v>
      </c>
      <c r="Q285" s="86">
        <v>82050207646</v>
      </c>
      <c r="R285" s="86">
        <v>115329345916</v>
      </c>
      <c r="S285" s="86">
        <v>138208711145</v>
      </c>
      <c r="T285" s="86">
        <v>34000115639</v>
      </c>
      <c r="U285" s="86">
        <v>67021104346</v>
      </c>
      <c r="V285" s="86">
        <v>101285035452</v>
      </c>
      <c r="W285" s="86">
        <v>140871099210</v>
      </c>
      <c r="X285" s="86">
        <v>24832568244</v>
      </c>
      <c r="Y285" s="86">
        <v>49496048554</v>
      </c>
      <c r="Z285" s="86">
        <v>77654222045</v>
      </c>
      <c r="AA285" s="86">
        <v>105746373111</v>
      </c>
      <c r="AB285" s="86">
        <v>45226069671</v>
      </c>
      <c r="AC285" s="86">
        <v>103558518966</v>
      </c>
      <c r="AD285" s="86">
        <v>172250542485</v>
      </c>
      <c r="AE285" s="86">
        <v>243468869663</v>
      </c>
      <c r="AF285" s="86">
        <v>61581890000</v>
      </c>
      <c r="AG285" s="86">
        <v>141986507140</v>
      </c>
      <c r="AH285" s="86">
        <v>218433179769</v>
      </c>
    </row>
    <row r="286" spans="2:34">
      <c r="B286" s="42" t="s">
        <v>1115</v>
      </c>
      <c r="C286" s="42" t="s">
        <v>1115</v>
      </c>
      <c r="D286" s="86">
        <v>6754867176</v>
      </c>
      <c r="E286" s="86">
        <v>8783670669</v>
      </c>
      <c r="F286" s="86"/>
      <c r="G286" s="86">
        <v>154827812240</v>
      </c>
      <c r="H286" s="86">
        <v>160515914594</v>
      </c>
      <c r="I286" s="86">
        <v>6541654040</v>
      </c>
      <c r="J286" s="86">
        <v>11420878624</v>
      </c>
      <c r="K286" s="86">
        <v>18308331282</v>
      </c>
      <c r="L286" s="86">
        <v>5222391735</v>
      </c>
      <c r="M286" s="86">
        <v>7430560562</v>
      </c>
      <c r="N286" s="86">
        <v>13056880653</v>
      </c>
      <c r="O286" s="86">
        <v>31681151700</v>
      </c>
      <c r="P286" s="86">
        <v>13191539881</v>
      </c>
      <c r="Q286" s="86">
        <v>29424445893</v>
      </c>
      <c r="R286" s="86">
        <v>69928823096</v>
      </c>
      <c r="S286" s="86">
        <v>94785870962</v>
      </c>
      <c r="T286" s="86">
        <v>59149800587</v>
      </c>
      <c r="U286" s="86">
        <v>83987027383</v>
      </c>
      <c r="V286" s="86">
        <v>112257971824</v>
      </c>
      <c r="W286" s="86">
        <v>169889610281</v>
      </c>
      <c r="X286" s="86">
        <v>16019332282</v>
      </c>
      <c r="Y286" s="86">
        <v>46341831178</v>
      </c>
      <c r="Z286" s="86">
        <v>82448994919</v>
      </c>
      <c r="AA286" s="86">
        <v>93513040108</v>
      </c>
      <c r="AB286" s="86">
        <v>34100413533</v>
      </c>
      <c r="AC286" s="86">
        <v>92759391216</v>
      </c>
      <c r="AD286" s="86">
        <v>183981859509</v>
      </c>
      <c r="AE286" s="86">
        <v>279984646438</v>
      </c>
      <c r="AF286" s="86">
        <v>70362103959</v>
      </c>
      <c r="AG286" s="86">
        <v>333525704421</v>
      </c>
      <c r="AH286" s="86">
        <v>517590943549</v>
      </c>
    </row>
    <row r="287" spans="2:34">
      <c r="B287" s="42" t="s">
        <v>1116</v>
      </c>
      <c r="C287" s="42" t="s">
        <v>1116</v>
      </c>
      <c r="D287" s="86">
        <v>331399678887</v>
      </c>
      <c r="E287" s="86">
        <v>64671163501</v>
      </c>
      <c r="F287" s="86"/>
      <c r="G287" s="86">
        <v>335908747614</v>
      </c>
      <c r="H287" s="86">
        <v>468058071114</v>
      </c>
      <c r="I287" s="86">
        <v>204578844457</v>
      </c>
      <c r="J287" s="86">
        <v>344945238502</v>
      </c>
      <c r="K287" s="86">
        <v>550200016932</v>
      </c>
      <c r="L287" s="86">
        <v>190790711069</v>
      </c>
      <c r="M287" s="86">
        <v>368355148210</v>
      </c>
      <c r="N287" s="86">
        <v>527659025708</v>
      </c>
      <c r="O287" s="86">
        <v>776194082053</v>
      </c>
      <c r="P287" s="86">
        <v>238032649745</v>
      </c>
      <c r="Q287" s="86">
        <v>428251738252</v>
      </c>
      <c r="R287" s="86">
        <v>740019741293</v>
      </c>
      <c r="S287" s="86">
        <v>1115252752278</v>
      </c>
      <c r="T287" s="86">
        <v>522621032277</v>
      </c>
      <c r="U287" s="86">
        <v>836319629075</v>
      </c>
      <c r="V287" s="86">
        <v>1192270495849</v>
      </c>
      <c r="W287" s="86">
        <v>1605481315565</v>
      </c>
      <c r="X287" s="86">
        <v>447073826699</v>
      </c>
      <c r="Y287" s="86">
        <v>795898587463</v>
      </c>
      <c r="Z287" s="86">
        <v>1100418343562</v>
      </c>
      <c r="AA287" s="86">
        <v>1522238736559</v>
      </c>
      <c r="AB287" s="86">
        <v>654886394635</v>
      </c>
      <c r="AC287" s="86">
        <v>1135262357565</v>
      </c>
      <c r="AD287" s="86">
        <v>1538343597054</v>
      </c>
      <c r="AE287" s="86">
        <v>2202622611146</v>
      </c>
      <c r="AF287" s="86">
        <v>521255566185</v>
      </c>
      <c r="AG287" s="86">
        <v>989810307738</v>
      </c>
      <c r="AH287" s="86">
        <v>1511687504729</v>
      </c>
    </row>
    <row r="288" spans="2:34">
      <c r="B288" s="42" t="s">
        <v>1117</v>
      </c>
      <c r="C288" s="42" t="s">
        <v>1117</v>
      </c>
      <c r="D288" s="86">
        <v>0</v>
      </c>
      <c r="E288" s="86">
        <v>1545213425</v>
      </c>
      <c r="F288" s="86"/>
      <c r="G288" s="86">
        <v>5806529022</v>
      </c>
      <c r="H288" s="86">
        <v>7888896638</v>
      </c>
      <c r="I288" s="86">
        <v>2789435946</v>
      </c>
      <c r="J288" s="86">
        <v>7565605383</v>
      </c>
      <c r="K288" s="86">
        <v>9478337846</v>
      </c>
      <c r="L288" s="86">
        <v>1148300425</v>
      </c>
      <c r="M288" s="86">
        <v>3312548330</v>
      </c>
      <c r="N288" s="86">
        <v>8510507344</v>
      </c>
      <c r="O288" s="86">
        <v>10935800379</v>
      </c>
      <c r="P288" s="86">
        <v>519651024</v>
      </c>
      <c r="Q288" s="86">
        <v>1089848072</v>
      </c>
      <c r="R288" s="86">
        <v>1556279474</v>
      </c>
      <c r="S288" s="86">
        <v>2900201290</v>
      </c>
      <c r="T288" s="86">
        <v>214503451</v>
      </c>
      <c r="U288" s="86">
        <v>987494132</v>
      </c>
      <c r="V288" s="86">
        <v>987494132</v>
      </c>
      <c r="W288" s="86">
        <v>987494132</v>
      </c>
      <c r="X288" s="86">
        <v>0</v>
      </c>
      <c r="Y288" s="86">
        <v>352633500</v>
      </c>
      <c r="Z288" s="86">
        <v>352633500</v>
      </c>
      <c r="AA288" s="86">
        <v>352633500</v>
      </c>
      <c r="AB288" s="86">
        <v>0</v>
      </c>
      <c r="AC288" s="86">
        <v>247035000</v>
      </c>
      <c r="AD288" s="86">
        <v>605225260</v>
      </c>
      <c r="AE288" s="86">
        <v>1078938700</v>
      </c>
      <c r="AF288" s="86">
        <v>527165430</v>
      </c>
      <c r="AG288" s="86">
        <v>3240927824</v>
      </c>
      <c r="AH288" s="86">
        <v>4130957767</v>
      </c>
    </row>
    <row r="289" spans="2:34">
      <c r="B289" s="42" t="s">
        <v>1118</v>
      </c>
      <c r="C289" s="42" t="s">
        <v>1118</v>
      </c>
      <c r="D289" s="86">
        <v>2258472845</v>
      </c>
      <c r="E289" s="86">
        <v>2482293143</v>
      </c>
      <c r="F289" s="86"/>
      <c r="G289" s="86">
        <v>5864431043</v>
      </c>
      <c r="H289" s="86">
        <v>6262751710</v>
      </c>
      <c r="I289" s="86">
        <v>726815220</v>
      </c>
      <c r="J289" s="86">
        <v>1350768181</v>
      </c>
      <c r="K289" s="86">
        <v>1551573497</v>
      </c>
      <c r="L289" s="86">
        <v>219665759</v>
      </c>
      <c r="M289" s="86">
        <v>593321771</v>
      </c>
      <c r="N289" s="86">
        <v>680437192</v>
      </c>
      <c r="O289" s="86">
        <v>1262253818</v>
      </c>
      <c r="P289" s="86">
        <v>2755890900</v>
      </c>
      <c r="Q289" s="86">
        <v>4073382801</v>
      </c>
      <c r="R289" s="86">
        <v>6174688754</v>
      </c>
      <c r="S289" s="86">
        <v>7934524357</v>
      </c>
      <c r="T289" s="86">
        <v>3340277478</v>
      </c>
      <c r="U289" s="86">
        <v>5016386749</v>
      </c>
      <c r="V289" s="86">
        <v>5863710037</v>
      </c>
      <c r="W289" s="86">
        <v>6556756623</v>
      </c>
      <c r="X289" s="86">
        <v>601611910</v>
      </c>
      <c r="Y289" s="86">
        <v>2283309448</v>
      </c>
      <c r="Z289" s="86">
        <v>3106746834</v>
      </c>
      <c r="AA289" s="86">
        <v>3762591064</v>
      </c>
      <c r="AB289" s="86">
        <v>8477325259</v>
      </c>
      <c r="AC289" s="86">
        <v>10587324289</v>
      </c>
      <c r="AD289" s="86">
        <v>11119474586</v>
      </c>
      <c r="AE289" s="86">
        <v>20293758240</v>
      </c>
      <c r="AF289" s="86">
        <v>3235557523</v>
      </c>
      <c r="AG289" s="86">
        <v>6123519688</v>
      </c>
      <c r="AH289" s="86">
        <v>15575079864</v>
      </c>
    </row>
    <row r="290" spans="2:34">
      <c r="B290" s="42" t="s">
        <v>1119</v>
      </c>
      <c r="C290" s="42" t="s">
        <v>1119</v>
      </c>
      <c r="D290" s="86">
        <v>0</v>
      </c>
      <c r="E290" s="86">
        <v>0</v>
      </c>
      <c r="F290" s="86"/>
      <c r="G290" s="86">
        <v>0</v>
      </c>
      <c r="H290" s="86">
        <v>0</v>
      </c>
      <c r="I290" s="86">
        <v>0</v>
      </c>
      <c r="J290" s="86">
        <v>0</v>
      </c>
      <c r="K290" s="86">
        <v>0</v>
      </c>
      <c r="L290" s="86">
        <v>0</v>
      </c>
      <c r="M290" s="86">
        <v>0</v>
      </c>
      <c r="N290" s="86">
        <v>0</v>
      </c>
      <c r="O290" s="86">
        <v>0</v>
      </c>
      <c r="P290" s="86">
        <v>0</v>
      </c>
      <c r="Q290" s="86">
        <v>0</v>
      </c>
      <c r="R290" s="86">
        <v>0</v>
      </c>
      <c r="S290" s="86">
        <v>0</v>
      </c>
      <c r="T290" s="86">
        <v>0</v>
      </c>
      <c r="U290" s="86">
        <v>0</v>
      </c>
      <c r="V290" s="86">
        <v>0</v>
      </c>
      <c r="W290" s="86">
        <v>0</v>
      </c>
      <c r="X290" s="86">
        <v>0</v>
      </c>
      <c r="Y290" s="86">
        <v>0</v>
      </c>
      <c r="Z290" s="86">
        <v>0</v>
      </c>
      <c r="AA290" s="86">
        <v>0</v>
      </c>
      <c r="AB290" s="86">
        <v>119244073</v>
      </c>
      <c r="AC290" s="86">
        <v>1511301303</v>
      </c>
      <c r="AD290" s="86">
        <v>1572950303</v>
      </c>
      <c r="AE290" s="86">
        <v>1592541590</v>
      </c>
      <c r="AF290" s="86">
        <v>750719274</v>
      </c>
      <c r="AG290" s="86">
        <v>866950576</v>
      </c>
      <c r="AH290" s="86">
        <v>2090378636</v>
      </c>
    </row>
    <row r="291" spans="2:34">
      <c r="B291" s="41" t="s">
        <v>1120</v>
      </c>
      <c r="C291" s="41" t="s">
        <v>1120</v>
      </c>
      <c r="D291" s="86">
        <v>124554944298</v>
      </c>
      <c r="E291" s="86">
        <v>127253431784</v>
      </c>
      <c r="F291" s="86"/>
      <c r="G291" s="86">
        <v>148969086997</v>
      </c>
      <c r="H291" s="86">
        <v>197709988792</v>
      </c>
      <c r="I291" s="86">
        <v>444865787553</v>
      </c>
      <c r="J291" s="86">
        <v>156807587375</v>
      </c>
      <c r="K291" s="86">
        <v>191471328612</v>
      </c>
      <c r="L291" s="86">
        <v>135142278331</v>
      </c>
      <c r="M291" s="86">
        <v>143840510863</v>
      </c>
      <c r="N291" s="86">
        <v>232050539707</v>
      </c>
      <c r="O291" s="86">
        <v>299069010933</v>
      </c>
      <c r="P291" s="86">
        <v>207010907992</v>
      </c>
      <c r="Q291" s="86">
        <v>286164950602</v>
      </c>
      <c r="R291" s="86">
        <v>995550778408</v>
      </c>
      <c r="S291" s="86">
        <v>581712536400</v>
      </c>
      <c r="T291" s="86">
        <v>474281473133</v>
      </c>
      <c r="U291" s="86">
        <v>598020150707</v>
      </c>
      <c r="V291" s="86">
        <v>315720987612</v>
      </c>
      <c r="W291" s="86">
        <v>258137717979</v>
      </c>
      <c r="X291" s="86">
        <v>167161336122</v>
      </c>
      <c r="Y291" s="86">
        <v>220730622474</v>
      </c>
      <c r="Z291" s="86">
        <v>320210051747</v>
      </c>
      <c r="AA291" s="86">
        <v>369011304069</v>
      </c>
      <c r="AB291" s="86">
        <v>365017780092</v>
      </c>
      <c r="AC291" s="86">
        <v>554233331922</v>
      </c>
      <c r="AD291" s="86">
        <v>500528240807</v>
      </c>
      <c r="AE291" s="86">
        <v>946940528608</v>
      </c>
      <c r="AF291" s="86">
        <v>457515864866</v>
      </c>
      <c r="AG291" s="86">
        <v>760860353060</v>
      </c>
      <c r="AH291" s="86">
        <v>948171720499</v>
      </c>
    </row>
    <row r="292" spans="2:34">
      <c r="B292" s="42" t="s">
        <v>1121</v>
      </c>
      <c r="C292" s="42" t="s">
        <v>1121</v>
      </c>
      <c r="D292" s="86">
        <v>23070915855</v>
      </c>
      <c r="E292" s="86">
        <v>14459764119</v>
      </c>
      <c r="F292" s="86"/>
      <c r="G292" s="86">
        <v>40662028520</v>
      </c>
      <c r="H292" s="86">
        <v>45507253414</v>
      </c>
      <c r="I292" s="86">
        <v>18226333466</v>
      </c>
      <c r="J292" s="86">
        <v>22566309193</v>
      </c>
      <c r="K292" s="86">
        <v>24137727112</v>
      </c>
      <c r="L292" s="86">
        <v>6679303253</v>
      </c>
      <c r="M292" s="86">
        <v>24579270485</v>
      </c>
      <c r="N292" s="86">
        <v>55415354442</v>
      </c>
      <c r="O292" s="86">
        <v>68117513037</v>
      </c>
      <c r="P292" s="86">
        <v>63825082442</v>
      </c>
      <c r="Q292" s="86">
        <v>32532951797</v>
      </c>
      <c r="R292" s="86">
        <v>86509144015</v>
      </c>
      <c r="S292" s="86">
        <v>66590855189</v>
      </c>
      <c r="T292" s="86">
        <v>55374172006</v>
      </c>
      <c r="U292" s="86">
        <v>115877801096</v>
      </c>
      <c r="V292" s="86">
        <v>115013835214</v>
      </c>
      <c r="W292" s="86">
        <v>72123149048</v>
      </c>
      <c r="X292" s="86">
        <v>28513060448</v>
      </c>
      <c r="Y292" s="86">
        <v>40373284708</v>
      </c>
      <c r="Z292" s="86">
        <v>96440628522</v>
      </c>
      <c r="AA292" s="86">
        <v>178962832550</v>
      </c>
      <c r="AB292" s="86">
        <v>61278012171</v>
      </c>
      <c r="AC292" s="86">
        <v>139972341408</v>
      </c>
      <c r="AD292" s="86">
        <v>211452519869</v>
      </c>
      <c r="AE292" s="86">
        <v>353125767789</v>
      </c>
      <c r="AF292" s="86">
        <v>189268267980</v>
      </c>
      <c r="AG292" s="86">
        <v>385444117129</v>
      </c>
      <c r="AH292" s="86">
        <v>587388476516</v>
      </c>
    </row>
    <row r="293" spans="2:34">
      <c r="B293" s="42" t="s">
        <v>1122</v>
      </c>
      <c r="C293" s="42" t="s">
        <v>1122</v>
      </c>
      <c r="D293" s="86">
        <v>42510337294</v>
      </c>
      <c r="E293" s="86">
        <v>24973705647</v>
      </c>
      <c r="F293" s="86"/>
      <c r="G293" s="86">
        <v>8394658615</v>
      </c>
      <c r="H293" s="86">
        <v>5356701606</v>
      </c>
      <c r="I293" s="86">
        <v>14125436409</v>
      </c>
      <c r="J293" s="86">
        <v>7071279696</v>
      </c>
      <c r="K293" s="86">
        <v>3438723975</v>
      </c>
      <c r="L293" s="86">
        <v>5829611327</v>
      </c>
      <c r="M293" s="86">
        <v>1309099425</v>
      </c>
      <c r="N293" s="86">
        <v>11646163287</v>
      </c>
      <c r="O293" s="86">
        <v>28124657612</v>
      </c>
      <c r="P293" s="86">
        <v>6963954107</v>
      </c>
      <c r="Q293" s="86">
        <v>14813720233</v>
      </c>
      <c r="R293" s="86">
        <v>37380821646</v>
      </c>
      <c r="S293" s="86">
        <v>17966945701</v>
      </c>
      <c r="T293" s="86">
        <v>10779040129</v>
      </c>
      <c r="U293" s="86">
        <v>20210839941</v>
      </c>
      <c r="V293" s="86">
        <v>7112350138</v>
      </c>
      <c r="W293" s="86">
        <v>32587329034</v>
      </c>
      <c r="X293" s="86">
        <v>14621382549</v>
      </c>
      <c r="Y293" s="86">
        <v>24606987347</v>
      </c>
      <c r="Z293" s="86">
        <v>31734717326</v>
      </c>
      <c r="AA293" s="86">
        <v>24630425274</v>
      </c>
      <c r="AB293" s="86">
        <v>12451691026</v>
      </c>
      <c r="AC293" s="86">
        <v>61130748733</v>
      </c>
      <c r="AD293" s="86">
        <v>27697567855</v>
      </c>
      <c r="AE293" s="86">
        <v>31580789990</v>
      </c>
      <c r="AF293" s="86">
        <v>53054768744</v>
      </c>
      <c r="AG293" s="86">
        <v>91122093676</v>
      </c>
      <c r="AH293" s="86">
        <v>120444255579</v>
      </c>
    </row>
    <row r="294" spans="2:34">
      <c r="B294" s="42" t="s">
        <v>1123</v>
      </c>
      <c r="C294" s="42" t="s">
        <v>1123</v>
      </c>
      <c r="D294" s="86">
        <v>55050573715</v>
      </c>
      <c r="E294" s="86">
        <v>79668031787</v>
      </c>
      <c r="F294" s="86"/>
      <c r="G294" s="86">
        <v>84434123685</v>
      </c>
      <c r="H294" s="86">
        <v>131539565094</v>
      </c>
      <c r="I294" s="86">
        <v>405083816762</v>
      </c>
      <c r="J294" s="86">
        <v>122627346423</v>
      </c>
      <c r="K294" s="86">
        <v>159389065524</v>
      </c>
      <c r="L294" s="86">
        <v>120044528413</v>
      </c>
      <c r="M294" s="86">
        <v>115905627123</v>
      </c>
      <c r="N294" s="86">
        <v>163255823245</v>
      </c>
      <c r="O294" s="86">
        <v>201257891348</v>
      </c>
      <c r="P294" s="86">
        <v>135474562633</v>
      </c>
      <c r="Q294" s="86">
        <v>237555388832</v>
      </c>
      <c r="R294" s="86">
        <v>869558373742</v>
      </c>
      <c r="S294" s="86">
        <v>495697917553</v>
      </c>
      <c r="T294" s="86">
        <v>407336000994</v>
      </c>
      <c r="U294" s="86">
        <v>461107842344</v>
      </c>
      <c r="V294" s="86">
        <v>192805741186</v>
      </c>
      <c r="W294" s="86">
        <v>152462989072</v>
      </c>
      <c r="X294" s="86">
        <v>123768890677</v>
      </c>
      <c r="Y294" s="86">
        <v>155225003385</v>
      </c>
      <c r="Z294" s="86">
        <v>191260282576</v>
      </c>
      <c r="AA294" s="86">
        <v>164568656179</v>
      </c>
      <c r="AB294" s="86">
        <v>289212543931</v>
      </c>
      <c r="AC294" s="86">
        <v>350103266811</v>
      </c>
      <c r="AD294" s="86">
        <v>259303527403</v>
      </c>
      <c r="AE294" s="86">
        <v>552042783107</v>
      </c>
      <c r="AF294" s="86">
        <v>207172948562</v>
      </c>
      <c r="AG294" s="86">
        <v>270281047392</v>
      </c>
      <c r="AH294" s="86">
        <v>222920611463</v>
      </c>
    </row>
    <row r="295" spans="2:34">
      <c r="B295" s="42" t="s">
        <v>1124</v>
      </c>
      <c r="C295" s="42" t="s">
        <v>1124</v>
      </c>
      <c r="D295" s="86">
        <v>3836567833</v>
      </c>
      <c r="E295" s="86">
        <v>7721982662</v>
      </c>
      <c r="F295" s="86"/>
      <c r="G295" s="86">
        <v>15232819294</v>
      </c>
      <c r="H295" s="86">
        <v>15219761180</v>
      </c>
      <c r="I295" s="86">
        <v>7404172613</v>
      </c>
      <c r="J295" s="86">
        <v>4530159889</v>
      </c>
      <c r="K295" s="86">
        <v>4452909808</v>
      </c>
      <c r="L295" s="86">
        <v>2386536708</v>
      </c>
      <c r="M295" s="86">
        <v>1889987938</v>
      </c>
      <c r="N295" s="86">
        <v>1727956239</v>
      </c>
      <c r="O295" s="86">
        <v>1382321776</v>
      </c>
      <c r="P295" s="86">
        <v>604228377</v>
      </c>
      <c r="Q295" s="86">
        <v>1150173398</v>
      </c>
      <c r="R295" s="86">
        <v>2036860955</v>
      </c>
      <c r="S295" s="86">
        <v>1423224550</v>
      </c>
      <c r="T295" s="86">
        <v>557144983</v>
      </c>
      <c r="U295" s="86">
        <v>789215500</v>
      </c>
      <c r="V295" s="86">
        <v>750712500</v>
      </c>
      <c r="W295" s="86">
        <v>954039000</v>
      </c>
      <c r="X295" s="86">
        <v>190277500</v>
      </c>
      <c r="Y295" s="86">
        <v>0</v>
      </c>
      <c r="Z295" s="86">
        <v>485781000</v>
      </c>
      <c r="AA295" s="86">
        <v>319337100</v>
      </c>
      <c r="AB295" s="86">
        <v>465745170</v>
      </c>
      <c r="AC295" s="86">
        <v>1660442231</v>
      </c>
      <c r="AD295" s="86">
        <v>186809147</v>
      </c>
      <c r="AE295" s="86">
        <v>1755915269</v>
      </c>
      <c r="AF295" s="86">
        <v>5156112150</v>
      </c>
      <c r="AG295" s="86">
        <v>6813700449</v>
      </c>
      <c r="AH295" s="86">
        <v>7175911650</v>
      </c>
    </row>
    <row r="296" spans="2:34">
      <c r="B296" s="42" t="s">
        <v>1125</v>
      </c>
      <c r="C296" s="42" t="s">
        <v>1125</v>
      </c>
      <c r="D296" s="86">
        <v>86549601</v>
      </c>
      <c r="E296" s="86">
        <v>429947569</v>
      </c>
      <c r="F296" s="86"/>
      <c r="G296" s="86">
        <v>245456883</v>
      </c>
      <c r="H296" s="86">
        <v>86707498</v>
      </c>
      <c r="I296" s="86">
        <v>26028303</v>
      </c>
      <c r="J296" s="86">
        <v>12492174</v>
      </c>
      <c r="K296" s="86">
        <v>52902193</v>
      </c>
      <c r="L296" s="86">
        <v>202298630</v>
      </c>
      <c r="M296" s="86">
        <v>156525892</v>
      </c>
      <c r="N296" s="86">
        <v>5242494</v>
      </c>
      <c r="O296" s="86">
        <v>186627160</v>
      </c>
      <c r="P296" s="86">
        <v>143080433</v>
      </c>
      <c r="Q296" s="86">
        <v>112716342</v>
      </c>
      <c r="R296" s="86">
        <v>65578050</v>
      </c>
      <c r="S296" s="86">
        <v>33593407</v>
      </c>
      <c r="T296" s="86">
        <v>235115021</v>
      </c>
      <c r="U296" s="86">
        <v>34451826</v>
      </c>
      <c r="V296" s="86">
        <v>38348574</v>
      </c>
      <c r="W296" s="86">
        <v>10211825</v>
      </c>
      <c r="X296" s="86">
        <v>67724948</v>
      </c>
      <c r="Y296" s="86">
        <v>525347034</v>
      </c>
      <c r="Z296" s="86">
        <v>270878083</v>
      </c>
      <c r="AA296" s="86">
        <v>256224195</v>
      </c>
      <c r="AB296" s="86">
        <v>768167955</v>
      </c>
      <c r="AC296" s="86">
        <v>444024945</v>
      </c>
      <c r="AD296" s="86">
        <v>642670484</v>
      </c>
      <c r="AE296" s="86">
        <v>8175106539</v>
      </c>
      <c r="AF296" s="86">
        <v>567805616</v>
      </c>
      <c r="AG296" s="86">
        <v>3262737548</v>
      </c>
      <c r="AH296" s="86">
        <v>5855037569</v>
      </c>
    </row>
    <row r="297" spans="2:34">
      <c r="B297" s="42" t="s">
        <v>1126</v>
      </c>
      <c r="C297" s="42" t="s">
        <v>1126</v>
      </c>
      <c r="D297" s="86">
        <v>0</v>
      </c>
      <c r="E297" s="86">
        <v>0</v>
      </c>
      <c r="F297" s="86"/>
      <c r="G297" s="86">
        <v>0</v>
      </c>
      <c r="H297" s="86">
        <v>0</v>
      </c>
      <c r="I297" s="86">
        <v>0</v>
      </c>
      <c r="J297" s="86">
        <v>0</v>
      </c>
      <c r="K297" s="86">
        <v>0</v>
      </c>
      <c r="L297" s="86">
        <v>0</v>
      </c>
      <c r="M297" s="86">
        <v>0</v>
      </c>
      <c r="N297" s="86">
        <v>0</v>
      </c>
      <c r="O297" s="86">
        <v>0</v>
      </c>
      <c r="P297" s="86">
        <v>0</v>
      </c>
      <c r="Q297" s="86">
        <v>0</v>
      </c>
      <c r="R297" s="86">
        <v>0</v>
      </c>
      <c r="S297" s="86">
        <v>0</v>
      </c>
      <c r="T297" s="86">
        <v>0</v>
      </c>
      <c r="U297" s="86">
        <v>0</v>
      </c>
      <c r="V297" s="86">
        <v>0</v>
      </c>
      <c r="W297" s="86">
        <v>0</v>
      </c>
      <c r="X297" s="86">
        <v>0</v>
      </c>
      <c r="Y297" s="86">
        <v>0</v>
      </c>
      <c r="Z297" s="86">
        <v>17764240</v>
      </c>
      <c r="AA297" s="86">
        <v>273828771</v>
      </c>
      <c r="AB297" s="86">
        <v>841619839</v>
      </c>
      <c r="AC297" s="86">
        <v>922507794</v>
      </c>
      <c r="AD297" s="86">
        <v>1245146049</v>
      </c>
      <c r="AE297" s="86">
        <v>260165914</v>
      </c>
      <c r="AF297" s="86">
        <v>2295961814</v>
      </c>
      <c r="AG297" s="86">
        <v>3936656866</v>
      </c>
      <c r="AH297" s="86">
        <v>4387427722</v>
      </c>
    </row>
    <row r="298" spans="2:34">
      <c r="B298" s="41" t="s">
        <v>1127</v>
      </c>
      <c r="C298" s="41" t="s">
        <v>1127</v>
      </c>
      <c r="D298" s="86">
        <v>0</v>
      </c>
      <c r="E298" s="86">
        <v>0</v>
      </c>
      <c r="F298" s="86"/>
      <c r="G298" s="86">
        <v>0</v>
      </c>
      <c r="H298" s="86">
        <v>0</v>
      </c>
      <c r="I298" s="86">
        <v>0</v>
      </c>
      <c r="J298" s="86">
        <v>0</v>
      </c>
      <c r="K298" s="86">
        <v>0</v>
      </c>
      <c r="L298" s="86">
        <v>0</v>
      </c>
      <c r="M298" s="86">
        <v>0</v>
      </c>
      <c r="N298" s="86">
        <v>0</v>
      </c>
      <c r="O298" s="86">
        <v>0</v>
      </c>
      <c r="P298" s="86">
        <v>0</v>
      </c>
      <c r="Q298" s="86">
        <v>0</v>
      </c>
      <c r="R298" s="86">
        <v>0</v>
      </c>
      <c r="S298" s="86">
        <v>0</v>
      </c>
      <c r="T298" s="86">
        <v>0</v>
      </c>
      <c r="U298" s="86">
        <v>0</v>
      </c>
      <c r="V298" s="86">
        <v>0</v>
      </c>
      <c r="W298" s="86">
        <v>0</v>
      </c>
      <c r="X298" s="86">
        <v>0</v>
      </c>
      <c r="Y298" s="86">
        <v>0</v>
      </c>
      <c r="Z298" s="86">
        <v>0</v>
      </c>
      <c r="AA298" s="86">
        <v>0</v>
      </c>
      <c r="AB298" s="86">
        <v>0</v>
      </c>
      <c r="AC298" s="86">
        <v>0</v>
      </c>
      <c r="AD298" s="86">
        <v>0</v>
      </c>
      <c r="AE298" s="86">
        <v>0</v>
      </c>
      <c r="AF298" s="86">
        <v>0</v>
      </c>
      <c r="AG298" s="86">
        <v>0</v>
      </c>
      <c r="AH298" s="86">
        <v>0</v>
      </c>
    </row>
    <row r="299" spans="2:34">
      <c r="B299" s="40" t="s">
        <v>1128</v>
      </c>
      <c r="C299" s="40" t="s">
        <v>1128</v>
      </c>
      <c r="D299" s="87">
        <v>385008264338</v>
      </c>
      <c r="E299" s="87">
        <v>68107288089</v>
      </c>
      <c r="F299" s="87"/>
      <c r="G299" s="87">
        <v>212862545032</v>
      </c>
      <c r="H299" s="87">
        <v>276829242165</v>
      </c>
      <c r="I299" s="87">
        <v>66143596777</v>
      </c>
      <c r="J299" s="87">
        <v>127464758240</v>
      </c>
      <c r="K299" s="87">
        <v>191454484946</v>
      </c>
      <c r="L299" s="87">
        <v>64734441577</v>
      </c>
      <c r="M299" s="87">
        <v>134494608710</v>
      </c>
      <c r="N299" s="87">
        <v>202305505240</v>
      </c>
      <c r="O299" s="87">
        <v>264401568580</v>
      </c>
      <c r="P299" s="87">
        <v>54339183612</v>
      </c>
      <c r="Q299" s="87">
        <v>107234356166</v>
      </c>
      <c r="R299" s="87">
        <v>157457381438</v>
      </c>
      <c r="S299" s="87">
        <v>208488485638</v>
      </c>
      <c r="T299" s="87">
        <v>51085040539</v>
      </c>
      <c r="U299" s="87">
        <v>104820991027</v>
      </c>
      <c r="V299" s="87">
        <v>154417707719</v>
      </c>
      <c r="W299" s="87">
        <v>204840683570</v>
      </c>
      <c r="X299" s="87">
        <v>48638144647</v>
      </c>
      <c r="Y299" s="87">
        <v>101514437549</v>
      </c>
      <c r="Z299" s="87">
        <v>156724271989</v>
      </c>
      <c r="AA299" s="87">
        <v>217546407169</v>
      </c>
      <c r="AB299" s="87">
        <v>66234613562</v>
      </c>
      <c r="AC299" s="87">
        <v>139324069139</v>
      </c>
      <c r="AD299" s="87">
        <v>217416965303</v>
      </c>
      <c r="AE299" s="87">
        <v>302107863098</v>
      </c>
      <c r="AF299" s="87">
        <v>94112868808</v>
      </c>
      <c r="AG299" s="87">
        <v>194393337939</v>
      </c>
      <c r="AH299" s="87">
        <v>289959243971</v>
      </c>
    </row>
    <row r="300" spans="2:34">
      <c r="B300" s="41" t="s">
        <v>1129</v>
      </c>
      <c r="C300" s="41" t="s">
        <v>1129</v>
      </c>
      <c r="D300" s="86">
        <v>45927190539</v>
      </c>
      <c r="E300" s="86">
        <v>5774804320</v>
      </c>
      <c r="F300" s="86"/>
      <c r="G300" s="86">
        <v>19686156675</v>
      </c>
      <c r="H300" s="86">
        <v>24661604583</v>
      </c>
      <c r="I300" s="86">
        <v>4330809067</v>
      </c>
      <c r="J300" s="86">
        <v>7745764757</v>
      </c>
      <c r="K300" s="86">
        <v>11919689303</v>
      </c>
      <c r="L300" s="86">
        <v>3027698171</v>
      </c>
      <c r="M300" s="86">
        <v>7478962739</v>
      </c>
      <c r="N300" s="86">
        <v>11825232006</v>
      </c>
      <c r="O300" s="86">
        <v>18343818013</v>
      </c>
      <c r="P300" s="86">
        <v>3589978445</v>
      </c>
      <c r="Q300" s="86">
        <v>8248328256</v>
      </c>
      <c r="R300" s="86">
        <v>12310318712</v>
      </c>
      <c r="S300" s="86">
        <v>16143328458</v>
      </c>
      <c r="T300" s="86">
        <v>3544602546</v>
      </c>
      <c r="U300" s="86">
        <v>6668881159</v>
      </c>
      <c r="V300" s="86">
        <v>10091751311</v>
      </c>
      <c r="W300" s="86">
        <v>13431027718</v>
      </c>
      <c r="X300" s="86">
        <v>3080929460</v>
      </c>
      <c r="Y300" s="86">
        <v>6179674987</v>
      </c>
      <c r="Z300" s="86">
        <v>9559497826</v>
      </c>
      <c r="AA300" s="86">
        <v>13243651132</v>
      </c>
      <c r="AB300" s="86">
        <v>2438543613</v>
      </c>
      <c r="AC300" s="86">
        <v>4973033065</v>
      </c>
      <c r="AD300" s="86">
        <v>7310314192</v>
      </c>
      <c r="AE300" s="86">
        <v>10406910324</v>
      </c>
      <c r="AF300" s="86">
        <v>3952536726</v>
      </c>
      <c r="AG300" s="86">
        <v>9717858252</v>
      </c>
      <c r="AH300" s="86">
        <v>13858110065</v>
      </c>
    </row>
    <row r="301" spans="2:34">
      <c r="B301" s="42" t="s">
        <v>1130</v>
      </c>
      <c r="C301" s="42" t="s">
        <v>1130</v>
      </c>
      <c r="D301" s="86">
        <v>35534844026</v>
      </c>
      <c r="E301" s="86">
        <v>4601536300</v>
      </c>
      <c r="F301" s="86"/>
      <c r="G301" s="86">
        <v>13103158927</v>
      </c>
      <c r="H301" s="86">
        <v>16934058999</v>
      </c>
      <c r="I301" s="86">
        <v>3965477942</v>
      </c>
      <c r="J301" s="86">
        <v>7231345866</v>
      </c>
      <c r="K301" s="86">
        <v>11175765574</v>
      </c>
      <c r="L301" s="86">
        <v>2951570772</v>
      </c>
      <c r="M301" s="86">
        <v>6856760509</v>
      </c>
      <c r="N301" s="86">
        <v>10910040951</v>
      </c>
      <c r="O301" s="86">
        <v>16716050559</v>
      </c>
      <c r="P301" s="86">
        <v>3196828878</v>
      </c>
      <c r="Q301" s="86">
        <v>7258915367</v>
      </c>
      <c r="R301" s="86">
        <v>10599509566</v>
      </c>
      <c r="S301" s="86">
        <v>13614322986</v>
      </c>
      <c r="T301" s="86">
        <v>3440095654</v>
      </c>
      <c r="U301" s="86">
        <v>6425034182</v>
      </c>
      <c r="V301" s="86">
        <v>9404079514</v>
      </c>
      <c r="W301" s="86">
        <v>12518837214</v>
      </c>
      <c r="X301" s="86">
        <v>2973079388</v>
      </c>
      <c r="Y301" s="86">
        <v>5819670274</v>
      </c>
      <c r="Z301" s="86">
        <v>8381664259</v>
      </c>
      <c r="AA301" s="86">
        <v>9556339374</v>
      </c>
      <c r="AB301" s="86">
        <v>658989353</v>
      </c>
      <c r="AC301" s="86">
        <v>1497320849</v>
      </c>
      <c r="AD301" s="86">
        <v>1966294543</v>
      </c>
      <c r="AE301" s="86">
        <v>3307472198</v>
      </c>
      <c r="AF301" s="86">
        <v>825723279</v>
      </c>
      <c r="AG301" s="86">
        <v>2135745183</v>
      </c>
      <c r="AH301" s="86">
        <v>4015541042</v>
      </c>
    </row>
    <row r="302" spans="2:34">
      <c r="B302" s="42" t="s">
        <v>1131</v>
      </c>
      <c r="C302" s="42" t="s">
        <v>1131</v>
      </c>
      <c r="D302" s="86">
        <v>2181804132</v>
      </c>
      <c r="E302" s="86">
        <v>503191323</v>
      </c>
      <c r="F302" s="86"/>
      <c r="G302" s="86">
        <v>1280143069</v>
      </c>
      <c r="H302" s="86">
        <v>1435447072</v>
      </c>
      <c r="I302" s="86">
        <v>168268112</v>
      </c>
      <c r="J302" s="86">
        <v>314429851</v>
      </c>
      <c r="K302" s="86">
        <v>491468936</v>
      </c>
      <c r="L302" s="86">
        <v>76127399</v>
      </c>
      <c r="M302" s="86">
        <v>379604971</v>
      </c>
      <c r="N302" s="86">
        <v>640000647</v>
      </c>
      <c r="O302" s="86">
        <v>852012668</v>
      </c>
      <c r="P302" s="86">
        <v>204190668</v>
      </c>
      <c r="Q302" s="86">
        <v>364360854</v>
      </c>
      <c r="R302" s="86">
        <v>630318766</v>
      </c>
      <c r="S302" s="86">
        <v>790301401</v>
      </c>
      <c r="T302" s="86">
        <v>104506892</v>
      </c>
      <c r="U302" s="86">
        <v>180732223</v>
      </c>
      <c r="V302" s="86">
        <v>239899512</v>
      </c>
      <c r="W302" s="86">
        <v>359338731</v>
      </c>
      <c r="X302" s="86">
        <v>48704867</v>
      </c>
      <c r="Y302" s="86">
        <v>141319786</v>
      </c>
      <c r="Z302" s="86">
        <v>250348663</v>
      </c>
      <c r="AA302" s="86">
        <v>390950270</v>
      </c>
      <c r="AB302" s="86">
        <v>178770805</v>
      </c>
      <c r="AC302" s="86">
        <v>364219235</v>
      </c>
      <c r="AD302" s="86">
        <v>572734968</v>
      </c>
      <c r="AE302" s="86">
        <v>789568609</v>
      </c>
      <c r="AF302" s="86">
        <v>275088627</v>
      </c>
      <c r="AG302" s="86">
        <v>347901000</v>
      </c>
      <c r="AH302" s="86">
        <v>500335260</v>
      </c>
    </row>
    <row r="303" spans="2:34">
      <c r="B303" s="42" t="s">
        <v>923</v>
      </c>
      <c r="C303" s="42" t="s">
        <v>923</v>
      </c>
      <c r="D303" s="86">
        <v>8210542381</v>
      </c>
      <c r="E303" s="86">
        <v>670076697</v>
      </c>
      <c r="F303" s="86"/>
      <c r="G303" s="86">
        <v>5302854679</v>
      </c>
      <c r="H303" s="86">
        <v>6292098512</v>
      </c>
      <c r="I303" s="86">
        <v>197063013</v>
      </c>
      <c r="J303" s="86">
        <v>199989040</v>
      </c>
      <c r="K303" s="86">
        <v>252454793</v>
      </c>
      <c r="L303" s="86">
        <v>0</v>
      </c>
      <c r="M303" s="86">
        <v>242597259</v>
      </c>
      <c r="N303" s="86">
        <v>275190408</v>
      </c>
      <c r="O303" s="86">
        <v>775754786</v>
      </c>
      <c r="P303" s="86">
        <v>188958899</v>
      </c>
      <c r="Q303" s="86">
        <v>625052035</v>
      </c>
      <c r="R303" s="86">
        <v>1080490380</v>
      </c>
      <c r="S303" s="86">
        <v>1738704071</v>
      </c>
      <c r="T303" s="86">
        <v>0</v>
      </c>
      <c r="U303" s="86">
        <v>63114754</v>
      </c>
      <c r="V303" s="86">
        <v>447772285</v>
      </c>
      <c r="W303" s="86">
        <v>552851773</v>
      </c>
      <c r="X303" s="86">
        <v>59145205</v>
      </c>
      <c r="Y303" s="86">
        <v>218684927</v>
      </c>
      <c r="Z303" s="86">
        <v>927484904</v>
      </c>
      <c r="AA303" s="86">
        <v>3296361488</v>
      </c>
      <c r="AB303" s="86">
        <v>1600783455</v>
      </c>
      <c r="AC303" s="86">
        <v>3111492981</v>
      </c>
      <c r="AD303" s="86">
        <v>4771284681</v>
      </c>
      <c r="AE303" s="86">
        <v>6309869517</v>
      </c>
      <c r="AF303" s="86">
        <v>2851724820</v>
      </c>
      <c r="AG303" s="86">
        <v>7234212069</v>
      </c>
      <c r="AH303" s="86">
        <v>9342233763</v>
      </c>
    </row>
    <row r="304" spans="2:34">
      <c r="B304" s="41" t="s">
        <v>1132</v>
      </c>
      <c r="C304" s="41" t="s">
        <v>1132</v>
      </c>
      <c r="D304" s="86">
        <v>12365715</v>
      </c>
      <c r="E304" s="86">
        <v>7170617</v>
      </c>
      <c r="F304" s="86"/>
      <c r="G304" s="86">
        <v>22794028</v>
      </c>
      <c r="H304" s="86">
        <v>29374761</v>
      </c>
      <c r="I304" s="86">
        <v>5558582</v>
      </c>
      <c r="J304" s="86">
        <v>9667139</v>
      </c>
      <c r="K304" s="86">
        <v>13875390</v>
      </c>
      <c r="L304" s="86">
        <v>4307521</v>
      </c>
      <c r="M304" s="86">
        <v>7936779</v>
      </c>
      <c r="N304" s="86">
        <v>10859526</v>
      </c>
      <c r="O304" s="86">
        <v>12196485</v>
      </c>
      <c r="P304" s="86">
        <v>1574933</v>
      </c>
      <c r="Q304" s="86">
        <v>5071237</v>
      </c>
      <c r="R304" s="86">
        <v>8105454</v>
      </c>
      <c r="S304" s="86">
        <v>10669675</v>
      </c>
      <c r="T304" s="86">
        <v>2647339</v>
      </c>
      <c r="U304" s="86">
        <v>5744913</v>
      </c>
      <c r="V304" s="86">
        <v>8981280</v>
      </c>
      <c r="W304" s="86">
        <v>10067492</v>
      </c>
      <c r="X304" s="86">
        <v>46</v>
      </c>
      <c r="Y304" s="86">
        <v>46</v>
      </c>
      <c r="Z304" s="86">
        <v>46</v>
      </c>
      <c r="AA304" s="86">
        <v>46</v>
      </c>
      <c r="AB304" s="86">
        <v>0</v>
      </c>
      <c r="AC304" s="86">
        <v>0</v>
      </c>
      <c r="AD304" s="86">
        <v>0</v>
      </c>
      <c r="AE304" s="86">
        <v>0</v>
      </c>
      <c r="AF304" s="86">
        <v>0</v>
      </c>
      <c r="AG304" s="86">
        <v>0</v>
      </c>
      <c r="AH304" s="86">
        <v>0</v>
      </c>
    </row>
    <row r="305" spans="2:34">
      <c r="B305" s="41" t="s">
        <v>1133</v>
      </c>
      <c r="C305" s="41" t="s">
        <v>1133</v>
      </c>
      <c r="D305" s="86">
        <v>13419236088</v>
      </c>
      <c r="E305" s="86">
        <v>4094890947</v>
      </c>
      <c r="F305" s="86"/>
      <c r="G305" s="86">
        <v>12263969308</v>
      </c>
      <c r="H305" s="86">
        <v>16124403030</v>
      </c>
      <c r="I305" s="86">
        <v>3780702776</v>
      </c>
      <c r="J305" s="86">
        <v>7985472616</v>
      </c>
      <c r="K305" s="86">
        <v>12019099808</v>
      </c>
      <c r="L305" s="86">
        <v>4862313985</v>
      </c>
      <c r="M305" s="86">
        <v>9771643132</v>
      </c>
      <c r="N305" s="86">
        <v>14591803671</v>
      </c>
      <c r="O305" s="86">
        <v>19185692965</v>
      </c>
      <c r="P305" s="86">
        <v>4038310407</v>
      </c>
      <c r="Q305" s="86">
        <v>8003206909</v>
      </c>
      <c r="R305" s="86">
        <v>11993596317</v>
      </c>
      <c r="S305" s="86">
        <v>15631308272</v>
      </c>
      <c r="T305" s="86">
        <v>3880672462</v>
      </c>
      <c r="U305" s="86">
        <v>7780296098</v>
      </c>
      <c r="V305" s="86">
        <v>11000693355</v>
      </c>
      <c r="W305" s="86">
        <v>14046759735</v>
      </c>
      <c r="X305" s="86">
        <v>2868322818</v>
      </c>
      <c r="Y305" s="86">
        <v>6306629620</v>
      </c>
      <c r="Z305" s="86">
        <v>9677729760</v>
      </c>
      <c r="AA305" s="86">
        <v>12986751497</v>
      </c>
      <c r="AB305" s="86">
        <v>3942223911</v>
      </c>
      <c r="AC305" s="86">
        <v>9023038867</v>
      </c>
      <c r="AD305" s="86">
        <v>13607852892</v>
      </c>
      <c r="AE305" s="86">
        <v>18009169444</v>
      </c>
      <c r="AF305" s="86">
        <v>4538952356</v>
      </c>
      <c r="AG305" s="86">
        <v>9310899503</v>
      </c>
      <c r="AH305" s="86">
        <v>13772359104</v>
      </c>
    </row>
    <row r="306" spans="2:34">
      <c r="B306" s="41" t="s">
        <v>1134</v>
      </c>
      <c r="C306" s="41" t="s">
        <v>1134</v>
      </c>
      <c r="D306" s="86">
        <v>176502443449</v>
      </c>
      <c r="E306" s="86">
        <v>52126036462</v>
      </c>
      <c r="F306" s="86"/>
      <c r="G306" s="86">
        <v>161117180025</v>
      </c>
      <c r="H306" s="86">
        <v>209830611268</v>
      </c>
      <c r="I306" s="86">
        <v>51846188817</v>
      </c>
      <c r="J306" s="86">
        <v>101692321001</v>
      </c>
      <c r="K306" s="86">
        <v>151524802374</v>
      </c>
      <c r="L306" s="86">
        <v>50837250152</v>
      </c>
      <c r="M306" s="86">
        <v>106858362692</v>
      </c>
      <c r="N306" s="86">
        <v>160886846945</v>
      </c>
      <c r="O306" s="86">
        <v>207553382270</v>
      </c>
      <c r="P306" s="86">
        <v>42925700229</v>
      </c>
      <c r="Q306" s="86">
        <v>83460268778</v>
      </c>
      <c r="R306" s="86">
        <v>121896131831</v>
      </c>
      <c r="S306" s="86">
        <v>160787812031</v>
      </c>
      <c r="T306" s="86">
        <v>39299244902</v>
      </c>
      <c r="U306" s="86">
        <v>81037852499</v>
      </c>
      <c r="V306" s="86">
        <v>118867099622</v>
      </c>
      <c r="W306" s="86">
        <v>157760264733</v>
      </c>
      <c r="X306" s="86">
        <v>37446740008</v>
      </c>
      <c r="Y306" s="86">
        <v>78131657447</v>
      </c>
      <c r="Z306" s="86">
        <v>120531912622</v>
      </c>
      <c r="AA306" s="86">
        <v>167210034392</v>
      </c>
      <c r="AB306" s="86">
        <v>46861324362</v>
      </c>
      <c r="AC306" s="86">
        <v>90961701091</v>
      </c>
      <c r="AD306" s="86">
        <v>134158342534</v>
      </c>
      <c r="AE306" s="86">
        <v>177687244304</v>
      </c>
      <c r="AF306" s="86">
        <v>46347737563</v>
      </c>
      <c r="AG306" s="86">
        <v>91426420608</v>
      </c>
      <c r="AH306" s="86">
        <v>131882656919</v>
      </c>
    </row>
    <row r="307" spans="2:34">
      <c r="B307" s="41" t="s">
        <v>1135</v>
      </c>
      <c r="C307" s="41" t="s">
        <v>1135</v>
      </c>
      <c r="D307" s="86">
        <v>0</v>
      </c>
      <c r="E307" s="86">
        <v>0</v>
      </c>
      <c r="F307" s="86"/>
      <c r="G307" s="86">
        <v>0</v>
      </c>
      <c r="H307" s="86">
        <v>0</v>
      </c>
      <c r="I307" s="86">
        <v>0</v>
      </c>
      <c r="J307" s="86">
        <v>0</v>
      </c>
      <c r="K307" s="86">
        <v>0</v>
      </c>
      <c r="L307" s="86">
        <v>0</v>
      </c>
      <c r="M307" s="86">
        <v>309753</v>
      </c>
      <c r="N307" s="86">
        <v>309753</v>
      </c>
      <c r="O307" s="86">
        <v>309753</v>
      </c>
      <c r="P307" s="86">
        <v>0</v>
      </c>
      <c r="Q307" s="86">
        <v>766290</v>
      </c>
      <c r="R307" s="86">
        <v>766290</v>
      </c>
      <c r="S307" s="86">
        <v>892737</v>
      </c>
      <c r="T307" s="86">
        <v>337810</v>
      </c>
      <c r="U307" s="86">
        <v>337810</v>
      </c>
      <c r="V307" s="86">
        <v>337810</v>
      </c>
      <c r="W307" s="86">
        <v>337810</v>
      </c>
      <c r="X307" s="86">
        <v>0</v>
      </c>
      <c r="Y307" s="86">
        <v>0</v>
      </c>
      <c r="Z307" s="86">
        <v>0</v>
      </c>
      <c r="AA307" s="86">
        <v>0</v>
      </c>
      <c r="AB307" s="86">
        <v>0</v>
      </c>
      <c r="AC307" s="86">
        <v>0</v>
      </c>
      <c r="AD307" s="86">
        <v>0</v>
      </c>
      <c r="AE307" s="86">
        <v>0</v>
      </c>
      <c r="AF307" s="86">
        <v>2103625</v>
      </c>
      <c r="AG307" s="86">
        <v>2126238</v>
      </c>
      <c r="AH307" s="86">
        <v>2224653</v>
      </c>
    </row>
    <row r="308" spans="2:34">
      <c r="B308" s="41" t="s">
        <v>1136</v>
      </c>
      <c r="C308" s="41" t="s">
        <v>1136</v>
      </c>
      <c r="D308" s="86">
        <v>23846168189</v>
      </c>
      <c r="E308" s="86">
        <v>5619498453</v>
      </c>
      <c r="F308" s="86"/>
      <c r="G308" s="86">
        <v>16146137301</v>
      </c>
      <c r="H308" s="86">
        <v>20282540766</v>
      </c>
      <c r="I308" s="86">
        <v>3869924816</v>
      </c>
      <c r="J308" s="86">
        <v>5429023432</v>
      </c>
      <c r="K308" s="86">
        <v>9107258776</v>
      </c>
      <c r="L308" s="86">
        <v>3785314899</v>
      </c>
      <c r="M308" s="86">
        <v>5867740191</v>
      </c>
      <c r="N308" s="86">
        <v>8188354342</v>
      </c>
      <c r="O308" s="86">
        <v>10236740186</v>
      </c>
      <c r="P308" s="86">
        <v>1566062749</v>
      </c>
      <c r="Q308" s="86">
        <v>3006635938</v>
      </c>
      <c r="R308" s="86">
        <v>4332579283</v>
      </c>
      <c r="S308" s="86">
        <v>5518450982</v>
      </c>
      <c r="T308" s="86">
        <v>803023289</v>
      </c>
      <c r="U308" s="86">
        <v>1444709508</v>
      </c>
      <c r="V308" s="86">
        <v>2147274891</v>
      </c>
      <c r="W308" s="86">
        <v>2597370688</v>
      </c>
      <c r="X308" s="86">
        <v>435621568</v>
      </c>
      <c r="Y308" s="86">
        <v>1085800923</v>
      </c>
      <c r="Z308" s="86">
        <v>1994556665</v>
      </c>
      <c r="AA308" s="86">
        <v>3411586614</v>
      </c>
      <c r="AB308" s="86">
        <v>1208119609</v>
      </c>
      <c r="AC308" s="86">
        <v>1997424912</v>
      </c>
      <c r="AD308" s="86">
        <v>2916597968</v>
      </c>
      <c r="AE308" s="86">
        <v>4467989625</v>
      </c>
      <c r="AF308" s="86">
        <v>1665252996</v>
      </c>
      <c r="AG308" s="86">
        <v>3659026096</v>
      </c>
      <c r="AH308" s="86">
        <v>5483216378</v>
      </c>
    </row>
    <row r="309" spans="2:34">
      <c r="B309" s="41" t="s">
        <v>1137</v>
      </c>
      <c r="C309" s="41" t="s">
        <v>1137</v>
      </c>
      <c r="D309" s="86">
        <v>1558037686</v>
      </c>
      <c r="E309" s="86">
        <v>410148690</v>
      </c>
      <c r="F309" s="86"/>
      <c r="G309" s="86">
        <v>3435356305</v>
      </c>
      <c r="H309" s="86">
        <v>5652913154</v>
      </c>
      <c r="I309" s="86">
        <v>2292096575</v>
      </c>
      <c r="J309" s="86">
        <v>4584193151</v>
      </c>
      <c r="K309" s="86">
        <v>6851443151</v>
      </c>
      <c r="L309" s="86">
        <v>2217556849</v>
      </c>
      <c r="M309" s="86">
        <v>4509653424</v>
      </c>
      <c r="N309" s="86">
        <v>6801750000</v>
      </c>
      <c r="O309" s="86">
        <v>9069000000</v>
      </c>
      <c r="P309" s="86">
        <v>2217556849</v>
      </c>
      <c r="Q309" s="86">
        <v>4509653424</v>
      </c>
      <c r="R309" s="86">
        <v>6915458217</v>
      </c>
      <c r="S309" s="86">
        <v>10395598149</v>
      </c>
      <c r="T309" s="86">
        <v>3554512191</v>
      </c>
      <c r="U309" s="86">
        <v>7883169040</v>
      </c>
      <c r="V309" s="86">
        <v>12301569450</v>
      </c>
      <c r="W309" s="86">
        <v>16710354519</v>
      </c>
      <c r="X309" s="86">
        <v>4329051644</v>
      </c>
      <c r="Y309" s="86">
        <v>8741814521</v>
      </c>
      <c r="Z309" s="86">
        <v>13160214931</v>
      </c>
      <c r="AA309" s="86">
        <v>17083687123</v>
      </c>
      <c r="AB309" s="86">
        <v>3879612544</v>
      </c>
      <c r="AC309" s="86">
        <v>9024560044</v>
      </c>
      <c r="AD309" s="86">
        <v>14186507076</v>
      </c>
      <c r="AE309" s="86">
        <v>19094727062</v>
      </c>
      <c r="AF309" s="86">
        <v>5249605647</v>
      </c>
      <c r="AG309" s="86">
        <v>11363773391</v>
      </c>
      <c r="AH309" s="86">
        <v>17735364709</v>
      </c>
    </row>
    <row r="310" spans="2:34">
      <c r="B310" s="41" t="s">
        <v>1138</v>
      </c>
      <c r="C310" s="41" t="s">
        <v>1138</v>
      </c>
      <c r="D310" s="86">
        <v>0</v>
      </c>
      <c r="E310" s="86">
        <v>0</v>
      </c>
      <c r="F310" s="86"/>
      <c r="G310" s="86">
        <v>0</v>
      </c>
      <c r="H310" s="86">
        <v>0</v>
      </c>
      <c r="I310" s="86">
        <v>0</v>
      </c>
      <c r="J310" s="86">
        <v>0</v>
      </c>
      <c r="K310" s="86">
        <v>0</v>
      </c>
      <c r="L310" s="86">
        <v>0</v>
      </c>
      <c r="M310" s="86">
        <v>0</v>
      </c>
      <c r="N310" s="86">
        <v>0</v>
      </c>
      <c r="O310" s="86">
        <v>0</v>
      </c>
      <c r="P310" s="86">
        <v>0</v>
      </c>
      <c r="Q310" s="86">
        <v>0</v>
      </c>
      <c r="R310" s="86">
        <v>0</v>
      </c>
      <c r="S310" s="86">
        <v>0</v>
      </c>
      <c r="T310" s="86">
        <v>0</v>
      </c>
      <c r="U310" s="86">
        <v>0</v>
      </c>
      <c r="V310" s="86">
        <v>0</v>
      </c>
      <c r="W310" s="86">
        <v>0</v>
      </c>
      <c r="X310" s="86">
        <v>0</v>
      </c>
      <c r="Y310" s="86">
        <v>0</v>
      </c>
      <c r="Z310" s="86">
        <v>0</v>
      </c>
      <c r="AA310" s="86">
        <v>1142389430</v>
      </c>
      <c r="AB310" s="86">
        <v>6807622892</v>
      </c>
      <c r="AC310" s="86">
        <v>18466341875</v>
      </c>
      <c r="AD310" s="86">
        <v>34335422143</v>
      </c>
      <c r="AE310" s="86">
        <v>54024513165</v>
      </c>
      <c r="AF310" s="86">
        <v>24828301184</v>
      </c>
      <c r="AG310" s="86">
        <v>54186944960</v>
      </c>
      <c r="AH310" s="86">
        <v>84302367343</v>
      </c>
    </row>
    <row r="311" spans="2:34">
      <c r="B311" s="41" t="s">
        <v>1139</v>
      </c>
      <c r="C311" s="41" t="s">
        <v>1139</v>
      </c>
      <c r="D311" s="86">
        <v>0</v>
      </c>
      <c r="E311" s="86">
        <v>0</v>
      </c>
      <c r="F311" s="86"/>
      <c r="G311" s="86">
        <v>0</v>
      </c>
      <c r="H311" s="86">
        <v>0</v>
      </c>
      <c r="I311" s="86">
        <v>0</v>
      </c>
      <c r="J311" s="86">
        <v>0</v>
      </c>
      <c r="K311" s="86">
        <v>0</v>
      </c>
      <c r="L311" s="86">
        <v>0</v>
      </c>
      <c r="M311" s="86">
        <v>0</v>
      </c>
      <c r="N311" s="86">
        <v>0</v>
      </c>
      <c r="O311" s="86">
        <v>0</v>
      </c>
      <c r="P311" s="86">
        <v>0</v>
      </c>
      <c r="Q311" s="86">
        <v>0</v>
      </c>
      <c r="R311" s="86">
        <v>0</v>
      </c>
      <c r="S311" s="86">
        <v>0</v>
      </c>
      <c r="T311" s="86">
        <v>0</v>
      </c>
      <c r="U311" s="86">
        <v>0</v>
      </c>
      <c r="V311" s="86">
        <v>0</v>
      </c>
      <c r="W311" s="86">
        <v>0</v>
      </c>
      <c r="X311" s="86">
        <v>0</v>
      </c>
      <c r="Y311" s="86">
        <v>0</v>
      </c>
      <c r="Z311" s="86">
        <v>0</v>
      </c>
      <c r="AA311" s="86">
        <v>0</v>
      </c>
      <c r="AB311" s="86">
        <v>0</v>
      </c>
      <c r="AC311" s="86">
        <v>0</v>
      </c>
      <c r="AD311" s="86">
        <v>0</v>
      </c>
      <c r="AE311" s="86">
        <v>0</v>
      </c>
      <c r="AF311" s="86">
        <v>0</v>
      </c>
      <c r="AG311" s="86">
        <v>0</v>
      </c>
      <c r="AH311" s="86">
        <v>0</v>
      </c>
    </row>
    <row r="312" spans="2:34">
      <c r="B312" s="41" t="s">
        <v>1140</v>
      </c>
      <c r="C312" s="41" t="s">
        <v>1140</v>
      </c>
      <c r="D312" s="86">
        <v>0</v>
      </c>
      <c r="E312" s="86">
        <v>0</v>
      </c>
      <c r="F312" s="86"/>
      <c r="G312" s="86">
        <v>0</v>
      </c>
      <c r="H312" s="86">
        <v>0</v>
      </c>
      <c r="I312" s="86">
        <v>0</v>
      </c>
      <c r="J312" s="86">
        <v>0</v>
      </c>
      <c r="K312" s="86">
        <v>0</v>
      </c>
      <c r="L312" s="86">
        <v>0</v>
      </c>
      <c r="M312" s="86">
        <v>0</v>
      </c>
      <c r="N312" s="86">
        <v>0</v>
      </c>
      <c r="O312" s="86">
        <v>0</v>
      </c>
      <c r="P312" s="86">
        <v>0</v>
      </c>
      <c r="Q312" s="86">
        <v>0</v>
      </c>
      <c r="R312" s="86">
        <v>0</v>
      </c>
      <c r="S312" s="86">
        <v>0</v>
      </c>
      <c r="T312" s="86">
        <v>0</v>
      </c>
      <c r="U312" s="86">
        <v>0</v>
      </c>
      <c r="V312" s="86">
        <v>0</v>
      </c>
      <c r="W312" s="86">
        <v>0</v>
      </c>
      <c r="X312" s="86">
        <v>0</v>
      </c>
      <c r="Y312" s="86">
        <v>0</v>
      </c>
      <c r="Z312" s="86">
        <v>0</v>
      </c>
      <c r="AA312" s="86">
        <v>0</v>
      </c>
      <c r="AB312" s="86">
        <v>0</v>
      </c>
      <c r="AC312" s="86">
        <v>0</v>
      </c>
      <c r="AD312" s="86">
        <v>0</v>
      </c>
      <c r="AE312" s="86">
        <v>0</v>
      </c>
      <c r="AF312" s="86">
        <v>0</v>
      </c>
      <c r="AG312" s="86">
        <v>0</v>
      </c>
      <c r="AH312" s="86">
        <v>0</v>
      </c>
    </row>
    <row r="313" spans="2:34">
      <c r="B313" s="41" t="s">
        <v>1141</v>
      </c>
      <c r="C313" s="41" t="s">
        <v>1141</v>
      </c>
      <c r="D313" s="86">
        <v>0</v>
      </c>
      <c r="E313" s="86">
        <v>0</v>
      </c>
      <c r="F313" s="86"/>
      <c r="G313" s="86">
        <v>0</v>
      </c>
      <c r="H313" s="86">
        <v>0</v>
      </c>
      <c r="I313" s="86">
        <v>0</v>
      </c>
      <c r="J313" s="86">
        <v>0</v>
      </c>
      <c r="K313" s="86">
        <v>0</v>
      </c>
      <c r="L313" s="86">
        <v>0</v>
      </c>
      <c r="M313" s="86">
        <v>0</v>
      </c>
      <c r="N313" s="86">
        <v>0</v>
      </c>
      <c r="O313" s="86">
        <v>0</v>
      </c>
      <c r="P313" s="86">
        <v>0</v>
      </c>
      <c r="Q313" s="86">
        <v>0</v>
      </c>
      <c r="R313" s="86">
        <v>0</v>
      </c>
      <c r="S313" s="86">
        <v>0</v>
      </c>
      <c r="T313" s="86">
        <v>0</v>
      </c>
      <c r="U313" s="86">
        <v>0</v>
      </c>
      <c r="V313" s="86">
        <v>0</v>
      </c>
      <c r="W313" s="86">
        <v>0</v>
      </c>
      <c r="X313" s="86">
        <v>0</v>
      </c>
      <c r="Y313" s="86">
        <v>0</v>
      </c>
      <c r="Z313" s="86">
        <v>0</v>
      </c>
      <c r="AA313" s="86">
        <v>0</v>
      </c>
      <c r="AB313" s="86">
        <v>0</v>
      </c>
      <c r="AC313" s="86">
        <v>0</v>
      </c>
      <c r="AD313" s="86">
        <v>0</v>
      </c>
      <c r="AE313" s="86">
        <v>0</v>
      </c>
      <c r="AF313" s="86">
        <v>0</v>
      </c>
      <c r="AG313" s="86">
        <v>0</v>
      </c>
      <c r="AH313" s="86">
        <v>0</v>
      </c>
    </row>
    <row r="314" spans="2:34">
      <c r="B314" s="41" t="s">
        <v>1142</v>
      </c>
      <c r="C314" s="41" t="s">
        <v>1142</v>
      </c>
      <c r="D314" s="86">
        <v>0</v>
      </c>
      <c r="E314" s="86">
        <v>0</v>
      </c>
      <c r="F314" s="86"/>
      <c r="G314" s="86">
        <v>0</v>
      </c>
      <c r="H314" s="86">
        <v>0</v>
      </c>
      <c r="I314" s="86">
        <v>0</v>
      </c>
      <c r="J314" s="86">
        <v>0</v>
      </c>
      <c r="K314" s="86">
        <v>0</v>
      </c>
      <c r="L314" s="86">
        <v>0</v>
      </c>
      <c r="M314" s="86">
        <v>0</v>
      </c>
      <c r="N314" s="86">
        <v>0</v>
      </c>
      <c r="O314" s="86">
        <v>0</v>
      </c>
      <c r="P314" s="86">
        <v>0</v>
      </c>
      <c r="Q314" s="86">
        <v>0</v>
      </c>
      <c r="R314" s="86">
        <v>0</v>
      </c>
      <c r="S314" s="86">
        <v>0</v>
      </c>
      <c r="T314" s="86">
        <v>0</v>
      </c>
      <c r="U314" s="86">
        <v>0</v>
      </c>
      <c r="V314" s="86">
        <v>0</v>
      </c>
      <c r="W314" s="86">
        <v>0</v>
      </c>
      <c r="X314" s="86">
        <v>0</v>
      </c>
      <c r="Y314" s="86">
        <v>0</v>
      </c>
      <c r="Z314" s="86">
        <v>0</v>
      </c>
      <c r="AA314" s="86">
        <v>0</v>
      </c>
      <c r="AB314" s="86">
        <v>0</v>
      </c>
      <c r="AC314" s="86">
        <v>0</v>
      </c>
      <c r="AD314" s="86">
        <v>0</v>
      </c>
      <c r="AE314" s="86">
        <v>0</v>
      </c>
      <c r="AF314" s="86">
        <v>0</v>
      </c>
      <c r="AG314" s="86">
        <v>0</v>
      </c>
      <c r="AH314" s="86">
        <v>0</v>
      </c>
    </row>
    <row r="315" spans="2:34">
      <c r="B315" s="41" t="s">
        <v>1143</v>
      </c>
      <c r="C315" s="41" t="s">
        <v>1143</v>
      </c>
      <c r="D315" s="86">
        <v>123742822672</v>
      </c>
      <c r="E315" s="86">
        <v>74738600</v>
      </c>
      <c r="F315" s="86"/>
      <c r="G315" s="86">
        <v>190951390</v>
      </c>
      <c r="H315" s="86">
        <v>247794603</v>
      </c>
      <c r="I315" s="86">
        <v>18316144</v>
      </c>
      <c r="J315" s="86">
        <v>18316144</v>
      </c>
      <c r="K315" s="86">
        <v>18316144</v>
      </c>
      <c r="L315" s="86">
        <v>0</v>
      </c>
      <c r="M315" s="86">
        <v>0</v>
      </c>
      <c r="N315" s="86">
        <v>348997</v>
      </c>
      <c r="O315" s="86">
        <v>428908</v>
      </c>
      <c r="P315" s="86">
        <v>0</v>
      </c>
      <c r="Q315" s="86">
        <v>425334</v>
      </c>
      <c r="R315" s="86">
        <v>425334</v>
      </c>
      <c r="S315" s="86">
        <v>425334</v>
      </c>
      <c r="T315" s="86">
        <v>0</v>
      </c>
      <c r="U315" s="86">
        <v>0</v>
      </c>
      <c r="V315" s="86">
        <v>0</v>
      </c>
      <c r="W315" s="86">
        <v>284500875</v>
      </c>
      <c r="X315" s="86">
        <v>477479103</v>
      </c>
      <c r="Y315" s="86">
        <v>1068860005</v>
      </c>
      <c r="Z315" s="86">
        <v>1800360139</v>
      </c>
      <c r="AA315" s="86">
        <v>2468306935</v>
      </c>
      <c r="AB315" s="86">
        <v>1097166631</v>
      </c>
      <c r="AC315" s="86">
        <v>4877969285</v>
      </c>
      <c r="AD315" s="86">
        <v>10901928498</v>
      </c>
      <c r="AE315" s="86">
        <v>18417309174</v>
      </c>
      <c r="AF315" s="86">
        <v>7528378711</v>
      </c>
      <c r="AG315" s="86">
        <v>14726288891</v>
      </c>
      <c r="AH315" s="86">
        <v>22922944800</v>
      </c>
    </row>
    <row r="316" spans="2:34">
      <c r="B316" s="40" t="s">
        <v>1144</v>
      </c>
      <c r="C316" s="40" t="s">
        <v>1144</v>
      </c>
      <c r="D316" s="87">
        <v>2478719244</v>
      </c>
      <c r="E316" s="87">
        <v>16635230194</v>
      </c>
      <c r="F316" s="87"/>
      <c r="G316" s="87">
        <v>6099742388</v>
      </c>
      <c r="H316" s="87">
        <v>7349795995</v>
      </c>
      <c r="I316" s="87">
        <v>41416615</v>
      </c>
      <c r="J316" s="87">
        <v>72194741</v>
      </c>
      <c r="K316" s="87">
        <v>16183906001</v>
      </c>
      <c r="L316" s="87">
        <v>2067142860</v>
      </c>
      <c r="M316" s="87">
        <v>2401152326</v>
      </c>
      <c r="N316" s="87">
        <v>2130637826</v>
      </c>
      <c r="O316" s="87">
        <v>3721999871</v>
      </c>
      <c r="P316" s="87">
        <v>0</v>
      </c>
      <c r="Q316" s="87">
        <v>0</v>
      </c>
      <c r="R316" s="87">
        <v>0</v>
      </c>
      <c r="S316" s="87">
        <v>0</v>
      </c>
      <c r="T316" s="87">
        <v>179561449</v>
      </c>
      <c r="U316" s="87">
        <v>191561449</v>
      </c>
      <c r="V316" s="87">
        <v>284708480</v>
      </c>
      <c r="W316" s="87">
        <v>284708480</v>
      </c>
      <c r="X316" s="87">
        <v>80050568</v>
      </c>
      <c r="Y316" s="87">
        <v>562501798</v>
      </c>
      <c r="Z316" s="87">
        <v>667009728</v>
      </c>
      <c r="AA316" s="87">
        <v>667009728</v>
      </c>
      <c r="AB316" s="87">
        <v>3152050915</v>
      </c>
      <c r="AC316" s="87">
        <v>3137522422</v>
      </c>
      <c r="AD316" s="87">
        <v>3747181105</v>
      </c>
      <c r="AE316" s="87">
        <v>4835590651</v>
      </c>
      <c r="AF316" s="87">
        <v>2299101429</v>
      </c>
      <c r="AG316" s="87">
        <v>2231127130</v>
      </c>
      <c r="AH316" s="87">
        <v>5850700883</v>
      </c>
    </row>
    <row r="317" spans="2:34">
      <c r="B317" s="41" t="s">
        <v>1145</v>
      </c>
      <c r="C317" s="41" t="s">
        <v>1145</v>
      </c>
      <c r="D317" s="86">
        <v>0</v>
      </c>
      <c r="E317" s="86">
        <v>0</v>
      </c>
      <c r="F317" s="86"/>
      <c r="G317" s="86">
        <v>3681796088</v>
      </c>
      <c r="H317" s="86">
        <v>3681796088</v>
      </c>
      <c r="I317" s="86">
        <v>0</v>
      </c>
      <c r="J317" s="86">
        <v>0</v>
      </c>
      <c r="K317" s="86">
        <v>0</v>
      </c>
      <c r="L317" s="86">
        <v>0</v>
      </c>
      <c r="M317" s="86">
        <v>0</v>
      </c>
      <c r="N317" s="86">
        <v>0</v>
      </c>
      <c r="O317" s="86">
        <v>0</v>
      </c>
      <c r="P317" s="86">
        <v>0</v>
      </c>
      <c r="Q317" s="86">
        <v>0</v>
      </c>
      <c r="R317" s="86">
        <v>0</v>
      </c>
      <c r="S317" s="86">
        <v>0</v>
      </c>
      <c r="T317" s="86">
        <v>179561449</v>
      </c>
      <c r="U317" s="86">
        <v>191561449</v>
      </c>
      <c r="V317" s="86">
        <v>284708480</v>
      </c>
      <c r="W317" s="86">
        <v>284708480</v>
      </c>
      <c r="X317" s="86">
        <v>80050568</v>
      </c>
      <c r="Y317" s="86">
        <v>562501798</v>
      </c>
      <c r="Z317" s="86">
        <v>667009728</v>
      </c>
      <c r="AA317" s="86">
        <v>667009728</v>
      </c>
      <c r="AB317" s="86">
        <v>0</v>
      </c>
      <c r="AC317" s="86">
        <v>0</v>
      </c>
      <c r="AD317" s="86">
        <v>0</v>
      </c>
      <c r="AE317" s="86">
        <v>0</v>
      </c>
      <c r="AF317" s="86">
        <v>0</v>
      </c>
      <c r="AG317" s="86">
        <v>0</v>
      </c>
      <c r="AH317" s="86">
        <v>0</v>
      </c>
    </row>
    <row r="318" spans="2:34">
      <c r="B318" s="41" t="s">
        <v>1146</v>
      </c>
      <c r="C318" s="41" t="s">
        <v>1146</v>
      </c>
      <c r="D318" s="86">
        <v>0</v>
      </c>
      <c r="E318" s="86">
        <v>0</v>
      </c>
      <c r="F318" s="86"/>
      <c r="G318" s="86">
        <v>0</v>
      </c>
      <c r="H318" s="86">
        <v>0</v>
      </c>
      <c r="I318" s="86">
        <v>0</v>
      </c>
      <c r="J318" s="86">
        <v>0</v>
      </c>
      <c r="K318" s="86">
        <v>0</v>
      </c>
      <c r="L318" s="86">
        <v>0</v>
      </c>
      <c r="M318" s="86">
        <v>0</v>
      </c>
      <c r="N318" s="86">
        <v>0</v>
      </c>
      <c r="O318" s="86">
        <v>0</v>
      </c>
      <c r="P318" s="86">
        <v>0</v>
      </c>
      <c r="Q318" s="86">
        <v>0</v>
      </c>
      <c r="R318" s="86">
        <v>0</v>
      </c>
      <c r="S318" s="86">
        <v>0</v>
      </c>
      <c r="T318" s="86">
        <v>0</v>
      </c>
      <c r="U318" s="86">
        <v>0</v>
      </c>
      <c r="V318" s="86">
        <v>0</v>
      </c>
      <c r="W318" s="86">
        <v>0</v>
      </c>
      <c r="X318" s="86">
        <v>0</v>
      </c>
      <c r="Y318" s="86">
        <v>0</v>
      </c>
      <c r="Z318" s="86">
        <v>0</v>
      </c>
      <c r="AA318" s="86">
        <v>0</v>
      </c>
      <c r="AB318" s="86">
        <v>0</v>
      </c>
      <c r="AC318" s="86">
        <v>0</v>
      </c>
      <c r="AD318" s="86">
        <v>0</v>
      </c>
      <c r="AE318" s="86">
        <v>107140000</v>
      </c>
      <c r="AF318" s="86">
        <v>0</v>
      </c>
      <c r="AG318" s="86">
        <v>732362307</v>
      </c>
      <c r="AH318" s="86">
        <v>436620440</v>
      </c>
    </row>
    <row r="319" spans="2:34">
      <c r="B319" s="41" t="s">
        <v>1147</v>
      </c>
      <c r="C319" s="41" t="s">
        <v>1147</v>
      </c>
      <c r="D319" s="86">
        <v>2478719244</v>
      </c>
      <c r="E319" s="86">
        <v>16635230194</v>
      </c>
      <c r="F319" s="86"/>
      <c r="G319" s="86">
        <v>2417946300</v>
      </c>
      <c r="H319" s="86">
        <v>3667999907</v>
      </c>
      <c r="I319" s="86">
        <v>41416615</v>
      </c>
      <c r="J319" s="86">
        <v>72194741</v>
      </c>
      <c r="K319" s="86">
        <v>16183906001</v>
      </c>
      <c r="L319" s="86">
        <v>2067142860</v>
      </c>
      <c r="M319" s="86">
        <v>2401152326</v>
      </c>
      <c r="N319" s="86">
        <v>2130637826</v>
      </c>
      <c r="O319" s="86">
        <v>3721999871</v>
      </c>
      <c r="P319" s="86">
        <v>0</v>
      </c>
      <c r="Q319" s="86">
        <v>0</v>
      </c>
      <c r="R319" s="86">
        <v>0</v>
      </c>
      <c r="S319" s="86">
        <v>0</v>
      </c>
      <c r="T319" s="86">
        <v>0</v>
      </c>
      <c r="U319" s="86">
        <v>0</v>
      </c>
      <c r="V319" s="86">
        <v>0</v>
      </c>
      <c r="W319" s="86">
        <v>0</v>
      </c>
      <c r="X319" s="86">
        <v>0</v>
      </c>
      <c r="Y319" s="86">
        <v>0</v>
      </c>
      <c r="Z319" s="86">
        <v>0</v>
      </c>
      <c r="AA319" s="86">
        <v>0</v>
      </c>
      <c r="AB319" s="86">
        <v>3152050915</v>
      </c>
      <c r="AC319" s="86">
        <v>3137522422</v>
      </c>
      <c r="AD319" s="86">
        <v>3747181105</v>
      </c>
      <c r="AE319" s="86">
        <v>4728450651</v>
      </c>
      <c r="AF319" s="86">
        <v>2299101429</v>
      </c>
      <c r="AG319" s="86">
        <v>1498764823</v>
      </c>
      <c r="AH319" s="86">
        <v>5414080443</v>
      </c>
    </row>
    <row r="320" spans="2:34">
      <c r="B320" s="41" t="s">
        <v>1148</v>
      </c>
      <c r="C320" s="41" t="s">
        <v>1148</v>
      </c>
      <c r="D320" s="86">
        <v>0</v>
      </c>
      <c r="E320" s="86">
        <v>0</v>
      </c>
      <c r="F320" s="86"/>
      <c r="G320" s="86">
        <v>0</v>
      </c>
      <c r="H320" s="86">
        <v>0</v>
      </c>
      <c r="I320" s="86">
        <v>0</v>
      </c>
      <c r="J320" s="86">
        <v>0</v>
      </c>
      <c r="K320" s="86">
        <v>0</v>
      </c>
      <c r="L320" s="86">
        <v>0</v>
      </c>
      <c r="M320" s="86">
        <v>0</v>
      </c>
      <c r="N320" s="86">
        <v>0</v>
      </c>
      <c r="O320" s="86">
        <v>0</v>
      </c>
      <c r="P320" s="86">
        <v>0</v>
      </c>
      <c r="Q320" s="86">
        <v>0</v>
      </c>
      <c r="R320" s="86">
        <v>0</v>
      </c>
      <c r="S320" s="86">
        <v>0</v>
      </c>
      <c r="T320" s="86">
        <v>0</v>
      </c>
      <c r="U320" s="86">
        <v>0</v>
      </c>
      <c r="V320" s="86">
        <v>0</v>
      </c>
      <c r="W320" s="86">
        <v>0</v>
      </c>
      <c r="X320" s="86">
        <v>0</v>
      </c>
      <c r="Y320" s="86">
        <v>0</v>
      </c>
      <c r="Z320" s="86">
        <v>0</v>
      </c>
      <c r="AA320" s="86">
        <v>0</v>
      </c>
      <c r="AB320" s="86">
        <v>0</v>
      </c>
      <c r="AC320" s="86">
        <v>0</v>
      </c>
      <c r="AD320" s="86">
        <v>0</v>
      </c>
      <c r="AE320" s="86">
        <v>0</v>
      </c>
      <c r="AF320" s="86">
        <v>0</v>
      </c>
      <c r="AG320" s="86">
        <v>0</v>
      </c>
      <c r="AH320" s="86">
        <v>0</v>
      </c>
    </row>
    <row r="321" spans="2:34">
      <c r="B321" s="40" t="s">
        <v>1149</v>
      </c>
      <c r="C321" s="40" t="s">
        <v>1149</v>
      </c>
      <c r="D321" s="87">
        <v>7430688091</v>
      </c>
      <c r="E321" s="87">
        <v>1043488241</v>
      </c>
      <c r="F321" s="87"/>
      <c r="G321" s="87">
        <v>22853032122</v>
      </c>
      <c r="H321" s="87">
        <v>17498424251</v>
      </c>
      <c r="I321" s="87">
        <v>2396026994</v>
      </c>
      <c r="J321" s="87">
        <v>18083432849</v>
      </c>
      <c r="K321" s="87">
        <v>24615195380</v>
      </c>
      <c r="L321" s="87">
        <v>2322893831</v>
      </c>
      <c r="M321" s="87">
        <v>35409386971</v>
      </c>
      <c r="N321" s="87">
        <v>22971289626</v>
      </c>
      <c r="O321" s="87">
        <v>20932755826</v>
      </c>
      <c r="P321" s="87">
        <v>17476301806</v>
      </c>
      <c r="Q321" s="87">
        <v>17370357562</v>
      </c>
      <c r="R321" s="87">
        <v>44756533256</v>
      </c>
      <c r="S321" s="87">
        <v>73046260067</v>
      </c>
      <c r="T321" s="87">
        <v>86201605793</v>
      </c>
      <c r="U321" s="87">
        <v>139279790853</v>
      </c>
      <c r="V321" s="87">
        <v>266171482258</v>
      </c>
      <c r="W321" s="87">
        <v>252922443380</v>
      </c>
      <c r="X321" s="87">
        <v>98090234217</v>
      </c>
      <c r="Y321" s="87">
        <v>106593931304</v>
      </c>
      <c r="Z321" s="87">
        <v>134407568623</v>
      </c>
      <c r="AA321" s="87">
        <v>246487606700</v>
      </c>
      <c r="AB321" s="87">
        <v>110295468675</v>
      </c>
      <c r="AC321" s="87">
        <v>262814520767</v>
      </c>
      <c r="AD321" s="87">
        <v>358188931377</v>
      </c>
      <c r="AE321" s="87">
        <v>480754046326</v>
      </c>
      <c r="AF321" s="87">
        <v>161729221687</v>
      </c>
      <c r="AG321" s="87">
        <v>461133349477</v>
      </c>
      <c r="AH321" s="87">
        <v>726791736937</v>
      </c>
    </row>
    <row r="322" spans="2:34">
      <c r="B322" s="41" t="s">
        <v>1150</v>
      </c>
      <c r="C322" s="41" t="s">
        <v>1150</v>
      </c>
      <c r="D322" s="86">
        <v>2860586812</v>
      </c>
      <c r="E322" s="86">
        <v>137435527</v>
      </c>
      <c r="F322" s="86"/>
      <c r="G322" s="86">
        <v>4413857727</v>
      </c>
      <c r="H322" s="86">
        <v>17456788698</v>
      </c>
      <c r="I322" s="86">
        <v>1836935954</v>
      </c>
      <c r="J322" s="86">
        <v>2563139542</v>
      </c>
      <c r="K322" s="86">
        <v>3579115855</v>
      </c>
      <c r="L322" s="86">
        <v>752688068</v>
      </c>
      <c r="M322" s="86">
        <v>7298556556</v>
      </c>
      <c r="N322" s="86">
        <v>16138297649</v>
      </c>
      <c r="O322" s="86">
        <v>19408330863</v>
      </c>
      <c r="P322" s="86">
        <v>6062737758</v>
      </c>
      <c r="Q322" s="86">
        <v>15324786207</v>
      </c>
      <c r="R322" s="86">
        <v>39177811861</v>
      </c>
      <c r="S322" s="86">
        <v>68906045320</v>
      </c>
      <c r="T322" s="86">
        <v>74005838802</v>
      </c>
      <c r="U322" s="86">
        <v>134157752344</v>
      </c>
      <c r="V322" s="86">
        <v>198049280586</v>
      </c>
      <c r="W322" s="86">
        <v>237939522316</v>
      </c>
      <c r="X322" s="86">
        <v>44386610595</v>
      </c>
      <c r="Y322" s="86">
        <v>73075893635</v>
      </c>
      <c r="Z322" s="86">
        <v>106404365469</v>
      </c>
      <c r="AA322" s="86">
        <v>186118818788</v>
      </c>
      <c r="AB322" s="86">
        <v>101474496289</v>
      </c>
      <c r="AC322" s="86">
        <v>234805458550</v>
      </c>
      <c r="AD322" s="86">
        <v>344489752135</v>
      </c>
      <c r="AE322" s="86">
        <v>472849308742</v>
      </c>
      <c r="AF322" s="86">
        <v>137603557996</v>
      </c>
      <c r="AG322" s="86">
        <v>441224768067</v>
      </c>
      <c r="AH322" s="86">
        <v>647082883378</v>
      </c>
    </row>
    <row r="323" spans="2:34">
      <c r="B323" s="41" t="s">
        <v>1151</v>
      </c>
      <c r="C323" s="41" t="s">
        <v>1151</v>
      </c>
      <c r="D323" s="86">
        <v>4570101279</v>
      </c>
      <c r="E323" s="86">
        <v>906052714</v>
      </c>
      <c r="F323" s="86"/>
      <c r="G323" s="86">
        <v>18439174395</v>
      </c>
      <c r="H323" s="86">
        <v>41635553</v>
      </c>
      <c r="I323" s="86">
        <v>559091040</v>
      </c>
      <c r="J323" s="86">
        <v>15520293307</v>
      </c>
      <c r="K323" s="86">
        <v>21036079525</v>
      </c>
      <c r="L323" s="86">
        <v>1570205763</v>
      </c>
      <c r="M323" s="86">
        <v>28110830415</v>
      </c>
      <c r="N323" s="86">
        <v>6832991977</v>
      </c>
      <c r="O323" s="86">
        <v>1524424963</v>
      </c>
      <c r="P323" s="86">
        <v>11413564048</v>
      </c>
      <c r="Q323" s="86">
        <v>2045571355</v>
      </c>
      <c r="R323" s="86">
        <v>5578721395</v>
      </c>
      <c r="S323" s="86">
        <v>4140214747</v>
      </c>
      <c r="T323" s="86">
        <v>12195766991</v>
      </c>
      <c r="U323" s="86">
        <v>5122038509</v>
      </c>
      <c r="V323" s="86">
        <v>68122201672</v>
      </c>
      <c r="W323" s="86">
        <v>14982921064</v>
      </c>
      <c r="X323" s="86">
        <v>53703623622</v>
      </c>
      <c r="Y323" s="86">
        <v>33518037669</v>
      </c>
      <c r="Z323" s="86">
        <v>28003203154</v>
      </c>
      <c r="AA323" s="86">
        <v>60368787912</v>
      </c>
      <c r="AB323" s="86">
        <v>8820972386</v>
      </c>
      <c r="AC323" s="86">
        <v>28009062217</v>
      </c>
      <c r="AD323" s="86">
        <v>13699179242</v>
      </c>
      <c r="AE323" s="86">
        <v>7904737584</v>
      </c>
      <c r="AF323" s="86">
        <v>24125663691</v>
      </c>
      <c r="AG323" s="86">
        <v>19908581410</v>
      </c>
      <c r="AH323" s="86">
        <v>79708853559</v>
      </c>
    </row>
    <row r="324" spans="2:34">
      <c r="B324" s="40" t="s">
        <v>1152</v>
      </c>
      <c r="C324" s="40" t="s">
        <v>1152</v>
      </c>
      <c r="D324" s="87">
        <v>487171925904</v>
      </c>
      <c r="E324" s="87">
        <v>116307371048</v>
      </c>
      <c r="F324" s="87"/>
      <c r="G324" s="87">
        <v>341979398743</v>
      </c>
      <c r="H324" s="87">
        <v>463608510179</v>
      </c>
      <c r="I324" s="87">
        <v>102659629489</v>
      </c>
      <c r="J324" s="87">
        <v>200026907516</v>
      </c>
      <c r="K324" s="87">
        <v>299578439091</v>
      </c>
      <c r="L324" s="87">
        <v>102212065014</v>
      </c>
      <c r="M324" s="87">
        <v>206597884484</v>
      </c>
      <c r="N324" s="87">
        <v>311273277917</v>
      </c>
      <c r="O324" s="87">
        <v>423335168187</v>
      </c>
      <c r="P324" s="87">
        <v>114960072121</v>
      </c>
      <c r="Q324" s="87">
        <v>236523071057</v>
      </c>
      <c r="R324" s="87">
        <v>341677068478</v>
      </c>
      <c r="S324" s="87">
        <v>480594840219</v>
      </c>
      <c r="T324" s="87">
        <v>116317193990</v>
      </c>
      <c r="U324" s="87">
        <v>229690392296</v>
      </c>
      <c r="V324" s="87">
        <v>338237784328</v>
      </c>
      <c r="W324" s="87">
        <v>465475217345</v>
      </c>
      <c r="X324" s="87">
        <v>124300558833</v>
      </c>
      <c r="Y324" s="87">
        <v>250170458663</v>
      </c>
      <c r="Z324" s="87">
        <v>379196207270</v>
      </c>
      <c r="AA324" s="87">
        <v>532466011878</v>
      </c>
      <c r="AB324" s="87">
        <v>154396951118</v>
      </c>
      <c r="AC324" s="87">
        <v>305194228825</v>
      </c>
      <c r="AD324" s="87">
        <v>440101807302</v>
      </c>
      <c r="AE324" s="87">
        <v>597147189221</v>
      </c>
      <c r="AF324" s="87">
        <v>155820444743</v>
      </c>
      <c r="AG324" s="87">
        <v>337107615236</v>
      </c>
      <c r="AH324" s="87">
        <v>496732846127</v>
      </c>
    </row>
    <row r="325" spans="2:34">
      <c r="B325" s="41" t="s">
        <v>1153</v>
      </c>
      <c r="C325" s="41" t="s">
        <v>1153</v>
      </c>
      <c r="D325" s="86">
        <v>250244494788</v>
      </c>
      <c r="E325" s="86">
        <v>59714174324</v>
      </c>
      <c r="F325" s="86"/>
      <c r="G325" s="86">
        <v>170855845613</v>
      </c>
      <c r="H325" s="86">
        <v>230521540321</v>
      </c>
      <c r="I325" s="86">
        <v>49430349538</v>
      </c>
      <c r="J325" s="86">
        <v>92077614063</v>
      </c>
      <c r="K325" s="86">
        <v>132752341171</v>
      </c>
      <c r="L325" s="86">
        <v>50912016754</v>
      </c>
      <c r="M325" s="86">
        <v>103229672091</v>
      </c>
      <c r="N325" s="86">
        <v>157536988956</v>
      </c>
      <c r="O325" s="86">
        <v>214102728032</v>
      </c>
      <c r="P325" s="86">
        <v>61386418488</v>
      </c>
      <c r="Q325" s="86">
        <v>128052725642</v>
      </c>
      <c r="R325" s="86">
        <v>181702612009</v>
      </c>
      <c r="S325" s="86">
        <v>261631230518</v>
      </c>
      <c r="T325" s="86">
        <v>57773835617</v>
      </c>
      <c r="U325" s="86">
        <v>115601596386</v>
      </c>
      <c r="V325" s="86">
        <v>173205709467</v>
      </c>
      <c r="W325" s="86">
        <v>243121253623</v>
      </c>
      <c r="X325" s="86">
        <v>64945339451</v>
      </c>
      <c r="Y325" s="86">
        <v>135675160630</v>
      </c>
      <c r="Z325" s="86">
        <v>209097204914</v>
      </c>
      <c r="AA325" s="86">
        <v>302629876212</v>
      </c>
      <c r="AB325" s="86">
        <v>88943910688</v>
      </c>
      <c r="AC325" s="86">
        <v>169898797858</v>
      </c>
      <c r="AD325" s="86">
        <v>246591510818</v>
      </c>
      <c r="AE325" s="86">
        <v>337263264668</v>
      </c>
      <c r="AF325" s="86">
        <v>85148983600</v>
      </c>
      <c r="AG325" s="86">
        <v>174910820991</v>
      </c>
      <c r="AH325" s="86">
        <v>268367809341</v>
      </c>
    </row>
    <row r="326" spans="2:34">
      <c r="B326" s="42" t="s">
        <v>1154</v>
      </c>
      <c r="C326" s="42" t="s">
        <v>1154</v>
      </c>
      <c r="D326" s="86">
        <v>9740893387</v>
      </c>
      <c r="E326" s="86">
        <v>6883097974</v>
      </c>
      <c r="F326" s="86"/>
      <c r="G326" s="86">
        <v>10344781325</v>
      </c>
      <c r="H326" s="86">
        <v>12052848321</v>
      </c>
      <c r="I326" s="86">
        <v>3275875007</v>
      </c>
      <c r="J326" s="86">
        <v>7542750014</v>
      </c>
      <c r="K326" s="86">
        <v>9247625021</v>
      </c>
      <c r="L326" s="86">
        <v>4172186402</v>
      </c>
      <c r="M326" s="86">
        <v>5717627261</v>
      </c>
      <c r="N326" s="86">
        <v>7263127298</v>
      </c>
      <c r="O326" s="86">
        <v>8791960667</v>
      </c>
      <c r="P326" s="86">
        <v>7002100109</v>
      </c>
      <c r="Q326" s="86">
        <v>8444000138</v>
      </c>
      <c r="R326" s="86">
        <v>9885900167</v>
      </c>
      <c r="S326" s="86">
        <v>11327800196</v>
      </c>
      <c r="T326" s="86">
        <v>10667978216</v>
      </c>
      <c r="U326" s="86">
        <v>12141878246</v>
      </c>
      <c r="V326" s="86">
        <v>14691778275</v>
      </c>
      <c r="W326" s="86">
        <v>17417478304</v>
      </c>
      <c r="X326" s="86">
        <v>10861317236</v>
      </c>
      <c r="Y326" s="86">
        <v>12351483933</v>
      </c>
      <c r="Z326" s="86">
        <v>13840383963</v>
      </c>
      <c r="AA326" s="86">
        <v>15329283993</v>
      </c>
      <c r="AB326" s="86">
        <v>14922613112</v>
      </c>
      <c r="AC326" s="86">
        <v>16686513152</v>
      </c>
      <c r="AD326" s="86">
        <v>18450413192</v>
      </c>
      <c r="AE326" s="86">
        <v>20196313232</v>
      </c>
      <c r="AF326" s="86">
        <v>1668429513</v>
      </c>
      <c r="AG326" s="86">
        <v>14050166931</v>
      </c>
      <c r="AH326" s="86">
        <v>15635166972</v>
      </c>
    </row>
    <row r="327" spans="2:34">
      <c r="B327" s="42" t="s">
        <v>1155</v>
      </c>
      <c r="C327" s="42" t="s">
        <v>1155</v>
      </c>
      <c r="D327" s="86">
        <v>240503601401</v>
      </c>
      <c r="E327" s="86">
        <v>52831076350</v>
      </c>
      <c r="F327" s="86"/>
      <c r="G327" s="86">
        <v>160511064288</v>
      </c>
      <c r="H327" s="86">
        <v>218468692000</v>
      </c>
      <c r="I327" s="86">
        <v>46154474531</v>
      </c>
      <c r="J327" s="86">
        <v>84534864049</v>
      </c>
      <c r="K327" s="86">
        <v>123504716150</v>
      </c>
      <c r="L327" s="86">
        <v>46739830352</v>
      </c>
      <c r="M327" s="86">
        <v>97512044830</v>
      </c>
      <c r="N327" s="86">
        <v>150273861658</v>
      </c>
      <c r="O327" s="86">
        <v>205310767365</v>
      </c>
      <c r="P327" s="86">
        <v>54384318379</v>
      </c>
      <c r="Q327" s="86">
        <v>119608725504</v>
      </c>
      <c r="R327" s="86">
        <v>171816711842</v>
      </c>
      <c r="S327" s="86">
        <v>250303430322</v>
      </c>
      <c r="T327" s="86">
        <v>47105857401</v>
      </c>
      <c r="U327" s="86">
        <v>103459718140</v>
      </c>
      <c r="V327" s="86">
        <v>158513931192</v>
      </c>
      <c r="W327" s="86">
        <v>225703775319</v>
      </c>
      <c r="X327" s="86">
        <v>54084022215</v>
      </c>
      <c r="Y327" s="86">
        <v>123323676697</v>
      </c>
      <c r="Z327" s="86">
        <v>195256820951</v>
      </c>
      <c r="AA327" s="86">
        <v>287300592219</v>
      </c>
      <c r="AB327" s="86">
        <v>74021297576</v>
      </c>
      <c r="AC327" s="86">
        <v>153212284706</v>
      </c>
      <c r="AD327" s="86">
        <v>228141097626</v>
      </c>
      <c r="AE327" s="86">
        <v>317066951436</v>
      </c>
      <c r="AF327" s="86">
        <v>83480554087</v>
      </c>
      <c r="AG327" s="86">
        <v>160860654060</v>
      </c>
      <c r="AH327" s="86">
        <v>252732642369</v>
      </c>
    </row>
    <row r="328" spans="2:34">
      <c r="B328" s="41" t="s">
        <v>1156</v>
      </c>
      <c r="C328" s="41" t="s">
        <v>1156</v>
      </c>
      <c r="D328" s="86">
        <v>16925575394</v>
      </c>
      <c r="E328" s="86">
        <v>4086270894</v>
      </c>
      <c r="F328" s="86"/>
      <c r="G328" s="86">
        <v>12090949504</v>
      </c>
      <c r="H328" s="86">
        <v>18763979301</v>
      </c>
      <c r="I328" s="86">
        <v>4333692497</v>
      </c>
      <c r="J328" s="86">
        <v>8433169595</v>
      </c>
      <c r="K328" s="86">
        <v>14262150516</v>
      </c>
      <c r="L328" s="86">
        <v>4783445856</v>
      </c>
      <c r="M328" s="86">
        <v>8895879341</v>
      </c>
      <c r="N328" s="86">
        <v>13070131420</v>
      </c>
      <c r="O328" s="86">
        <v>17529546208</v>
      </c>
      <c r="P328" s="86">
        <v>4409382142</v>
      </c>
      <c r="Q328" s="86">
        <v>8721408273</v>
      </c>
      <c r="R328" s="86">
        <v>12458372098</v>
      </c>
      <c r="S328" s="86">
        <v>16847235373</v>
      </c>
      <c r="T328" s="86">
        <v>4622411732</v>
      </c>
      <c r="U328" s="86">
        <v>8745849829</v>
      </c>
      <c r="V328" s="86">
        <v>12903700641</v>
      </c>
      <c r="W328" s="86">
        <v>17936016107</v>
      </c>
      <c r="X328" s="86">
        <v>4758721351</v>
      </c>
      <c r="Y328" s="86">
        <v>8960432361</v>
      </c>
      <c r="Z328" s="86">
        <v>13154909547</v>
      </c>
      <c r="AA328" s="86">
        <v>17994571783</v>
      </c>
      <c r="AB328" s="86">
        <v>4608889325</v>
      </c>
      <c r="AC328" s="86">
        <v>16967364862</v>
      </c>
      <c r="AD328" s="86">
        <v>21310266995</v>
      </c>
      <c r="AE328" s="86">
        <v>26271176750</v>
      </c>
      <c r="AF328" s="86">
        <v>5366079735</v>
      </c>
      <c r="AG328" s="86">
        <v>19774414850</v>
      </c>
      <c r="AH328" s="86">
        <v>24409281212</v>
      </c>
    </row>
    <row r="329" spans="2:34">
      <c r="B329" s="42" t="s">
        <v>1154</v>
      </c>
      <c r="C329" s="42" t="s">
        <v>1154</v>
      </c>
      <c r="D329" s="86">
        <v>1370566685</v>
      </c>
      <c r="E329" s="86">
        <v>371225010</v>
      </c>
      <c r="F329" s="86"/>
      <c r="G329" s="86">
        <v>1067225034</v>
      </c>
      <c r="H329" s="86">
        <v>1419633367</v>
      </c>
      <c r="I329" s="86">
        <v>354200001</v>
      </c>
      <c r="J329" s="86">
        <v>708400002</v>
      </c>
      <c r="K329" s="86">
        <v>2740600003</v>
      </c>
      <c r="L329" s="86">
        <v>366250002</v>
      </c>
      <c r="M329" s="86">
        <v>732500004</v>
      </c>
      <c r="N329" s="86">
        <v>1098750006</v>
      </c>
      <c r="O329" s="86">
        <v>1863833340</v>
      </c>
      <c r="P329" s="86">
        <v>576833350</v>
      </c>
      <c r="Q329" s="86">
        <v>1157833367</v>
      </c>
      <c r="R329" s="86">
        <v>1053300000</v>
      </c>
      <c r="S329" s="86">
        <v>1735400000</v>
      </c>
      <c r="T329" s="86">
        <v>359100000</v>
      </c>
      <c r="U329" s="86">
        <v>718200000</v>
      </c>
      <c r="V329" s="86">
        <v>1068800000</v>
      </c>
      <c r="W329" s="86">
        <v>1919400000</v>
      </c>
      <c r="X329" s="86">
        <v>334554301</v>
      </c>
      <c r="Y329" s="86">
        <v>720404301</v>
      </c>
      <c r="Z329" s="86">
        <v>1061254301</v>
      </c>
      <c r="AA329" s="86">
        <v>1614943764</v>
      </c>
      <c r="AB329" s="86">
        <v>444919179</v>
      </c>
      <c r="AC329" s="86">
        <v>6489600510</v>
      </c>
      <c r="AD329" s="86">
        <v>6908700510</v>
      </c>
      <c r="AE329" s="86">
        <v>8015971295</v>
      </c>
      <c r="AF329" s="86">
        <v>415000000</v>
      </c>
      <c r="AG329" s="86">
        <v>8447238903</v>
      </c>
      <c r="AH329" s="86">
        <v>8862238903</v>
      </c>
    </row>
    <row r="330" spans="2:34">
      <c r="B330" s="42" t="s">
        <v>1157</v>
      </c>
      <c r="C330" s="42" t="s">
        <v>1157</v>
      </c>
      <c r="D330" s="86">
        <v>1370566685</v>
      </c>
      <c r="E330" s="86">
        <v>371225010</v>
      </c>
      <c r="F330" s="86"/>
      <c r="G330" s="86">
        <v>1067225034</v>
      </c>
      <c r="H330" s="86">
        <v>1419633367</v>
      </c>
      <c r="I330" s="86">
        <v>354200001</v>
      </c>
      <c r="J330" s="86">
        <v>708400002</v>
      </c>
      <c r="K330" s="86">
        <v>2740600003</v>
      </c>
      <c r="L330" s="86">
        <v>366250002</v>
      </c>
      <c r="M330" s="86">
        <v>732500004</v>
      </c>
      <c r="N330" s="86">
        <v>1098750006</v>
      </c>
      <c r="O330" s="86">
        <v>1460833340</v>
      </c>
      <c r="P330" s="86">
        <v>576833350</v>
      </c>
      <c r="Q330" s="86">
        <v>1157833367</v>
      </c>
      <c r="R330" s="86">
        <v>1053300000</v>
      </c>
      <c r="S330" s="86">
        <v>1404400000</v>
      </c>
      <c r="T330" s="86">
        <v>359100000</v>
      </c>
      <c r="U330" s="86">
        <v>718200000</v>
      </c>
      <c r="V330" s="86">
        <v>1068800000</v>
      </c>
      <c r="W330" s="86">
        <v>1419400000</v>
      </c>
      <c r="X330" s="86">
        <v>334554301</v>
      </c>
      <c r="Y330" s="86">
        <v>720404301</v>
      </c>
      <c r="Z330" s="86">
        <v>1061254301</v>
      </c>
      <c r="AA330" s="86">
        <v>1402104301</v>
      </c>
      <c r="AB330" s="86">
        <v>444919179</v>
      </c>
      <c r="AC330" s="86">
        <v>6489600510</v>
      </c>
      <c r="AD330" s="86">
        <v>6908700510</v>
      </c>
      <c r="AE330" s="86">
        <v>7314300510</v>
      </c>
      <c r="AF330" s="86">
        <v>415000000</v>
      </c>
      <c r="AG330" s="86">
        <v>8447238903</v>
      </c>
      <c r="AH330" s="86">
        <v>8862238903</v>
      </c>
    </row>
    <row r="331" spans="2:34">
      <c r="B331" s="42" t="s">
        <v>1158</v>
      </c>
      <c r="C331" s="42" t="s">
        <v>1158</v>
      </c>
      <c r="D331" s="86">
        <v>0</v>
      </c>
      <c r="E331" s="86">
        <v>0</v>
      </c>
      <c r="F331" s="86"/>
      <c r="G331" s="86">
        <v>0</v>
      </c>
      <c r="H331" s="86">
        <v>0</v>
      </c>
      <c r="I331" s="86">
        <v>0</v>
      </c>
      <c r="J331" s="86">
        <v>0</v>
      </c>
      <c r="K331" s="86">
        <v>0</v>
      </c>
      <c r="L331" s="86">
        <v>0</v>
      </c>
      <c r="M331" s="86">
        <v>0</v>
      </c>
      <c r="N331" s="86">
        <v>0</v>
      </c>
      <c r="O331" s="86">
        <v>403000000</v>
      </c>
      <c r="P331" s="86">
        <v>0</v>
      </c>
      <c r="Q331" s="86">
        <v>0</v>
      </c>
      <c r="R331" s="86">
        <v>0</v>
      </c>
      <c r="S331" s="86">
        <v>331000000</v>
      </c>
      <c r="T331" s="86">
        <v>0</v>
      </c>
      <c r="U331" s="86">
        <v>0</v>
      </c>
      <c r="V331" s="86">
        <v>0</v>
      </c>
      <c r="W331" s="86">
        <v>500000000</v>
      </c>
      <c r="X331" s="86">
        <v>0</v>
      </c>
      <c r="Y331" s="86">
        <v>0</v>
      </c>
      <c r="Z331" s="86">
        <v>0</v>
      </c>
      <c r="AA331" s="86">
        <v>212839463</v>
      </c>
      <c r="AB331" s="86">
        <v>0</v>
      </c>
      <c r="AC331" s="86">
        <v>0</v>
      </c>
      <c r="AD331" s="86">
        <v>0</v>
      </c>
      <c r="AE331" s="86">
        <v>701670785</v>
      </c>
      <c r="AF331" s="86">
        <v>0</v>
      </c>
      <c r="AG331" s="86">
        <v>0</v>
      </c>
      <c r="AH331" s="86">
        <v>0</v>
      </c>
    </row>
    <row r="332" spans="2:34">
      <c r="B332" s="42" t="s">
        <v>1155</v>
      </c>
      <c r="C332" s="42" t="s">
        <v>1155</v>
      </c>
      <c r="D332" s="86">
        <v>15555008709</v>
      </c>
      <c r="E332" s="86">
        <v>3715045884</v>
      </c>
      <c r="F332" s="86"/>
      <c r="G332" s="86">
        <v>11023724470</v>
      </c>
      <c r="H332" s="86">
        <v>17344345934</v>
      </c>
      <c r="I332" s="86">
        <v>3979492496</v>
      </c>
      <c r="J332" s="86">
        <v>7724769593</v>
      </c>
      <c r="K332" s="86">
        <v>11521550513</v>
      </c>
      <c r="L332" s="86">
        <v>4417195854</v>
      </c>
      <c r="M332" s="86">
        <v>8163379337</v>
      </c>
      <c r="N332" s="86">
        <v>11971381414</v>
      </c>
      <c r="O332" s="86">
        <v>15665712868</v>
      </c>
      <c r="P332" s="86">
        <v>3832548792</v>
      </c>
      <c r="Q332" s="86">
        <v>7563574906</v>
      </c>
      <c r="R332" s="86">
        <v>11405072098</v>
      </c>
      <c r="S332" s="86">
        <v>15111835373</v>
      </c>
      <c r="T332" s="86">
        <v>4263311732</v>
      </c>
      <c r="U332" s="86">
        <v>8027649829</v>
      </c>
      <c r="V332" s="86">
        <v>11834900641</v>
      </c>
      <c r="W332" s="86">
        <v>16016616107</v>
      </c>
      <c r="X332" s="86">
        <v>4424167050</v>
      </c>
      <c r="Y332" s="86">
        <v>8240028060</v>
      </c>
      <c r="Z332" s="86">
        <v>12093655246</v>
      </c>
      <c r="AA332" s="86">
        <v>16379628019</v>
      </c>
      <c r="AB332" s="86">
        <v>4163970146</v>
      </c>
      <c r="AC332" s="86">
        <v>10477764352</v>
      </c>
      <c r="AD332" s="86">
        <v>14401566485</v>
      </c>
      <c r="AE332" s="86">
        <v>18255205455</v>
      </c>
      <c r="AF332" s="86">
        <v>4951079735</v>
      </c>
      <c r="AG332" s="86">
        <v>11327175947</v>
      </c>
      <c r="AH332" s="86">
        <v>15547042309</v>
      </c>
    </row>
    <row r="333" spans="2:34">
      <c r="B333" s="42" t="s">
        <v>1157</v>
      </c>
      <c r="C333" s="42" t="s">
        <v>1157</v>
      </c>
      <c r="D333" s="86">
        <v>15555008709</v>
      </c>
      <c r="E333" s="86">
        <v>3715045884</v>
      </c>
      <c r="F333" s="86"/>
      <c r="G333" s="86">
        <v>11023724470</v>
      </c>
      <c r="H333" s="86">
        <v>17344345934</v>
      </c>
      <c r="I333" s="86">
        <v>3979492496</v>
      </c>
      <c r="J333" s="86">
        <v>7724769593</v>
      </c>
      <c r="K333" s="86">
        <v>11521550513</v>
      </c>
      <c r="L333" s="86">
        <v>2454086283</v>
      </c>
      <c r="M333" s="86">
        <v>4237160195</v>
      </c>
      <c r="N333" s="86">
        <v>6082052701</v>
      </c>
      <c r="O333" s="86">
        <v>7813274582</v>
      </c>
      <c r="P333" s="86">
        <v>1884742321</v>
      </c>
      <c r="Q333" s="86">
        <v>3607961964</v>
      </c>
      <c r="R333" s="86">
        <v>5501652685</v>
      </c>
      <c r="S333" s="86">
        <v>7320609488</v>
      </c>
      <c r="T333" s="86">
        <v>2249130532</v>
      </c>
      <c r="U333" s="86">
        <v>3999287429</v>
      </c>
      <c r="V333" s="86">
        <v>5792357040</v>
      </c>
      <c r="W333" s="86">
        <v>7959891310</v>
      </c>
      <c r="X333" s="86">
        <v>2500423107</v>
      </c>
      <c r="Y333" s="86">
        <v>4392540174</v>
      </c>
      <c r="Z333" s="86">
        <v>6322423417</v>
      </c>
      <c r="AA333" s="86">
        <v>8684652247</v>
      </c>
      <c r="AB333" s="86">
        <v>2354718923</v>
      </c>
      <c r="AC333" s="86">
        <v>6859261906</v>
      </c>
      <c r="AD333" s="86">
        <v>8973812816</v>
      </c>
      <c r="AE333" s="86">
        <v>11018200563</v>
      </c>
      <c r="AF333" s="86">
        <v>2934954803</v>
      </c>
      <c r="AG333" s="86">
        <v>7294926083</v>
      </c>
      <c r="AH333" s="86">
        <v>9498667513</v>
      </c>
    </row>
    <row r="334" spans="2:34">
      <c r="B334" s="42" t="s">
        <v>1158</v>
      </c>
      <c r="C334" s="42" t="s">
        <v>1158</v>
      </c>
      <c r="D334" s="86">
        <v>0</v>
      </c>
      <c r="E334" s="86">
        <v>0</v>
      </c>
      <c r="F334" s="86"/>
      <c r="G334" s="86">
        <v>0</v>
      </c>
      <c r="H334" s="86">
        <v>0</v>
      </c>
      <c r="I334" s="86">
        <v>0</v>
      </c>
      <c r="J334" s="86">
        <v>0</v>
      </c>
      <c r="K334" s="86">
        <v>0</v>
      </c>
      <c r="L334" s="86">
        <v>1963109571</v>
      </c>
      <c r="M334" s="86">
        <v>3926219142</v>
      </c>
      <c r="N334" s="86">
        <v>5889328713</v>
      </c>
      <c r="O334" s="86">
        <v>7852438286</v>
      </c>
      <c r="P334" s="86">
        <v>1947806471</v>
      </c>
      <c r="Q334" s="86">
        <v>3955612942</v>
      </c>
      <c r="R334" s="86">
        <v>5903419413</v>
      </c>
      <c r="S334" s="86">
        <v>7791225885</v>
      </c>
      <c r="T334" s="86">
        <v>2014181200</v>
      </c>
      <c r="U334" s="86">
        <v>4028362400</v>
      </c>
      <c r="V334" s="86">
        <v>6042543601</v>
      </c>
      <c r="W334" s="86">
        <v>8056724797</v>
      </c>
      <c r="X334" s="86">
        <v>1923743943</v>
      </c>
      <c r="Y334" s="86">
        <v>3847487886</v>
      </c>
      <c r="Z334" s="86">
        <v>5771231829</v>
      </c>
      <c r="AA334" s="86">
        <v>7694975772</v>
      </c>
      <c r="AB334" s="86">
        <v>1809251223</v>
      </c>
      <c r="AC334" s="86">
        <v>3618502446</v>
      </c>
      <c r="AD334" s="86">
        <v>5427753669</v>
      </c>
      <c r="AE334" s="86">
        <v>7237004892</v>
      </c>
      <c r="AF334" s="86">
        <v>2016124932</v>
      </c>
      <c r="AG334" s="86">
        <v>4032249864</v>
      </c>
      <c r="AH334" s="86">
        <v>6048374796</v>
      </c>
    </row>
    <row r="335" spans="2:34">
      <c r="B335" s="41" t="s">
        <v>1159</v>
      </c>
      <c r="C335" s="41" t="s">
        <v>1159</v>
      </c>
      <c r="D335" s="86">
        <v>0</v>
      </c>
      <c r="E335" s="86">
        <v>0</v>
      </c>
      <c r="F335" s="86"/>
      <c r="G335" s="86">
        <v>0</v>
      </c>
      <c r="H335" s="86">
        <v>0</v>
      </c>
      <c r="I335" s="86">
        <v>0</v>
      </c>
      <c r="J335" s="86">
        <v>0</v>
      </c>
      <c r="K335" s="86">
        <v>0</v>
      </c>
      <c r="L335" s="86">
        <v>0</v>
      </c>
      <c r="M335" s="86">
        <v>0</v>
      </c>
      <c r="N335" s="86">
        <v>0</v>
      </c>
      <c r="O335" s="536">
        <v>0</v>
      </c>
      <c r="P335" s="86">
        <v>0</v>
      </c>
      <c r="Q335" s="86">
        <v>0</v>
      </c>
      <c r="R335" s="86">
        <v>0</v>
      </c>
      <c r="S335" s="86">
        <v>0</v>
      </c>
      <c r="T335" s="86">
        <v>0</v>
      </c>
      <c r="U335" s="86">
        <v>0</v>
      </c>
      <c r="V335" s="86">
        <v>0</v>
      </c>
      <c r="W335" s="86">
        <v>0</v>
      </c>
      <c r="X335" s="86">
        <v>0</v>
      </c>
      <c r="Y335" s="86">
        <v>0</v>
      </c>
      <c r="Z335" s="86">
        <v>0</v>
      </c>
      <c r="AA335" s="86">
        <v>0</v>
      </c>
      <c r="AB335" s="86">
        <v>0</v>
      </c>
      <c r="AC335" s="86">
        <v>0</v>
      </c>
      <c r="AD335" s="86">
        <v>0</v>
      </c>
      <c r="AE335" s="86">
        <v>0</v>
      </c>
      <c r="AF335" s="86">
        <v>0</v>
      </c>
      <c r="AG335" s="86">
        <v>0</v>
      </c>
      <c r="AH335" s="86">
        <v>0</v>
      </c>
    </row>
    <row r="336" spans="2:34">
      <c r="B336" s="41" t="s">
        <v>1160</v>
      </c>
      <c r="C336" s="41" t="s">
        <v>1160</v>
      </c>
      <c r="D336" s="86">
        <v>23254978386</v>
      </c>
      <c r="E336" s="86">
        <v>7317202457</v>
      </c>
      <c r="F336" s="86"/>
      <c r="G336" s="86">
        <v>19532413584</v>
      </c>
      <c r="H336" s="86">
        <v>26483191468</v>
      </c>
      <c r="I336" s="86">
        <v>5760118778</v>
      </c>
      <c r="J336" s="86">
        <v>13597166680</v>
      </c>
      <c r="K336" s="86">
        <v>21204538839</v>
      </c>
      <c r="L336" s="86">
        <v>7389621836</v>
      </c>
      <c r="M336" s="86">
        <v>13300427246</v>
      </c>
      <c r="N336" s="86">
        <v>20301359145</v>
      </c>
      <c r="O336" s="86">
        <v>27150803513</v>
      </c>
      <c r="P336" s="86">
        <v>7130565034</v>
      </c>
      <c r="Q336" s="86">
        <v>13126766885</v>
      </c>
      <c r="R336" s="86">
        <v>19828901572</v>
      </c>
      <c r="S336" s="86">
        <v>26936413576</v>
      </c>
      <c r="T336" s="86">
        <v>8030063332</v>
      </c>
      <c r="U336" s="86">
        <v>17696883617</v>
      </c>
      <c r="V336" s="86">
        <v>25821254160</v>
      </c>
      <c r="W336" s="86">
        <v>33102558423</v>
      </c>
      <c r="X336" s="86">
        <v>9301176655</v>
      </c>
      <c r="Y336" s="86">
        <v>18857389534</v>
      </c>
      <c r="Z336" s="86">
        <v>27545002074</v>
      </c>
      <c r="AA336" s="86">
        <v>35904108249</v>
      </c>
      <c r="AB336" s="86">
        <v>9459812264</v>
      </c>
      <c r="AC336" s="86">
        <v>19204429855</v>
      </c>
      <c r="AD336" s="86">
        <v>28068238731</v>
      </c>
      <c r="AE336" s="86">
        <v>36905913926</v>
      </c>
      <c r="AF336" s="86">
        <v>10020889204</v>
      </c>
      <c r="AG336" s="86">
        <v>23003623033</v>
      </c>
      <c r="AH336" s="86">
        <v>33551470208</v>
      </c>
    </row>
    <row r="337" spans="2:34">
      <c r="B337" s="41" t="s">
        <v>1161</v>
      </c>
      <c r="C337" s="41" t="s">
        <v>1161</v>
      </c>
      <c r="D337" s="86">
        <v>45752429914</v>
      </c>
      <c r="E337" s="86">
        <v>10786780069</v>
      </c>
      <c r="F337" s="86"/>
      <c r="G337" s="86">
        <v>33563031228</v>
      </c>
      <c r="H337" s="86">
        <v>44294661934</v>
      </c>
      <c r="I337" s="86">
        <v>8168408160</v>
      </c>
      <c r="J337" s="86">
        <v>16486854541</v>
      </c>
      <c r="K337" s="86">
        <v>25121617788</v>
      </c>
      <c r="L337" s="86">
        <v>8170433493</v>
      </c>
      <c r="M337" s="86">
        <v>15640205978</v>
      </c>
      <c r="N337" s="86">
        <v>23351774687</v>
      </c>
      <c r="O337" s="86">
        <v>31230863717</v>
      </c>
      <c r="P337" s="86">
        <v>8163805844</v>
      </c>
      <c r="Q337" s="86">
        <v>15554452148</v>
      </c>
      <c r="R337" s="86">
        <v>22963822084</v>
      </c>
      <c r="S337" s="86">
        <v>31010921655</v>
      </c>
      <c r="T337" s="86">
        <v>8263640582</v>
      </c>
      <c r="U337" s="86">
        <v>15932760638</v>
      </c>
      <c r="V337" s="86">
        <v>23585016756</v>
      </c>
      <c r="W337" s="86">
        <v>32331756282</v>
      </c>
      <c r="X337" s="86">
        <v>8508391075</v>
      </c>
      <c r="Y337" s="86">
        <v>16298546416</v>
      </c>
      <c r="Z337" s="86">
        <v>24513155607</v>
      </c>
      <c r="AA337" s="86">
        <v>32512003984</v>
      </c>
      <c r="AB337" s="86">
        <v>8744319668</v>
      </c>
      <c r="AC337" s="86">
        <v>16592738048</v>
      </c>
      <c r="AD337" s="86">
        <v>25194472888</v>
      </c>
      <c r="AE337" s="86">
        <v>33500911676</v>
      </c>
      <c r="AF337" s="86">
        <v>4147661861</v>
      </c>
      <c r="AG337" s="86">
        <v>8333494205</v>
      </c>
      <c r="AH337" s="86">
        <v>13552779422</v>
      </c>
    </row>
    <row r="338" spans="2:34">
      <c r="B338" s="41" t="s">
        <v>1162</v>
      </c>
      <c r="C338" s="41" t="s">
        <v>1162</v>
      </c>
      <c r="D338" s="86">
        <v>14529664040</v>
      </c>
      <c r="E338" s="86">
        <v>3595827315</v>
      </c>
      <c r="F338" s="86"/>
      <c r="G338" s="86">
        <v>10634698766</v>
      </c>
      <c r="H338" s="86">
        <v>14370215935</v>
      </c>
      <c r="I338" s="86">
        <v>3657243212</v>
      </c>
      <c r="J338" s="86">
        <v>7311729039</v>
      </c>
      <c r="K338" s="86">
        <v>11075424900</v>
      </c>
      <c r="L338" s="86">
        <v>3444523640</v>
      </c>
      <c r="M338" s="86">
        <v>7178721832</v>
      </c>
      <c r="N338" s="86">
        <v>10679918601</v>
      </c>
      <c r="O338" s="86">
        <v>14286645594</v>
      </c>
      <c r="P338" s="86">
        <v>3372454163</v>
      </c>
      <c r="Q338" s="86">
        <v>6687830846</v>
      </c>
      <c r="R338" s="86">
        <v>9866982703</v>
      </c>
      <c r="S338" s="86">
        <v>13245000840</v>
      </c>
      <c r="T338" s="86">
        <v>3091077655</v>
      </c>
      <c r="U338" s="86">
        <v>6206730518</v>
      </c>
      <c r="V338" s="86">
        <v>9304528794</v>
      </c>
      <c r="W338" s="86">
        <v>12474554117</v>
      </c>
      <c r="X338" s="86">
        <v>3066191647</v>
      </c>
      <c r="Y338" s="86">
        <v>6128847341</v>
      </c>
      <c r="Z338" s="86">
        <v>9189470602</v>
      </c>
      <c r="AA338" s="86">
        <v>12308341973</v>
      </c>
      <c r="AB338" s="86">
        <v>3052282880</v>
      </c>
      <c r="AC338" s="86">
        <v>6084017559</v>
      </c>
      <c r="AD338" s="86">
        <v>9183930295</v>
      </c>
      <c r="AE338" s="86">
        <v>12333042906</v>
      </c>
      <c r="AF338" s="86">
        <v>602101092</v>
      </c>
      <c r="AG338" s="86">
        <v>1206361072</v>
      </c>
      <c r="AH338" s="86">
        <v>1801972165</v>
      </c>
    </row>
    <row r="339" spans="2:34">
      <c r="B339" s="41" t="s">
        <v>1163</v>
      </c>
      <c r="C339" s="41" t="s">
        <v>1163</v>
      </c>
      <c r="D339" s="86">
        <v>7413045816</v>
      </c>
      <c r="E339" s="86">
        <v>1336678786</v>
      </c>
      <c r="F339" s="86"/>
      <c r="G339" s="86">
        <v>5042377868</v>
      </c>
      <c r="H339" s="86">
        <v>6649140522</v>
      </c>
      <c r="I339" s="86">
        <v>1577005074</v>
      </c>
      <c r="J339" s="86">
        <v>3319613080</v>
      </c>
      <c r="K339" s="86">
        <v>5425728315</v>
      </c>
      <c r="L339" s="86">
        <v>1646101374</v>
      </c>
      <c r="M339" s="86">
        <v>3841744219</v>
      </c>
      <c r="N339" s="86">
        <v>5987090638</v>
      </c>
      <c r="O339" s="86">
        <v>8404332192</v>
      </c>
      <c r="P339" s="86">
        <v>2018172913</v>
      </c>
      <c r="Q339" s="86">
        <v>4512230978</v>
      </c>
      <c r="R339" s="86">
        <v>7411643635</v>
      </c>
      <c r="S339" s="86">
        <v>10742123435</v>
      </c>
      <c r="T339" s="86">
        <v>2725263456</v>
      </c>
      <c r="U339" s="86">
        <v>5438655157</v>
      </c>
      <c r="V339" s="86">
        <v>7913647076</v>
      </c>
      <c r="W339" s="86">
        <v>11076344918</v>
      </c>
      <c r="X339" s="86">
        <v>2906925038</v>
      </c>
      <c r="Y339" s="86">
        <v>6616208251</v>
      </c>
      <c r="Z339" s="86">
        <v>10280549951</v>
      </c>
      <c r="AA339" s="86">
        <v>13837667510</v>
      </c>
      <c r="AB339" s="86">
        <v>3564692412</v>
      </c>
      <c r="AC339" s="86">
        <v>7685484176</v>
      </c>
      <c r="AD339" s="86">
        <v>10854689780</v>
      </c>
      <c r="AE339" s="86">
        <v>18103645974</v>
      </c>
      <c r="AF339" s="86">
        <v>3455022367</v>
      </c>
      <c r="AG339" s="86">
        <v>9626077940</v>
      </c>
      <c r="AH339" s="86">
        <v>14354319305</v>
      </c>
    </row>
    <row r="340" spans="2:34">
      <c r="B340" s="41" t="s">
        <v>1164</v>
      </c>
      <c r="C340" s="41" t="s">
        <v>1164</v>
      </c>
      <c r="D340" s="86">
        <v>10621843654</v>
      </c>
      <c r="E340" s="86">
        <v>1926972426</v>
      </c>
      <c r="F340" s="86"/>
      <c r="G340" s="86">
        <v>6356387217</v>
      </c>
      <c r="H340" s="86">
        <v>8835755396</v>
      </c>
      <c r="I340" s="86">
        <v>1678152586</v>
      </c>
      <c r="J340" s="86">
        <v>4051709904</v>
      </c>
      <c r="K340" s="86">
        <v>6531098442</v>
      </c>
      <c r="L340" s="86">
        <v>1673286222</v>
      </c>
      <c r="M340" s="86">
        <v>3556262728</v>
      </c>
      <c r="N340" s="86">
        <v>5718983031</v>
      </c>
      <c r="O340" s="86">
        <v>8214734012</v>
      </c>
      <c r="P340" s="86">
        <v>1549090190</v>
      </c>
      <c r="Q340" s="86">
        <v>3507589552</v>
      </c>
      <c r="R340" s="86">
        <v>5695320060</v>
      </c>
      <c r="S340" s="86">
        <v>8467672528</v>
      </c>
      <c r="T340" s="86">
        <v>1623840255</v>
      </c>
      <c r="U340" s="86">
        <v>3806302167</v>
      </c>
      <c r="V340" s="86">
        <v>6150919945</v>
      </c>
      <c r="W340" s="86">
        <v>8889700018</v>
      </c>
      <c r="X340" s="86">
        <v>1704019475</v>
      </c>
      <c r="Y340" s="86">
        <v>3795049344</v>
      </c>
      <c r="Z340" s="86">
        <v>6161023900</v>
      </c>
      <c r="AA340" s="86">
        <v>8957998572</v>
      </c>
      <c r="AB340" s="86">
        <v>1847906021</v>
      </c>
      <c r="AC340" s="86">
        <v>4127677631</v>
      </c>
      <c r="AD340" s="86">
        <v>6799752460</v>
      </c>
      <c r="AE340" s="86">
        <v>10687802618</v>
      </c>
      <c r="AF340" s="86">
        <v>2169168495</v>
      </c>
      <c r="AG340" s="86">
        <v>4909085792</v>
      </c>
      <c r="AH340" s="86">
        <v>7959910142</v>
      </c>
    </row>
    <row r="341" spans="2:34">
      <c r="B341" s="41" t="s">
        <v>1165</v>
      </c>
      <c r="C341" s="41" t="s">
        <v>1165</v>
      </c>
      <c r="D341" s="86">
        <v>22672810948</v>
      </c>
      <c r="E341" s="86">
        <v>3056781595</v>
      </c>
      <c r="F341" s="86"/>
      <c r="G341" s="86">
        <v>10695051097</v>
      </c>
      <c r="H341" s="86">
        <v>14798620108</v>
      </c>
      <c r="I341" s="86">
        <v>3264039050</v>
      </c>
      <c r="J341" s="86">
        <v>6386877688</v>
      </c>
      <c r="K341" s="86">
        <v>10310005926</v>
      </c>
      <c r="L341" s="86">
        <v>1359252709</v>
      </c>
      <c r="M341" s="86">
        <v>4982813019</v>
      </c>
      <c r="N341" s="86">
        <v>7172020131</v>
      </c>
      <c r="O341" s="86">
        <v>11970467492</v>
      </c>
      <c r="P341" s="86">
        <v>1605403263</v>
      </c>
      <c r="Q341" s="86">
        <v>6131931592</v>
      </c>
      <c r="R341" s="86">
        <v>10411517968</v>
      </c>
      <c r="S341" s="86">
        <v>16309266370</v>
      </c>
      <c r="T341" s="86">
        <v>3562033637</v>
      </c>
      <c r="U341" s="86">
        <v>8130267634</v>
      </c>
      <c r="V341" s="86">
        <v>10626460154</v>
      </c>
      <c r="W341" s="86">
        <v>14122950940</v>
      </c>
      <c r="X341" s="86">
        <v>1683270415</v>
      </c>
      <c r="Y341" s="86">
        <v>4287771810</v>
      </c>
      <c r="Z341" s="86">
        <v>8216294746</v>
      </c>
      <c r="AA341" s="86">
        <v>13908905418</v>
      </c>
      <c r="AB341" s="86">
        <v>4964762734</v>
      </c>
      <c r="AC341" s="86">
        <v>10714495793</v>
      </c>
      <c r="AD341" s="86">
        <v>15484854528</v>
      </c>
      <c r="AE341" s="86">
        <v>20355277050</v>
      </c>
      <c r="AF341" s="86">
        <v>9217372552</v>
      </c>
      <c r="AG341" s="86">
        <v>25797317225</v>
      </c>
      <c r="AH341" s="86">
        <v>31214432052</v>
      </c>
    </row>
    <row r="342" spans="2:34">
      <c r="B342" s="41" t="s">
        <v>1166</v>
      </c>
      <c r="C342" s="41" t="s">
        <v>1166</v>
      </c>
      <c r="D342" s="86">
        <v>22640348224</v>
      </c>
      <c r="E342" s="86">
        <v>5719278684</v>
      </c>
      <c r="F342" s="86"/>
      <c r="G342" s="86">
        <v>16324669912</v>
      </c>
      <c r="H342" s="86">
        <v>21113264866</v>
      </c>
      <c r="I342" s="86">
        <v>4581595690</v>
      </c>
      <c r="J342" s="86">
        <v>8962365693</v>
      </c>
      <c r="K342" s="86">
        <v>13061603773</v>
      </c>
      <c r="L342" s="86">
        <v>4097374177</v>
      </c>
      <c r="M342" s="86">
        <v>8206831862</v>
      </c>
      <c r="N342" s="86">
        <v>12264632028</v>
      </c>
      <c r="O342" s="86">
        <v>16285549116</v>
      </c>
      <c r="P342" s="86">
        <v>4038886420</v>
      </c>
      <c r="Q342" s="86">
        <v>8019313777</v>
      </c>
      <c r="R342" s="86">
        <v>12037936142</v>
      </c>
      <c r="S342" s="86">
        <v>15989177547</v>
      </c>
      <c r="T342" s="86">
        <v>4018892865</v>
      </c>
      <c r="U342" s="86">
        <v>8035416577</v>
      </c>
      <c r="V342" s="86">
        <v>11948095017</v>
      </c>
      <c r="W342" s="86">
        <v>15789856659</v>
      </c>
      <c r="X342" s="86">
        <v>3804144418</v>
      </c>
      <c r="Y342" s="86">
        <v>7551616531</v>
      </c>
      <c r="Z342" s="86">
        <v>11222212239</v>
      </c>
      <c r="AA342" s="86">
        <v>14978223364</v>
      </c>
      <c r="AB342" s="86">
        <v>3806132768</v>
      </c>
      <c r="AC342" s="86">
        <v>7612994972</v>
      </c>
      <c r="AD342" s="86">
        <v>11424518438</v>
      </c>
      <c r="AE342" s="86">
        <v>15193864173</v>
      </c>
      <c r="AF342" s="86">
        <v>11713053313</v>
      </c>
      <c r="AG342" s="86">
        <v>23553440104</v>
      </c>
      <c r="AH342" s="86">
        <v>34699651981</v>
      </c>
    </row>
    <row r="343" spans="2:34">
      <c r="B343" s="41" t="s">
        <v>1167</v>
      </c>
      <c r="C343" s="41" t="s">
        <v>1167</v>
      </c>
      <c r="D343" s="86">
        <v>0</v>
      </c>
      <c r="E343" s="86">
        <v>0</v>
      </c>
      <c r="F343" s="86"/>
      <c r="G343" s="86">
        <v>0</v>
      </c>
      <c r="H343" s="86">
        <v>0</v>
      </c>
      <c r="I343" s="86">
        <v>0</v>
      </c>
      <c r="J343" s="86">
        <v>0</v>
      </c>
      <c r="K343" s="86">
        <v>0</v>
      </c>
      <c r="L343" s="86">
        <v>0</v>
      </c>
      <c r="M343" s="86">
        <v>0</v>
      </c>
      <c r="N343" s="86">
        <v>0</v>
      </c>
      <c r="O343" s="86">
        <v>0</v>
      </c>
      <c r="P343" s="86">
        <v>0</v>
      </c>
      <c r="Q343" s="86">
        <v>0</v>
      </c>
      <c r="R343" s="86">
        <v>0</v>
      </c>
      <c r="S343" s="86">
        <v>0</v>
      </c>
      <c r="T343" s="86">
        <v>0</v>
      </c>
      <c r="U343" s="86">
        <v>0</v>
      </c>
      <c r="V343" s="86">
        <v>0</v>
      </c>
      <c r="W343" s="86">
        <v>0</v>
      </c>
      <c r="X343" s="86">
        <v>0</v>
      </c>
      <c r="Y343" s="86">
        <v>0</v>
      </c>
      <c r="Z343" s="86">
        <v>0</v>
      </c>
      <c r="AA343" s="86">
        <v>0</v>
      </c>
      <c r="AB343" s="86">
        <v>0</v>
      </c>
      <c r="AC343" s="86">
        <v>0</v>
      </c>
      <c r="AD343" s="86">
        <v>0</v>
      </c>
      <c r="AE343" s="86">
        <v>0</v>
      </c>
      <c r="AF343" s="86">
        <v>0</v>
      </c>
      <c r="AG343" s="86">
        <v>0</v>
      </c>
      <c r="AH343" s="86">
        <v>0</v>
      </c>
    </row>
    <row r="344" spans="2:34">
      <c r="B344" s="41" t="s">
        <v>1168</v>
      </c>
      <c r="C344" s="41" t="s">
        <v>1168</v>
      </c>
      <c r="D344" s="86">
        <v>2330760797</v>
      </c>
      <c r="E344" s="86">
        <v>543461658</v>
      </c>
      <c r="F344" s="86"/>
      <c r="G344" s="86">
        <v>1562306171</v>
      </c>
      <c r="H344" s="86">
        <v>2249870410</v>
      </c>
      <c r="I344" s="86">
        <v>572551822</v>
      </c>
      <c r="J344" s="86">
        <v>1004417827</v>
      </c>
      <c r="K344" s="86">
        <v>1460043332</v>
      </c>
      <c r="L344" s="86">
        <v>302280773</v>
      </c>
      <c r="M344" s="86">
        <v>760562172</v>
      </c>
      <c r="N344" s="86">
        <v>1085494106</v>
      </c>
      <c r="O344" s="86">
        <v>1590608296</v>
      </c>
      <c r="P344" s="86">
        <v>296090647</v>
      </c>
      <c r="Q344" s="86">
        <v>754343352</v>
      </c>
      <c r="R344" s="86">
        <v>1171740593</v>
      </c>
      <c r="S344" s="86">
        <v>1799881548</v>
      </c>
      <c r="T344" s="86">
        <v>397641205</v>
      </c>
      <c r="U344" s="86">
        <v>960870249</v>
      </c>
      <c r="V344" s="86">
        <v>1441819902</v>
      </c>
      <c r="W344" s="86">
        <v>1940923884</v>
      </c>
      <c r="X344" s="86">
        <v>421993398</v>
      </c>
      <c r="Y344" s="86">
        <v>1021983735</v>
      </c>
      <c r="Z344" s="86">
        <v>1499594810</v>
      </c>
      <c r="AA344" s="86">
        <v>1909178042</v>
      </c>
      <c r="AB344" s="86">
        <v>489328976</v>
      </c>
      <c r="AC344" s="86">
        <v>1017925867</v>
      </c>
      <c r="AD344" s="86">
        <v>1473239193</v>
      </c>
      <c r="AE344" s="86">
        <v>2111082568</v>
      </c>
      <c r="AF344" s="86">
        <v>455786318</v>
      </c>
      <c r="AG344" s="86">
        <v>1004268772</v>
      </c>
      <c r="AH344" s="86">
        <v>1703794748</v>
      </c>
    </row>
    <row r="345" spans="2:34">
      <c r="B345" s="41" t="s">
        <v>1169</v>
      </c>
      <c r="C345" s="41" t="s">
        <v>1169</v>
      </c>
      <c r="D345" s="86">
        <v>8729044228</v>
      </c>
      <c r="E345" s="86">
        <v>3703109053</v>
      </c>
      <c r="F345" s="86"/>
      <c r="G345" s="86">
        <v>11613965287</v>
      </c>
      <c r="H345" s="86">
        <v>15561773726</v>
      </c>
      <c r="I345" s="86">
        <v>3855480533</v>
      </c>
      <c r="J345" s="86">
        <v>7566045007</v>
      </c>
      <c r="K345" s="86">
        <v>11268231603</v>
      </c>
      <c r="L345" s="86">
        <v>3646013697</v>
      </c>
      <c r="M345" s="86">
        <v>7272220796</v>
      </c>
      <c r="N345" s="86">
        <v>10893921550</v>
      </c>
      <c r="O345" s="86">
        <v>14363626999</v>
      </c>
      <c r="P345" s="86">
        <v>3124270232</v>
      </c>
      <c r="Q345" s="86">
        <v>6368684706</v>
      </c>
      <c r="R345" s="86">
        <v>9598899930</v>
      </c>
      <c r="S345" s="86">
        <v>12729225932</v>
      </c>
      <c r="T345" s="86">
        <v>3013220296</v>
      </c>
      <c r="U345" s="86">
        <v>5894061070</v>
      </c>
      <c r="V345" s="86">
        <v>8708269948</v>
      </c>
      <c r="W345" s="86">
        <v>11447896826</v>
      </c>
      <c r="X345" s="86">
        <v>2042193728</v>
      </c>
      <c r="Y345" s="86">
        <v>3124049279</v>
      </c>
      <c r="Z345" s="86">
        <v>3969108095</v>
      </c>
      <c r="AA345" s="86">
        <v>4803288039</v>
      </c>
      <c r="AB345" s="86">
        <v>842051699</v>
      </c>
      <c r="AC345" s="86">
        <v>1863435296</v>
      </c>
      <c r="AD345" s="86">
        <v>2978972876</v>
      </c>
      <c r="AE345" s="86">
        <v>4211971338</v>
      </c>
      <c r="AF345" s="86">
        <v>1228260665</v>
      </c>
      <c r="AG345" s="86">
        <v>2513620584</v>
      </c>
      <c r="AH345" s="86">
        <v>3829374400</v>
      </c>
    </row>
    <row r="346" spans="2:34">
      <c r="B346" s="41" t="s">
        <v>1170</v>
      </c>
      <c r="C346" s="41" t="s">
        <v>1170</v>
      </c>
      <c r="D346" s="86">
        <v>24167897516</v>
      </c>
      <c r="E346" s="86">
        <v>5804202142</v>
      </c>
      <c r="F346" s="86"/>
      <c r="G346" s="86">
        <v>17707821348</v>
      </c>
      <c r="H346" s="86">
        <v>23388485185</v>
      </c>
      <c r="I346" s="86">
        <v>6648682569</v>
      </c>
      <c r="J346" s="86">
        <v>12623869177</v>
      </c>
      <c r="K346" s="86">
        <v>17271912472</v>
      </c>
      <c r="L346" s="86">
        <v>5941894163</v>
      </c>
      <c r="M346" s="86">
        <v>11506488923</v>
      </c>
      <c r="N346" s="86">
        <v>16538556163</v>
      </c>
      <c r="O346" s="86">
        <v>20101465188</v>
      </c>
      <c r="P346" s="86">
        <v>8102526727</v>
      </c>
      <c r="Q346" s="86">
        <v>13543748401</v>
      </c>
      <c r="R346" s="86">
        <v>18099723013</v>
      </c>
      <c r="S346" s="86">
        <v>22068831345</v>
      </c>
      <c r="T346" s="86">
        <v>8656082728</v>
      </c>
      <c r="U346" s="86">
        <v>11919851353</v>
      </c>
      <c r="V346" s="86">
        <v>15818401892</v>
      </c>
      <c r="W346" s="86">
        <v>19702147254</v>
      </c>
      <c r="X346" s="86">
        <v>9095557876</v>
      </c>
      <c r="Y346" s="86">
        <v>13604143432</v>
      </c>
      <c r="Z346" s="86">
        <v>18926388179</v>
      </c>
      <c r="AA346" s="86">
        <v>24734899749</v>
      </c>
      <c r="AB346" s="86">
        <v>11778378063</v>
      </c>
      <c r="AC346" s="86">
        <v>19365637004</v>
      </c>
      <c r="AD346" s="86">
        <v>24997184418</v>
      </c>
      <c r="AE346" s="86">
        <v>30700103466</v>
      </c>
      <c r="AF346" s="86">
        <v>9953955191</v>
      </c>
      <c r="AG346" s="86">
        <v>16815329118</v>
      </c>
      <c r="AH346" s="86">
        <v>24706526760</v>
      </c>
    </row>
    <row r="347" spans="2:34">
      <c r="B347" s="41" t="s">
        <v>1171</v>
      </c>
      <c r="C347" s="41" t="s">
        <v>1171</v>
      </c>
      <c r="D347" s="86">
        <v>0</v>
      </c>
      <c r="E347" s="86">
        <v>0</v>
      </c>
      <c r="F347" s="86"/>
      <c r="G347" s="86">
        <v>0</v>
      </c>
      <c r="H347" s="86">
        <v>0</v>
      </c>
      <c r="I347" s="86">
        <v>0</v>
      </c>
      <c r="J347" s="86">
        <v>0</v>
      </c>
      <c r="K347" s="86">
        <v>0</v>
      </c>
      <c r="L347" s="86">
        <v>0</v>
      </c>
      <c r="M347" s="86">
        <v>0</v>
      </c>
      <c r="N347" s="86">
        <v>0</v>
      </c>
      <c r="O347" s="86">
        <v>0</v>
      </c>
      <c r="P347" s="86">
        <v>0</v>
      </c>
      <c r="Q347" s="86">
        <v>0</v>
      </c>
      <c r="R347" s="86">
        <v>0</v>
      </c>
      <c r="S347" s="86">
        <v>0</v>
      </c>
      <c r="T347" s="86">
        <v>0</v>
      </c>
      <c r="U347" s="86">
        <v>0</v>
      </c>
      <c r="V347" s="86">
        <v>0</v>
      </c>
      <c r="W347" s="86">
        <v>0</v>
      </c>
      <c r="X347" s="86">
        <v>0</v>
      </c>
      <c r="Y347" s="86">
        <v>0</v>
      </c>
      <c r="Z347" s="86">
        <v>0</v>
      </c>
      <c r="AA347" s="86">
        <v>0</v>
      </c>
      <c r="AB347" s="86">
        <v>0</v>
      </c>
      <c r="AC347" s="86">
        <v>0</v>
      </c>
      <c r="AD347" s="86">
        <v>0</v>
      </c>
      <c r="AE347" s="86">
        <v>0</v>
      </c>
      <c r="AF347" s="86">
        <v>0</v>
      </c>
      <c r="AG347" s="86">
        <v>0</v>
      </c>
      <c r="AH347" s="86">
        <v>0</v>
      </c>
    </row>
    <row r="348" spans="2:34">
      <c r="B348" s="41" t="s">
        <v>1172</v>
      </c>
      <c r="C348" s="41" t="s">
        <v>1172</v>
      </c>
      <c r="D348" s="86">
        <v>0</v>
      </c>
      <c r="E348" s="86">
        <v>0</v>
      </c>
      <c r="F348" s="86"/>
      <c r="G348" s="86">
        <v>0</v>
      </c>
      <c r="H348" s="86">
        <v>0</v>
      </c>
      <c r="I348" s="86">
        <v>0</v>
      </c>
      <c r="J348" s="86">
        <v>0</v>
      </c>
      <c r="K348" s="86">
        <v>0</v>
      </c>
      <c r="L348" s="86">
        <v>0</v>
      </c>
      <c r="M348" s="86">
        <v>0</v>
      </c>
      <c r="N348" s="86">
        <v>0</v>
      </c>
      <c r="O348" s="86">
        <v>0</v>
      </c>
      <c r="P348" s="86">
        <v>0</v>
      </c>
      <c r="Q348" s="86">
        <v>0</v>
      </c>
      <c r="R348" s="86">
        <v>0</v>
      </c>
      <c r="S348" s="86">
        <v>0</v>
      </c>
      <c r="T348" s="86">
        <v>0</v>
      </c>
      <c r="U348" s="86">
        <v>0</v>
      </c>
      <c r="V348" s="86">
        <v>0</v>
      </c>
      <c r="W348" s="86">
        <v>0</v>
      </c>
      <c r="X348" s="86">
        <v>0</v>
      </c>
      <c r="Y348" s="86">
        <v>0</v>
      </c>
      <c r="Z348" s="86">
        <v>0</v>
      </c>
      <c r="AA348" s="86">
        <v>0</v>
      </c>
      <c r="AB348" s="86">
        <v>0</v>
      </c>
      <c r="AC348" s="86">
        <v>0</v>
      </c>
      <c r="AD348" s="86">
        <v>0</v>
      </c>
      <c r="AE348" s="86">
        <v>0</v>
      </c>
      <c r="AF348" s="86">
        <v>0</v>
      </c>
      <c r="AG348" s="86">
        <v>0</v>
      </c>
      <c r="AH348" s="86">
        <v>0</v>
      </c>
    </row>
    <row r="349" spans="2:34">
      <c r="B349" s="41" t="s">
        <v>1173</v>
      </c>
      <c r="C349" s="41" t="s">
        <v>1173</v>
      </c>
      <c r="D349" s="86">
        <v>0</v>
      </c>
      <c r="E349" s="86">
        <v>0</v>
      </c>
      <c r="F349" s="86"/>
      <c r="G349" s="86">
        <v>0</v>
      </c>
      <c r="H349" s="86">
        <v>0</v>
      </c>
      <c r="I349" s="86">
        <v>0</v>
      </c>
      <c r="J349" s="86">
        <v>0</v>
      </c>
      <c r="K349" s="86">
        <v>0</v>
      </c>
      <c r="L349" s="86">
        <v>0</v>
      </c>
      <c r="M349" s="86">
        <v>0</v>
      </c>
      <c r="N349" s="86">
        <v>0</v>
      </c>
      <c r="O349" s="86">
        <v>0</v>
      </c>
      <c r="P349" s="86">
        <v>0</v>
      </c>
      <c r="Q349" s="86">
        <v>0</v>
      </c>
      <c r="R349" s="86">
        <v>0</v>
      </c>
      <c r="S349" s="86">
        <v>0</v>
      </c>
      <c r="T349" s="86">
        <v>0</v>
      </c>
      <c r="U349" s="86">
        <v>0</v>
      </c>
      <c r="V349" s="86">
        <v>0</v>
      </c>
      <c r="W349" s="86">
        <v>0</v>
      </c>
      <c r="X349" s="86">
        <v>0</v>
      </c>
      <c r="Y349" s="86">
        <v>0</v>
      </c>
      <c r="Z349" s="86">
        <v>0</v>
      </c>
      <c r="AA349" s="86">
        <v>0</v>
      </c>
      <c r="AB349" s="86">
        <v>0</v>
      </c>
      <c r="AC349" s="86">
        <v>0</v>
      </c>
      <c r="AD349" s="86">
        <v>0</v>
      </c>
      <c r="AE349" s="86">
        <v>0</v>
      </c>
      <c r="AF349" s="86">
        <v>0</v>
      </c>
      <c r="AG349" s="86">
        <v>0</v>
      </c>
      <c r="AH349" s="86">
        <v>0</v>
      </c>
    </row>
    <row r="350" spans="2:34">
      <c r="B350" s="41" t="s">
        <v>1174</v>
      </c>
      <c r="C350" s="41" t="s">
        <v>1174</v>
      </c>
      <c r="D350" s="86">
        <v>0</v>
      </c>
      <c r="E350" s="86">
        <v>0</v>
      </c>
      <c r="F350" s="86"/>
      <c r="G350" s="86">
        <v>0</v>
      </c>
      <c r="H350" s="86">
        <v>0</v>
      </c>
      <c r="I350" s="86">
        <v>0</v>
      </c>
      <c r="J350" s="86">
        <v>0</v>
      </c>
      <c r="K350" s="86">
        <v>0</v>
      </c>
      <c r="L350" s="86">
        <v>0</v>
      </c>
      <c r="M350" s="86">
        <v>0</v>
      </c>
      <c r="N350" s="86">
        <v>0</v>
      </c>
      <c r="O350" s="86">
        <v>0</v>
      </c>
      <c r="P350" s="86">
        <v>0</v>
      </c>
      <c r="Q350" s="86">
        <v>0</v>
      </c>
      <c r="R350" s="86">
        <v>0</v>
      </c>
      <c r="S350" s="86">
        <v>0</v>
      </c>
      <c r="T350" s="86">
        <v>0</v>
      </c>
      <c r="U350" s="86">
        <v>0</v>
      </c>
      <c r="V350" s="86">
        <v>0</v>
      </c>
      <c r="W350" s="86">
        <v>0</v>
      </c>
      <c r="X350" s="86">
        <v>0</v>
      </c>
      <c r="Y350" s="86">
        <v>0</v>
      </c>
      <c r="Z350" s="86">
        <v>0</v>
      </c>
      <c r="AA350" s="86">
        <v>0</v>
      </c>
      <c r="AB350" s="86">
        <v>0</v>
      </c>
      <c r="AC350" s="86">
        <v>0</v>
      </c>
      <c r="AD350" s="86">
        <v>0</v>
      </c>
      <c r="AE350" s="86">
        <v>0</v>
      </c>
      <c r="AF350" s="86">
        <v>0</v>
      </c>
      <c r="AG350" s="86">
        <v>0</v>
      </c>
      <c r="AH350" s="86">
        <v>0</v>
      </c>
    </row>
    <row r="351" spans="2:34">
      <c r="B351" s="41" t="s">
        <v>1175</v>
      </c>
      <c r="C351" s="41" t="s">
        <v>1175</v>
      </c>
      <c r="D351" s="86">
        <v>234406552</v>
      </c>
      <c r="E351" s="86">
        <v>63584680</v>
      </c>
      <c r="F351" s="86"/>
      <c r="G351" s="86">
        <v>125400543</v>
      </c>
      <c r="H351" s="86">
        <v>152635875</v>
      </c>
      <c r="I351" s="86">
        <v>399000</v>
      </c>
      <c r="J351" s="86">
        <v>399000</v>
      </c>
      <c r="K351" s="86">
        <v>399000</v>
      </c>
      <c r="L351" s="86">
        <v>0</v>
      </c>
      <c r="M351" s="86">
        <v>0</v>
      </c>
      <c r="N351" s="86">
        <v>0</v>
      </c>
      <c r="O351" s="86">
        <v>0</v>
      </c>
      <c r="P351" s="86">
        <v>0</v>
      </c>
      <c r="Q351" s="86">
        <v>0</v>
      </c>
      <c r="R351" s="86">
        <v>0</v>
      </c>
      <c r="S351" s="86">
        <v>0</v>
      </c>
      <c r="T351" s="86">
        <v>0</v>
      </c>
      <c r="U351" s="86">
        <v>0</v>
      </c>
      <c r="V351" s="86">
        <v>0</v>
      </c>
      <c r="W351" s="86">
        <v>0</v>
      </c>
      <c r="X351" s="86">
        <v>0</v>
      </c>
      <c r="Y351" s="86">
        <v>0</v>
      </c>
      <c r="Z351" s="86">
        <v>0</v>
      </c>
      <c r="AA351" s="86">
        <v>0</v>
      </c>
      <c r="AB351" s="86">
        <v>0</v>
      </c>
      <c r="AC351" s="86">
        <v>0</v>
      </c>
      <c r="AD351" s="86">
        <v>0</v>
      </c>
      <c r="AE351" s="86">
        <v>0</v>
      </c>
      <c r="AF351" s="86">
        <v>0</v>
      </c>
      <c r="AG351" s="86">
        <v>0</v>
      </c>
      <c r="AH351" s="86">
        <v>0</v>
      </c>
    </row>
    <row r="352" spans="2:34">
      <c r="B352" s="41" t="s">
        <v>1176</v>
      </c>
      <c r="C352" s="41" t="s">
        <v>1176</v>
      </c>
      <c r="D352" s="86">
        <v>1896095728</v>
      </c>
      <c r="E352" s="86">
        <v>346974318</v>
      </c>
      <c r="F352" s="86"/>
      <c r="G352" s="86">
        <v>1353670392</v>
      </c>
      <c r="H352" s="86">
        <v>1626536178</v>
      </c>
      <c r="I352" s="86">
        <v>333181752</v>
      </c>
      <c r="J352" s="86">
        <v>590015107</v>
      </c>
      <c r="K352" s="86">
        <v>1142974782</v>
      </c>
      <c r="L352" s="86">
        <v>216286646</v>
      </c>
      <c r="M352" s="86">
        <v>484987599</v>
      </c>
      <c r="N352" s="86">
        <v>748868735</v>
      </c>
      <c r="O352" s="86">
        <v>1312058701</v>
      </c>
      <c r="P352" s="86">
        <v>209518857</v>
      </c>
      <c r="Q352" s="86">
        <v>498985551</v>
      </c>
      <c r="R352" s="86">
        <v>731334224</v>
      </c>
      <c r="S352" s="86">
        <v>1247428248</v>
      </c>
      <c r="T352" s="86">
        <v>254046779</v>
      </c>
      <c r="U352" s="86">
        <v>519831234</v>
      </c>
      <c r="V352" s="86">
        <v>737622298</v>
      </c>
      <c r="W352" s="86">
        <v>1280957772</v>
      </c>
      <c r="X352" s="86">
        <v>292634498</v>
      </c>
      <c r="Y352" s="86">
        <v>567874747</v>
      </c>
      <c r="Z352" s="86">
        <v>817466229</v>
      </c>
      <c r="AA352" s="86">
        <v>1383482362</v>
      </c>
      <c r="AB352" s="86">
        <v>329620846</v>
      </c>
      <c r="AC352" s="86">
        <v>615572806</v>
      </c>
      <c r="AD352" s="86">
        <v>897089455</v>
      </c>
      <c r="AE352" s="86">
        <v>1493988189</v>
      </c>
      <c r="AF352" s="86">
        <v>283597421</v>
      </c>
      <c r="AG352" s="86">
        <v>685806492</v>
      </c>
      <c r="AH352" s="86">
        <v>998230117</v>
      </c>
    </row>
    <row r="353" spans="2:34">
      <c r="B353" s="41" t="s">
        <v>1177</v>
      </c>
      <c r="C353" s="41" t="s">
        <v>1177</v>
      </c>
      <c r="D353" s="86">
        <v>2546426013</v>
      </c>
      <c r="E353" s="86">
        <v>561106096</v>
      </c>
      <c r="F353" s="86"/>
      <c r="G353" s="86">
        <v>1594179458</v>
      </c>
      <c r="H353" s="86">
        <v>2097839802</v>
      </c>
      <c r="I353" s="86">
        <v>404217309</v>
      </c>
      <c r="J353" s="86">
        <v>904109329</v>
      </c>
      <c r="K353" s="86">
        <v>1495913292</v>
      </c>
      <c r="L353" s="86">
        <v>298485294</v>
      </c>
      <c r="M353" s="86">
        <v>640683763</v>
      </c>
      <c r="N353" s="86">
        <v>1005602161</v>
      </c>
      <c r="O353" s="86">
        <v>1599614801</v>
      </c>
      <c r="P353" s="86">
        <v>328843980</v>
      </c>
      <c r="Q353" s="86">
        <v>719339225</v>
      </c>
      <c r="R353" s="86">
        <v>1132171873</v>
      </c>
      <c r="S353" s="86">
        <v>1660395192</v>
      </c>
      <c r="T353" s="86">
        <v>400837754</v>
      </c>
      <c r="U353" s="86">
        <v>919262232</v>
      </c>
      <c r="V353" s="86">
        <v>1366131905</v>
      </c>
      <c r="W353" s="86">
        <v>1968573920</v>
      </c>
      <c r="X353" s="86">
        <v>479722588</v>
      </c>
      <c r="Y353" s="86">
        <v>1055522533</v>
      </c>
      <c r="Z353" s="86">
        <v>1793572010</v>
      </c>
      <c r="AA353" s="86">
        <v>2471760711</v>
      </c>
      <c r="AB353" s="86">
        <v>663651911</v>
      </c>
      <c r="AC353" s="86">
        <v>1411402484</v>
      </c>
      <c r="AD353" s="86">
        <v>2117782160</v>
      </c>
      <c r="AE353" s="86">
        <v>3041260532</v>
      </c>
      <c r="AF353" s="86">
        <v>566018979</v>
      </c>
      <c r="AG353" s="86">
        <v>1458251171</v>
      </c>
      <c r="AH353" s="86">
        <v>2179151327</v>
      </c>
    </row>
    <row r="354" spans="2:34">
      <c r="B354" s="41" t="s">
        <v>1178</v>
      </c>
      <c r="C354" s="41" t="s">
        <v>1178</v>
      </c>
      <c r="D354" s="86">
        <v>1087381851</v>
      </c>
      <c r="E354" s="86">
        <v>236579416</v>
      </c>
      <c r="F354" s="86"/>
      <c r="G354" s="86">
        <v>835813218</v>
      </c>
      <c r="H354" s="86">
        <v>1173079204</v>
      </c>
      <c r="I354" s="86">
        <v>274818750</v>
      </c>
      <c r="J354" s="86">
        <v>554534001</v>
      </c>
      <c r="K354" s="86">
        <v>824699327</v>
      </c>
      <c r="L354" s="86">
        <v>197533984</v>
      </c>
      <c r="M354" s="86">
        <v>436652438</v>
      </c>
      <c r="N354" s="86">
        <v>662714652</v>
      </c>
      <c r="O354" s="86">
        <v>906222614</v>
      </c>
      <c r="P354" s="86">
        <v>169688528</v>
      </c>
      <c r="Q354" s="86">
        <v>375396828</v>
      </c>
      <c r="R354" s="86">
        <v>530267682</v>
      </c>
      <c r="S354" s="86">
        <v>716294775</v>
      </c>
      <c r="T354" s="86">
        <v>147573133</v>
      </c>
      <c r="U354" s="86">
        <v>391718584</v>
      </c>
      <c r="V354" s="86">
        <v>586581213</v>
      </c>
      <c r="W354" s="86">
        <v>760969142</v>
      </c>
      <c r="X354" s="86">
        <v>185066238</v>
      </c>
      <c r="Y354" s="86">
        <v>415102161</v>
      </c>
      <c r="Z354" s="86">
        <v>644507684</v>
      </c>
      <c r="AA354" s="86">
        <v>869482739</v>
      </c>
      <c r="AB354" s="86">
        <v>210743465</v>
      </c>
      <c r="AC354" s="86">
        <v>456166737</v>
      </c>
      <c r="AD354" s="86">
        <v>725129974</v>
      </c>
      <c r="AE354" s="86">
        <v>1019324260</v>
      </c>
      <c r="AF354" s="86">
        <v>113050011</v>
      </c>
      <c r="AG354" s="86">
        <v>265935929</v>
      </c>
      <c r="AH354" s="86">
        <v>408317307</v>
      </c>
    </row>
    <row r="355" spans="2:34">
      <c r="B355" s="41" t="s">
        <v>1179</v>
      </c>
      <c r="C355" s="41" t="s">
        <v>1179</v>
      </c>
      <c r="D355" s="86">
        <v>1459293711</v>
      </c>
      <c r="E355" s="86">
        <v>374148193</v>
      </c>
      <c r="F355" s="86"/>
      <c r="G355" s="86">
        <v>862556089</v>
      </c>
      <c r="H355" s="86">
        <v>1195130202</v>
      </c>
      <c r="I355" s="86">
        <v>465808028</v>
      </c>
      <c r="J355" s="86">
        <v>937356278</v>
      </c>
      <c r="K355" s="86">
        <v>1453217810</v>
      </c>
      <c r="L355" s="86">
        <v>524928945</v>
      </c>
      <c r="M355" s="86">
        <v>1033122402</v>
      </c>
      <c r="N355" s="86">
        <v>1565234452</v>
      </c>
      <c r="O355" s="86">
        <v>2112821932</v>
      </c>
      <c r="P355" s="86">
        <v>508128397</v>
      </c>
      <c r="Q355" s="86">
        <v>1098263092</v>
      </c>
      <c r="R355" s="86">
        <v>1687596076</v>
      </c>
      <c r="S355" s="86">
        <v>2327946037</v>
      </c>
      <c r="T355" s="86">
        <v>540042447</v>
      </c>
      <c r="U355" s="86">
        <v>1093686307</v>
      </c>
      <c r="V355" s="86">
        <v>1540061128</v>
      </c>
      <c r="W355" s="86">
        <v>2170986330</v>
      </c>
      <c r="X355" s="86">
        <v>557914937</v>
      </c>
      <c r="Y355" s="86">
        <v>1051565899</v>
      </c>
      <c r="Z355" s="86">
        <v>1449059373</v>
      </c>
      <c r="AA355" s="86">
        <v>2083779030</v>
      </c>
      <c r="AB355" s="86">
        <v>502217017</v>
      </c>
      <c r="AC355" s="86">
        <v>1056368292</v>
      </c>
      <c r="AD355" s="86">
        <v>1735216896</v>
      </c>
      <c r="AE355" s="86">
        <v>2330102812</v>
      </c>
      <c r="AF355" s="86">
        <v>554177653</v>
      </c>
      <c r="AG355" s="86">
        <v>1108474316</v>
      </c>
      <c r="AH355" s="86">
        <v>1662141575</v>
      </c>
    </row>
    <row r="356" spans="2:34">
      <c r="B356" s="41" t="s">
        <v>1180</v>
      </c>
      <c r="C356" s="41" t="s">
        <v>1180</v>
      </c>
      <c r="D356" s="86">
        <v>2731245208</v>
      </c>
      <c r="E356" s="86">
        <v>603124205</v>
      </c>
      <c r="F356" s="86"/>
      <c r="G356" s="86">
        <v>1885617537</v>
      </c>
      <c r="H356" s="86">
        <v>2897199073</v>
      </c>
      <c r="I356" s="86">
        <v>376736676</v>
      </c>
      <c r="J356" s="86">
        <v>1033705208</v>
      </c>
      <c r="K356" s="86">
        <v>1840770410</v>
      </c>
      <c r="L356" s="86">
        <v>456104701</v>
      </c>
      <c r="M356" s="86">
        <v>1121621223</v>
      </c>
      <c r="N356" s="86">
        <v>1578616225</v>
      </c>
      <c r="O356" s="86">
        <v>2276253445</v>
      </c>
      <c r="P356" s="86">
        <v>610516145</v>
      </c>
      <c r="Q356" s="86">
        <v>1082460673</v>
      </c>
      <c r="R356" s="86">
        <v>1705947230</v>
      </c>
      <c r="S356" s="86">
        <v>2203732301</v>
      </c>
      <c r="T356" s="86">
        <v>420060739</v>
      </c>
      <c r="U356" s="86">
        <v>1032095029</v>
      </c>
      <c r="V356" s="86">
        <v>1634414151</v>
      </c>
      <c r="W356" s="86">
        <v>2118536067</v>
      </c>
      <c r="X356" s="86">
        <v>553917624</v>
      </c>
      <c r="Y356" s="86">
        <v>978877599</v>
      </c>
      <c r="Z356" s="86">
        <v>1590211027</v>
      </c>
      <c r="AA356" s="86">
        <v>2035394427</v>
      </c>
      <c r="AB356" s="86">
        <v>539731295</v>
      </c>
      <c r="AC356" s="86">
        <v>954068095</v>
      </c>
      <c r="AD356" s="86">
        <v>1538819722</v>
      </c>
      <c r="AE356" s="86">
        <v>1999714706</v>
      </c>
      <c r="AF356" s="86">
        <v>542092526</v>
      </c>
      <c r="AG356" s="86">
        <v>962502486</v>
      </c>
      <c r="AH356" s="86">
        <v>1562080529</v>
      </c>
    </row>
    <row r="357" spans="2:34">
      <c r="B357" s="41" t="s">
        <v>1181</v>
      </c>
      <c r="C357" s="41" t="s">
        <v>1181</v>
      </c>
      <c r="D357" s="86">
        <v>4781652515</v>
      </c>
      <c r="E357" s="86">
        <v>80336905</v>
      </c>
      <c r="F357" s="86"/>
      <c r="G357" s="86">
        <v>1948506719</v>
      </c>
      <c r="H357" s="86">
        <v>3032692854</v>
      </c>
      <c r="I357" s="86">
        <v>653890564</v>
      </c>
      <c r="J357" s="86">
        <v>802955957</v>
      </c>
      <c r="K357" s="86">
        <v>1330728772</v>
      </c>
      <c r="L357" s="86">
        <v>460599965</v>
      </c>
      <c r="M357" s="86">
        <v>606107873</v>
      </c>
      <c r="N357" s="86">
        <v>896343985</v>
      </c>
      <c r="O357" s="86">
        <v>1136725439</v>
      </c>
      <c r="P357" s="86">
        <v>1347852362</v>
      </c>
      <c r="Q357" s="86">
        <v>1588562465</v>
      </c>
      <c r="R357" s="86">
        <v>1891678799</v>
      </c>
      <c r="S357" s="86">
        <v>2191233508</v>
      </c>
      <c r="T357" s="86">
        <v>1868264023</v>
      </c>
      <c r="U357" s="86">
        <v>2128391698</v>
      </c>
      <c r="V357" s="86">
        <v>2505467621</v>
      </c>
      <c r="W357" s="86">
        <v>2884280649</v>
      </c>
      <c r="X357" s="86">
        <v>2095645228</v>
      </c>
      <c r="Y357" s="86">
        <v>2404990593</v>
      </c>
      <c r="Z357" s="86">
        <v>2761205728</v>
      </c>
      <c r="AA357" s="86">
        <v>3122829256</v>
      </c>
      <c r="AB357" s="86">
        <v>2185588096</v>
      </c>
      <c r="AC357" s="86">
        <v>2639207056</v>
      </c>
      <c r="AD357" s="86">
        <v>3029426446</v>
      </c>
      <c r="AE357" s="86">
        <v>3398136656</v>
      </c>
      <c r="AF357" s="86">
        <v>2320726549</v>
      </c>
      <c r="AG357" s="86">
        <v>2589850476</v>
      </c>
      <c r="AH357" s="86">
        <v>2776776593</v>
      </c>
    </row>
    <row r="358" spans="2:34">
      <c r="B358" s="41" t="s">
        <v>1182</v>
      </c>
      <c r="C358" s="41" t="s">
        <v>1182</v>
      </c>
      <c r="D358" s="86">
        <v>3637266871</v>
      </c>
      <c r="E358" s="86">
        <v>1228481935</v>
      </c>
      <c r="F358" s="86"/>
      <c r="G358" s="86">
        <v>3289563025</v>
      </c>
      <c r="H358" s="86">
        <v>5080703628</v>
      </c>
      <c r="I358" s="86">
        <v>880979863</v>
      </c>
      <c r="J358" s="86">
        <v>1791659033</v>
      </c>
      <c r="K358" s="86">
        <v>3211541797</v>
      </c>
      <c r="L358" s="86">
        <v>830544939</v>
      </c>
      <c r="M358" s="86">
        <v>2027891225</v>
      </c>
      <c r="N358" s="86">
        <v>2663090118</v>
      </c>
      <c r="O358" s="86">
        <v>4229319241</v>
      </c>
      <c r="P358" s="86">
        <v>492745143</v>
      </c>
      <c r="Q358" s="86">
        <v>3570880765</v>
      </c>
      <c r="R358" s="86">
        <v>3770993888</v>
      </c>
      <c r="S358" s="86">
        <v>5596384430</v>
      </c>
      <c r="T358" s="86">
        <v>545789250</v>
      </c>
      <c r="U358" s="86">
        <v>2009613426</v>
      </c>
      <c r="V358" s="86">
        <v>2860112609</v>
      </c>
      <c r="W358" s="86">
        <v>4740053980</v>
      </c>
      <c r="X358" s="86">
        <v>675772144</v>
      </c>
      <c r="Y358" s="86">
        <v>3470958099</v>
      </c>
      <c r="Z358" s="86">
        <v>4627141604</v>
      </c>
      <c r="AA358" s="86">
        <v>6714359097</v>
      </c>
      <c r="AB358" s="86">
        <v>720033850</v>
      </c>
      <c r="AC358" s="86">
        <v>2418116325</v>
      </c>
      <c r="AD358" s="86">
        <v>3446132459</v>
      </c>
      <c r="AE358" s="86">
        <v>5806268647</v>
      </c>
      <c r="AF358" s="86">
        <v>820760540</v>
      </c>
      <c r="AG358" s="86">
        <v>4195943980</v>
      </c>
      <c r="AH358" s="86">
        <v>5354145335</v>
      </c>
    </row>
    <row r="359" spans="2:34">
      <c r="B359" s="41" t="s">
        <v>1183</v>
      </c>
      <c r="C359" s="41" t="s">
        <v>1183</v>
      </c>
      <c r="D359" s="86">
        <v>19515263750</v>
      </c>
      <c r="E359" s="86">
        <v>5222295897</v>
      </c>
      <c r="F359" s="86"/>
      <c r="G359" s="86">
        <v>14104574167</v>
      </c>
      <c r="H359" s="86">
        <v>19322194191</v>
      </c>
      <c r="I359" s="86">
        <v>5742278038</v>
      </c>
      <c r="J359" s="86">
        <v>11590741309</v>
      </c>
      <c r="K359" s="86">
        <v>18533496824</v>
      </c>
      <c r="L359" s="86">
        <v>5861335846</v>
      </c>
      <c r="M359" s="86">
        <v>11874987754</v>
      </c>
      <c r="N359" s="86">
        <v>17551937133</v>
      </c>
      <c r="O359" s="86">
        <v>24530781655</v>
      </c>
      <c r="P359" s="86">
        <v>6095712646</v>
      </c>
      <c r="Q359" s="86">
        <v>12608156306</v>
      </c>
      <c r="R359" s="86">
        <v>18979606899</v>
      </c>
      <c r="S359" s="86">
        <v>26874445061</v>
      </c>
      <c r="T359" s="86">
        <v>6362576505</v>
      </c>
      <c r="U359" s="86">
        <v>13226548591</v>
      </c>
      <c r="V359" s="86">
        <v>19579569651</v>
      </c>
      <c r="W359" s="86">
        <v>27614900434</v>
      </c>
      <c r="X359" s="86">
        <v>7221961049</v>
      </c>
      <c r="Y359" s="86">
        <v>14304368368</v>
      </c>
      <c r="Z359" s="86">
        <v>21738128951</v>
      </c>
      <c r="AA359" s="86">
        <v>29305861361</v>
      </c>
      <c r="AB359" s="86">
        <v>7142897140</v>
      </c>
      <c r="AC359" s="86">
        <v>14508328109</v>
      </c>
      <c r="AD359" s="86">
        <v>22250578770</v>
      </c>
      <c r="AE359" s="86">
        <v>30420336306</v>
      </c>
      <c r="AF359" s="86">
        <v>7141686671</v>
      </c>
      <c r="AG359" s="86">
        <v>14392996700</v>
      </c>
      <c r="AH359" s="86">
        <v>21640681608</v>
      </c>
    </row>
    <row r="360" spans="2:34">
      <c r="B360" s="40" t="s">
        <v>1184</v>
      </c>
      <c r="C360" s="40" t="s">
        <v>1184</v>
      </c>
      <c r="D360" s="87">
        <v>760268141</v>
      </c>
      <c r="E360" s="87">
        <v>244087652</v>
      </c>
      <c r="F360" s="87"/>
      <c r="G360" s="87">
        <v>6554227319</v>
      </c>
      <c r="H360" s="87">
        <v>6481931799</v>
      </c>
      <c r="I360" s="87">
        <v>57691233</v>
      </c>
      <c r="J360" s="87">
        <v>362238105</v>
      </c>
      <c r="K360" s="87">
        <v>69162334</v>
      </c>
      <c r="L360" s="87">
        <v>316767278</v>
      </c>
      <c r="M360" s="87">
        <v>711993118</v>
      </c>
      <c r="N360" s="87">
        <v>313592041</v>
      </c>
      <c r="O360" s="87">
        <v>1465159922</v>
      </c>
      <c r="P360" s="87">
        <v>2171264355</v>
      </c>
      <c r="Q360" s="87">
        <v>2896755908</v>
      </c>
      <c r="R360" s="87">
        <v>5557304982</v>
      </c>
      <c r="S360" s="87">
        <v>7869650804</v>
      </c>
      <c r="T360" s="87">
        <v>518000790</v>
      </c>
      <c r="U360" s="87">
        <v>625041514</v>
      </c>
      <c r="V360" s="87">
        <v>38545360563</v>
      </c>
      <c r="W360" s="87">
        <v>38954553710</v>
      </c>
      <c r="X360" s="87">
        <v>728409405</v>
      </c>
      <c r="Y360" s="87">
        <v>4607052083</v>
      </c>
      <c r="Z360" s="87">
        <v>939409552</v>
      </c>
      <c r="AA360" s="87">
        <v>7674407699</v>
      </c>
      <c r="AB360" s="87">
        <v>20629221784</v>
      </c>
      <c r="AC360" s="87">
        <v>27500566306</v>
      </c>
      <c r="AD360" s="87">
        <v>34131228619</v>
      </c>
      <c r="AE360" s="87">
        <v>42213896645</v>
      </c>
      <c r="AF360" s="87">
        <v>10509761207</v>
      </c>
      <c r="AG360" s="87">
        <v>33955580314</v>
      </c>
      <c r="AH360" s="87">
        <v>42743899512</v>
      </c>
    </row>
    <row r="361" spans="2:34">
      <c r="B361" s="41" t="s">
        <v>1185</v>
      </c>
      <c r="C361" s="41" t="s">
        <v>1185</v>
      </c>
      <c r="D361" s="86">
        <v>0</v>
      </c>
      <c r="E361" s="86">
        <v>0</v>
      </c>
      <c r="F361" s="86"/>
      <c r="G361" s="86">
        <v>0</v>
      </c>
      <c r="H361" s="86">
        <v>0</v>
      </c>
      <c r="I361" s="86">
        <v>0</v>
      </c>
      <c r="J361" s="86">
        <v>0</v>
      </c>
      <c r="K361" s="86">
        <v>0</v>
      </c>
      <c r="L361" s="86">
        <v>0</v>
      </c>
      <c r="M361" s="86">
        <v>0</v>
      </c>
      <c r="N361" s="86">
        <v>0</v>
      </c>
      <c r="O361" s="86">
        <v>0</v>
      </c>
      <c r="P361" s="86">
        <v>0</v>
      </c>
      <c r="Q361" s="86">
        <v>0</v>
      </c>
      <c r="R361" s="86">
        <v>0</v>
      </c>
      <c r="S361" s="86">
        <v>0</v>
      </c>
      <c r="T361" s="86">
        <v>0</v>
      </c>
      <c r="U361" s="86">
        <v>0</v>
      </c>
      <c r="V361" s="86">
        <v>0</v>
      </c>
      <c r="W361" s="86">
        <v>0</v>
      </c>
      <c r="X361" s="86">
        <v>0</v>
      </c>
      <c r="Y361" s="86">
        <v>0</v>
      </c>
      <c r="Z361" s="86">
        <v>0</v>
      </c>
      <c r="AA361" s="86">
        <v>0</v>
      </c>
      <c r="AB361" s="86">
        <v>0</v>
      </c>
      <c r="AC361" s="86">
        <v>0</v>
      </c>
      <c r="AD361" s="86">
        <v>0</v>
      </c>
      <c r="AE361" s="86">
        <v>0</v>
      </c>
      <c r="AF361" s="86">
        <v>0</v>
      </c>
      <c r="AG361" s="86">
        <v>0</v>
      </c>
      <c r="AH361" s="86">
        <v>0</v>
      </c>
    </row>
    <row r="362" spans="2:34">
      <c r="B362" s="41" t="s">
        <v>1186</v>
      </c>
      <c r="C362" s="41" t="s">
        <v>1186</v>
      </c>
      <c r="D362" s="86">
        <v>0</v>
      </c>
      <c r="E362" s="86">
        <v>0</v>
      </c>
      <c r="F362" s="86"/>
      <c r="G362" s="86">
        <v>0</v>
      </c>
      <c r="H362" s="86">
        <v>0</v>
      </c>
      <c r="I362" s="86">
        <v>0</v>
      </c>
      <c r="J362" s="86">
        <v>0</v>
      </c>
      <c r="K362" s="86">
        <v>0</v>
      </c>
      <c r="L362" s="86">
        <v>0</v>
      </c>
      <c r="M362" s="86">
        <v>0</v>
      </c>
      <c r="N362" s="86">
        <v>0</v>
      </c>
      <c r="O362" s="86">
        <v>0</v>
      </c>
      <c r="P362" s="86">
        <v>0</v>
      </c>
      <c r="Q362" s="86">
        <v>0</v>
      </c>
      <c r="R362" s="86">
        <v>0</v>
      </c>
      <c r="S362" s="86">
        <v>0</v>
      </c>
      <c r="T362" s="86">
        <v>0</v>
      </c>
      <c r="U362" s="86">
        <v>0</v>
      </c>
      <c r="V362" s="86">
        <v>0</v>
      </c>
      <c r="W362" s="86">
        <v>0</v>
      </c>
      <c r="X362" s="86">
        <v>0</v>
      </c>
      <c r="Y362" s="86">
        <v>0</v>
      </c>
      <c r="Z362" s="86">
        <v>0</v>
      </c>
      <c r="AA362" s="86">
        <v>0</v>
      </c>
      <c r="AB362" s="86">
        <v>0</v>
      </c>
      <c r="AC362" s="86">
        <v>0</v>
      </c>
      <c r="AD362" s="86">
        <v>0</v>
      </c>
      <c r="AE362" s="86">
        <v>0</v>
      </c>
      <c r="AF362" s="86">
        <v>0</v>
      </c>
      <c r="AG362" s="86">
        <v>0</v>
      </c>
      <c r="AH362" s="86">
        <v>0</v>
      </c>
    </row>
    <row r="363" spans="2:34">
      <c r="B363" s="42" t="s">
        <v>1187</v>
      </c>
      <c r="C363" s="42" t="s">
        <v>1187</v>
      </c>
      <c r="D363" s="86">
        <v>0</v>
      </c>
      <c r="E363" s="86">
        <v>0</v>
      </c>
      <c r="F363" s="86"/>
      <c r="G363" s="86">
        <v>0</v>
      </c>
      <c r="H363" s="86">
        <v>0</v>
      </c>
      <c r="I363" s="86">
        <v>0</v>
      </c>
      <c r="J363" s="86">
        <v>0</v>
      </c>
      <c r="K363" s="86">
        <v>0</v>
      </c>
      <c r="L363" s="86">
        <v>0</v>
      </c>
      <c r="M363" s="86">
        <v>0</v>
      </c>
      <c r="N363" s="86">
        <v>0</v>
      </c>
      <c r="O363" s="86">
        <v>0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6">
        <v>0</v>
      </c>
      <c r="AA363" s="86">
        <v>0</v>
      </c>
      <c r="AB363" s="86">
        <v>0</v>
      </c>
      <c r="AC363" s="86">
        <v>0</v>
      </c>
      <c r="AD363" s="86">
        <v>0</v>
      </c>
      <c r="AE363" s="86">
        <v>0</v>
      </c>
      <c r="AF363" s="86">
        <v>0</v>
      </c>
      <c r="AG363" s="86">
        <v>0</v>
      </c>
      <c r="AH363" s="86">
        <v>0</v>
      </c>
    </row>
    <row r="364" spans="2:34">
      <c r="B364" s="42" t="s">
        <v>1188</v>
      </c>
      <c r="C364" s="42" t="s">
        <v>1188</v>
      </c>
      <c r="D364" s="86">
        <v>0</v>
      </c>
      <c r="E364" s="86">
        <v>0</v>
      </c>
      <c r="F364" s="86"/>
      <c r="G364" s="86">
        <v>0</v>
      </c>
      <c r="H364" s="86">
        <v>0</v>
      </c>
      <c r="I364" s="86">
        <v>0</v>
      </c>
      <c r="J364" s="86">
        <v>0</v>
      </c>
      <c r="K364" s="86">
        <v>0</v>
      </c>
      <c r="L364" s="86">
        <v>0</v>
      </c>
      <c r="M364" s="86">
        <v>0</v>
      </c>
      <c r="N364" s="86">
        <v>0</v>
      </c>
      <c r="O364" s="86">
        <v>0</v>
      </c>
      <c r="P364" s="86">
        <v>0</v>
      </c>
      <c r="Q364" s="86">
        <v>0</v>
      </c>
      <c r="R364" s="86">
        <v>0</v>
      </c>
      <c r="S364" s="86">
        <v>0</v>
      </c>
      <c r="T364" s="86">
        <v>0</v>
      </c>
      <c r="U364" s="86">
        <v>0</v>
      </c>
      <c r="V364" s="86">
        <v>0</v>
      </c>
      <c r="W364" s="86">
        <v>0</v>
      </c>
      <c r="X364" s="86">
        <v>0</v>
      </c>
      <c r="Y364" s="86">
        <v>0</v>
      </c>
      <c r="Z364" s="86">
        <v>0</v>
      </c>
      <c r="AA364" s="86">
        <v>0</v>
      </c>
      <c r="AB364" s="86">
        <v>0</v>
      </c>
      <c r="AC364" s="86">
        <v>0</v>
      </c>
      <c r="AD364" s="86">
        <v>0</v>
      </c>
      <c r="AE364" s="86">
        <v>0</v>
      </c>
      <c r="AF364" s="86">
        <v>0</v>
      </c>
      <c r="AG364" s="86">
        <v>0</v>
      </c>
      <c r="AH364" s="86">
        <v>0</v>
      </c>
    </row>
    <row r="365" spans="2:34">
      <c r="B365" s="42" t="s">
        <v>1189</v>
      </c>
      <c r="C365" s="42" t="s">
        <v>1189</v>
      </c>
      <c r="D365" s="86">
        <v>0</v>
      </c>
      <c r="E365" s="86">
        <v>0</v>
      </c>
      <c r="F365" s="86"/>
      <c r="G365" s="86">
        <v>0</v>
      </c>
      <c r="H365" s="86">
        <v>0</v>
      </c>
      <c r="I365" s="86">
        <v>0</v>
      </c>
      <c r="J365" s="86">
        <v>0</v>
      </c>
      <c r="K365" s="86">
        <v>0</v>
      </c>
      <c r="L365" s="86">
        <v>0</v>
      </c>
      <c r="M365" s="86">
        <v>0</v>
      </c>
      <c r="N365" s="86">
        <v>0</v>
      </c>
      <c r="O365" s="86">
        <v>0</v>
      </c>
      <c r="P365" s="86">
        <v>0</v>
      </c>
      <c r="Q365" s="86">
        <v>0</v>
      </c>
      <c r="R365" s="86">
        <v>0</v>
      </c>
      <c r="S365" s="86">
        <v>0</v>
      </c>
      <c r="T365" s="86">
        <v>0</v>
      </c>
      <c r="U365" s="86">
        <v>0</v>
      </c>
      <c r="V365" s="86">
        <v>0</v>
      </c>
      <c r="W365" s="86">
        <v>0</v>
      </c>
      <c r="X365" s="86">
        <v>0</v>
      </c>
      <c r="Y365" s="86">
        <v>0</v>
      </c>
      <c r="Z365" s="86">
        <v>0</v>
      </c>
      <c r="AA365" s="86">
        <v>0</v>
      </c>
      <c r="AB365" s="86">
        <v>0</v>
      </c>
      <c r="AC365" s="86">
        <v>0</v>
      </c>
      <c r="AD365" s="86">
        <v>0</v>
      </c>
      <c r="AE365" s="86">
        <v>0</v>
      </c>
      <c r="AF365" s="86">
        <v>0</v>
      </c>
      <c r="AG365" s="86">
        <v>0</v>
      </c>
      <c r="AH365" s="86">
        <v>0</v>
      </c>
    </row>
    <row r="366" spans="2:34">
      <c r="B366" s="42" t="s">
        <v>1190</v>
      </c>
      <c r="C366" s="42" t="s">
        <v>1190</v>
      </c>
      <c r="D366" s="86">
        <v>0</v>
      </c>
      <c r="E366" s="86">
        <v>0</v>
      </c>
      <c r="F366" s="86"/>
      <c r="G366" s="86">
        <v>0</v>
      </c>
      <c r="H366" s="86">
        <v>0</v>
      </c>
      <c r="I366" s="86">
        <v>0</v>
      </c>
      <c r="J366" s="86">
        <v>0</v>
      </c>
      <c r="K366" s="86">
        <v>0</v>
      </c>
      <c r="L366" s="86">
        <v>0</v>
      </c>
      <c r="M366" s="86">
        <v>0</v>
      </c>
      <c r="N366" s="86">
        <v>0</v>
      </c>
      <c r="O366" s="86">
        <v>0</v>
      </c>
      <c r="P366" s="86">
        <v>0</v>
      </c>
      <c r="Q366" s="86">
        <v>0</v>
      </c>
      <c r="R366" s="86">
        <v>0</v>
      </c>
      <c r="S366" s="86">
        <v>0</v>
      </c>
      <c r="T366" s="86">
        <v>0</v>
      </c>
      <c r="U366" s="86">
        <v>0</v>
      </c>
      <c r="V366" s="86">
        <v>0</v>
      </c>
      <c r="W366" s="86">
        <v>0</v>
      </c>
      <c r="X366" s="86">
        <v>0</v>
      </c>
      <c r="Y366" s="86">
        <v>0</v>
      </c>
      <c r="Z366" s="86">
        <v>0</v>
      </c>
      <c r="AA366" s="86">
        <v>0</v>
      </c>
      <c r="AB366" s="86">
        <v>0</v>
      </c>
      <c r="AC366" s="86">
        <v>0</v>
      </c>
      <c r="AD366" s="86">
        <v>0</v>
      </c>
      <c r="AE366" s="86">
        <v>0</v>
      </c>
      <c r="AF366" s="86">
        <v>0</v>
      </c>
      <c r="AG366" s="86">
        <v>0</v>
      </c>
      <c r="AH366" s="86">
        <v>0</v>
      </c>
    </row>
    <row r="367" spans="2:34">
      <c r="B367" s="42" t="s">
        <v>1007</v>
      </c>
      <c r="C367" s="42" t="s">
        <v>1007</v>
      </c>
      <c r="D367" s="86">
        <v>0</v>
      </c>
      <c r="E367" s="86">
        <v>0</v>
      </c>
      <c r="F367" s="86"/>
      <c r="G367" s="86">
        <v>0</v>
      </c>
      <c r="H367" s="86">
        <v>0</v>
      </c>
      <c r="I367" s="86">
        <v>0</v>
      </c>
      <c r="J367" s="86">
        <v>0</v>
      </c>
      <c r="K367" s="86">
        <v>0</v>
      </c>
      <c r="L367" s="86">
        <v>0</v>
      </c>
      <c r="M367" s="86">
        <v>0</v>
      </c>
      <c r="N367" s="86">
        <v>0</v>
      </c>
      <c r="O367" s="86">
        <v>0</v>
      </c>
      <c r="P367" s="86">
        <v>0</v>
      </c>
      <c r="Q367" s="86">
        <v>0</v>
      </c>
      <c r="R367" s="86">
        <v>0</v>
      </c>
      <c r="S367" s="86">
        <v>0</v>
      </c>
      <c r="T367" s="86">
        <v>0</v>
      </c>
      <c r="U367" s="86">
        <v>0</v>
      </c>
      <c r="V367" s="86">
        <v>0</v>
      </c>
      <c r="W367" s="86">
        <v>0</v>
      </c>
      <c r="X367" s="86">
        <v>0</v>
      </c>
      <c r="Y367" s="86">
        <v>0</v>
      </c>
      <c r="Z367" s="86">
        <v>0</v>
      </c>
      <c r="AA367" s="86">
        <v>0</v>
      </c>
      <c r="AB367" s="86">
        <v>0</v>
      </c>
      <c r="AC367" s="86">
        <v>0</v>
      </c>
      <c r="AD367" s="86">
        <v>0</v>
      </c>
      <c r="AE367" s="86">
        <v>0</v>
      </c>
      <c r="AF367" s="86">
        <v>0</v>
      </c>
      <c r="AG367" s="86">
        <v>0</v>
      </c>
      <c r="AH367" s="86">
        <v>0</v>
      </c>
    </row>
    <row r="368" spans="2:34">
      <c r="B368" s="41" t="s">
        <v>1191</v>
      </c>
      <c r="C368" s="41" t="s">
        <v>1191</v>
      </c>
      <c r="D368" s="86">
        <v>0</v>
      </c>
      <c r="E368" s="86">
        <v>0</v>
      </c>
      <c r="F368" s="86"/>
      <c r="G368" s="86">
        <v>0</v>
      </c>
      <c r="H368" s="86">
        <v>0</v>
      </c>
      <c r="I368" s="86">
        <v>0</v>
      </c>
      <c r="J368" s="86">
        <v>0</v>
      </c>
      <c r="K368" s="86">
        <v>0</v>
      </c>
      <c r="L368" s="86">
        <v>0</v>
      </c>
      <c r="M368" s="86">
        <v>0</v>
      </c>
      <c r="N368" s="86">
        <v>0</v>
      </c>
      <c r="O368" s="86">
        <v>0</v>
      </c>
      <c r="P368" s="86">
        <v>0</v>
      </c>
      <c r="Q368" s="86">
        <v>0</v>
      </c>
      <c r="R368" s="86">
        <v>0</v>
      </c>
      <c r="S368" s="86">
        <v>0</v>
      </c>
      <c r="T368" s="86">
        <v>0</v>
      </c>
      <c r="U368" s="86">
        <v>1008430</v>
      </c>
      <c r="V368" s="86">
        <v>35746339</v>
      </c>
      <c r="W368" s="86">
        <v>164688968</v>
      </c>
      <c r="X368" s="86">
        <v>21932053</v>
      </c>
      <c r="Y368" s="86">
        <v>50595700</v>
      </c>
      <c r="Z368" s="86">
        <v>100876814</v>
      </c>
      <c r="AA368" s="86">
        <v>139973109</v>
      </c>
      <c r="AB368" s="86">
        <v>35921122</v>
      </c>
      <c r="AC368" s="86">
        <v>134657776</v>
      </c>
      <c r="AD368" s="86">
        <v>208875750</v>
      </c>
      <c r="AE368" s="86">
        <v>214588986</v>
      </c>
      <c r="AF368" s="86">
        <v>0</v>
      </c>
      <c r="AG368" s="86">
        <v>168585</v>
      </c>
      <c r="AH368" s="86">
        <v>66751117</v>
      </c>
    </row>
    <row r="369" spans="2:34">
      <c r="B369" s="41" t="s">
        <v>1192</v>
      </c>
      <c r="C369" s="41" t="s">
        <v>1192</v>
      </c>
      <c r="D369" s="86">
        <v>0</v>
      </c>
      <c r="E369" s="86">
        <v>0</v>
      </c>
      <c r="F369" s="86"/>
      <c r="G369" s="86">
        <v>0</v>
      </c>
      <c r="H369" s="86">
        <v>0</v>
      </c>
      <c r="I369" s="86">
        <v>0</v>
      </c>
      <c r="J369" s="86">
        <v>0</v>
      </c>
      <c r="K369" s="86">
        <v>0</v>
      </c>
      <c r="L369" s="86">
        <v>0</v>
      </c>
      <c r="M369" s="86">
        <v>0</v>
      </c>
      <c r="N369" s="86">
        <v>0</v>
      </c>
      <c r="O369" s="86">
        <v>0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2040547</v>
      </c>
      <c r="V369" s="86">
        <v>36832119</v>
      </c>
      <c r="W369" s="86">
        <v>0</v>
      </c>
      <c r="X369" s="86">
        <v>50247147</v>
      </c>
      <c r="Y369" s="86">
        <v>21295295</v>
      </c>
      <c r="Z369" s="86">
        <v>0</v>
      </c>
      <c r="AA369" s="86">
        <v>0</v>
      </c>
      <c r="AB369" s="86">
        <v>39508186</v>
      </c>
      <c r="AC369" s="86">
        <v>30511782</v>
      </c>
      <c r="AD369" s="86">
        <v>2153343</v>
      </c>
      <c r="AE369" s="86">
        <v>0</v>
      </c>
      <c r="AF369" s="86">
        <v>0</v>
      </c>
      <c r="AG369" s="86">
        <v>0</v>
      </c>
      <c r="AH369" s="86">
        <v>31757053</v>
      </c>
    </row>
    <row r="370" spans="2:34">
      <c r="B370" s="41" t="s">
        <v>1193</v>
      </c>
      <c r="C370" s="41" t="s">
        <v>1193</v>
      </c>
      <c r="D370" s="86">
        <v>563404479</v>
      </c>
      <c r="E370" s="86">
        <v>27796569</v>
      </c>
      <c r="F370" s="86"/>
      <c r="G370" s="86">
        <v>6428388220</v>
      </c>
      <c r="H370" s="86">
        <v>6303926906</v>
      </c>
      <c r="I370" s="86">
        <v>12735457</v>
      </c>
      <c r="J370" s="86">
        <v>24777760</v>
      </c>
      <c r="K370" s="86">
        <v>36927192</v>
      </c>
      <c r="L370" s="86">
        <v>10144299</v>
      </c>
      <c r="M370" s="86">
        <v>19691033</v>
      </c>
      <c r="N370" s="86">
        <v>29492674</v>
      </c>
      <c r="O370" s="86">
        <v>1065842833</v>
      </c>
      <c r="P370" s="86">
        <v>10478787</v>
      </c>
      <c r="Q370" s="86">
        <v>21067195</v>
      </c>
      <c r="R370" s="86">
        <v>31616431</v>
      </c>
      <c r="S370" s="86">
        <v>670867191</v>
      </c>
      <c r="T370" s="86">
        <v>9816279</v>
      </c>
      <c r="U370" s="86">
        <v>19136394</v>
      </c>
      <c r="V370" s="86">
        <v>37163991385</v>
      </c>
      <c r="W370" s="86">
        <v>37328150858</v>
      </c>
      <c r="X370" s="86">
        <v>5158646</v>
      </c>
      <c r="Y370" s="86">
        <v>33170453</v>
      </c>
      <c r="Z370" s="86">
        <v>38135074</v>
      </c>
      <c r="AA370" s="86">
        <v>932404128</v>
      </c>
      <c r="AB370" s="86">
        <v>305097248</v>
      </c>
      <c r="AC370" s="86">
        <v>822015428</v>
      </c>
      <c r="AD370" s="86">
        <v>1265531644</v>
      </c>
      <c r="AE370" s="86">
        <v>3966929696</v>
      </c>
      <c r="AF370" s="86">
        <v>7708599</v>
      </c>
      <c r="AG370" s="86">
        <v>15566109</v>
      </c>
      <c r="AH370" s="86">
        <v>384194944</v>
      </c>
    </row>
    <row r="371" spans="2:34">
      <c r="B371" s="42" t="s">
        <v>1194</v>
      </c>
      <c r="C371" s="42" t="s">
        <v>1194</v>
      </c>
      <c r="D371" s="86">
        <v>0</v>
      </c>
      <c r="E371" s="86">
        <v>0</v>
      </c>
      <c r="F371" s="86"/>
      <c r="G371" s="86">
        <v>6354133867</v>
      </c>
      <c r="H371" s="86">
        <v>5131302596</v>
      </c>
      <c r="I371" s="86">
        <v>0</v>
      </c>
      <c r="J371" s="86">
        <v>0</v>
      </c>
      <c r="K371" s="86">
        <v>0</v>
      </c>
      <c r="L371" s="86">
        <v>0</v>
      </c>
      <c r="M371" s="86">
        <v>0</v>
      </c>
      <c r="N371" s="86">
        <v>0</v>
      </c>
      <c r="O371" s="86">
        <v>0</v>
      </c>
      <c r="P371" s="86">
        <v>0</v>
      </c>
      <c r="Q371" s="86">
        <v>0</v>
      </c>
      <c r="R371" s="86">
        <v>0</v>
      </c>
      <c r="S371" s="86">
        <v>0</v>
      </c>
      <c r="T371" s="86">
        <v>0</v>
      </c>
      <c r="U371" s="86">
        <v>0</v>
      </c>
      <c r="V371" s="86">
        <v>0</v>
      </c>
      <c r="W371" s="86">
        <v>0</v>
      </c>
      <c r="X371" s="86">
        <v>0</v>
      </c>
      <c r="Y371" s="86">
        <v>0</v>
      </c>
      <c r="Z371" s="86">
        <v>0</v>
      </c>
      <c r="AA371" s="86">
        <v>0</v>
      </c>
      <c r="AB371" s="86">
        <v>299708095</v>
      </c>
      <c r="AC371" s="86">
        <v>704787388</v>
      </c>
      <c r="AD371" s="86">
        <v>1030209882</v>
      </c>
      <c r="AE371" s="86">
        <v>1492688261</v>
      </c>
      <c r="AF371" s="86">
        <v>0</v>
      </c>
      <c r="AG371" s="86">
        <v>0</v>
      </c>
      <c r="AH371" s="86">
        <v>192092136</v>
      </c>
    </row>
    <row r="372" spans="2:34">
      <c r="B372" s="42" t="s">
        <v>1195</v>
      </c>
      <c r="C372" s="42" t="s">
        <v>1195</v>
      </c>
      <c r="D372" s="86">
        <v>563404479</v>
      </c>
      <c r="E372" s="86">
        <v>27796569</v>
      </c>
      <c r="F372" s="86"/>
      <c r="G372" s="86">
        <v>74254353</v>
      </c>
      <c r="H372" s="86">
        <v>1172624310</v>
      </c>
      <c r="I372" s="86">
        <v>12735457</v>
      </c>
      <c r="J372" s="86">
        <v>24777760</v>
      </c>
      <c r="K372" s="86">
        <v>36927192</v>
      </c>
      <c r="L372" s="86">
        <v>10144299</v>
      </c>
      <c r="M372" s="86">
        <v>19691033</v>
      </c>
      <c r="N372" s="86">
        <v>29492674</v>
      </c>
      <c r="O372" s="86">
        <v>1065842833</v>
      </c>
      <c r="P372" s="86">
        <v>10478787</v>
      </c>
      <c r="Q372" s="86">
        <v>21067195</v>
      </c>
      <c r="R372" s="86">
        <v>31616431</v>
      </c>
      <c r="S372" s="86">
        <v>670867191</v>
      </c>
      <c r="T372" s="86">
        <v>9816279</v>
      </c>
      <c r="U372" s="86">
        <v>19136394</v>
      </c>
      <c r="V372" s="86">
        <v>28083939</v>
      </c>
      <c r="W372" s="86">
        <v>192243412</v>
      </c>
      <c r="X372" s="86">
        <v>5158646</v>
      </c>
      <c r="Y372" s="86">
        <v>10020442</v>
      </c>
      <c r="Z372" s="86">
        <v>14985063</v>
      </c>
      <c r="AA372" s="86">
        <v>909254117</v>
      </c>
      <c r="AB372" s="86">
        <v>5389153</v>
      </c>
      <c r="AC372" s="86">
        <v>10721826</v>
      </c>
      <c r="AD372" s="86">
        <v>15819283</v>
      </c>
      <c r="AE372" s="86">
        <v>2074789575</v>
      </c>
      <c r="AF372" s="86">
        <v>7708599</v>
      </c>
      <c r="AG372" s="86">
        <v>15566109</v>
      </c>
      <c r="AH372" s="86">
        <v>23467605</v>
      </c>
    </row>
    <row r="373" spans="2:34">
      <c r="B373" s="42" t="s">
        <v>1196</v>
      </c>
      <c r="C373" s="42" t="s">
        <v>1196</v>
      </c>
      <c r="D373" s="86">
        <v>0</v>
      </c>
      <c r="E373" s="86">
        <v>0</v>
      </c>
      <c r="F373" s="86"/>
      <c r="G373" s="86">
        <v>0</v>
      </c>
      <c r="H373" s="86">
        <v>0</v>
      </c>
      <c r="I373" s="86">
        <v>0</v>
      </c>
      <c r="J373" s="86">
        <v>0</v>
      </c>
      <c r="K373" s="86">
        <v>0</v>
      </c>
      <c r="L373" s="86">
        <v>0</v>
      </c>
      <c r="M373" s="86">
        <v>0</v>
      </c>
      <c r="N373" s="86">
        <v>0</v>
      </c>
      <c r="O373" s="86">
        <v>0</v>
      </c>
      <c r="P373" s="86">
        <v>0</v>
      </c>
      <c r="Q373" s="86">
        <v>0</v>
      </c>
      <c r="R373" s="86">
        <v>0</v>
      </c>
      <c r="S373" s="86">
        <v>0</v>
      </c>
      <c r="T373" s="86">
        <v>0</v>
      </c>
      <c r="U373" s="86">
        <v>0</v>
      </c>
      <c r="V373" s="86">
        <v>0</v>
      </c>
      <c r="W373" s="86">
        <v>0</v>
      </c>
      <c r="X373" s="86">
        <v>0</v>
      </c>
      <c r="Y373" s="86">
        <v>0</v>
      </c>
      <c r="Z373" s="86">
        <v>0</v>
      </c>
      <c r="AA373" s="86">
        <v>0</v>
      </c>
      <c r="AB373" s="86">
        <v>0</v>
      </c>
      <c r="AC373" s="86">
        <v>0</v>
      </c>
      <c r="AD373" s="86">
        <v>0</v>
      </c>
      <c r="AE373" s="86">
        <v>0</v>
      </c>
      <c r="AF373" s="86">
        <v>0</v>
      </c>
      <c r="AG373" s="86">
        <v>0</v>
      </c>
      <c r="AH373" s="86">
        <v>0</v>
      </c>
    </row>
    <row r="374" spans="2:34">
      <c r="B374" s="42" t="s">
        <v>932</v>
      </c>
      <c r="C374" s="42" t="s">
        <v>932</v>
      </c>
      <c r="D374" s="86">
        <v>0</v>
      </c>
      <c r="E374" s="86">
        <v>0</v>
      </c>
      <c r="F374" s="86"/>
      <c r="G374" s="86">
        <v>0</v>
      </c>
      <c r="H374" s="86">
        <v>0</v>
      </c>
      <c r="I374" s="86">
        <v>0</v>
      </c>
      <c r="J374" s="86">
        <v>0</v>
      </c>
      <c r="K374" s="86">
        <v>0</v>
      </c>
      <c r="L374" s="86">
        <v>0</v>
      </c>
      <c r="M374" s="86">
        <v>0</v>
      </c>
      <c r="N374" s="86">
        <v>0</v>
      </c>
      <c r="O374" s="86">
        <v>0</v>
      </c>
      <c r="P374" s="86">
        <v>0</v>
      </c>
      <c r="Q374" s="86">
        <v>0</v>
      </c>
      <c r="R374" s="86">
        <v>0</v>
      </c>
      <c r="S374" s="86">
        <v>0</v>
      </c>
      <c r="T374" s="86">
        <v>0</v>
      </c>
      <c r="U374" s="86">
        <v>0</v>
      </c>
      <c r="V374" s="86">
        <v>37135907446</v>
      </c>
      <c r="W374" s="86">
        <v>37135907446</v>
      </c>
      <c r="X374" s="86">
        <v>0</v>
      </c>
      <c r="Y374" s="86">
        <v>23150011</v>
      </c>
      <c r="Z374" s="86">
        <v>23150011</v>
      </c>
      <c r="AA374" s="86">
        <v>23150011</v>
      </c>
      <c r="AB374" s="86">
        <v>0</v>
      </c>
      <c r="AC374" s="86">
        <v>106506214</v>
      </c>
      <c r="AD374" s="86">
        <v>219502479</v>
      </c>
      <c r="AE374" s="86">
        <v>399451860</v>
      </c>
      <c r="AF374" s="86">
        <v>0</v>
      </c>
      <c r="AG374" s="86">
        <v>0</v>
      </c>
      <c r="AH374" s="86">
        <v>168635203</v>
      </c>
    </row>
    <row r="375" spans="2:34">
      <c r="B375" s="41" t="s">
        <v>1197</v>
      </c>
      <c r="C375" s="41" t="s">
        <v>1197</v>
      </c>
      <c r="D375" s="86">
        <v>195726545</v>
      </c>
      <c r="E375" s="86">
        <v>216291083</v>
      </c>
      <c r="F375" s="86"/>
      <c r="G375" s="86">
        <v>125839099</v>
      </c>
      <c r="H375" s="86">
        <v>177985576</v>
      </c>
      <c r="I375" s="86">
        <v>10380655</v>
      </c>
      <c r="J375" s="86">
        <v>21426638</v>
      </c>
      <c r="K375" s="86">
        <v>31924012</v>
      </c>
      <c r="L375" s="86">
        <v>298276433</v>
      </c>
      <c r="M375" s="86">
        <v>268776549</v>
      </c>
      <c r="N375" s="86">
        <v>263416866</v>
      </c>
      <c r="O375" s="86">
        <v>283208523</v>
      </c>
      <c r="P375" s="86">
        <v>1465496858</v>
      </c>
      <c r="Q375" s="86">
        <v>1511469558</v>
      </c>
      <c r="R375" s="86">
        <v>2790232469</v>
      </c>
      <c r="S375" s="86">
        <v>4459744046</v>
      </c>
      <c r="T375" s="86">
        <v>29936805</v>
      </c>
      <c r="U375" s="86">
        <v>71555921</v>
      </c>
      <c r="V375" s="86">
        <v>556053428</v>
      </c>
      <c r="W375" s="86">
        <v>526258333</v>
      </c>
      <c r="X375" s="86">
        <v>122669504</v>
      </c>
      <c r="Y375" s="86">
        <v>258141841</v>
      </c>
      <c r="Z375" s="86">
        <v>337035971</v>
      </c>
      <c r="AA375" s="86">
        <v>2293748173</v>
      </c>
      <c r="AB375" s="86">
        <v>9874518720</v>
      </c>
      <c r="AC375" s="86">
        <v>10187499988</v>
      </c>
      <c r="AD375" s="86">
        <v>10457517303</v>
      </c>
      <c r="AE375" s="86">
        <v>11233270834</v>
      </c>
      <c r="AF375" s="86">
        <v>2451054307</v>
      </c>
      <c r="AG375" s="86">
        <v>2555771821</v>
      </c>
      <c r="AH375" s="86">
        <v>7237568738</v>
      </c>
    </row>
    <row r="376" spans="2:34">
      <c r="B376" s="41" t="s">
        <v>1198</v>
      </c>
      <c r="C376" s="41" t="s">
        <v>1198</v>
      </c>
      <c r="D376" s="86">
        <v>0</v>
      </c>
      <c r="E376" s="86">
        <v>0</v>
      </c>
      <c r="F376" s="86"/>
      <c r="G376" s="86">
        <v>0</v>
      </c>
      <c r="H376" s="86">
        <v>0</v>
      </c>
      <c r="I376" s="86">
        <v>0</v>
      </c>
      <c r="J376" s="86">
        <v>0</v>
      </c>
      <c r="K376" s="86">
        <v>0</v>
      </c>
      <c r="L376" s="86">
        <v>0</v>
      </c>
      <c r="M376" s="86">
        <v>0</v>
      </c>
      <c r="N376" s="86">
        <v>0</v>
      </c>
      <c r="O376" s="86">
        <v>0</v>
      </c>
      <c r="P376" s="86">
        <v>0</v>
      </c>
      <c r="Q376" s="86">
        <v>0</v>
      </c>
      <c r="R376" s="86">
        <v>0</v>
      </c>
      <c r="S376" s="86">
        <v>0</v>
      </c>
      <c r="T376" s="86">
        <v>0</v>
      </c>
      <c r="U376" s="86">
        <v>0</v>
      </c>
      <c r="V376" s="86">
        <v>0</v>
      </c>
      <c r="W376" s="86">
        <v>0</v>
      </c>
      <c r="X376" s="86">
        <v>0</v>
      </c>
      <c r="Y376" s="86">
        <v>0</v>
      </c>
      <c r="Z376" s="86">
        <v>0</v>
      </c>
      <c r="AA376" s="86">
        <v>0</v>
      </c>
      <c r="AB376" s="86">
        <v>205121619</v>
      </c>
      <c r="AC376" s="86">
        <v>205121619</v>
      </c>
      <c r="AD376" s="86">
        <v>205121619</v>
      </c>
      <c r="AE376" s="86">
        <v>1718482288</v>
      </c>
      <c r="AF376" s="86">
        <v>3710980209</v>
      </c>
      <c r="AG376" s="86">
        <v>27007111486</v>
      </c>
      <c r="AH376" s="86">
        <v>30641720124</v>
      </c>
    </row>
    <row r="377" spans="2:34">
      <c r="B377" s="41" t="s">
        <v>1199</v>
      </c>
      <c r="C377" s="41" t="s">
        <v>1199</v>
      </c>
      <c r="D377" s="86">
        <v>0</v>
      </c>
      <c r="E377" s="86">
        <v>0</v>
      </c>
      <c r="F377" s="86"/>
      <c r="G377" s="86">
        <v>0</v>
      </c>
      <c r="H377" s="86">
        <v>0</v>
      </c>
      <c r="I377" s="86">
        <v>34575121</v>
      </c>
      <c r="J377" s="86">
        <v>316033707</v>
      </c>
      <c r="K377" s="86">
        <v>0</v>
      </c>
      <c r="L377" s="86">
        <v>0</v>
      </c>
      <c r="M377" s="86">
        <v>412959107</v>
      </c>
      <c r="N377" s="86">
        <v>0</v>
      </c>
      <c r="O377" s="86">
        <v>0</v>
      </c>
      <c r="P377" s="86">
        <v>516677823</v>
      </c>
      <c r="Q377" s="86">
        <v>511806567</v>
      </c>
      <c r="R377" s="86">
        <v>874108889</v>
      </c>
      <c r="S377" s="86">
        <v>731835001</v>
      </c>
      <c r="T377" s="86">
        <v>0</v>
      </c>
      <c r="U377" s="86">
        <v>0</v>
      </c>
      <c r="V377" s="86">
        <v>0</v>
      </c>
      <c r="W377" s="86">
        <v>0</v>
      </c>
      <c r="X377" s="86">
        <v>505513720</v>
      </c>
      <c r="Y377" s="86">
        <v>4195317936</v>
      </c>
      <c r="Z377" s="86">
        <v>411755230</v>
      </c>
      <c r="AA377" s="86">
        <v>4165193290</v>
      </c>
      <c r="AB377" s="86">
        <v>10157501787</v>
      </c>
      <c r="AC377" s="86">
        <v>16090386775</v>
      </c>
      <c r="AD377" s="86">
        <v>21940632621</v>
      </c>
      <c r="AE377" s="86">
        <v>24887447603</v>
      </c>
      <c r="AF377" s="86">
        <v>4329327401</v>
      </c>
      <c r="AG377" s="86">
        <v>4329327401</v>
      </c>
      <c r="AH377" s="86">
        <v>4329327401</v>
      </c>
    </row>
    <row r="378" spans="2:34">
      <c r="B378" s="41" t="s">
        <v>1200</v>
      </c>
      <c r="C378" s="41" t="s">
        <v>1200</v>
      </c>
      <c r="D378" s="86">
        <v>0</v>
      </c>
      <c r="E378" s="86">
        <v>0</v>
      </c>
      <c r="F378" s="86"/>
      <c r="G378" s="86">
        <v>0</v>
      </c>
      <c r="H378" s="86">
        <v>0</v>
      </c>
      <c r="I378" s="86">
        <v>0</v>
      </c>
      <c r="J378" s="86">
        <v>0</v>
      </c>
      <c r="K378" s="86">
        <v>311130</v>
      </c>
      <c r="L378" s="86">
        <v>3433870</v>
      </c>
      <c r="M378" s="86">
        <v>3563475</v>
      </c>
      <c r="N378" s="86">
        <v>13679547</v>
      </c>
      <c r="O378" s="86">
        <v>109105612</v>
      </c>
      <c r="P378" s="86">
        <v>176200433</v>
      </c>
      <c r="Q378" s="86">
        <v>850847045</v>
      </c>
      <c r="R378" s="86">
        <v>1860836289</v>
      </c>
      <c r="S378" s="86">
        <v>2007204566</v>
      </c>
      <c r="T378" s="86">
        <v>478247706</v>
      </c>
      <c r="U378" s="86">
        <v>531300222</v>
      </c>
      <c r="V378" s="86">
        <v>752737292</v>
      </c>
      <c r="W378" s="86">
        <v>935455551</v>
      </c>
      <c r="X378" s="86">
        <v>22888335</v>
      </c>
      <c r="Y378" s="86">
        <v>48530858</v>
      </c>
      <c r="Z378" s="86">
        <v>51606463</v>
      </c>
      <c r="AA378" s="86">
        <v>143088999</v>
      </c>
      <c r="AB378" s="86">
        <v>11553102</v>
      </c>
      <c r="AC378" s="86">
        <v>30372938</v>
      </c>
      <c r="AD378" s="86">
        <v>51396339</v>
      </c>
      <c r="AE378" s="86">
        <v>193177238</v>
      </c>
      <c r="AF378" s="86">
        <v>10690691</v>
      </c>
      <c r="AG378" s="86">
        <v>47634912</v>
      </c>
      <c r="AH378" s="86">
        <v>52580135</v>
      </c>
    </row>
    <row r="379" spans="2:34">
      <c r="B379" s="41" t="s">
        <v>1201</v>
      </c>
      <c r="C379" s="41" t="s">
        <v>1201</v>
      </c>
      <c r="D379" s="86">
        <v>0</v>
      </c>
      <c r="E379" s="86">
        <v>0</v>
      </c>
      <c r="F379" s="86"/>
      <c r="G379" s="86">
        <v>0</v>
      </c>
      <c r="H379" s="86">
        <v>0</v>
      </c>
      <c r="I379" s="86">
        <v>0</v>
      </c>
      <c r="J379" s="86">
        <v>0</v>
      </c>
      <c r="K379" s="86">
        <v>0</v>
      </c>
      <c r="L379" s="86">
        <v>0</v>
      </c>
      <c r="M379" s="86">
        <v>0</v>
      </c>
      <c r="N379" s="86">
        <v>0</v>
      </c>
      <c r="O379" s="86">
        <v>0</v>
      </c>
      <c r="P379" s="86">
        <v>0</v>
      </c>
      <c r="Q379" s="86">
        <v>0</v>
      </c>
      <c r="R379" s="86">
        <v>0</v>
      </c>
      <c r="S379" s="86">
        <v>0</v>
      </c>
      <c r="T379" s="86">
        <v>0</v>
      </c>
      <c r="U379" s="86">
        <v>0</v>
      </c>
      <c r="V379" s="86">
        <v>0</v>
      </c>
      <c r="W379" s="86">
        <v>0</v>
      </c>
      <c r="X379" s="86">
        <v>0</v>
      </c>
      <c r="Y379" s="86">
        <v>0</v>
      </c>
      <c r="Z379" s="86">
        <v>0</v>
      </c>
      <c r="AA379" s="86">
        <v>0</v>
      </c>
      <c r="AB379" s="86">
        <v>0</v>
      </c>
      <c r="AC379" s="86">
        <v>0</v>
      </c>
      <c r="AD379" s="86">
        <v>0</v>
      </c>
      <c r="AE379" s="86">
        <v>0</v>
      </c>
      <c r="AF379" s="86">
        <v>0</v>
      </c>
      <c r="AG379" s="86">
        <v>0</v>
      </c>
      <c r="AH379" s="86">
        <v>0</v>
      </c>
    </row>
    <row r="380" spans="2:34">
      <c r="B380" s="41" t="s">
        <v>1202</v>
      </c>
      <c r="C380" s="41" t="s">
        <v>1202</v>
      </c>
      <c r="D380" s="86">
        <v>1137117</v>
      </c>
      <c r="E380" s="86">
        <v>0</v>
      </c>
      <c r="F380" s="86"/>
      <c r="G380" s="86">
        <v>0</v>
      </c>
      <c r="H380" s="86">
        <v>19317</v>
      </c>
      <c r="I380" s="86">
        <v>0</v>
      </c>
      <c r="J380" s="86">
        <v>0</v>
      </c>
      <c r="K380" s="86">
        <v>0</v>
      </c>
      <c r="L380" s="86">
        <v>4912676</v>
      </c>
      <c r="M380" s="86">
        <v>7002954</v>
      </c>
      <c r="N380" s="86">
        <v>7002954</v>
      </c>
      <c r="O380" s="86">
        <v>7002954</v>
      </c>
      <c r="P380" s="86">
        <v>2410454</v>
      </c>
      <c r="Q380" s="86">
        <v>1565543</v>
      </c>
      <c r="R380" s="86">
        <v>510904</v>
      </c>
      <c r="S380" s="86">
        <v>0</v>
      </c>
      <c r="T380" s="86">
        <v>0</v>
      </c>
      <c r="U380" s="86">
        <v>0</v>
      </c>
      <c r="V380" s="86">
        <v>0</v>
      </c>
      <c r="W380" s="86">
        <v>0</v>
      </c>
      <c r="X380" s="86">
        <v>0</v>
      </c>
      <c r="Y380" s="86">
        <v>0</v>
      </c>
      <c r="Z380" s="86">
        <v>0</v>
      </c>
      <c r="AA380" s="86">
        <v>0</v>
      </c>
      <c r="AB380" s="86">
        <v>0</v>
      </c>
      <c r="AC380" s="86">
        <v>0</v>
      </c>
      <c r="AD380" s="86">
        <v>0</v>
      </c>
      <c r="AE380" s="86">
        <v>0</v>
      </c>
      <c r="AF380" s="86">
        <v>0</v>
      </c>
      <c r="AG380" s="86">
        <v>0</v>
      </c>
      <c r="AH380" s="86">
        <v>0</v>
      </c>
    </row>
    <row r="381" spans="2:34">
      <c r="B381" s="40" t="s">
        <v>1203</v>
      </c>
      <c r="C381" s="1283" t="s">
        <v>2306</v>
      </c>
      <c r="D381" s="87">
        <v>0</v>
      </c>
      <c r="E381" s="87">
        <v>0</v>
      </c>
      <c r="F381" s="87"/>
      <c r="G381" s="87">
        <v>0</v>
      </c>
      <c r="H381" s="87">
        <v>0</v>
      </c>
      <c r="I381" s="87">
        <v>0</v>
      </c>
      <c r="J381" s="87">
        <v>0</v>
      </c>
      <c r="K381" s="87">
        <v>0</v>
      </c>
      <c r="L381" s="87">
        <v>0</v>
      </c>
      <c r="M381" s="87">
        <v>0</v>
      </c>
      <c r="N381" s="87">
        <v>0</v>
      </c>
      <c r="O381" s="87">
        <v>0</v>
      </c>
      <c r="P381" s="87">
        <v>0</v>
      </c>
      <c r="Q381" s="87">
        <v>0</v>
      </c>
      <c r="R381" s="87">
        <v>0</v>
      </c>
      <c r="S381" s="87">
        <v>0</v>
      </c>
      <c r="T381" s="87">
        <v>0</v>
      </c>
      <c r="U381" s="87">
        <v>0</v>
      </c>
      <c r="V381" s="87">
        <v>0</v>
      </c>
      <c r="W381" s="87">
        <v>0</v>
      </c>
      <c r="X381" s="87">
        <v>0</v>
      </c>
      <c r="Y381" s="87">
        <v>0</v>
      </c>
      <c r="Z381" s="87">
        <v>0</v>
      </c>
      <c r="AA381" s="87">
        <v>0</v>
      </c>
      <c r="AB381" s="87">
        <v>0</v>
      </c>
      <c r="AC381" s="87">
        <v>0</v>
      </c>
      <c r="AD381" s="87">
        <v>0</v>
      </c>
      <c r="AE381" s="87">
        <v>0</v>
      </c>
      <c r="AF381" s="87">
        <v>0</v>
      </c>
      <c r="AG381" s="87">
        <v>0</v>
      </c>
      <c r="AH381" s="87">
        <v>0</v>
      </c>
    </row>
    <row r="382" spans="2:34">
      <c r="B382" s="41" t="s">
        <v>1204</v>
      </c>
      <c r="C382" s="41" t="s">
        <v>1204</v>
      </c>
      <c r="D382" s="86">
        <v>0</v>
      </c>
      <c r="E382" s="86">
        <v>0</v>
      </c>
      <c r="F382" s="86"/>
      <c r="G382" s="86">
        <v>0</v>
      </c>
      <c r="H382" s="86">
        <v>0</v>
      </c>
      <c r="I382" s="86">
        <v>0</v>
      </c>
      <c r="J382" s="86">
        <v>0</v>
      </c>
      <c r="K382" s="86">
        <v>0</v>
      </c>
      <c r="L382" s="86">
        <v>0</v>
      </c>
      <c r="M382" s="86">
        <v>0</v>
      </c>
      <c r="N382" s="86">
        <v>0</v>
      </c>
      <c r="O382" s="86">
        <v>0</v>
      </c>
      <c r="P382" s="86">
        <v>0</v>
      </c>
      <c r="Q382" s="86">
        <v>0</v>
      </c>
      <c r="R382" s="86">
        <v>0</v>
      </c>
      <c r="S382" s="86">
        <v>0</v>
      </c>
      <c r="T382" s="86">
        <v>0</v>
      </c>
      <c r="U382" s="86">
        <v>0</v>
      </c>
      <c r="V382" s="86">
        <v>0</v>
      </c>
      <c r="W382" s="86">
        <v>0</v>
      </c>
      <c r="X382" s="86">
        <v>0</v>
      </c>
      <c r="Y382" s="86">
        <v>0</v>
      </c>
      <c r="Z382" s="86">
        <v>0</v>
      </c>
      <c r="AA382" s="86">
        <v>0</v>
      </c>
      <c r="AB382" s="86">
        <v>0</v>
      </c>
      <c r="AC382" s="86">
        <v>0</v>
      </c>
      <c r="AD382" s="86">
        <v>0</v>
      </c>
      <c r="AE382" s="86">
        <v>0</v>
      </c>
      <c r="AF382" s="86">
        <v>0</v>
      </c>
      <c r="AG382" s="86">
        <v>0</v>
      </c>
      <c r="AH382" s="86">
        <v>0</v>
      </c>
    </row>
    <row r="383" spans="2:34">
      <c r="B383" s="42" t="s">
        <v>1205</v>
      </c>
      <c r="C383" s="42" t="s">
        <v>1205</v>
      </c>
      <c r="D383" s="86">
        <v>0</v>
      </c>
      <c r="E383" s="86">
        <v>0</v>
      </c>
      <c r="F383" s="86"/>
      <c r="G383" s="86">
        <v>0</v>
      </c>
      <c r="H383" s="86">
        <v>0</v>
      </c>
      <c r="I383" s="86">
        <v>0</v>
      </c>
      <c r="J383" s="86">
        <v>0</v>
      </c>
      <c r="K383" s="86">
        <v>0</v>
      </c>
      <c r="L383" s="86">
        <v>0</v>
      </c>
      <c r="M383" s="86">
        <v>0</v>
      </c>
      <c r="N383" s="86">
        <v>0</v>
      </c>
      <c r="O383" s="86">
        <v>0</v>
      </c>
      <c r="P383" s="86">
        <v>0</v>
      </c>
      <c r="Q383" s="86">
        <v>0</v>
      </c>
      <c r="R383" s="86">
        <v>0</v>
      </c>
      <c r="S383" s="86">
        <v>0</v>
      </c>
      <c r="T383" s="86">
        <v>0</v>
      </c>
      <c r="U383" s="86">
        <v>0</v>
      </c>
      <c r="V383" s="86">
        <v>0</v>
      </c>
      <c r="W383" s="86">
        <v>0</v>
      </c>
      <c r="X383" s="86">
        <v>0</v>
      </c>
      <c r="Y383" s="86">
        <v>0</v>
      </c>
      <c r="Z383" s="86">
        <v>0</v>
      </c>
      <c r="AA383" s="86">
        <v>0</v>
      </c>
      <c r="AB383" s="86">
        <v>0</v>
      </c>
      <c r="AC383" s="86">
        <v>0</v>
      </c>
      <c r="AD383" s="86">
        <v>0</v>
      </c>
      <c r="AE383" s="86">
        <v>0</v>
      </c>
      <c r="AF383" s="86">
        <v>0</v>
      </c>
      <c r="AG383" s="86">
        <v>0</v>
      </c>
      <c r="AH383" s="86">
        <v>0</v>
      </c>
    </row>
    <row r="384" spans="2:34">
      <c r="B384" s="42" t="s">
        <v>1040</v>
      </c>
      <c r="C384" s="42" t="s">
        <v>1040</v>
      </c>
      <c r="D384" s="86">
        <v>0</v>
      </c>
      <c r="E384" s="86">
        <v>0</v>
      </c>
      <c r="F384" s="86"/>
      <c r="G384" s="86">
        <v>0</v>
      </c>
      <c r="H384" s="86">
        <v>0</v>
      </c>
      <c r="I384" s="86">
        <v>0</v>
      </c>
      <c r="J384" s="86">
        <v>0</v>
      </c>
      <c r="K384" s="86">
        <v>0</v>
      </c>
      <c r="L384" s="86">
        <v>0</v>
      </c>
      <c r="M384" s="86">
        <v>0</v>
      </c>
      <c r="N384" s="86">
        <v>0</v>
      </c>
      <c r="O384" s="86">
        <v>0</v>
      </c>
      <c r="P384" s="86">
        <v>0</v>
      </c>
      <c r="Q384" s="86">
        <v>0</v>
      </c>
      <c r="R384" s="86">
        <v>0</v>
      </c>
      <c r="S384" s="86">
        <v>0</v>
      </c>
      <c r="T384" s="86">
        <v>0</v>
      </c>
      <c r="U384" s="86">
        <v>0</v>
      </c>
      <c r="V384" s="86">
        <v>0</v>
      </c>
      <c r="W384" s="86">
        <v>0</v>
      </c>
      <c r="X384" s="86">
        <v>0</v>
      </c>
      <c r="Y384" s="86">
        <v>0</v>
      </c>
      <c r="Z384" s="86">
        <v>0</v>
      </c>
      <c r="AA384" s="86">
        <v>0</v>
      </c>
      <c r="AB384" s="86">
        <v>0</v>
      </c>
      <c r="AC384" s="86">
        <v>0</v>
      </c>
      <c r="AD384" s="86">
        <v>0</v>
      </c>
      <c r="AE384" s="86">
        <v>0</v>
      </c>
      <c r="AF384" s="86">
        <v>0</v>
      </c>
      <c r="AG384" s="86">
        <v>0</v>
      </c>
      <c r="AH384" s="86">
        <v>0</v>
      </c>
    </row>
    <row r="385" spans="2:34">
      <c r="B385" s="41" t="s">
        <v>1206</v>
      </c>
      <c r="C385" s="41" t="s">
        <v>1206</v>
      </c>
      <c r="D385" s="86">
        <v>0</v>
      </c>
      <c r="E385" s="86">
        <v>0</v>
      </c>
      <c r="F385" s="86"/>
      <c r="G385" s="86">
        <v>0</v>
      </c>
      <c r="H385" s="86">
        <v>0</v>
      </c>
      <c r="I385" s="86">
        <v>0</v>
      </c>
      <c r="J385" s="86">
        <v>0</v>
      </c>
      <c r="K385" s="86">
        <v>0</v>
      </c>
      <c r="L385" s="86">
        <v>0</v>
      </c>
      <c r="M385" s="86">
        <v>0</v>
      </c>
      <c r="N385" s="86">
        <v>0</v>
      </c>
      <c r="O385" s="86">
        <v>0</v>
      </c>
      <c r="P385" s="86">
        <v>0</v>
      </c>
      <c r="Q385" s="86">
        <v>0</v>
      </c>
      <c r="R385" s="86">
        <v>0</v>
      </c>
      <c r="S385" s="86">
        <v>0</v>
      </c>
      <c r="T385" s="86">
        <v>0</v>
      </c>
      <c r="U385" s="86">
        <v>0</v>
      </c>
      <c r="V385" s="86">
        <v>0</v>
      </c>
      <c r="W385" s="86">
        <v>0</v>
      </c>
      <c r="X385" s="86">
        <v>0</v>
      </c>
      <c r="Y385" s="86">
        <v>0</v>
      </c>
      <c r="Z385" s="86">
        <v>0</v>
      </c>
      <c r="AA385" s="86">
        <v>0</v>
      </c>
      <c r="AB385" s="86">
        <v>0</v>
      </c>
      <c r="AC385" s="86">
        <v>0</v>
      </c>
      <c r="AD385" s="86">
        <v>0</v>
      </c>
      <c r="AE385" s="86">
        <v>0</v>
      </c>
      <c r="AF385" s="86">
        <v>0</v>
      </c>
      <c r="AG385" s="86">
        <v>0</v>
      </c>
      <c r="AH385" s="86">
        <v>0</v>
      </c>
    </row>
    <row r="386" spans="2:34">
      <c r="B386" s="42" t="s">
        <v>1207</v>
      </c>
      <c r="C386" s="42" t="s">
        <v>1207</v>
      </c>
      <c r="D386" s="86">
        <v>0</v>
      </c>
      <c r="E386" s="86">
        <v>0</v>
      </c>
      <c r="F386" s="86"/>
      <c r="G386" s="86">
        <v>0</v>
      </c>
      <c r="H386" s="86">
        <v>0</v>
      </c>
      <c r="I386" s="86">
        <v>0</v>
      </c>
      <c r="J386" s="86">
        <v>0</v>
      </c>
      <c r="K386" s="86">
        <v>0</v>
      </c>
      <c r="L386" s="86">
        <v>0</v>
      </c>
      <c r="M386" s="86">
        <v>0</v>
      </c>
      <c r="N386" s="86">
        <v>0</v>
      </c>
      <c r="O386" s="86">
        <v>0</v>
      </c>
      <c r="P386" s="86">
        <v>0</v>
      </c>
      <c r="Q386" s="86">
        <v>0</v>
      </c>
      <c r="R386" s="86">
        <v>0</v>
      </c>
      <c r="S386" s="86">
        <v>0</v>
      </c>
      <c r="T386" s="86">
        <v>0</v>
      </c>
      <c r="U386" s="86">
        <v>0</v>
      </c>
      <c r="V386" s="86">
        <v>0</v>
      </c>
      <c r="W386" s="86">
        <v>0</v>
      </c>
      <c r="X386" s="86">
        <v>0</v>
      </c>
      <c r="Y386" s="86">
        <v>0</v>
      </c>
      <c r="Z386" s="86">
        <v>0</v>
      </c>
      <c r="AA386" s="86">
        <v>0</v>
      </c>
      <c r="AB386" s="86">
        <v>0</v>
      </c>
      <c r="AC386" s="86">
        <v>0</v>
      </c>
      <c r="AD386" s="86">
        <v>0</v>
      </c>
      <c r="AE386" s="86">
        <v>0</v>
      </c>
      <c r="AF386" s="86">
        <v>0</v>
      </c>
      <c r="AG386" s="86">
        <v>0</v>
      </c>
      <c r="AH386" s="86">
        <v>0</v>
      </c>
    </row>
    <row r="387" spans="2:34">
      <c r="B387" s="42" t="s">
        <v>1040</v>
      </c>
      <c r="C387" s="42" t="s">
        <v>1040</v>
      </c>
      <c r="D387" s="86">
        <v>0</v>
      </c>
      <c r="E387" s="86">
        <v>0</v>
      </c>
      <c r="F387" s="86"/>
      <c r="G387" s="86">
        <v>0</v>
      </c>
      <c r="H387" s="86">
        <v>0</v>
      </c>
      <c r="I387" s="86">
        <v>0</v>
      </c>
      <c r="J387" s="86">
        <v>0</v>
      </c>
      <c r="K387" s="86">
        <v>0</v>
      </c>
      <c r="L387" s="86">
        <v>0</v>
      </c>
      <c r="M387" s="86">
        <v>0</v>
      </c>
      <c r="N387" s="86">
        <v>0</v>
      </c>
      <c r="O387" s="86">
        <v>0</v>
      </c>
      <c r="P387" s="86">
        <v>0</v>
      </c>
      <c r="Q387" s="86">
        <v>0</v>
      </c>
      <c r="R387" s="86">
        <v>0</v>
      </c>
      <c r="S387" s="86">
        <v>0</v>
      </c>
      <c r="T387" s="86">
        <v>0</v>
      </c>
      <c r="U387" s="86">
        <v>0</v>
      </c>
      <c r="V387" s="86">
        <v>0</v>
      </c>
      <c r="W387" s="86">
        <v>0</v>
      </c>
      <c r="X387" s="86">
        <v>0</v>
      </c>
      <c r="Y387" s="86">
        <v>0</v>
      </c>
      <c r="Z387" s="86">
        <v>0</v>
      </c>
      <c r="AA387" s="86">
        <v>0</v>
      </c>
      <c r="AB387" s="86">
        <v>0</v>
      </c>
      <c r="AC387" s="86">
        <v>0</v>
      </c>
      <c r="AD387" s="86">
        <v>0</v>
      </c>
      <c r="AE387" s="86">
        <v>0</v>
      </c>
      <c r="AF387" s="86">
        <v>0</v>
      </c>
      <c r="AG387" s="86">
        <v>0</v>
      </c>
      <c r="AH387" s="86">
        <v>0</v>
      </c>
    </row>
    <row r="388" spans="2:34">
      <c r="B388" s="41" t="s">
        <v>1208</v>
      </c>
      <c r="C388" s="41" t="s">
        <v>1208</v>
      </c>
      <c r="D388" s="86">
        <v>0</v>
      </c>
      <c r="E388" s="86">
        <v>0</v>
      </c>
      <c r="F388" s="86"/>
      <c r="G388" s="86">
        <v>0</v>
      </c>
      <c r="H388" s="86">
        <v>0</v>
      </c>
      <c r="I388" s="86">
        <v>0</v>
      </c>
      <c r="J388" s="86">
        <v>0</v>
      </c>
      <c r="K388" s="86">
        <v>0</v>
      </c>
      <c r="L388" s="86">
        <v>0</v>
      </c>
      <c r="M388" s="86">
        <v>0</v>
      </c>
      <c r="N388" s="86">
        <v>0</v>
      </c>
      <c r="O388" s="86">
        <v>0</v>
      </c>
      <c r="P388" s="86">
        <v>0</v>
      </c>
      <c r="Q388" s="86">
        <v>0</v>
      </c>
      <c r="R388" s="86">
        <v>0</v>
      </c>
      <c r="S388" s="86">
        <v>0</v>
      </c>
      <c r="T388" s="86">
        <v>0</v>
      </c>
      <c r="U388" s="86">
        <v>0</v>
      </c>
      <c r="V388" s="86">
        <v>0</v>
      </c>
      <c r="W388" s="86">
        <v>0</v>
      </c>
      <c r="X388" s="86">
        <v>0</v>
      </c>
      <c r="Y388" s="86">
        <v>0</v>
      </c>
      <c r="Z388" s="86">
        <v>0</v>
      </c>
      <c r="AA388" s="86">
        <v>0</v>
      </c>
      <c r="AB388" s="86">
        <v>0</v>
      </c>
      <c r="AC388" s="86">
        <v>0</v>
      </c>
      <c r="AD388" s="86">
        <v>0</v>
      </c>
      <c r="AE388" s="86">
        <v>0</v>
      </c>
      <c r="AF388" s="86">
        <v>0</v>
      </c>
      <c r="AG388" s="86">
        <v>0</v>
      </c>
      <c r="AH388" s="86">
        <v>0</v>
      </c>
    </row>
    <row r="389" spans="2:34">
      <c r="B389" s="42" t="s">
        <v>1209</v>
      </c>
      <c r="C389" s="42" t="s">
        <v>1209</v>
      </c>
      <c r="D389" s="86">
        <v>0</v>
      </c>
      <c r="E389" s="86">
        <v>0</v>
      </c>
      <c r="F389" s="86"/>
      <c r="G389" s="86">
        <v>0</v>
      </c>
      <c r="H389" s="86">
        <v>0</v>
      </c>
      <c r="I389" s="86">
        <v>0</v>
      </c>
      <c r="J389" s="86">
        <v>0</v>
      </c>
      <c r="K389" s="86">
        <v>0</v>
      </c>
      <c r="L389" s="86">
        <v>0</v>
      </c>
      <c r="M389" s="86">
        <v>0</v>
      </c>
      <c r="N389" s="86">
        <v>0</v>
      </c>
      <c r="O389" s="86">
        <v>0</v>
      </c>
      <c r="P389" s="86">
        <v>0</v>
      </c>
      <c r="Q389" s="86">
        <v>0</v>
      </c>
      <c r="R389" s="86">
        <v>0</v>
      </c>
      <c r="S389" s="86">
        <v>0</v>
      </c>
      <c r="T389" s="86">
        <v>0</v>
      </c>
      <c r="U389" s="86">
        <v>0</v>
      </c>
      <c r="V389" s="86">
        <v>0</v>
      </c>
      <c r="W389" s="86">
        <v>0</v>
      </c>
      <c r="X389" s="86">
        <v>0</v>
      </c>
      <c r="Y389" s="86">
        <v>0</v>
      </c>
      <c r="Z389" s="86">
        <v>0</v>
      </c>
      <c r="AA389" s="86">
        <v>0</v>
      </c>
      <c r="AB389" s="86">
        <v>0</v>
      </c>
      <c r="AC389" s="86">
        <v>0</v>
      </c>
      <c r="AD389" s="86">
        <v>0</v>
      </c>
      <c r="AE389" s="86">
        <v>0</v>
      </c>
      <c r="AF389" s="86">
        <v>0</v>
      </c>
      <c r="AG389" s="86">
        <v>0</v>
      </c>
      <c r="AH389" s="86">
        <v>0</v>
      </c>
    </row>
    <row r="390" spans="2:34">
      <c r="B390" s="42" t="s">
        <v>1210</v>
      </c>
      <c r="C390" s="42" t="s">
        <v>1210</v>
      </c>
      <c r="D390" s="86">
        <v>0</v>
      </c>
      <c r="E390" s="86">
        <v>0</v>
      </c>
      <c r="F390" s="86"/>
      <c r="G390" s="86">
        <v>0</v>
      </c>
      <c r="H390" s="86">
        <v>0</v>
      </c>
      <c r="I390" s="86">
        <v>0</v>
      </c>
      <c r="J390" s="86">
        <v>0</v>
      </c>
      <c r="K390" s="86">
        <v>0</v>
      </c>
      <c r="L390" s="86">
        <v>0</v>
      </c>
      <c r="M390" s="86">
        <v>0</v>
      </c>
      <c r="N390" s="86">
        <v>0</v>
      </c>
      <c r="O390" s="86">
        <v>0</v>
      </c>
      <c r="P390" s="86">
        <v>0</v>
      </c>
      <c r="Q390" s="86">
        <v>0</v>
      </c>
      <c r="R390" s="86">
        <v>0</v>
      </c>
      <c r="S390" s="86">
        <v>0</v>
      </c>
      <c r="T390" s="86">
        <v>0</v>
      </c>
      <c r="U390" s="86">
        <v>0</v>
      </c>
      <c r="V390" s="86">
        <v>0</v>
      </c>
      <c r="W390" s="86">
        <v>0</v>
      </c>
      <c r="X390" s="86">
        <v>0</v>
      </c>
      <c r="Y390" s="86">
        <v>0</v>
      </c>
      <c r="Z390" s="86">
        <v>0</v>
      </c>
      <c r="AA390" s="86">
        <v>0</v>
      </c>
      <c r="AB390" s="86">
        <v>0</v>
      </c>
      <c r="AC390" s="86">
        <v>0</v>
      </c>
      <c r="AD390" s="86">
        <v>0</v>
      </c>
      <c r="AE390" s="86">
        <v>0</v>
      </c>
      <c r="AF390" s="86">
        <v>0</v>
      </c>
      <c r="AG390" s="86">
        <v>0</v>
      </c>
      <c r="AH390" s="86">
        <v>0</v>
      </c>
    </row>
    <row r="391" spans="2:34">
      <c r="B391" s="42" t="s">
        <v>923</v>
      </c>
      <c r="C391" s="42" t="s">
        <v>923</v>
      </c>
      <c r="D391" s="86">
        <v>0</v>
      </c>
      <c r="E391" s="86">
        <v>0</v>
      </c>
      <c r="F391" s="86"/>
      <c r="G391" s="86">
        <v>0</v>
      </c>
      <c r="H391" s="86">
        <v>0</v>
      </c>
      <c r="I391" s="86">
        <v>0</v>
      </c>
      <c r="J391" s="86">
        <v>0</v>
      </c>
      <c r="K391" s="86">
        <v>0</v>
      </c>
      <c r="L391" s="86">
        <v>0</v>
      </c>
      <c r="M391" s="86">
        <v>0</v>
      </c>
      <c r="N391" s="86">
        <v>0</v>
      </c>
      <c r="O391" s="86">
        <v>0</v>
      </c>
      <c r="P391" s="86">
        <v>0</v>
      </c>
      <c r="Q391" s="86">
        <v>0</v>
      </c>
      <c r="R391" s="86">
        <v>0</v>
      </c>
      <c r="S391" s="86">
        <v>0</v>
      </c>
      <c r="T391" s="86">
        <v>0</v>
      </c>
      <c r="U391" s="86">
        <v>0</v>
      </c>
      <c r="V391" s="86">
        <v>0</v>
      </c>
      <c r="W391" s="86">
        <v>0</v>
      </c>
      <c r="X391" s="86">
        <v>0</v>
      </c>
      <c r="Y391" s="86">
        <v>0</v>
      </c>
      <c r="Z391" s="86">
        <v>0</v>
      </c>
      <c r="AA391" s="86">
        <v>0</v>
      </c>
      <c r="AB391" s="86">
        <v>0</v>
      </c>
      <c r="AC391" s="86">
        <v>0</v>
      </c>
      <c r="AD391" s="86">
        <v>0</v>
      </c>
      <c r="AE391" s="86">
        <v>0</v>
      </c>
      <c r="AF391" s="86">
        <v>0</v>
      </c>
      <c r="AG391" s="86">
        <v>0</v>
      </c>
      <c r="AH391" s="86">
        <v>0</v>
      </c>
    </row>
    <row r="392" spans="2:34">
      <c r="B392" s="41" t="s">
        <v>1211</v>
      </c>
      <c r="C392" s="41" t="s">
        <v>1211</v>
      </c>
      <c r="D392" s="86">
        <v>0</v>
      </c>
      <c r="E392" s="86">
        <v>0</v>
      </c>
      <c r="F392" s="86"/>
      <c r="G392" s="86">
        <v>0</v>
      </c>
      <c r="H392" s="86">
        <v>0</v>
      </c>
      <c r="I392" s="86">
        <v>0</v>
      </c>
      <c r="J392" s="86">
        <v>0</v>
      </c>
      <c r="K392" s="86">
        <v>0</v>
      </c>
      <c r="L392" s="86">
        <v>0</v>
      </c>
      <c r="M392" s="86">
        <v>0</v>
      </c>
      <c r="N392" s="86">
        <v>0</v>
      </c>
      <c r="O392" s="86">
        <v>0</v>
      </c>
      <c r="P392" s="86">
        <v>0</v>
      </c>
      <c r="Q392" s="86">
        <v>0</v>
      </c>
      <c r="R392" s="86">
        <v>0</v>
      </c>
      <c r="S392" s="86">
        <v>0</v>
      </c>
      <c r="T392" s="86">
        <v>0</v>
      </c>
      <c r="U392" s="86">
        <v>0</v>
      </c>
      <c r="V392" s="86">
        <v>0</v>
      </c>
      <c r="W392" s="86">
        <v>0</v>
      </c>
      <c r="X392" s="86">
        <v>0</v>
      </c>
      <c r="Y392" s="86">
        <v>0</v>
      </c>
      <c r="Z392" s="86">
        <v>0</v>
      </c>
      <c r="AA392" s="86">
        <v>0</v>
      </c>
      <c r="AB392" s="86">
        <v>0</v>
      </c>
      <c r="AC392" s="86">
        <v>0</v>
      </c>
      <c r="AD392" s="86">
        <v>0</v>
      </c>
      <c r="AE392" s="86">
        <v>0</v>
      </c>
      <c r="AF392" s="86">
        <v>0</v>
      </c>
      <c r="AG392" s="86">
        <v>0</v>
      </c>
      <c r="AH392" s="86">
        <v>0</v>
      </c>
    </row>
    <row r="393" spans="2:34">
      <c r="B393" s="42" t="s">
        <v>1212</v>
      </c>
      <c r="C393" s="42" t="s">
        <v>1212</v>
      </c>
      <c r="D393" s="86">
        <v>0</v>
      </c>
      <c r="E393" s="86">
        <v>0</v>
      </c>
      <c r="F393" s="86"/>
      <c r="G393" s="86">
        <v>0</v>
      </c>
      <c r="H393" s="86">
        <v>0</v>
      </c>
      <c r="I393" s="86">
        <v>0</v>
      </c>
      <c r="J393" s="86">
        <v>0</v>
      </c>
      <c r="K393" s="86">
        <v>0</v>
      </c>
      <c r="L393" s="86">
        <v>0</v>
      </c>
      <c r="M393" s="86">
        <v>0</v>
      </c>
      <c r="N393" s="86">
        <v>0</v>
      </c>
      <c r="O393" s="86">
        <v>0</v>
      </c>
      <c r="P393" s="86">
        <v>0</v>
      </c>
      <c r="Q393" s="86">
        <v>0</v>
      </c>
      <c r="R393" s="86">
        <v>0</v>
      </c>
      <c r="S393" s="86">
        <v>0</v>
      </c>
      <c r="T393" s="86">
        <v>0</v>
      </c>
      <c r="U393" s="86">
        <v>0</v>
      </c>
      <c r="V393" s="86">
        <v>0</v>
      </c>
      <c r="W393" s="86">
        <v>0</v>
      </c>
      <c r="X393" s="86">
        <v>0</v>
      </c>
      <c r="Y393" s="86">
        <v>0</v>
      </c>
      <c r="Z393" s="86">
        <v>0</v>
      </c>
      <c r="AA393" s="86">
        <v>0</v>
      </c>
      <c r="AB393" s="86">
        <v>0</v>
      </c>
      <c r="AC393" s="86">
        <v>0</v>
      </c>
      <c r="AD393" s="86">
        <v>0</v>
      </c>
      <c r="AE393" s="86">
        <v>0</v>
      </c>
      <c r="AF393" s="86">
        <v>0</v>
      </c>
      <c r="AG393" s="86">
        <v>0</v>
      </c>
      <c r="AH393" s="86">
        <v>0</v>
      </c>
    </row>
    <row r="394" spans="2:34">
      <c r="B394" s="42" t="s">
        <v>1213</v>
      </c>
      <c r="C394" s="42" t="s">
        <v>1213</v>
      </c>
      <c r="D394" s="86">
        <v>0</v>
      </c>
      <c r="E394" s="86">
        <v>0</v>
      </c>
      <c r="F394" s="86"/>
      <c r="G394" s="86">
        <v>0</v>
      </c>
      <c r="H394" s="86">
        <v>0</v>
      </c>
      <c r="I394" s="86">
        <v>0</v>
      </c>
      <c r="J394" s="86">
        <v>0</v>
      </c>
      <c r="K394" s="86">
        <v>0</v>
      </c>
      <c r="L394" s="86">
        <v>0</v>
      </c>
      <c r="M394" s="86">
        <v>0</v>
      </c>
      <c r="N394" s="86">
        <v>0</v>
      </c>
      <c r="O394" s="86">
        <v>0</v>
      </c>
      <c r="P394" s="86">
        <v>0</v>
      </c>
      <c r="Q394" s="86">
        <v>0</v>
      </c>
      <c r="R394" s="86">
        <v>0</v>
      </c>
      <c r="S394" s="86">
        <v>0</v>
      </c>
      <c r="T394" s="86">
        <v>0</v>
      </c>
      <c r="U394" s="86">
        <v>0</v>
      </c>
      <c r="V394" s="86">
        <v>0</v>
      </c>
      <c r="W394" s="86">
        <v>0</v>
      </c>
      <c r="X394" s="86">
        <v>0</v>
      </c>
      <c r="Y394" s="86">
        <v>0</v>
      </c>
      <c r="Z394" s="86">
        <v>0</v>
      </c>
      <c r="AA394" s="86">
        <v>0</v>
      </c>
      <c r="AB394" s="86">
        <v>0</v>
      </c>
      <c r="AC394" s="86">
        <v>0</v>
      </c>
      <c r="AD394" s="86">
        <v>0</v>
      </c>
      <c r="AE394" s="86">
        <v>0</v>
      </c>
      <c r="AF394" s="86">
        <v>0</v>
      </c>
      <c r="AG394" s="86">
        <v>0</v>
      </c>
      <c r="AH394" s="86">
        <v>0</v>
      </c>
    </row>
    <row r="395" spans="2:34">
      <c r="B395" s="42" t="s">
        <v>923</v>
      </c>
      <c r="C395" s="42" t="s">
        <v>923</v>
      </c>
      <c r="D395" s="86">
        <v>0</v>
      </c>
      <c r="E395" s="86">
        <v>0</v>
      </c>
      <c r="F395" s="86"/>
      <c r="G395" s="86">
        <v>0</v>
      </c>
      <c r="H395" s="86">
        <v>0</v>
      </c>
      <c r="I395" s="86">
        <v>0</v>
      </c>
      <c r="J395" s="86">
        <v>0</v>
      </c>
      <c r="K395" s="86">
        <v>0</v>
      </c>
      <c r="L395" s="86">
        <v>0</v>
      </c>
      <c r="M395" s="86">
        <v>0</v>
      </c>
      <c r="N395" s="86">
        <v>0</v>
      </c>
      <c r="O395" s="86">
        <v>0</v>
      </c>
      <c r="P395" s="86">
        <v>0</v>
      </c>
      <c r="Q395" s="86">
        <v>0</v>
      </c>
      <c r="R395" s="86">
        <v>0</v>
      </c>
      <c r="S395" s="86">
        <v>0</v>
      </c>
      <c r="T395" s="86">
        <v>0</v>
      </c>
      <c r="U395" s="86">
        <v>0</v>
      </c>
      <c r="V395" s="86">
        <v>0</v>
      </c>
      <c r="W395" s="86">
        <v>0</v>
      </c>
      <c r="X395" s="86">
        <v>0</v>
      </c>
      <c r="Y395" s="86">
        <v>0</v>
      </c>
      <c r="Z395" s="86">
        <v>0</v>
      </c>
      <c r="AA395" s="86">
        <v>0</v>
      </c>
      <c r="AB395" s="86">
        <v>0</v>
      </c>
      <c r="AC395" s="86">
        <v>0</v>
      </c>
      <c r="AD395" s="86">
        <v>0</v>
      </c>
      <c r="AE395" s="86">
        <v>0</v>
      </c>
      <c r="AF395" s="86">
        <v>0</v>
      </c>
      <c r="AG395" s="86">
        <v>0</v>
      </c>
      <c r="AH395" s="86">
        <v>0</v>
      </c>
    </row>
    <row r="396" spans="2:34">
      <c r="B396" s="41" t="s">
        <v>1214</v>
      </c>
      <c r="C396" s="41" t="s">
        <v>1214</v>
      </c>
      <c r="D396" s="86">
        <v>0</v>
      </c>
      <c r="E396" s="86">
        <v>0</v>
      </c>
      <c r="F396" s="86"/>
      <c r="G396" s="86">
        <v>0</v>
      </c>
      <c r="H396" s="86">
        <v>0</v>
      </c>
      <c r="I396" s="86">
        <v>0</v>
      </c>
      <c r="J396" s="86">
        <v>0</v>
      </c>
      <c r="K396" s="86">
        <v>0</v>
      </c>
      <c r="L396" s="86">
        <v>0</v>
      </c>
      <c r="M396" s="86">
        <v>0</v>
      </c>
      <c r="N396" s="86">
        <v>0</v>
      </c>
      <c r="O396" s="86">
        <v>0</v>
      </c>
      <c r="P396" s="86">
        <v>0</v>
      </c>
      <c r="Q396" s="86">
        <v>0</v>
      </c>
      <c r="R396" s="86">
        <v>0</v>
      </c>
      <c r="S396" s="86"/>
      <c r="T396" s="86" t="s">
        <v>116</v>
      </c>
      <c r="U396" s="86">
        <v>0</v>
      </c>
      <c r="V396" s="86">
        <v>0</v>
      </c>
      <c r="W396" s="86">
        <v>0</v>
      </c>
      <c r="X396" s="86">
        <v>0</v>
      </c>
      <c r="Y396" s="86">
        <v>0</v>
      </c>
      <c r="Z396" s="86">
        <v>0</v>
      </c>
      <c r="AA396" s="86">
        <v>0</v>
      </c>
      <c r="AB396" s="86">
        <v>0</v>
      </c>
      <c r="AC396" s="86">
        <v>0</v>
      </c>
      <c r="AD396" s="86">
        <v>0</v>
      </c>
      <c r="AE396" s="86">
        <v>0</v>
      </c>
      <c r="AF396" s="86">
        <v>0</v>
      </c>
      <c r="AG396" s="86">
        <v>0</v>
      </c>
      <c r="AH396" s="86">
        <v>0</v>
      </c>
    </row>
    <row r="397" spans="2:34">
      <c r="B397" s="39" t="s">
        <v>1215</v>
      </c>
      <c r="C397" s="39" t="s">
        <v>1215</v>
      </c>
      <c r="D397" s="88">
        <v>268849182198</v>
      </c>
      <c r="E397" s="88">
        <v>24653307412</v>
      </c>
      <c r="F397" s="88"/>
      <c r="G397" s="88">
        <v>132093656059</v>
      </c>
      <c r="H397" s="88">
        <v>209500326602</v>
      </c>
      <c r="I397" s="88">
        <v>44764190170</v>
      </c>
      <c r="J397" s="88">
        <v>76262598006</v>
      </c>
      <c r="K397" s="88">
        <v>91639870663</v>
      </c>
      <c r="L397" s="88">
        <v>49893443570</v>
      </c>
      <c r="M397" s="88">
        <v>132034786892</v>
      </c>
      <c r="N397" s="88">
        <v>218247183886</v>
      </c>
      <c r="O397" s="88">
        <v>296319670998</v>
      </c>
      <c r="P397" s="88">
        <v>132316100451</v>
      </c>
      <c r="Q397" s="88">
        <v>256255709257</v>
      </c>
      <c r="R397" s="88">
        <v>315657265784</v>
      </c>
      <c r="S397" s="88">
        <v>314443487770</v>
      </c>
      <c r="T397" s="88">
        <v>89810273038</v>
      </c>
      <c r="U397" s="88">
        <v>154204431039</v>
      </c>
      <c r="V397" s="88">
        <v>210717336919</v>
      </c>
      <c r="W397" s="88">
        <v>299810667249</v>
      </c>
      <c r="X397" s="88">
        <v>175321786675</v>
      </c>
      <c r="Y397" s="88">
        <v>338938320004</v>
      </c>
      <c r="Z397" s="88">
        <v>481575514398</v>
      </c>
      <c r="AA397" s="88">
        <v>603455902359</v>
      </c>
      <c r="AB397" s="88">
        <v>210706714782</v>
      </c>
      <c r="AC397" s="88">
        <v>380062731109</v>
      </c>
      <c r="AD397" s="88">
        <v>541429488624</v>
      </c>
      <c r="AE397" s="88">
        <v>670644799519</v>
      </c>
      <c r="AF397" s="88">
        <v>308198223909</v>
      </c>
      <c r="AG397" s="88">
        <v>548462252484</v>
      </c>
      <c r="AH397" s="88">
        <v>704671503683</v>
      </c>
    </row>
    <row r="398" spans="2:34">
      <c r="B398" s="43" t="s">
        <v>1216</v>
      </c>
      <c r="C398" s="43" t="s">
        <v>1216</v>
      </c>
      <c r="D398" s="87">
        <v>8499272980</v>
      </c>
      <c r="E398" s="87">
        <v>2006190628</v>
      </c>
      <c r="F398" s="87"/>
      <c r="G398" s="87">
        <v>10394714540</v>
      </c>
      <c r="H398" s="87">
        <v>12119053858</v>
      </c>
      <c r="I398" s="87">
        <v>1510037622</v>
      </c>
      <c r="J398" s="87">
        <v>3665815213</v>
      </c>
      <c r="K398" s="87">
        <v>7326159083</v>
      </c>
      <c r="L398" s="87">
        <v>1726293034</v>
      </c>
      <c r="M398" s="87">
        <v>3785415200</v>
      </c>
      <c r="N398" s="87">
        <v>5176464953</v>
      </c>
      <c r="O398" s="87">
        <v>7942635966</v>
      </c>
      <c r="P398" s="87">
        <v>1595866995</v>
      </c>
      <c r="Q398" s="87">
        <v>3147126673</v>
      </c>
      <c r="R398" s="87">
        <v>4516465115</v>
      </c>
      <c r="S398" s="87">
        <v>14072538888</v>
      </c>
      <c r="T398" s="87">
        <v>12024781020</v>
      </c>
      <c r="U398" s="87">
        <v>13543489041</v>
      </c>
      <c r="V398" s="87">
        <v>14967424951</v>
      </c>
      <c r="W398" s="87">
        <v>17301494668</v>
      </c>
      <c r="X398" s="87">
        <v>1252518387</v>
      </c>
      <c r="Y398" s="87">
        <v>2675629954</v>
      </c>
      <c r="Z398" s="87">
        <v>5235013407</v>
      </c>
      <c r="AA398" s="87">
        <v>6679991252</v>
      </c>
      <c r="AB398" s="87">
        <v>2399601338</v>
      </c>
      <c r="AC398" s="87">
        <v>3907151744</v>
      </c>
      <c r="AD398" s="87">
        <v>5519518307</v>
      </c>
      <c r="AE398" s="87">
        <v>7237977043</v>
      </c>
      <c r="AF398" s="87">
        <v>1142646360</v>
      </c>
      <c r="AG398" s="87">
        <v>4441467922</v>
      </c>
      <c r="AH398" s="87">
        <v>10995605385</v>
      </c>
    </row>
    <row r="399" spans="2:34">
      <c r="B399" s="44" t="s">
        <v>1217</v>
      </c>
      <c r="C399" s="44" t="s">
        <v>1217</v>
      </c>
      <c r="D399" s="86">
        <v>64453121</v>
      </c>
      <c r="E399" s="86">
        <v>1679882</v>
      </c>
      <c r="F399" s="86"/>
      <c r="G399" s="86">
        <v>1331093534</v>
      </c>
      <c r="H399" s="86">
        <v>1331093534</v>
      </c>
      <c r="I399" s="86">
        <v>808500</v>
      </c>
      <c r="J399" s="86">
        <v>18709001</v>
      </c>
      <c r="K399" s="86">
        <v>1002602147</v>
      </c>
      <c r="L399" s="86">
        <v>94170748</v>
      </c>
      <c r="M399" s="86">
        <v>136597316</v>
      </c>
      <c r="N399" s="86">
        <v>136597316</v>
      </c>
      <c r="O399" s="86">
        <v>162714627</v>
      </c>
      <c r="P399" s="86">
        <v>733600</v>
      </c>
      <c r="Q399" s="86">
        <v>7760170</v>
      </c>
      <c r="R399" s="86">
        <v>52193077</v>
      </c>
      <c r="S399" s="86">
        <v>56623934</v>
      </c>
      <c r="T399" s="86">
        <v>0</v>
      </c>
      <c r="U399" s="86">
        <v>2696000</v>
      </c>
      <c r="V399" s="86">
        <v>2696000</v>
      </c>
      <c r="W399" s="86">
        <v>4237000</v>
      </c>
      <c r="X399" s="86">
        <v>0</v>
      </c>
      <c r="Y399" s="86">
        <v>34322821</v>
      </c>
      <c r="Z399" s="86">
        <v>34322821</v>
      </c>
      <c r="AA399" s="86">
        <v>38153541</v>
      </c>
      <c r="AB399" s="86">
        <v>1187479</v>
      </c>
      <c r="AC399" s="86">
        <v>1187479</v>
      </c>
      <c r="AD399" s="86">
        <v>2116479</v>
      </c>
      <c r="AE399" s="86">
        <v>11627855</v>
      </c>
      <c r="AF399" s="86">
        <v>9653729</v>
      </c>
      <c r="AG399" s="86">
        <v>10179729</v>
      </c>
      <c r="AH399" s="86">
        <v>10179729</v>
      </c>
    </row>
    <row r="400" spans="2:34">
      <c r="B400" s="44" t="s">
        <v>1218</v>
      </c>
      <c r="C400" s="44" t="s">
        <v>1218</v>
      </c>
      <c r="D400" s="86">
        <v>0</v>
      </c>
      <c r="E400" s="86">
        <v>0</v>
      </c>
      <c r="F400" s="86"/>
      <c r="G400" s="86">
        <v>3062452886</v>
      </c>
      <c r="H400" s="86">
        <v>3062452886</v>
      </c>
      <c r="I400" s="86">
        <v>0</v>
      </c>
      <c r="J400" s="86">
        <v>0</v>
      </c>
      <c r="K400" s="86">
        <v>1156209106</v>
      </c>
      <c r="L400" s="86">
        <v>0</v>
      </c>
      <c r="M400" s="86">
        <v>0</v>
      </c>
      <c r="N400" s="86">
        <v>0</v>
      </c>
      <c r="O400" s="86">
        <v>1060254170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6">
        <v>0</v>
      </c>
      <c r="AA400" s="86">
        <v>0</v>
      </c>
      <c r="AB400" s="86">
        <v>0</v>
      </c>
      <c r="AC400" s="86">
        <v>0</v>
      </c>
      <c r="AD400" s="86">
        <v>0</v>
      </c>
      <c r="AE400" s="86">
        <v>0</v>
      </c>
      <c r="AF400" s="86">
        <v>0</v>
      </c>
      <c r="AG400" s="86">
        <v>0</v>
      </c>
      <c r="AH400" s="86">
        <v>0</v>
      </c>
    </row>
    <row r="401" spans="2:34">
      <c r="B401" s="44" t="s">
        <v>1219</v>
      </c>
      <c r="C401" s="44" t="s">
        <v>1219</v>
      </c>
      <c r="D401" s="86">
        <v>6803414811</v>
      </c>
      <c r="E401" s="86">
        <v>1463138246</v>
      </c>
      <c r="F401" s="86"/>
      <c r="G401" s="86">
        <v>4298865436</v>
      </c>
      <c r="H401" s="86">
        <v>5480770823</v>
      </c>
      <c r="I401" s="86">
        <v>1163005192</v>
      </c>
      <c r="J401" s="86">
        <v>2379269469</v>
      </c>
      <c r="K401" s="86">
        <v>3599423333</v>
      </c>
      <c r="L401" s="86">
        <v>1178474646</v>
      </c>
      <c r="M401" s="86">
        <v>2361176717</v>
      </c>
      <c r="N401" s="86">
        <v>3541838019</v>
      </c>
      <c r="O401" s="86">
        <v>4720215858</v>
      </c>
      <c r="P401" s="86">
        <v>1186302972</v>
      </c>
      <c r="Q401" s="86">
        <v>2373728331</v>
      </c>
      <c r="R401" s="86">
        <v>3562030515</v>
      </c>
      <c r="S401" s="86">
        <v>4727210049</v>
      </c>
      <c r="T401" s="86">
        <v>1164397626</v>
      </c>
      <c r="U401" s="86">
        <v>2339631190</v>
      </c>
      <c r="V401" s="86">
        <v>3472082973</v>
      </c>
      <c r="W401" s="86">
        <v>4560503396</v>
      </c>
      <c r="X401" s="86">
        <v>1100037392</v>
      </c>
      <c r="Y401" s="86">
        <v>2203883922</v>
      </c>
      <c r="Z401" s="86">
        <v>3310198330</v>
      </c>
      <c r="AA401" s="86">
        <v>4391187329</v>
      </c>
      <c r="AB401" s="86">
        <v>1036305363</v>
      </c>
      <c r="AC401" s="86">
        <v>2064409576</v>
      </c>
      <c r="AD401" s="86">
        <v>3094486801</v>
      </c>
      <c r="AE401" s="86">
        <v>4085629121</v>
      </c>
      <c r="AF401" s="86">
        <v>874836402</v>
      </c>
      <c r="AG401" s="86">
        <v>1755437545</v>
      </c>
      <c r="AH401" s="86">
        <v>2636375840</v>
      </c>
    </row>
    <row r="402" spans="2:34">
      <c r="B402" s="44" t="s">
        <v>1220</v>
      </c>
      <c r="C402" s="44" t="s">
        <v>1220</v>
      </c>
      <c r="D402" s="86">
        <v>0</v>
      </c>
      <c r="E402" s="86">
        <v>0</v>
      </c>
      <c r="F402" s="86"/>
      <c r="G402" s="86">
        <v>0</v>
      </c>
      <c r="H402" s="86">
        <v>0</v>
      </c>
      <c r="I402" s="86">
        <v>0</v>
      </c>
      <c r="J402" s="86">
        <v>0</v>
      </c>
      <c r="K402" s="86">
        <v>0</v>
      </c>
      <c r="L402" s="86">
        <v>0</v>
      </c>
      <c r="M402" s="86">
        <v>0</v>
      </c>
      <c r="N402" s="86">
        <v>0</v>
      </c>
      <c r="O402" s="86">
        <v>0</v>
      </c>
      <c r="P402" s="86">
        <v>0</v>
      </c>
      <c r="Q402" s="86">
        <v>0</v>
      </c>
      <c r="R402" s="86">
        <v>0</v>
      </c>
      <c r="S402" s="86">
        <v>0</v>
      </c>
      <c r="T402" s="86">
        <v>0</v>
      </c>
      <c r="U402" s="86">
        <v>0</v>
      </c>
      <c r="V402" s="86">
        <v>0</v>
      </c>
      <c r="W402" s="86">
        <v>0</v>
      </c>
      <c r="X402" s="86">
        <v>0</v>
      </c>
      <c r="Y402" s="86">
        <v>0</v>
      </c>
      <c r="Z402" s="86">
        <v>0</v>
      </c>
      <c r="AA402" s="86">
        <v>0</v>
      </c>
      <c r="AB402" s="86">
        <v>0</v>
      </c>
      <c r="AC402" s="86">
        <v>0</v>
      </c>
      <c r="AD402" s="86">
        <v>0</v>
      </c>
      <c r="AE402" s="86">
        <v>0</v>
      </c>
      <c r="AF402" s="86">
        <v>0</v>
      </c>
      <c r="AG402" s="86">
        <v>0</v>
      </c>
      <c r="AH402" s="86">
        <v>0</v>
      </c>
    </row>
    <row r="403" spans="2:34">
      <c r="B403" s="44" t="s">
        <v>1221</v>
      </c>
      <c r="C403" s="44" t="s">
        <v>1221</v>
      </c>
      <c r="D403" s="86">
        <v>0</v>
      </c>
      <c r="E403" s="86">
        <v>163406573</v>
      </c>
      <c r="F403" s="86"/>
      <c r="G403" s="86">
        <v>163406573</v>
      </c>
      <c r="H403" s="86">
        <v>235149880</v>
      </c>
      <c r="I403" s="86">
        <v>0</v>
      </c>
      <c r="J403" s="86">
        <v>0</v>
      </c>
      <c r="K403" s="86">
        <v>0</v>
      </c>
      <c r="L403" s="86">
        <v>0</v>
      </c>
      <c r="M403" s="86">
        <v>39763049</v>
      </c>
      <c r="N403" s="86">
        <v>39763049</v>
      </c>
      <c r="O403" s="86">
        <v>39763049</v>
      </c>
      <c r="P403" s="86">
        <v>0</v>
      </c>
      <c r="Q403" s="86">
        <v>0</v>
      </c>
      <c r="R403" s="86">
        <v>0</v>
      </c>
      <c r="S403" s="86">
        <v>5924800000</v>
      </c>
      <c r="T403" s="86">
        <v>10689900000</v>
      </c>
      <c r="U403" s="86">
        <v>10689900000</v>
      </c>
      <c r="V403" s="86">
        <v>10689900000</v>
      </c>
      <c r="W403" s="86">
        <v>10689900000</v>
      </c>
      <c r="X403" s="86">
        <v>0</v>
      </c>
      <c r="Y403" s="86">
        <v>0</v>
      </c>
      <c r="Z403" s="86">
        <v>0</v>
      </c>
      <c r="AA403" s="86">
        <v>0</v>
      </c>
      <c r="AB403" s="86">
        <v>0</v>
      </c>
      <c r="AC403" s="86">
        <v>0</v>
      </c>
      <c r="AD403" s="86">
        <v>122150085</v>
      </c>
      <c r="AE403" s="86">
        <v>122150085</v>
      </c>
      <c r="AF403" s="86">
        <v>0</v>
      </c>
      <c r="AG403" s="86">
        <v>1083045636</v>
      </c>
      <c r="AH403" s="86">
        <v>5377244932</v>
      </c>
    </row>
    <row r="404" spans="2:34">
      <c r="B404" s="44" t="s">
        <v>1222</v>
      </c>
      <c r="C404" s="44" t="s">
        <v>1222</v>
      </c>
      <c r="D404" s="86">
        <v>0</v>
      </c>
      <c r="E404" s="86">
        <v>0</v>
      </c>
      <c r="F404" s="86"/>
      <c r="G404" s="86">
        <v>0</v>
      </c>
      <c r="H404" s="86">
        <v>0</v>
      </c>
      <c r="I404" s="86">
        <v>0</v>
      </c>
      <c r="J404" s="86">
        <v>0</v>
      </c>
      <c r="K404" s="86">
        <v>0</v>
      </c>
      <c r="L404" s="86">
        <v>0</v>
      </c>
      <c r="M404" s="86">
        <v>0</v>
      </c>
      <c r="N404" s="86">
        <v>0</v>
      </c>
      <c r="O404" s="86">
        <v>0</v>
      </c>
      <c r="P404" s="86">
        <v>0</v>
      </c>
      <c r="Q404" s="86">
        <v>0</v>
      </c>
      <c r="R404" s="86">
        <v>0</v>
      </c>
      <c r="S404" s="86">
        <v>0</v>
      </c>
      <c r="T404" s="86">
        <v>0</v>
      </c>
      <c r="U404" s="86">
        <v>0</v>
      </c>
      <c r="V404" s="86">
        <v>0</v>
      </c>
      <c r="W404" s="86">
        <v>0</v>
      </c>
      <c r="X404" s="86">
        <v>0</v>
      </c>
      <c r="Y404" s="86">
        <v>0</v>
      </c>
      <c r="Z404" s="86">
        <v>0</v>
      </c>
      <c r="AA404" s="86">
        <v>0</v>
      </c>
      <c r="AB404" s="86">
        <v>0</v>
      </c>
      <c r="AC404" s="86">
        <v>0</v>
      </c>
      <c r="AD404" s="86">
        <v>0</v>
      </c>
      <c r="AE404" s="86">
        <v>0</v>
      </c>
      <c r="AF404" s="86">
        <v>0</v>
      </c>
      <c r="AG404" s="86">
        <v>0</v>
      </c>
      <c r="AH404" s="86">
        <v>0</v>
      </c>
    </row>
    <row r="405" spans="2:34">
      <c r="B405" s="44" t="s">
        <v>1223</v>
      </c>
      <c r="C405" s="44" t="s">
        <v>1223</v>
      </c>
      <c r="D405" s="86">
        <v>0</v>
      </c>
      <c r="E405" s="86">
        <v>0</v>
      </c>
      <c r="F405" s="86"/>
      <c r="G405" s="86">
        <v>0</v>
      </c>
      <c r="H405" s="86">
        <v>0</v>
      </c>
      <c r="I405" s="86">
        <v>0</v>
      </c>
      <c r="J405" s="86">
        <v>0</v>
      </c>
      <c r="K405" s="86">
        <v>0</v>
      </c>
      <c r="L405" s="86">
        <v>0</v>
      </c>
      <c r="M405" s="86">
        <v>0</v>
      </c>
      <c r="N405" s="86">
        <v>0</v>
      </c>
      <c r="O405" s="86">
        <v>0</v>
      </c>
      <c r="P405" s="86">
        <v>0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6">
        <v>0</v>
      </c>
      <c r="AA405" s="86">
        <v>0</v>
      </c>
      <c r="AB405" s="86">
        <v>0</v>
      </c>
      <c r="AC405" s="86">
        <v>0</v>
      </c>
      <c r="AD405" s="86">
        <v>0</v>
      </c>
      <c r="AE405" s="86">
        <v>0</v>
      </c>
      <c r="AF405" s="86">
        <v>0</v>
      </c>
      <c r="AG405" s="86">
        <v>0</v>
      </c>
      <c r="AH405" s="86">
        <v>0</v>
      </c>
    </row>
    <row r="406" spans="2:34">
      <c r="B406" s="44" t="s">
        <v>1224</v>
      </c>
      <c r="C406" s="44" t="s">
        <v>1224</v>
      </c>
      <c r="D406" s="86">
        <v>12604182</v>
      </c>
      <c r="E406" s="86">
        <v>4126539</v>
      </c>
      <c r="F406" s="86"/>
      <c r="G406" s="86">
        <v>5736882</v>
      </c>
      <c r="H406" s="86">
        <v>6058107</v>
      </c>
      <c r="I406" s="86">
        <v>783804</v>
      </c>
      <c r="J406" s="86">
        <v>1567608</v>
      </c>
      <c r="K406" s="86">
        <v>2351412</v>
      </c>
      <c r="L406" s="86">
        <v>783804</v>
      </c>
      <c r="M406" s="86">
        <v>1567608</v>
      </c>
      <c r="N406" s="86">
        <v>2351412</v>
      </c>
      <c r="O406" s="86">
        <v>0</v>
      </c>
      <c r="P406" s="86">
        <v>0</v>
      </c>
      <c r="Q406" s="86">
        <v>0</v>
      </c>
      <c r="R406" s="86">
        <v>0</v>
      </c>
      <c r="S406" s="86">
        <v>0</v>
      </c>
      <c r="T406" s="86">
        <v>0</v>
      </c>
      <c r="U406" s="86">
        <v>0</v>
      </c>
      <c r="V406" s="86">
        <v>0</v>
      </c>
      <c r="W406" s="86">
        <v>0</v>
      </c>
      <c r="X406" s="86">
        <v>0</v>
      </c>
      <c r="Y406" s="86">
        <v>0</v>
      </c>
      <c r="Z406" s="86">
        <v>0</v>
      </c>
      <c r="AA406" s="86">
        <v>0</v>
      </c>
      <c r="AB406" s="86">
        <v>0</v>
      </c>
      <c r="AC406" s="86">
        <v>0</v>
      </c>
      <c r="AD406" s="86">
        <v>0</v>
      </c>
      <c r="AE406" s="86">
        <v>0</v>
      </c>
      <c r="AF406" s="86">
        <v>0</v>
      </c>
      <c r="AG406" s="86">
        <v>0</v>
      </c>
      <c r="AH406" s="86">
        <v>0</v>
      </c>
    </row>
    <row r="407" spans="2:34">
      <c r="B407" s="44" t="s">
        <v>1225</v>
      </c>
      <c r="C407" s="44" t="s">
        <v>1225</v>
      </c>
      <c r="D407" s="86">
        <v>0</v>
      </c>
      <c r="E407" s="86">
        <v>0</v>
      </c>
      <c r="F407" s="86"/>
      <c r="G407" s="86">
        <v>0</v>
      </c>
      <c r="H407" s="86">
        <v>0</v>
      </c>
      <c r="I407" s="86">
        <v>0</v>
      </c>
      <c r="J407" s="86">
        <v>0</v>
      </c>
      <c r="K407" s="86">
        <v>0</v>
      </c>
      <c r="L407" s="86">
        <v>0</v>
      </c>
      <c r="M407" s="86">
        <v>0</v>
      </c>
      <c r="N407" s="86">
        <v>0</v>
      </c>
      <c r="O407" s="86">
        <v>0</v>
      </c>
      <c r="P407" s="86">
        <v>0</v>
      </c>
      <c r="Q407" s="86">
        <v>0</v>
      </c>
      <c r="R407" s="86">
        <v>0</v>
      </c>
      <c r="S407" s="86">
        <v>0</v>
      </c>
      <c r="T407" s="86">
        <v>0</v>
      </c>
      <c r="U407" s="86">
        <v>0</v>
      </c>
      <c r="V407" s="86">
        <v>0</v>
      </c>
      <c r="W407" s="86">
        <v>0</v>
      </c>
      <c r="X407" s="86">
        <v>0</v>
      </c>
      <c r="Y407" s="86">
        <v>0</v>
      </c>
      <c r="Z407" s="86">
        <v>0</v>
      </c>
      <c r="AA407" s="86">
        <v>0</v>
      </c>
      <c r="AB407" s="86">
        <v>0</v>
      </c>
      <c r="AC407" s="86">
        <v>0</v>
      </c>
      <c r="AD407" s="86">
        <v>0</v>
      </c>
      <c r="AE407" s="86">
        <v>0</v>
      </c>
      <c r="AF407" s="86">
        <v>0</v>
      </c>
      <c r="AG407" s="86">
        <v>0</v>
      </c>
      <c r="AH407" s="86">
        <v>0</v>
      </c>
    </row>
    <row r="408" spans="2:34">
      <c r="B408" s="44" t="s">
        <v>1226</v>
      </c>
      <c r="C408" s="44" t="s">
        <v>1226</v>
      </c>
      <c r="D408" s="86">
        <v>0</v>
      </c>
      <c r="E408" s="86">
        <v>0</v>
      </c>
      <c r="F408" s="86"/>
      <c r="G408" s="86">
        <v>0</v>
      </c>
      <c r="H408" s="86">
        <v>0</v>
      </c>
      <c r="I408" s="86">
        <v>0</v>
      </c>
      <c r="J408" s="86">
        <v>0</v>
      </c>
      <c r="K408" s="86">
        <v>0</v>
      </c>
      <c r="L408" s="86">
        <v>0</v>
      </c>
      <c r="M408" s="86">
        <v>0</v>
      </c>
      <c r="N408" s="86">
        <v>0</v>
      </c>
      <c r="O408" s="86">
        <v>0</v>
      </c>
      <c r="P408" s="86">
        <v>0</v>
      </c>
      <c r="Q408" s="86">
        <v>0</v>
      </c>
      <c r="R408" s="86">
        <v>0</v>
      </c>
      <c r="S408" s="86">
        <v>0</v>
      </c>
      <c r="T408" s="86">
        <v>0</v>
      </c>
      <c r="U408" s="86">
        <v>0</v>
      </c>
      <c r="V408" s="86">
        <v>0</v>
      </c>
      <c r="W408" s="86">
        <v>0</v>
      </c>
      <c r="X408" s="86">
        <v>0</v>
      </c>
      <c r="Y408" s="86">
        <v>0</v>
      </c>
      <c r="Z408" s="86">
        <v>0</v>
      </c>
      <c r="AA408" s="86">
        <v>0</v>
      </c>
      <c r="AB408" s="86">
        <v>0</v>
      </c>
      <c r="AC408" s="86">
        <v>0</v>
      </c>
      <c r="AD408" s="86">
        <v>0</v>
      </c>
      <c r="AE408" s="86">
        <v>0</v>
      </c>
      <c r="AF408" s="86">
        <v>0</v>
      </c>
      <c r="AG408" s="86">
        <v>0</v>
      </c>
      <c r="AH408" s="86">
        <v>0</v>
      </c>
    </row>
    <row r="409" spans="2:34">
      <c r="B409" s="44" t="s">
        <v>1227</v>
      </c>
      <c r="C409" s="44" t="s">
        <v>1227</v>
      </c>
      <c r="D409" s="86">
        <v>0</v>
      </c>
      <c r="E409" s="86">
        <v>0</v>
      </c>
      <c r="F409" s="86"/>
      <c r="G409" s="86">
        <v>0</v>
      </c>
      <c r="H409" s="86">
        <v>0</v>
      </c>
      <c r="I409" s="86">
        <v>0</v>
      </c>
      <c r="J409" s="86">
        <v>0</v>
      </c>
      <c r="K409" s="86">
        <v>0</v>
      </c>
      <c r="L409" s="86">
        <v>0</v>
      </c>
      <c r="M409" s="86">
        <v>0</v>
      </c>
      <c r="N409" s="86">
        <v>0</v>
      </c>
      <c r="O409" s="86">
        <v>0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6">
        <v>0</v>
      </c>
      <c r="AA409" s="86">
        <v>0</v>
      </c>
      <c r="AB409" s="86">
        <v>0</v>
      </c>
      <c r="AC409" s="86">
        <v>0</v>
      </c>
      <c r="AD409" s="86">
        <v>0</v>
      </c>
      <c r="AE409" s="86">
        <v>0</v>
      </c>
      <c r="AF409" s="86">
        <v>0</v>
      </c>
      <c r="AG409" s="86">
        <v>0</v>
      </c>
      <c r="AH409" s="86">
        <v>0</v>
      </c>
    </row>
    <row r="410" spans="2:34">
      <c r="B410" s="44" t="s">
        <v>1228</v>
      </c>
      <c r="C410" s="44" t="s">
        <v>1228</v>
      </c>
      <c r="D410" s="86">
        <v>0</v>
      </c>
      <c r="E410" s="86">
        <v>0</v>
      </c>
      <c r="F410" s="86"/>
      <c r="G410" s="86">
        <v>0</v>
      </c>
      <c r="H410" s="86">
        <v>0</v>
      </c>
      <c r="I410" s="86">
        <v>0</v>
      </c>
      <c r="J410" s="86">
        <v>0</v>
      </c>
      <c r="K410" s="86">
        <v>0</v>
      </c>
      <c r="L410" s="86">
        <v>0</v>
      </c>
      <c r="M410" s="86">
        <v>0</v>
      </c>
      <c r="N410" s="86">
        <v>0</v>
      </c>
      <c r="O410" s="86">
        <v>0</v>
      </c>
      <c r="P410" s="86">
        <v>0</v>
      </c>
      <c r="Q410" s="86">
        <v>0</v>
      </c>
      <c r="R410" s="86">
        <v>0</v>
      </c>
      <c r="S410" s="86">
        <v>0</v>
      </c>
      <c r="T410" s="86">
        <v>0</v>
      </c>
      <c r="U410" s="86">
        <v>0</v>
      </c>
      <c r="V410" s="86">
        <v>0</v>
      </c>
      <c r="W410" s="86">
        <v>0</v>
      </c>
      <c r="X410" s="86">
        <v>0</v>
      </c>
      <c r="Y410" s="86">
        <v>0</v>
      </c>
      <c r="Z410" s="86">
        <v>0</v>
      </c>
      <c r="AA410" s="86">
        <v>0</v>
      </c>
      <c r="AB410" s="86">
        <v>0</v>
      </c>
      <c r="AC410" s="86">
        <v>0</v>
      </c>
      <c r="AD410" s="86">
        <v>0</v>
      </c>
      <c r="AE410" s="86">
        <v>0</v>
      </c>
      <c r="AF410" s="86">
        <v>0</v>
      </c>
      <c r="AG410" s="86">
        <v>0</v>
      </c>
      <c r="AH410" s="86">
        <v>0</v>
      </c>
    </row>
    <row r="411" spans="2:34">
      <c r="B411" s="44" t="s">
        <v>1229</v>
      </c>
      <c r="C411" s="44" t="s">
        <v>1229</v>
      </c>
      <c r="D411" s="86">
        <v>0</v>
      </c>
      <c r="E411" s="86">
        <v>0</v>
      </c>
      <c r="F411" s="86"/>
      <c r="G411" s="86">
        <v>0</v>
      </c>
      <c r="H411" s="86">
        <v>0</v>
      </c>
      <c r="I411" s="86">
        <v>0</v>
      </c>
      <c r="J411" s="86">
        <v>0</v>
      </c>
      <c r="K411" s="86">
        <v>0</v>
      </c>
      <c r="L411" s="86">
        <v>0</v>
      </c>
      <c r="M411" s="86">
        <v>0</v>
      </c>
      <c r="N411" s="86">
        <v>0</v>
      </c>
      <c r="O411" s="86">
        <v>0</v>
      </c>
      <c r="P411" s="86">
        <v>0</v>
      </c>
      <c r="Q411" s="86">
        <v>0</v>
      </c>
      <c r="R411" s="86">
        <v>0</v>
      </c>
      <c r="S411" s="86">
        <v>0</v>
      </c>
      <c r="T411" s="86">
        <v>0</v>
      </c>
      <c r="U411" s="86">
        <v>0</v>
      </c>
      <c r="V411" s="86">
        <v>0</v>
      </c>
      <c r="W411" s="86">
        <v>0</v>
      </c>
      <c r="X411" s="86">
        <v>0</v>
      </c>
      <c r="Y411" s="86">
        <v>0</v>
      </c>
      <c r="Z411" s="86">
        <v>0</v>
      </c>
      <c r="AA411" s="86">
        <v>0</v>
      </c>
      <c r="AB411" s="86">
        <v>0</v>
      </c>
      <c r="AC411" s="86">
        <v>0</v>
      </c>
      <c r="AD411" s="86">
        <v>0</v>
      </c>
      <c r="AE411" s="86">
        <v>0</v>
      </c>
      <c r="AF411" s="86">
        <v>0</v>
      </c>
      <c r="AG411" s="86">
        <v>0</v>
      </c>
      <c r="AH411" s="86">
        <v>0</v>
      </c>
    </row>
    <row r="412" spans="2:34">
      <c r="B412" s="44" t="s">
        <v>1230</v>
      </c>
      <c r="C412" s="44" t="s">
        <v>1230</v>
      </c>
      <c r="D412" s="86">
        <v>0</v>
      </c>
      <c r="E412" s="86">
        <v>0</v>
      </c>
      <c r="F412" s="86"/>
      <c r="G412" s="86">
        <v>0</v>
      </c>
      <c r="H412" s="86">
        <v>0</v>
      </c>
      <c r="I412" s="86">
        <v>0</v>
      </c>
      <c r="J412" s="86">
        <v>0</v>
      </c>
      <c r="K412" s="86">
        <v>0</v>
      </c>
      <c r="L412" s="86">
        <v>0</v>
      </c>
      <c r="M412" s="86">
        <v>0</v>
      </c>
      <c r="N412" s="86">
        <v>0</v>
      </c>
      <c r="O412" s="86">
        <v>0</v>
      </c>
      <c r="P412" s="86">
        <v>0</v>
      </c>
      <c r="Q412" s="86">
        <v>0</v>
      </c>
      <c r="R412" s="86">
        <v>0</v>
      </c>
      <c r="S412" s="86">
        <v>0</v>
      </c>
      <c r="T412" s="86">
        <v>0</v>
      </c>
      <c r="U412" s="86">
        <v>0</v>
      </c>
      <c r="V412" s="86">
        <v>0</v>
      </c>
      <c r="W412" s="86">
        <v>0</v>
      </c>
      <c r="X412" s="86">
        <v>0</v>
      </c>
      <c r="Y412" s="86">
        <v>0</v>
      </c>
      <c r="Z412" s="86">
        <v>0</v>
      </c>
      <c r="AA412" s="86">
        <v>0</v>
      </c>
      <c r="AB412" s="86">
        <v>0</v>
      </c>
      <c r="AC412" s="86">
        <v>0</v>
      </c>
      <c r="AD412" s="86">
        <v>0</v>
      </c>
      <c r="AE412" s="86">
        <v>0</v>
      </c>
      <c r="AF412" s="86">
        <v>0</v>
      </c>
      <c r="AG412" s="86">
        <v>0</v>
      </c>
      <c r="AH412" s="86">
        <v>0</v>
      </c>
    </row>
    <row r="413" spans="2:34">
      <c r="B413" s="44" t="s">
        <v>1231</v>
      </c>
      <c r="C413" s="44" t="s">
        <v>1231</v>
      </c>
      <c r="D413" s="86">
        <v>0</v>
      </c>
      <c r="E413" s="86">
        <v>0</v>
      </c>
      <c r="F413" s="86"/>
      <c r="G413" s="86">
        <v>0</v>
      </c>
      <c r="H413" s="86">
        <v>0</v>
      </c>
      <c r="I413" s="86">
        <v>0</v>
      </c>
      <c r="J413" s="86">
        <v>0</v>
      </c>
      <c r="K413" s="86">
        <v>0</v>
      </c>
      <c r="L413" s="86">
        <v>0</v>
      </c>
      <c r="M413" s="86">
        <v>0</v>
      </c>
      <c r="N413" s="86">
        <v>0</v>
      </c>
      <c r="O413" s="86">
        <v>0</v>
      </c>
      <c r="P413" s="86">
        <v>0</v>
      </c>
      <c r="Q413" s="86">
        <v>0</v>
      </c>
      <c r="R413" s="86">
        <v>0</v>
      </c>
      <c r="S413" s="86">
        <v>0</v>
      </c>
      <c r="T413" s="86">
        <v>0</v>
      </c>
      <c r="U413" s="86">
        <v>0</v>
      </c>
      <c r="V413" s="86">
        <v>0</v>
      </c>
      <c r="W413" s="86">
        <v>0</v>
      </c>
      <c r="X413" s="86">
        <v>0</v>
      </c>
      <c r="Y413" s="86">
        <v>0</v>
      </c>
      <c r="Z413" s="86">
        <v>0</v>
      </c>
      <c r="AA413" s="86">
        <v>0</v>
      </c>
      <c r="AB413" s="86">
        <v>0</v>
      </c>
      <c r="AC413" s="86">
        <v>0</v>
      </c>
      <c r="AD413" s="86">
        <v>0</v>
      </c>
      <c r="AE413" s="86">
        <v>0</v>
      </c>
      <c r="AF413" s="86">
        <v>0</v>
      </c>
      <c r="AG413" s="86">
        <v>0</v>
      </c>
      <c r="AH413" s="86">
        <v>0</v>
      </c>
    </row>
    <row r="414" spans="2:34">
      <c r="B414" s="44" t="s">
        <v>1232</v>
      </c>
      <c r="C414" s="44" t="s">
        <v>1232</v>
      </c>
      <c r="D414" s="86">
        <v>0</v>
      </c>
      <c r="E414" s="86">
        <v>0</v>
      </c>
      <c r="F414" s="86"/>
      <c r="G414" s="86">
        <v>0</v>
      </c>
      <c r="H414" s="86">
        <v>0</v>
      </c>
      <c r="I414" s="86">
        <v>0</v>
      </c>
      <c r="J414" s="86">
        <v>0</v>
      </c>
      <c r="K414" s="86">
        <v>0</v>
      </c>
      <c r="L414" s="86">
        <v>0</v>
      </c>
      <c r="M414" s="86">
        <v>0</v>
      </c>
      <c r="N414" s="86">
        <v>0</v>
      </c>
      <c r="O414" s="86">
        <v>0</v>
      </c>
      <c r="P414" s="86">
        <v>0</v>
      </c>
      <c r="Q414" s="86">
        <v>0</v>
      </c>
      <c r="R414" s="86">
        <v>0</v>
      </c>
      <c r="S414" s="86">
        <v>0</v>
      </c>
      <c r="T414" s="86">
        <v>0</v>
      </c>
      <c r="U414" s="86">
        <v>0</v>
      </c>
      <c r="V414" s="86">
        <v>0</v>
      </c>
      <c r="W414" s="86">
        <v>0</v>
      </c>
      <c r="X414" s="86">
        <v>0</v>
      </c>
      <c r="Y414" s="86">
        <v>0</v>
      </c>
      <c r="Z414" s="86">
        <v>0</v>
      </c>
      <c r="AA414" s="86">
        <v>0</v>
      </c>
      <c r="AB414" s="86">
        <v>0</v>
      </c>
      <c r="AC414" s="86">
        <v>0</v>
      </c>
      <c r="AD414" s="86">
        <v>0</v>
      </c>
      <c r="AE414" s="86">
        <v>0</v>
      </c>
      <c r="AF414" s="86">
        <v>0</v>
      </c>
      <c r="AG414" s="86">
        <v>0</v>
      </c>
      <c r="AH414" s="86">
        <v>0</v>
      </c>
    </row>
    <row r="415" spans="2:34">
      <c r="B415" s="44" t="s">
        <v>1233</v>
      </c>
      <c r="C415" s="44" t="s">
        <v>1233</v>
      </c>
      <c r="D415" s="86">
        <v>1618800866</v>
      </c>
      <c r="E415" s="86">
        <v>373839388</v>
      </c>
      <c r="F415" s="86"/>
      <c r="G415" s="86">
        <v>1533159229</v>
      </c>
      <c r="H415" s="86">
        <v>2003528628</v>
      </c>
      <c r="I415" s="86">
        <v>345440126</v>
      </c>
      <c r="J415" s="86">
        <v>1266269135</v>
      </c>
      <c r="K415" s="86">
        <v>1565573085</v>
      </c>
      <c r="L415" s="86">
        <v>452863836</v>
      </c>
      <c r="M415" s="86">
        <v>1246310510</v>
      </c>
      <c r="N415" s="86">
        <v>1455915157</v>
      </c>
      <c r="O415" s="86">
        <v>1959688262</v>
      </c>
      <c r="P415" s="86">
        <v>408830423</v>
      </c>
      <c r="Q415" s="86">
        <v>765638172</v>
      </c>
      <c r="R415" s="86">
        <v>902241523</v>
      </c>
      <c r="S415" s="86">
        <v>3363904905</v>
      </c>
      <c r="T415" s="86">
        <v>170483394</v>
      </c>
      <c r="U415" s="86">
        <v>511261851</v>
      </c>
      <c r="V415" s="86">
        <v>802745978</v>
      </c>
      <c r="W415" s="86">
        <v>2046854272</v>
      </c>
      <c r="X415" s="86">
        <v>152480995</v>
      </c>
      <c r="Y415" s="86">
        <v>437423211</v>
      </c>
      <c r="Z415" s="86">
        <v>1890492256</v>
      </c>
      <c r="AA415" s="86">
        <v>2250650382</v>
      </c>
      <c r="AB415" s="86">
        <v>1362108496</v>
      </c>
      <c r="AC415" s="86">
        <v>1841554689</v>
      </c>
      <c r="AD415" s="86">
        <v>2300764942</v>
      </c>
      <c r="AE415" s="86">
        <v>3018569982</v>
      </c>
      <c r="AF415" s="86">
        <v>258156229</v>
      </c>
      <c r="AG415" s="86">
        <v>1592805012</v>
      </c>
      <c r="AH415" s="86">
        <v>2971804884</v>
      </c>
    </row>
    <row r="416" spans="2:34">
      <c r="B416" s="43" t="s">
        <v>1234</v>
      </c>
      <c r="C416" s="43" t="s">
        <v>1234</v>
      </c>
      <c r="D416" s="87">
        <v>11099826486</v>
      </c>
      <c r="E416" s="87">
        <v>1088852992</v>
      </c>
      <c r="F416" s="87"/>
      <c r="G416" s="87">
        <v>11482762225</v>
      </c>
      <c r="H416" s="87">
        <v>20243036619</v>
      </c>
      <c r="I416" s="87">
        <v>652447271</v>
      </c>
      <c r="J416" s="87">
        <v>2190105000</v>
      </c>
      <c r="K416" s="87">
        <v>7438369245</v>
      </c>
      <c r="L416" s="87">
        <v>1017195903</v>
      </c>
      <c r="M416" s="87">
        <v>3638650964</v>
      </c>
      <c r="N416" s="87">
        <v>6513688967</v>
      </c>
      <c r="O416" s="87">
        <v>22834116420</v>
      </c>
      <c r="P416" s="87">
        <v>1566463095</v>
      </c>
      <c r="Q416" s="87">
        <v>2674213160</v>
      </c>
      <c r="R416" s="87">
        <v>3762658773</v>
      </c>
      <c r="S416" s="87">
        <v>10844153501</v>
      </c>
      <c r="T416" s="87">
        <v>1196269400</v>
      </c>
      <c r="U416" s="87">
        <v>4284866397</v>
      </c>
      <c r="V416" s="87">
        <v>9737292354</v>
      </c>
      <c r="W416" s="87">
        <v>10783572051</v>
      </c>
      <c r="X416" s="87">
        <v>6700061835</v>
      </c>
      <c r="Y416" s="87">
        <v>7453829797</v>
      </c>
      <c r="Z416" s="87">
        <v>8717648393</v>
      </c>
      <c r="AA416" s="87">
        <v>19154277089</v>
      </c>
      <c r="AB416" s="87">
        <v>1677674229</v>
      </c>
      <c r="AC416" s="87">
        <v>2474977896</v>
      </c>
      <c r="AD416" s="87">
        <v>8482872480</v>
      </c>
      <c r="AE416" s="87">
        <v>18437870497</v>
      </c>
      <c r="AF416" s="87">
        <v>1364756188</v>
      </c>
      <c r="AG416" s="87">
        <v>2533307486</v>
      </c>
      <c r="AH416" s="87">
        <v>11826747703</v>
      </c>
    </row>
    <row r="417" spans="2:34">
      <c r="B417" s="44" t="s">
        <v>1235</v>
      </c>
      <c r="C417" s="44" t="s">
        <v>1235</v>
      </c>
      <c r="D417" s="86">
        <v>707618250</v>
      </c>
      <c r="E417" s="86">
        <v>6524022</v>
      </c>
      <c r="F417" s="86"/>
      <c r="G417" s="86">
        <v>446005552</v>
      </c>
      <c r="H417" s="86">
        <v>1118859837</v>
      </c>
      <c r="I417" s="86">
        <v>157722586</v>
      </c>
      <c r="J417" s="86">
        <v>350355889</v>
      </c>
      <c r="K417" s="86">
        <v>584861931</v>
      </c>
      <c r="L417" s="86">
        <v>174339546</v>
      </c>
      <c r="M417" s="86">
        <v>1023969120</v>
      </c>
      <c r="N417" s="86">
        <v>1062997682</v>
      </c>
      <c r="O417" s="86">
        <v>1864336422</v>
      </c>
      <c r="P417" s="86">
        <v>462992284</v>
      </c>
      <c r="Q417" s="86">
        <v>723321912</v>
      </c>
      <c r="R417" s="86">
        <v>754521977</v>
      </c>
      <c r="S417" s="86">
        <v>1300242066</v>
      </c>
      <c r="T417" s="86">
        <v>237575249</v>
      </c>
      <c r="U417" s="86">
        <v>255540200</v>
      </c>
      <c r="V417" s="86">
        <v>1991402261</v>
      </c>
      <c r="W417" s="86">
        <v>1991403261</v>
      </c>
      <c r="X417" s="86">
        <v>151844458</v>
      </c>
      <c r="Y417" s="86">
        <v>187226730</v>
      </c>
      <c r="Z417" s="86">
        <v>191270980</v>
      </c>
      <c r="AA417" s="86">
        <v>245876547</v>
      </c>
      <c r="AB417" s="86">
        <v>0</v>
      </c>
      <c r="AC417" s="86">
        <v>13294200</v>
      </c>
      <c r="AD417" s="86">
        <v>13294200</v>
      </c>
      <c r="AE417" s="86">
        <v>39785066</v>
      </c>
      <c r="AF417" s="86">
        <v>8050774</v>
      </c>
      <c r="AG417" s="86">
        <v>12534293</v>
      </c>
      <c r="AH417" s="86">
        <v>12630293</v>
      </c>
    </row>
    <row r="418" spans="2:34">
      <c r="B418" s="44" t="s">
        <v>1236</v>
      </c>
      <c r="C418" s="44" t="s">
        <v>1236</v>
      </c>
      <c r="D418" s="86">
        <v>775238455</v>
      </c>
      <c r="E418" s="86">
        <v>0</v>
      </c>
      <c r="F418" s="86"/>
      <c r="G418" s="86">
        <v>671609773</v>
      </c>
      <c r="H418" s="86">
        <v>1931977677</v>
      </c>
      <c r="I418" s="86">
        <v>0</v>
      </c>
      <c r="J418" s="86">
        <v>366268022</v>
      </c>
      <c r="K418" s="86">
        <v>577464457</v>
      </c>
      <c r="L418" s="86">
        <v>0</v>
      </c>
      <c r="M418" s="86">
        <v>857501945</v>
      </c>
      <c r="N418" s="86">
        <v>857501945</v>
      </c>
      <c r="O418" s="86">
        <v>1473156495</v>
      </c>
      <c r="P418" s="86">
        <v>0</v>
      </c>
      <c r="Q418" s="86">
        <v>0</v>
      </c>
      <c r="R418" s="86">
        <v>0</v>
      </c>
      <c r="S418" s="86">
        <v>1248401561</v>
      </c>
      <c r="T418" s="86">
        <v>0</v>
      </c>
      <c r="U418" s="86">
        <v>0</v>
      </c>
      <c r="V418" s="86">
        <v>2645438298</v>
      </c>
      <c r="W418" s="86">
        <v>2645438298</v>
      </c>
      <c r="X418" s="86">
        <v>5748107972</v>
      </c>
      <c r="Y418" s="86">
        <v>5748107972</v>
      </c>
      <c r="Z418" s="86">
        <v>5748107972</v>
      </c>
      <c r="AA418" s="86">
        <v>11472216674</v>
      </c>
      <c r="AB418" s="86">
        <v>0</v>
      </c>
      <c r="AC418" s="86">
        <v>0</v>
      </c>
      <c r="AD418" s="86">
        <v>0</v>
      </c>
      <c r="AE418" s="86">
        <v>0</v>
      </c>
      <c r="AF418" s="86">
        <v>0</v>
      </c>
      <c r="AG418" s="86">
        <v>0</v>
      </c>
      <c r="AH418" s="86">
        <v>0</v>
      </c>
    </row>
    <row r="419" spans="2:34">
      <c r="B419" s="44" t="s">
        <v>1237</v>
      </c>
      <c r="C419" s="44" t="s">
        <v>1237</v>
      </c>
      <c r="D419" s="86">
        <v>0</v>
      </c>
      <c r="E419" s="86">
        <v>0</v>
      </c>
      <c r="F419" s="86"/>
      <c r="G419" s="86">
        <v>0</v>
      </c>
      <c r="H419" s="86">
        <v>0</v>
      </c>
      <c r="I419" s="86">
        <v>0</v>
      </c>
      <c r="J419" s="86">
        <v>0</v>
      </c>
      <c r="K419" s="86">
        <v>0</v>
      </c>
      <c r="L419" s="86">
        <v>0</v>
      </c>
      <c r="M419" s="86">
        <v>0</v>
      </c>
      <c r="N419" s="86">
        <v>0</v>
      </c>
      <c r="O419" s="86">
        <v>0</v>
      </c>
      <c r="P419" s="86">
        <v>0</v>
      </c>
      <c r="Q419" s="86">
        <v>0</v>
      </c>
      <c r="R419" s="86">
        <v>0</v>
      </c>
      <c r="S419" s="86">
        <v>0</v>
      </c>
      <c r="T419" s="86">
        <v>0</v>
      </c>
      <c r="U419" s="86">
        <v>0</v>
      </c>
      <c r="V419" s="86">
        <v>0</v>
      </c>
      <c r="W419" s="86">
        <v>0</v>
      </c>
      <c r="X419" s="86">
        <v>0</v>
      </c>
      <c r="Y419" s="86">
        <v>0</v>
      </c>
      <c r="Z419" s="86">
        <v>0</v>
      </c>
      <c r="AA419" s="86">
        <v>0</v>
      </c>
      <c r="AB419" s="86">
        <v>0</v>
      </c>
      <c r="AC419" s="86">
        <v>0</v>
      </c>
      <c r="AD419" s="86">
        <v>0</v>
      </c>
      <c r="AE419" s="86">
        <v>0</v>
      </c>
      <c r="AF419" s="86">
        <v>0</v>
      </c>
      <c r="AG419" s="86">
        <v>0</v>
      </c>
      <c r="AH419" s="86">
        <v>0</v>
      </c>
    </row>
    <row r="420" spans="2:34">
      <c r="B420" s="44" t="s">
        <v>1238</v>
      </c>
      <c r="C420" s="44" t="s">
        <v>1238</v>
      </c>
      <c r="D420" s="86">
        <v>0</v>
      </c>
      <c r="E420" s="86">
        <v>0</v>
      </c>
      <c r="F420" s="86"/>
      <c r="G420" s="86">
        <v>0</v>
      </c>
      <c r="H420" s="86">
        <v>0</v>
      </c>
      <c r="I420" s="86">
        <v>0</v>
      </c>
      <c r="J420" s="86">
        <v>0</v>
      </c>
      <c r="K420" s="86">
        <v>90000</v>
      </c>
      <c r="L420" s="86">
        <v>0</v>
      </c>
      <c r="M420" s="86">
        <v>0</v>
      </c>
      <c r="N420" s="86">
        <v>0</v>
      </c>
      <c r="O420" s="86">
        <v>0</v>
      </c>
      <c r="P420" s="86">
        <v>0</v>
      </c>
      <c r="Q420" s="86">
        <v>0</v>
      </c>
      <c r="R420" s="86">
        <v>0</v>
      </c>
      <c r="S420" s="86">
        <v>0</v>
      </c>
      <c r="T420" s="86">
        <v>0</v>
      </c>
      <c r="U420" s="86">
        <v>1961271160</v>
      </c>
      <c r="V420" s="86">
        <v>1961271160</v>
      </c>
      <c r="W420" s="86">
        <v>1961272160</v>
      </c>
      <c r="X420" s="86">
        <v>0</v>
      </c>
      <c r="Y420" s="86">
        <v>0</v>
      </c>
      <c r="Z420" s="86">
        <v>0</v>
      </c>
      <c r="AA420" s="86">
        <v>1000</v>
      </c>
      <c r="AB420" s="86">
        <v>0</v>
      </c>
      <c r="AC420" s="86">
        <v>221000000</v>
      </c>
      <c r="AD420" s="86">
        <v>221000000</v>
      </c>
      <c r="AE420" s="86">
        <v>440006600</v>
      </c>
      <c r="AF420" s="86">
        <v>2499434</v>
      </c>
      <c r="AG420" s="86">
        <v>481751844</v>
      </c>
      <c r="AH420" s="86">
        <v>878631798</v>
      </c>
    </row>
    <row r="421" spans="2:34">
      <c r="B421" s="44" t="s">
        <v>1239</v>
      </c>
      <c r="C421" s="44" t="s">
        <v>1239</v>
      </c>
      <c r="D421" s="86">
        <v>0</v>
      </c>
      <c r="E421" s="86">
        <v>0</v>
      </c>
      <c r="F421" s="86"/>
      <c r="G421" s="86">
        <v>5179651467</v>
      </c>
      <c r="H421" s="86">
        <v>7975144487</v>
      </c>
      <c r="I421" s="86">
        <v>0</v>
      </c>
      <c r="J421" s="86">
        <v>0</v>
      </c>
      <c r="K421" s="86">
        <v>1685310237</v>
      </c>
      <c r="L421" s="86">
        <v>0</v>
      </c>
      <c r="M421" s="86">
        <v>0</v>
      </c>
      <c r="N421" s="86">
        <v>0</v>
      </c>
      <c r="O421" s="86">
        <v>11174234061</v>
      </c>
      <c r="P421" s="86">
        <v>0</v>
      </c>
      <c r="Q421" s="86">
        <v>0</v>
      </c>
      <c r="R421" s="86">
        <v>0</v>
      </c>
      <c r="S421" s="86">
        <v>0</v>
      </c>
      <c r="T421" s="86">
        <v>0</v>
      </c>
      <c r="U421" s="86">
        <v>0</v>
      </c>
      <c r="V421" s="86">
        <v>0</v>
      </c>
      <c r="W421" s="86">
        <v>0</v>
      </c>
      <c r="X421" s="86">
        <v>0</v>
      </c>
      <c r="Y421" s="86">
        <v>0</v>
      </c>
      <c r="Z421" s="86">
        <v>0</v>
      </c>
      <c r="AA421" s="86">
        <v>3077440325</v>
      </c>
      <c r="AB421" s="86">
        <v>0</v>
      </c>
      <c r="AC421" s="86">
        <v>0</v>
      </c>
      <c r="AD421" s="86">
        <v>5174346505</v>
      </c>
      <c r="AE421" s="86">
        <v>10332555578</v>
      </c>
      <c r="AF421" s="86">
        <v>0</v>
      </c>
      <c r="AG421" s="86">
        <v>0</v>
      </c>
      <c r="AH421" s="86">
        <v>8222586917</v>
      </c>
    </row>
    <row r="422" spans="2:34">
      <c r="B422" s="44" t="s">
        <v>1240</v>
      </c>
      <c r="C422" s="44" t="s">
        <v>1240</v>
      </c>
      <c r="D422" s="86">
        <v>0</v>
      </c>
      <c r="E422" s="86">
        <v>0</v>
      </c>
      <c r="F422" s="86"/>
      <c r="G422" s="86">
        <v>0</v>
      </c>
      <c r="H422" s="86">
        <v>0</v>
      </c>
      <c r="I422" s="86">
        <v>0</v>
      </c>
      <c r="J422" s="86">
        <v>0</v>
      </c>
      <c r="K422" s="86">
        <v>0</v>
      </c>
      <c r="L422" s="86">
        <v>0</v>
      </c>
      <c r="M422" s="86">
        <v>0</v>
      </c>
      <c r="N422" s="86">
        <v>0</v>
      </c>
      <c r="O422" s="86">
        <v>0</v>
      </c>
      <c r="P422" s="86">
        <v>0</v>
      </c>
      <c r="Q422" s="86">
        <v>0</v>
      </c>
      <c r="R422" s="86">
        <v>0</v>
      </c>
      <c r="S422" s="86">
        <v>0</v>
      </c>
      <c r="T422" s="86">
        <v>0</v>
      </c>
      <c r="U422" s="86">
        <v>0</v>
      </c>
      <c r="V422" s="86">
        <v>0</v>
      </c>
      <c r="W422" s="86">
        <v>0</v>
      </c>
      <c r="X422" s="86">
        <v>0</v>
      </c>
      <c r="Y422" s="86">
        <v>0</v>
      </c>
      <c r="Z422" s="86">
        <v>0</v>
      </c>
      <c r="AA422" s="86">
        <v>0</v>
      </c>
      <c r="AB422" s="86">
        <v>0</v>
      </c>
      <c r="AC422" s="86">
        <v>0</v>
      </c>
      <c r="AD422" s="86">
        <v>0</v>
      </c>
      <c r="AE422" s="86">
        <v>0</v>
      </c>
      <c r="AF422" s="86">
        <v>0</v>
      </c>
      <c r="AG422" s="86">
        <v>0</v>
      </c>
      <c r="AH422" s="86">
        <v>0</v>
      </c>
    </row>
    <row r="423" spans="2:34">
      <c r="B423" s="44" t="s">
        <v>1241</v>
      </c>
      <c r="C423" s="44" t="s">
        <v>1241</v>
      </c>
      <c r="D423" s="86">
        <v>608766914</v>
      </c>
      <c r="E423" s="86">
        <v>11000000</v>
      </c>
      <c r="F423" s="86"/>
      <c r="G423" s="86">
        <v>229048086</v>
      </c>
      <c r="H423" s="86">
        <v>626954089</v>
      </c>
      <c r="I423" s="86">
        <v>212877686</v>
      </c>
      <c r="J423" s="86">
        <v>267450111</v>
      </c>
      <c r="K423" s="86">
        <v>445049567</v>
      </c>
      <c r="L423" s="86">
        <v>228503102</v>
      </c>
      <c r="M423" s="86">
        <v>245744469</v>
      </c>
      <c r="N423" s="86">
        <v>395386114</v>
      </c>
      <c r="O423" s="86">
        <v>771166964</v>
      </c>
      <c r="P423" s="86">
        <v>278161749</v>
      </c>
      <c r="Q423" s="86">
        <v>323153536</v>
      </c>
      <c r="R423" s="86">
        <v>523358341</v>
      </c>
      <c r="S423" s="86">
        <v>680655147</v>
      </c>
      <c r="T423" s="86">
        <v>223386764</v>
      </c>
      <c r="U423" s="86">
        <v>341134865</v>
      </c>
      <c r="V423" s="86">
        <v>642428147</v>
      </c>
      <c r="W423" s="86">
        <v>803818649</v>
      </c>
      <c r="X423" s="86">
        <v>231872476</v>
      </c>
      <c r="Y423" s="86">
        <v>343703317</v>
      </c>
      <c r="Z423" s="86">
        <v>552989787</v>
      </c>
      <c r="AA423" s="86">
        <v>1498836694</v>
      </c>
      <c r="AB423" s="86">
        <v>860163449</v>
      </c>
      <c r="AC423" s="86">
        <v>1027709970</v>
      </c>
      <c r="AD423" s="86">
        <v>1427586784</v>
      </c>
      <c r="AE423" s="86">
        <v>1538453192</v>
      </c>
      <c r="AF423" s="86">
        <v>1013564011</v>
      </c>
      <c r="AG423" s="86">
        <v>1237558104</v>
      </c>
      <c r="AH423" s="86">
        <v>1438239953</v>
      </c>
    </row>
    <row r="424" spans="2:34">
      <c r="B424" s="44" t="s">
        <v>1242</v>
      </c>
      <c r="C424" s="44" t="s">
        <v>1242</v>
      </c>
      <c r="D424" s="86">
        <v>0</v>
      </c>
      <c r="E424" s="86">
        <v>0</v>
      </c>
      <c r="F424" s="86"/>
      <c r="G424" s="86">
        <v>0</v>
      </c>
      <c r="H424" s="86">
        <v>0</v>
      </c>
      <c r="I424" s="86">
        <v>0</v>
      </c>
      <c r="J424" s="86">
        <v>0</v>
      </c>
      <c r="K424" s="86">
        <v>0</v>
      </c>
      <c r="L424" s="86">
        <v>0</v>
      </c>
      <c r="M424" s="86">
        <v>0</v>
      </c>
      <c r="N424" s="86">
        <v>0</v>
      </c>
      <c r="O424" s="86">
        <v>0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6">
        <v>0</v>
      </c>
      <c r="AA424" s="86">
        <v>0</v>
      </c>
      <c r="AB424" s="86">
        <v>0</v>
      </c>
      <c r="AC424" s="86">
        <v>0</v>
      </c>
      <c r="AD424" s="86">
        <v>0</v>
      </c>
      <c r="AE424" s="86">
        <v>0</v>
      </c>
      <c r="AF424" s="86">
        <v>0</v>
      </c>
      <c r="AG424" s="86">
        <v>0</v>
      </c>
      <c r="AH424" s="86">
        <v>0</v>
      </c>
    </row>
    <row r="425" spans="2:34">
      <c r="B425" s="44" t="s">
        <v>1243</v>
      </c>
      <c r="C425" s="44" t="s">
        <v>1243</v>
      </c>
      <c r="D425" s="86">
        <v>0</v>
      </c>
      <c r="E425" s="86">
        <v>0</v>
      </c>
      <c r="F425" s="86"/>
      <c r="G425" s="86">
        <v>0</v>
      </c>
      <c r="H425" s="86">
        <v>0</v>
      </c>
      <c r="I425" s="86">
        <v>0</v>
      </c>
      <c r="J425" s="86">
        <v>0</v>
      </c>
      <c r="K425" s="86">
        <v>0</v>
      </c>
      <c r="L425" s="86">
        <v>0</v>
      </c>
      <c r="M425" s="86">
        <v>0</v>
      </c>
      <c r="N425" s="86">
        <v>0</v>
      </c>
      <c r="O425" s="86">
        <v>0</v>
      </c>
      <c r="P425" s="86">
        <v>0</v>
      </c>
      <c r="Q425" s="86">
        <v>0</v>
      </c>
      <c r="R425" s="86">
        <v>0</v>
      </c>
      <c r="S425" s="86">
        <v>0</v>
      </c>
      <c r="T425" s="86">
        <v>0</v>
      </c>
      <c r="U425" s="86">
        <v>0</v>
      </c>
      <c r="V425" s="86">
        <v>0</v>
      </c>
      <c r="W425" s="86">
        <v>0</v>
      </c>
      <c r="X425" s="86">
        <v>0</v>
      </c>
      <c r="Y425" s="86">
        <v>0</v>
      </c>
      <c r="Z425" s="86">
        <v>0</v>
      </c>
      <c r="AA425" s="86">
        <v>0</v>
      </c>
      <c r="AB425" s="86">
        <v>0</v>
      </c>
      <c r="AC425" s="86">
        <v>0</v>
      </c>
      <c r="AD425" s="86">
        <v>0</v>
      </c>
      <c r="AE425" s="86">
        <v>0</v>
      </c>
      <c r="AF425" s="86">
        <v>0</v>
      </c>
      <c r="AG425" s="86">
        <v>0</v>
      </c>
      <c r="AH425" s="86">
        <v>0</v>
      </c>
    </row>
    <row r="426" spans="2:34">
      <c r="B426" s="44" t="s">
        <v>1244</v>
      </c>
      <c r="C426" s="44" t="s">
        <v>1244</v>
      </c>
      <c r="D426" s="86">
        <v>0</v>
      </c>
      <c r="E426" s="86">
        <v>0</v>
      </c>
      <c r="F426" s="86"/>
      <c r="G426" s="86">
        <v>0</v>
      </c>
      <c r="H426" s="86">
        <v>0</v>
      </c>
      <c r="I426" s="86">
        <v>0</v>
      </c>
      <c r="J426" s="86">
        <v>0</v>
      </c>
      <c r="K426" s="86">
        <v>0</v>
      </c>
      <c r="L426" s="86">
        <v>0</v>
      </c>
      <c r="M426" s="86">
        <v>0</v>
      </c>
      <c r="N426" s="86">
        <v>0</v>
      </c>
      <c r="O426" s="86">
        <v>0</v>
      </c>
      <c r="P426" s="86">
        <v>0</v>
      </c>
      <c r="Q426" s="86">
        <v>0</v>
      </c>
      <c r="R426" s="86">
        <v>0</v>
      </c>
      <c r="S426" s="86">
        <v>0</v>
      </c>
      <c r="T426" s="86">
        <v>0</v>
      </c>
      <c r="U426" s="86">
        <v>0</v>
      </c>
      <c r="V426" s="86">
        <v>0</v>
      </c>
      <c r="W426" s="86">
        <v>0</v>
      </c>
      <c r="X426" s="86">
        <v>0</v>
      </c>
      <c r="Y426" s="86">
        <v>0</v>
      </c>
      <c r="Z426" s="86">
        <v>0</v>
      </c>
      <c r="AA426" s="86">
        <v>0</v>
      </c>
      <c r="AB426" s="86">
        <v>0</v>
      </c>
      <c r="AC426" s="86">
        <v>0</v>
      </c>
      <c r="AD426" s="86">
        <v>0</v>
      </c>
      <c r="AE426" s="86">
        <v>0</v>
      </c>
      <c r="AF426" s="86">
        <v>0</v>
      </c>
      <c r="AG426" s="86">
        <v>0</v>
      </c>
      <c r="AH426" s="86">
        <v>0</v>
      </c>
    </row>
    <row r="427" spans="2:34">
      <c r="B427" s="44" t="s">
        <v>1245</v>
      </c>
      <c r="C427" s="44" t="s">
        <v>1245</v>
      </c>
      <c r="D427" s="86">
        <v>0</v>
      </c>
      <c r="E427" s="86">
        <v>0</v>
      </c>
      <c r="F427" s="86"/>
      <c r="G427" s="86">
        <v>0</v>
      </c>
      <c r="H427" s="86">
        <v>0</v>
      </c>
      <c r="I427" s="86">
        <v>0</v>
      </c>
      <c r="J427" s="86">
        <v>0</v>
      </c>
      <c r="K427" s="86">
        <v>0</v>
      </c>
      <c r="L427" s="86">
        <v>0</v>
      </c>
      <c r="M427" s="86">
        <v>0</v>
      </c>
      <c r="N427" s="86">
        <v>0</v>
      </c>
      <c r="O427" s="86">
        <v>0</v>
      </c>
      <c r="P427" s="86">
        <v>0</v>
      </c>
      <c r="Q427" s="86">
        <v>0</v>
      </c>
      <c r="R427" s="86">
        <v>0</v>
      </c>
      <c r="S427" s="86">
        <v>0</v>
      </c>
      <c r="T427" s="86">
        <v>0</v>
      </c>
      <c r="U427" s="86">
        <v>0</v>
      </c>
      <c r="V427" s="86">
        <v>0</v>
      </c>
      <c r="W427" s="86">
        <v>0</v>
      </c>
      <c r="X427" s="86">
        <v>0</v>
      </c>
      <c r="Y427" s="86">
        <v>0</v>
      </c>
      <c r="Z427" s="86">
        <v>0</v>
      </c>
      <c r="AA427" s="86">
        <v>0</v>
      </c>
      <c r="AB427" s="86">
        <v>0</v>
      </c>
      <c r="AC427" s="86">
        <v>0</v>
      </c>
      <c r="AD427" s="86">
        <v>0</v>
      </c>
      <c r="AE427" s="86">
        <v>0</v>
      </c>
      <c r="AF427" s="86">
        <v>0</v>
      </c>
      <c r="AG427" s="86">
        <v>0</v>
      </c>
      <c r="AH427" s="86">
        <v>0</v>
      </c>
    </row>
    <row r="428" spans="2:34">
      <c r="B428" s="44" t="s">
        <v>1246</v>
      </c>
      <c r="C428" s="44" t="s">
        <v>1246</v>
      </c>
      <c r="D428" s="86">
        <v>0</v>
      </c>
      <c r="E428" s="86">
        <v>0</v>
      </c>
      <c r="F428" s="86"/>
      <c r="G428" s="86">
        <v>0</v>
      </c>
      <c r="H428" s="86">
        <v>0</v>
      </c>
      <c r="I428" s="86">
        <v>0</v>
      </c>
      <c r="J428" s="86">
        <v>0</v>
      </c>
      <c r="K428" s="86">
        <v>0</v>
      </c>
      <c r="L428" s="86">
        <v>0</v>
      </c>
      <c r="M428" s="86">
        <v>0</v>
      </c>
      <c r="N428" s="86">
        <v>0</v>
      </c>
      <c r="O428" s="86">
        <v>0</v>
      </c>
      <c r="P428" s="86">
        <v>0</v>
      </c>
      <c r="Q428" s="86">
        <v>0</v>
      </c>
      <c r="R428" s="86">
        <v>0</v>
      </c>
      <c r="S428" s="86">
        <v>0</v>
      </c>
      <c r="T428" s="86">
        <v>0</v>
      </c>
      <c r="U428" s="86">
        <v>0</v>
      </c>
      <c r="V428" s="86">
        <v>0</v>
      </c>
      <c r="W428" s="86">
        <v>0</v>
      </c>
      <c r="X428" s="86">
        <v>0</v>
      </c>
      <c r="Y428" s="86">
        <v>0</v>
      </c>
      <c r="Z428" s="86">
        <v>0</v>
      </c>
      <c r="AA428" s="86">
        <v>0</v>
      </c>
      <c r="AB428" s="86">
        <v>0</v>
      </c>
      <c r="AC428" s="86">
        <v>0</v>
      </c>
      <c r="AD428" s="86">
        <v>0</v>
      </c>
      <c r="AE428" s="86">
        <v>0</v>
      </c>
      <c r="AF428" s="86">
        <v>0</v>
      </c>
      <c r="AG428" s="86">
        <v>0</v>
      </c>
      <c r="AH428" s="86">
        <v>0</v>
      </c>
    </row>
    <row r="429" spans="2:34">
      <c r="B429" s="44" t="s">
        <v>1247</v>
      </c>
      <c r="C429" s="44" t="s">
        <v>1247</v>
      </c>
      <c r="D429" s="86">
        <v>0</v>
      </c>
      <c r="E429" s="86">
        <v>0</v>
      </c>
      <c r="F429" s="86"/>
      <c r="G429" s="86">
        <v>0</v>
      </c>
      <c r="H429" s="86">
        <v>0</v>
      </c>
      <c r="I429" s="86">
        <v>0</v>
      </c>
      <c r="J429" s="86">
        <v>0</v>
      </c>
      <c r="K429" s="86">
        <v>0</v>
      </c>
      <c r="L429" s="86">
        <v>0</v>
      </c>
      <c r="M429" s="86">
        <v>0</v>
      </c>
      <c r="N429" s="86">
        <v>0</v>
      </c>
      <c r="O429" s="86">
        <v>0</v>
      </c>
      <c r="P429" s="86">
        <v>0</v>
      </c>
      <c r="Q429" s="86">
        <v>0</v>
      </c>
      <c r="R429" s="86">
        <v>0</v>
      </c>
      <c r="S429" s="86">
        <v>0</v>
      </c>
      <c r="T429" s="86">
        <v>0</v>
      </c>
      <c r="U429" s="86">
        <v>0</v>
      </c>
      <c r="V429" s="86">
        <v>0</v>
      </c>
      <c r="W429" s="86">
        <v>0</v>
      </c>
      <c r="X429" s="86">
        <v>0</v>
      </c>
      <c r="Y429" s="86">
        <v>0</v>
      </c>
      <c r="Z429" s="86">
        <v>0</v>
      </c>
      <c r="AA429" s="86">
        <v>0</v>
      </c>
      <c r="AB429" s="86">
        <v>0</v>
      </c>
      <c r="AC429" s="86">
        <v>0</v>
      </c>
      <c r="AD429" s="86">
        <v>0</v>
      </c>
      <c r="AE429" s="86">
        <v>0</v>
      </c>
      <c r="AF429" s="86">
        <v>0</v>
      </c>
      <c r="AG429" s="86">
        <v>0</v>
      </c>
      <c r="AH429" s="86">
        <v>0</v>
      </c>
    </row>
    <row r="430" spans="2:34">
      <c r="B430" s="44" t="s">
        <v>1248</v>
      </c>
      <c r="C430" s="44" t="s">
        <v>1248</v>
      </c>
      <c r="D430" s="86">
        <v>0</v>
      </c>
      <c r="E430" s="86">
        <v>0</v>
      </c>
      <c r="F430" s="86"/>
      <c r="G430" s="86">
        <v>0</v>
      </c>
      <c r="H430" s="86">
        <v>0</v>
      </c>
      <c r="I430" s="86">
        <v>0</v>
      </c>
      <c r="J430" s="86">
        <v>0</v>
      </c>
      <c r="K430" s="86">
        <v>0</v>
      </c>
      <c r="L430" s="86">
        <v>0</v>
      </c>
      <c r="M430" s="86">
        <v>0</v>
      </c>
      <c r="N430" s="86">
        <v>0</v>
      </c>
      <c r="O430" s="86">
        <v>0</v>
      </c>
      <c r="P430" s="86">
        <v>0</v>
      </c>
      <c r="Q430" s="86">
        <v>0</v>
      </c>
      <c r="R430" s="86">
        <v>0</v>
      </c>
      <c r="S430" s="86">
        <v>0</v>
      </c>
      <c r="T430" s="86">
        <v>0</v>
      </c>
      <c r="U430" s="86">
        <v>0</v>
      </c>
      <c r="V430" s="86">
        <v>0</v>
      </c>
      <c r="W430" s="86">
        <v>0</v>
      </c>
      <c r="X430" s="86">
        <v>0</v>
      </c>
      <c r="Y430" s="86">
        <v>0</v>
      </c>
      <c r="Z430" s="86">
        <v>0</v>
      </c>
      <c r="AA430" s="86">
        <v>0</v>
      </c>
      <c r="AB430" s="86">
        <v>0</v>
      </c>
      <c r="AC430" s="86">
        <v>0</v>
      </c>
      <c r="AD430" s="86">
        <v>0</v>
      </c>
      <c r="AE430" s="86">
        <v>0</v>
      </c>
      <c r="AF430" s="86">
        <v>0</v>
      </c>
      <c r="AG430" s="86">
        <v>0</v>
      </c>
      <c r="AH430" s="86">
        <v>0</v>
      </c>
    </row>
    <row r="431" spans="2:34">
      <c r="B431" s="44" t="s">
        <v>1249</v>
      </c>
      <c r="C431" s="44" t="s">
        <v>1249</v>
      </c>
      <c r="D431" s="86">
        <v>3986558800</v>
      </c>
      <c r="E431" s="86">
        <v>0</v>
      </c>
      <c r="F431" s="86"/>
      <c r="G431" s="86">
        <v>0</v>
      </c>
      <c r="H431" s="86">
        <v>355859307</v>
      </c>
      <c r="I431" s="86">
        <v>0</v>
      </c>
      <c r="J431" s="86">
        <v>0</v>
      </c>
      <c r="K431" s="86">
        <v>396832333</v>
      </c>
      <c r="L431" s="86">
        <v>0</v>
      </c>
      <c r="M431" s="86">
        <v>0</v>
      </c>
      <c r="N431" s="86">
        <v>0</v>
      </c>
      <c r="O431" s="86">
        <v>0</v>
      </c>
      <c r="P431" s="86">
        <v>0</v>
      </c>
      <c r="Q431" s="86">
        <v>0</v>
      </c>
      <c r="R431" s="86">
        <v>0</v>
      </c>
      <c r="S431" s="86">
        <v>0</v>
      </c>
      <c r="T431" s="86">
        <v>0</v>
      </c>
      <c r="U431" s="86">
        <v>0</v>
      </c>
      <c r="V431" s="86">
        <v>0</v>
      </c>
      <c r="W431" s="86">
        <v>0</v>
      </c>
      <c r="X431" s="86">
        <v>0</v>
      </c>
      <c r="Y431" s="86">
        <v>0</v>
      </c>
      <c r="Z431" s="86">
        <v>0</v>
      </c>
      <c r="AA431" s="86">
        <v>0</v>
      </c>
      <c r="AB431" s="86">
        <v>0</v>
      </c>
      <c r="AC431" s="86">
        <v>0</v>
      </c>
      <c r="AD431" s="86">
        <v>0</v>
      </c>
      <c r="AE431" s="86">
        <v>25248380</v>
      </c>
      <c r="AF431" s="86">
        <v>0</v>
      </c>
      <c r="AG431" s="86">
        <v>0</v>
      </c>
      <c r="AH431" s="86">
        <v>0</v>
      </c>
    </row>
    <row r="432" spans="2:34">
      <c r="B432" s="44" t="s">
        <v>1250</v>
      </c>
      <c r="C432" s="44" t="s">
        <v>1250</v>
      </c>
      <c r="D432" s="86">
        <v>0</v>
      </c>
      <c r="E432" s="86">
        <v>0</v>
      </c>
      <c r="F432" s="86"/>
      <c r="G432" s="86">
        <v>14666683</v>
      </c>
      <c r="H432" s="86">
        <v>14666683</v>
      </c>
      <c r="I432" s="86">
        <v>0</v>
      </c>
      <c r="J432" s="86">
        <v>0</v>
      </c>
      <c r="K432" s="86">
        <v>0</v>
      </c>
      <c r="L432" s="86">
        <v>0</v>
      </c>
      <c r="M432" s="86">
        <v>0</v>
      </c>
      <c r="N432" s="86">
        <v>0</v>
      </c>
      <c r="O432" s="86">
        <v>0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6">
        <v>0</v>
      </c>
      <c r="AA432" s="86">
        <v>0</v>
      </c>
      <c r="AB432" s="86">
        <v>0</v>
      </c>
      <c r="AC432" s="86">
        <v>0</v>
      </c>
      <c r="AD432" s="86">
        <v>0</v>
      </c>
      <c r="AE432" s="86">
        <v>0</v>
      </c>
      <c r="AF432" s="86">
        <v>0</v>
      </c>
      <c r="AG432" s="86">
        <v>0</v>
      </c>
      <c r="AH432" s="86">
        <v>0</v>
      </c>
    </row>
    <row r="433" spans="2:34">
      <c r="B433" s="44" t="s">
        <v>1251</v>
      </c>
      <c r="C433" s="44" t="s">
        <v>1251</v>
      </c>
      <c r="D433" s="86">
        <v>0</v>
      </c>
      <c r="E433" s="86">
        <v>0</v>
      </c>
      <c r="F433" s="86"/>
      <c r="G433" s="86">
        <v>0</v>
      </c>
      <c r="H433" s="86">
        <v>0</v>
      </c>
      <c r="I433" s="86">
        <v>0</v>
      </c>
      <c r="J433" s="86">
        <v>0</v>
      </c>
      <c r="K433" s="86">
        <v>0</v>
      </c>
      <c r="L433" s="86">
        <v>0</v>
      </c>
      <c r="M433" s="86">
        <v>0</v>
      </c>
      <c r="N433" s="86">
        <v>0</v>
      </c>
      <c r="O433" s="86">
        <v>0</v>
      </c>
      <c r="P433" s="86">
        <v>0</v>
      </c>
      <c r="Q433" s="86">
        <v>0</v>
      </c>
      <c r="R433" s="86">
        <v>0</v>
      </c>
      <c r="S433" s="86">
        <v>0</v>
      </c>
      <c r="T433" s="86">
        <v>0</v>
      </c>
      <c r="U433" s="86">
        <v>0</v>
      </c>
      <c r="V433" s="86">
        <v>0</v>
      </c>
      <c r="W433" s="86">
        <v>0</v>
      </c>
      <c r="X433" s="86">
        <v>0</v>
      </c>
      <c r="Y433" s="86">
        <v>0</v>
      </c>
      <c r="Z433" s="86">
        <v>0</v>
      </c>
      <c r="AA433" s="86">
        <v>0</v>
      </c>
      <c r="AB433" s="86">
        <v>0</v>
      </c>
      <c r="AC433" s="86">
        <v>0</v>
      </c>
      <c r="AD433" s="86">
        <v>0</v>
      </c>
      <c r="AE433" s="86">
        <v>0</v>
      </c>
      <c r="AF433" s="86">
        <v>0</v>
      </c>
      <c r="AG433" s="86">
        <v>0</v>
      </c>
      <c r="AH433" s="86">
        <v>0</v>
      </c>
    </row>
    <row r="434" spans="2:34">
      <c r="B434" s="44" t="s">
        <v>1252</v>
      </c>
      <c r="C434" s="44" t="s">
        <v>1252</v>
      </c>
      <c r="D434" s="86">
        <v>5021644067</v>
      </c>
      <c r="E434" s="86">
        <v>1071328970</v>
      </c>
      <c r="F434" s="86"/>
      <c r="G434" s="86">
        <v>4941780664</v>
      </c>
      <c r="H434" s="86">
        <v>8219574539</v>
      </c>
      <c r="I434" s="86">
        <v>281846999</v>
      </c>
      <c r="J434" s="86">
        <v>1206030978</v>
      </c>
      <c r="K434" s="86">
        <v>3748760720</v>
      </c>
      <c r="L434" s="86">
        <v>614353255</v>
      </c>
      <c r="M434" s="86">
        <v>1511435430</v>
      </c>
      <c r="N434" s="86">
        <v>4197803226</v>
      </c>
      <c r="O434" s="86">
        <v>7551222478</v>
      </c>
      <c r="P434" s="86">
        <v>825309062</v>
      </c>
      <c r="Q434" s="86">
        <v>1627737712</v>
      </c>
      <c r="R434" s="86">
        <v>2484778455</v>
      </c>
      <c r="S434" s="86">
        <v>7614854727</v>
      </c>
      <c r="T434" s="86">
        <v>735307387</v>
      </c>
      <c r="U434" s="86">
        <v>1726920172</v>
      </c>
      <c r="V434" s="86">
        <v>2496752488</v>
      </c>
      <c r="W434" s="86">
        <v>3381639683</v>
      </c>
      <c r="X434" s="86">
        <v>568236929</v>
      </c>
      <c r="Y434" s="86">
        <v>1174791778</v>
      </c>
      <c r="Z434" s="86">
        <v>2225279654</v>
      </c>
      <c r="AA434" s="86">
        <v>2859905849</v>
      </c>
      <c r="AB434" s="86">
        <v>817510780</v>
      </c>
      <c r="AC434" s="86">
        <v>1212973726</v>
      </c>
      <c r="AD434" s="86">
        <v>1646644991</v>
      </c>
      <c r="AE434" s="86">
        <v>6061821681</v>
      </c>
      <c r="AF434" s="86">
        <v>340641969</v>
      </c>
      <c r="AG434" s="86">
        <v>801463245</v>
      </c>
      <c r="AH434" s="86">
        <v>1274658742</v>
      </c>
    </row>
    <row r="435" spans="2:34">
      <c r="B435" s="39" t="s">
        <v>1253</v>
      </c>
      <c r="C435" s="39" t="s">
        <v>1253</v>
      </c>
      <c r="D435" s="88">
        <v>266248628692</v>
      </c>
      <c r="E435" s="88">
        <v>25570645048</v>
      </c>
      <c r="F435" s="88"/>
      <c r="G435" s="88">
        <v>131005608374</v>
      </c>
      <c r="H435" s="88">
        <v>201376343841</v>
      </c>
      <c r="I435" s="88">
        <v>45621780521</v>
      </c>
      <c r="J435" s="88">
        <v>77738308219</v>
      </c>
      <c r="K435" s="88">
        <v>91527660501</v>
      </c>
      <c r="L435" s="88">
        <v>50602540701</v>
      </c>
      <c r="M435" s="88">
        <v>132181551128</v>
      </c>
      <c r="N435" s="88">
        <v>216909959872</v>
      </c>
      <c r="O435" s="88">
        <v>281428190544</v>
      </c>
      <c r="P435" s="88">
        <v>132345504351</v>
      </c>
      <c r="Q435" s="88">
        <v>256728622770</v>
      </c>
      <c r="R435" s="88">
        <v>316411072126</v>
      </c>
      <c r="S435" s="88">
        <v>317671873157</v>
      </c>
      <c r="T435" s="88">
        <v>100638784658</v>
      </c>
      <c r="U435" s="88">
        <v>163463053683</v>
      </c>
      <c r="V435" s="88">
        <v>215947469516</v>
      </c>
      <c r="W435" s="88">
        <v>306328589866</v>
      </c>
      <c r="X435" s="88">
        <v>169874243227</v>
      </c>
      <c r="Y435" s="88">
        <v>334160120161</v>
      </c>
      <c r="Z435" s="88">
        <v>478092879412</v>
      </c>
      <c r="AA435" s="88">
        <v>590981616522</v>
      </c>
      <c r="AB435" s="88">
        <v>211428641891</v>
      </c>
      <c r="AC435" s="88">
        <v>381494904957</v>
      </c>
      <c r="AD435" s="88">
        <v>538466134451</v>
      </c>
      <c r="AE435" s="88">
        <v>659444906065</v>
      </c>
      <c r="AF435" s="88">
        <v>307976114081</v>
      </c>
      <c r="AG435" s="88">
        <v>550370412920</v>
      </c>
      <c r="AH435" s="88">
        <v>703840361365</v>
      </c>
    </row>
    <row r="436" spans="2:34">
      <c r="B436" s="39" t="s">
        <v>1254</v>
      </c>
      <c r="C436" s="39" t="s">
        <v>1254</v>
      </c>
      <c r="D436" s="88">
        <v>51628961156</v>
      </c>
      <c r="E436" s="88">
        <v>7022992854</v>
      </c>
      <c r="F436" s="88"/>
      <c r="G436" s="88">
        <v>27522112769</v>
      </c>
      <c r="H436" s="88">
        <v>42354030860</v>
      </c>
      <c r="I436" s="88">
        <v>-4443742174</v>
      </c>
      <c r="J436" s="88">
        <v>11973273393</v>
      </c>
      <c r="K436" s="88">
        <v>15989431918</v>
      </c>
      <c r="L436" s="88">
        <v>10884299323</v>
      </c>
      <c r="M436" s="88">
        <v>22914733178</v>
      </c>
      <c r="N436" s="88">
        <v>42161495768</v>
      </c>
      <c r="O436" s="88">
        <v>61335406317</v>
      </c>
      <c r="P436" s="88">
        <v>21869869537</v>
      </c>
      <c r="Q436" s="88">
        <v>50077428744</v>
      </c>
      <c r="R436" s="88">
        <v>62773547615</v>
      </c>
      <c r="S436" s="88">
        <v>61610909492</v>
      </c>
      <c r="T436" s="88">
        <v>15638761133</v>
      </c>
      <c r="U436" s="88">
        <v>30530101063</v>
      </c>
      <c r="V436" s="88">
        <v>41068541187</v>
      </c>
      <c r="W436" s="88">
        <v>62611290088</v>
      </c>
      <c r="X436" s="88">
        <v>26645338476</v>
      </c>
      <c r="Y436" s="88">
        <v>68961247619</v>
      </c>
      <c r="Z436" s="88">
        <v>102657715233</v>
      </c>
      <c r="AA436" s="88">
        <v>118701657832</v>
      </c>
      <c r="AB436" s="88">
        <v>47056753949</v>
      </c>
      <c r="AC436" s="88">
        <v>85978631762</v>
      </c>
      <c r="AD436" s="88">
        <v>124937903471</v>
      </c>
      <c r="AE436" s="88">
        <v>155934864118</v>
      </c>
      <c r="AF436" s="88">
        <v>71943666144</v>
      </c>
      <c r="AG436" s="88">
        <v>139198931198</v>
      </c>
      <c r="AH436" s="88">
        <v>178683504679</v>
      </c>
    </row>
    <row r="437" spans="2:34">
      <c r="B437" s="39" t="s">
        <v>1255</v>
      </c>
      <c r="C437" s="39" t="s">
        <v>1255</v>
      </c>
      <c r="D437" s="88">
        <v>214619667536</v>
      </c>
      <c r="E437" s="88">
        <v>18547652194</v>
      </c>
      <c r="F437" s="88"/>
      <c r="G437" s="88">
        <v>103483495605</v>
      </c>
      <c r="H437" s="88">
        <v>159022312981</v>
      </c>
      <c r="I437" s="88">
        <v>50065522695</v>
      </c>
      <c r="J437" s="88">
        <v>65765034826</v>
      </c>
      <c r="K437" s="88">
        <v>75538228583</v>
      </c>
      <c r="L437" s="88">
        <v>39718241378</v>
      </c>
      <c r="M437" s="88">
        <v>109266817950</v>
      </c>
      <c r="N437" s="88">
        <v>174748464104</v>
      </c>
      <c r="O437" s="88">
        <v>220092784227</v>
      </c>
      <c r="P437" s="88">
        <v>110475634814</v>
      </c>
      <c r="Q437" s="88">
        <v>206651194026</v>
      </c>
      <c r="R437" s="88">
        <v>253637524511</v>
      </c>
      <c r="S437" s="88">
        <v>256060963665</v>
      </c>
      <c r="T437" s="88">
        <v>85000023525</v>
      </c>
      <c r="U437" s="88">
        <v>132932952620</v>
      </c>
      <c r="V437" s="88">
        <v>174878928329</v>
      </c>
      <c r="W437" s="88">
        <v>243717299778</v>
      </c>
      <c r="X437" s="88">
        <v>143228904751</v>
      </c>
      <c r="Y437" s="88">
        <v>265198872542</v>
      </c>
      <c r="Z437" s="88">
        <v>375435164179</v>
      </c>
      <c r="AA437" s="88">
        <v>472279958690</v>
      </c>
      <c r="AB437" s="88">
        <v>164371887942</v>
      </c>
      <c r="AC437" s="88">
        <v>295516273195</v>
      </c>
      <c r="AD437" s="88">
        <v>413528230980</v>
      </c>
      <c r="AE437" s="88">
        <v>503510041947</v>
      </c>
      <c r="AF437" s="88">
        <v>236032447937</v>
      </c>
      <c r="AG437" s="88">
        <v>411171481722</v>
      </c>
      <c r="AH437" s="88">
        <v>525156856686</v>
      </c>
    </row>
    <row r="438" spans="2:34">
      <c r="B438" s="39" t="s">
        <v>1256</v>
      </c>
      <c r="C438" s="39" t="s">
        <v>1256</v>
      </c>
      <c r="D438" s="88">
        <v>0</v>
      </c>
      <c r="E438" s="88">
        <v>0</v>
      </c>
      <c r="F438" s="88"/>
      <c r="G438" s="88">
        <v>0</v>
      </c>
      <c r="H438" s="88">
        <v>0</v>
      </c>
      <c r="I438" s="88">
        <v>0</v>
      </c>
      <c r="J438" s="88">
        <v>0</v>
      </c>
      <c r="K438" s="88">
        <v>0</v>
      </c>
      <c r="L438" s="88">
        <v>0</v>
      </c>
      <c r="M438" s="88">
        <v>0</v>
      </c>
      <c r="N438" s="88">
        <v>0</v>
      </c>
      <c r="O438" s="88">
        <v>0</v>
      </c>
      <c r="P438" s="88">
        <v>0</v>
      </c>
      <c r="Q438" s="88">
        <v>0</v>
      </c>
      <c r="R438" s="88">
        <v>0</v>
      </c>
      <c r="S438" s="88">
        <v>0</v>
      </c>
      <c r="T438" s="88">
        <v>0</v>
      </c>
      <c r="U438" s="88">
        <v>0</v>
      </c>
      <c r="V438" s="88">
        <v>0</v>
      </c>
      <c r="W438" s="88">
        <v>0</v>
      </c>
      <c r="X438" s="88">
        <v>0</v>
      </c>
      <c r="Y438" s="88">
        <v>0</v>
      </c>
      <c r="Z438" s="88">
        <v>0</v>
      </c>
      <c r="AA438" s="88">
        <v>0</v>
      </c>
      <c r="AB438" s="88">
        <v>0</v>
      </c>
      <c r="AC438" s="88">
        <v>0</v>
      </c>
      <c r="AD438" s="88">
        <v>0</v>
      </c>
      <c r="AE438" s="88">
        <v>0</v>
      </c>
      <c r="AF438" s="88">
        <v>0</v>
      </c>
      <c r="AG438" s="88">
        <v>0</v>
      </c>
      <c r="AH438" s="88">
        <v>0</v>
      </c>
    </row>
    <row r="439" spans="2:34">
      <c r="B439" s="39" t="s">
        <v>1257</v>
      </c>
      <c r="C439" s="39" t="s">
        <v>1257</v>
      </c>
      <c r="D439" s="88">
        <v>214619667536</v>
      </c>
      <c r="E439" s="88">
        <v>18547652194</v>
      </c>
      <c r="F439" s="88"/>
      <c r="G439" s="88">
        <v>103483495605</v>
      </c>
      <c r="H439" s="88">
        <v>159022312981</v>
      </c>
      <c r="I439" s="88">
        <v>50065522695</v>
      </c>
      <c r="J439" s="88">
        <v>65765034826</v>
      </c>
      <c r="K439" s="88">
        <v>75538228583</v>
      </c>
      <c r="L439" s="88">
        <v>39718241378</v>
      </c>
      <c r="M439" s="88">
        <v>109266817950</v>
      </c>
      <c r="N439" s="88">
        <v>174748464104</v>
      </c>
      <c r="O439" s="88">
        <v>220092784227</v>
      </c>
      <c r="P439" s="88">
        <v>110475634814</v>
      </c>
      <c r="Q439" s="88">
        <v>206651194026</v>
      </c>
      <c r="R439" s="88">
        <v>253637524511</v>
      </c>
      <c r="S439" s="88">
        <v>256060963665</v>
      </c>
      <c r="T439" s="88">
        <v>85000023525</v>
      </c>
      <c r="U439" s="88">
        <v>132932952620</v>
      </c>
      <c r="V439" s="88">
        <v>174878928329</v>
      </c>
      <c r="W439" s="88">
        <v>243717299778</v>
      </c>
      <c r="X439" s="88">
        <v>143228904751</v>
      </c>
      <c r="Y439" s="88">
        <v>265198872542</v>
      </c>
      <c r="Z439" s="88">
        <v>375435164179</v>
      </c>
      <c r="AA439" s="88">
        <v>472279958690</v>
      </c>
      <c r="AB439" s="88">
        <v>164371887942</v>
      </c>
      <c r="AC439" s="88">
        <v>295516273195</v>
      </c>
      <c r="AD439" s="88">
        <v>413528230980</v>
      </c>
      <c r="AE439" s="88">
        <v>503510041947</v>
      </c>
      <c r="AF439" s="88">
        <v>236032447937</v>
      </c>
      <c r="AG439" s="88">
        <v>411171481722</v>
      </c>
      <c r="AH439" s="88">
        <v>525156856686</v>
      </c>
    </row>
    <row r="440" spans="2:34">
      <c r="B440" s="45" t="s">
        <v>1258</v>
      </c>
      <c r="C440" s="45" t="s">
        <v>1258</v>
      </c>
      <c r="D440" s="86">
        <v>-5139617349</v>
      </c>
      <c r="E440" s="86">
        <v>2240077790</v>
      </c>
      <c r="F440" s="86"/>
      <c r="G440" s="86">
        <v>7156351207</v>
      </c>
      <c r="H440" s="86">
        <v>5203264856</v>
      </c>
      <c r="I440" s="86">
        <v>4906412582</v>
      </c>
      <c r="J440" s="86">
        <v>6229486662</v>
      </c>
      <c r="K440" s="86">
        <v>23074008873</v>
      </c>
      <c r="L440" s="86">
        <v>-460448102</v>
      </c>
      <c r="M440" s="86">
        <v>3275043875</v>
      </c>
      <c r="N440" s="86">
        <v>-4820377893</v>
      </c>
      <c r="O440" s="86">
        <v>-6184139880</v>
      </c>
      <c r="P440" s="86">
        <v>621201227</v>
      </c>
      <c r="Q440" s="86">
        <v>2199159143</v>
      </c>
      <c r="R440" s="86">
        <v>1715571114</v>
      </c>
      <c r="S440" s="86">
        <v>1908170130</v>
      </c>
      <c r="T440" s="86">
        <v>2148066876</v>
      </c>
      <c r="U440" s="86">
        <v>1155309852</v>
      </c>
      <c r="V440" s="86">
        <v>-18488909540</v>
      </c>
      <c r="W440" s="86">
        <v>-19613477892</v>
      </c>
      <c r="X440" s="86">
        <v>28187551488</v>
      </c>
      <c r="Y440" s="86">
        <v>47322865206</v>
      </c>
      <c r="Z440" s="86">
        <v>53472870011</v>
      </c>
      <c r="AA440" s="86">
        <v>61244055353.945496</v>
      </c>
      <c r="AB440" s="86">
        <v>-3700030684</v>
      </c>
      <c r="AC440" s="86">
        <v>445826131</v>
      </c>
      <c r="AD440" s="86">
        <v>-164873355</v>
      </c>
      <c r="AE440" s="86">
        <v>2126289031</v>
      </c>
      <c r="AF440" s="86">
        <v>8282079307</v>
      </c>
      <c r="AG440" s="86">
        <v>11074421183</v>
      </c>
      <c r="AH440" s="86">
        <v>10983183481</v>
      </c>
    </row>
    <row r="441" spans="2:34">
      <c r="B441" s="45" t="s">
        <v>1259</v>
      </c>
      <c r="C441" s="45" t="s">
        <v>1259</v>
      </c>
      <c r="D441" s="86">
        <v>219759284885</v>
      </c>
      <c r="E441" s="86">
        <v>16307574404</v>
      </c>
      <c r="F441" s="86"/>
      <c r="G441" s="86">
        <v>96327144398</v>
      </c>
      <c r="H441" s="86">
        <v>153819048125</v>
      </c>
      <c r="I441" s="86">
        <v>45159110113</v>
      </c>
      <c r="J441" s="86">
        <v>59535548164</v>
      </c>
      <c r="K441" s="86">
        <v>52464219710</v>
      </c>
      <c r="L441" s="86">
        <v>40178689480</v>
      </c>
      <c r="M441" s="86">
        <v>112541861825</v>
      </c>
      <c r="N441" s="86">
        <v>179568841997</v>
      </c>
      <c r="O441" s="86">
        <v>226276924107</v>
      </c>
      <c r="P441" s="86">
        <v>109854433587</v>
      </c>
      <c r="Q441" s="86">
        <v>204452034883</v>
      </c>
      <c r="R441" s="86">
        <v>251921953397</v>
      </c>
      <c r="S441" s="86">
        <v>254152793535</v>
      </c>
      <c r="T441" s="86">
        <v>82851956649</v>
      </c>
      <c r="U441" s="86">
        <v>131777642768</v>
      </c>
      <c r="V441" s="86">
        <v>193367837869</v>
      </c>
      <c r="W441" s="86">
        <v>263330777670</v>
      </c>
      <c r="X441" s="86">
        <v>115041353263</v>
      </c>
      <c r="Y441" s="86">
        <v>217876007336</v>
      </c>
      <c r="Z441" s="86">
        <v>321962294168</v>
      </c>
      <c r="AA441" s="86">
        <v>411035903336.0545</v>
      </c>
      <c r="AB441" s="86">
        <v>168071918626</v>
      </c>
      <c r="AC441" s="86">
        <v>295070447064</v>
      </c>
      <c r="AD441" s="86">
        <v>413693104335</v>
      </c>
      <c r="AE441" s="86">
        <v>501383752916</v>
      </c>
      <c r="AF441" s="86">
        <v>227750368630</v>
      </c>
      <c r="AG441" s="86">
        <v>400097060539</v>
      </c>
      <c r="AH441" s="86">
        <v>514173673205</v>
      </c>
    </row>
    <row r="442" spans="2:34">
      <c r="B442" s="39" t="s">
        <v>175</v>
      </c>
      <c r="C442" s="39" t="s">
        <v>175</v>
      </c>
      <c r="D442" s="88">
        <v>-16671141240</v>
      </c>
      <c r="E442" s="88">
        <v>-13886637882</v>
      </c>
      <c r="F442" s="88"/>
      <c r="G442" s="88">
        <v>-35568848134</v>
      </c>
      <c r="H442" s="88">
        <v>-7041980001</v>
      </c>
      <c r="I442" s="88">
        <v>-23317128096</v>
      </c>
      <c r="J442" s="88">
        <v>-23518435495</v>
      </c>
      <c r="K442" s="88">
        <v>-7020591950</v>
      </c>
      <c r="L442" s="88">
        <v>-13145843674</v>
      </c>
      <c r="M442" s="88">
        <v>-34383885639</v>
      </c>
      <c r="N442" s="88">
        <v>-24689083089</v>
      </c>
      <c r="O442" s="88">
        <v>-52541582470</v>
      </c>
      <c r="P442" s="88">
        <v>13747991512</v>
      </c>
      <c r="Q442" s="88">
        <v>21224651818</v>
      </c>
      <c r="R442" s="88">
        <v>18800377038</v>
      </c>
      <c r="S442" s="88">
        <v>8576289815</v>
      </c>
      <c r="T442" s="88">
        <v>-8382946705</v>
      </c>
      <c r="U442" s="88">
        <v>-6700660543</v>
      </c>
      <c r="V442" s="88">
        <v>-7241993817</v>
      </c>
      <c r="W442" s="88">
        <v>4356628133</v>
      </c>
      <c r="X442" s="88">
        <v>9245335370</v>
      </c>
      <c r="Y442" s="88">
        <v>127334646903</v>
      </c>
      <c r="Z442" s="88">
        <v>112888593197</v>
      </c>
      <c r="AA442" s="88">
        <v>67057716487</v>
      </c>
      <c r="AB442" s="88">
        <v>-25834883126</v>
      </c>
      <c r="AC442" s="88">
        <v>7878758721</v>
      </c>
      <c r="AD442" s="88">
        <v>23406027686</v>
      </c>
      <c r="AE442" s="88">
        <v>36085572</v>
      </c>
      <c r="AF442" s="88">
        <v>-38055135404</v>
      </c>
      <c r="AG442" s="88">
        <v>-18497605246</v>
      </c>
      <c r="AH442" s="88">
        <v>-51067356570</v>
      </c>
    </row>
    <row r="443" spans="2:34">
      <c r="B443" s="44" t="s">
        <v>1260</v>
      </c>
      <c r="C443" s="1283" t="s">
        <v>2273</v>
      </c>
      <c r="D443" s="86">
        <v>-14380861795</v>
      </c>
      <c r="E443" s="86">
        <v>-18320102747</v>
      </c>
      <c r="F443" s="86"/>
      <c r="G443" s="86">
        <v>-46924601760</v>
      </c>
      <c r="H443" s="86">
        <v>-9290211084</v>
      </c>
      <c r="I443" s="86">
        <v>-29982497217</v>
      </c>
      <c r="J443" s="86">
        <v>-30130440556</v>
      </c>
      <c r="K443" s="86">
        <v>-13926162978</v>
      </c>
      <c r="L443" s="86">
        <v>-17162548778</v>
      </c>
      <c r="M443" s="86">
        <v>-45244903996</v>
      </c>
      <c r="N443" s="86">
        <v>-32496220038</v>
      </c>
      <c r="O443" s="86">
        <v>-66898486362</v>
      </c>
      <c r="P443" s="86">
        <v>17941934979</v>
      </c>
      <c r="Q443" s="86">
        <v>28205580399</v>
      </c>
      <c r="R443" s="86">
        <v>24952528645</v>
      </c>
      <c r="S443" s="86">
        <v>14326327764</v>
      </c>
      <c r="T443" s="86">
        <v>-11080252742</v>
      </c>
      <c r="U443" s="86">
        <v>-8912739695</v>
      </c>
      <c r="V443" s="86">
        <v>-9415365304</v>
      </c>
      <c r="W443" s="86">
        <v>5320179172</v>
      </c>
      <c r="X443" s="86">
        <v>12511626549</v>
      </c>
      <c r="Y443" s="86">
        <v>168553049679</v>
      </c>
      <c r="Z443" s="86">
        <v>149818316994</v>
      </c>
      <c r="AA443" s="86">
        <v>99259722036</v>
      </c>
      <c r="AB443" s="86">
        <v>-35360075946</v>
      </c>
      <c r="AC443" s="86">
        <v>11589767931</v>
      </c>
      <c r="AD443" s="86">
        <v>32973991865</v>
      </c>
      <c r="AE443" s="86">
        <v>-327870775</v>
      </c>
      <c r="AF443" s="86">
        <v>-46397361891</v>
      </c>
      <c r="AG443" s="86">
        <v>-22511004589</v>
      </c>
      <c r="AH443" s="86">
        <v>-67805076574</v>
      </c>
    </row>
    <row r="444" spans="2:34">
      <c r="B444" s="1280"/>
      <c r="C444" s="1280" t="s">
        <v>2275</v>
      </c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>
        <v>0</v>
      </c>
      <c r="AC444" s="86">
        <v>0</v>
      </c>
      <c r="AD444" s="86">
        <v>312468100</v>
      </c>
      <c r="AE444" s="86">
        <v>3289766100</v>
      </c>
      <c r="AF444" s="86">
        <v>0</v>
      </c>
      <c r="AG444" s="86">
        <v>0</v>
      </c>
      <c r="AH444" s="86">
        <v>0</v>
      </c>
    </row>
    <row r="445" spans="2:34">
      <c r="B445" s="44" t="s">
        <v>1261</v>
      </c>
      <c r="C445" s="44" t="s">
        <v>2276</v>
      </c>
      <c r="D445" s="86">
        <v>0</v>
      </c>
      <c r="E445" s="86">
        <v>0</v>
      </c>
      <c r="F445" s="86"/>
      <c r="G445" s="86">
        <v>0</v>
      </c>
      <c r="H445" s="86">
        <v>0</v>
      </c>
      <c r="I445" s="86">
        <v>0</v>
      </c>
      <c r="J445" s="86">
        <v>0</v>
      </c>
      <c r="K445" s="86">
        <v>0</v>
      </c>
      <c r="L445" s="86">
        <v>0</v>
      </c>
      <c r="M445" s="86">
        <v>0</v>
      </c>
      <c r="N445" s="86">
        <v>0</v>
      </c>
      <c r="O445" s="86">
        <v>0</v>
      </c>
      <c r="P445" s="86">
        <v>0</v>
      </c>
      <c r="Q445" s="86">
        <v>0</v>
      </c>
      <c r="R445" s="86">
        <v>0</v>
      </c>
      <c r="S445" s="86">
        <v>0</v>
      </c>
      <c r="T445" s="86">
        <v>0</v>
      </c>
      <c r="U445" s="86">
        <v>0</v>
      </c>
      <c r="V445" s="86">
        <v>0</v>
      </c>
      <c r="W445" s="86">
        <v>0</v>
      </c>
      <c r="X445" s="86">
        <v>0</v>
      </c>
      <c r="Y445" s="86">
        <v>0</v>
      </c>
      <c r="Z445" s="86">
        <v>0</v>
      </c>
      <c r="AA445" s="86">
        <v>0</v>
      </c>
      <c r="AB445" s="86">
        <v>0</v>
      </c>
      <c r="AC445" s="86">
        <v>0</v>
      </c>
      <c r="AD445" s="86">
        <v>0</v>
      </c>
      <c r="AE445" s="86">
        <v>0</v>
      </c>
      <c r="AF445" s="86">
        <v>0</v>
      </c>
      <c r="AG445" s="86">
        <v>0</v>
      </c>
      <c r="AH445" s="86">
        <v>0</v>
      </c>
    </row>
    <row r="446" spans="2:34">
      <c r="B446" s="44" t="s">
        <v>1262</v>
      </c>
      <c r="C446" s="44" t="s">
        <v>2277</v>
      </c>
      <c r="D446" s="86">
        <v>0</v>
      </c>
      <c r="E446" s="86">
        <v>0</v>
      </c>
      <c r="F446" s="86"/>
      <c r="G446" s="86">
        <v>0</v>
      </c>
      <c r="H446" s="86">
        <v>0</v>
      </c>
      <c r="I446" s="86">
        <v>0</v>
      </c>
      <c r="J446" s="86">
        <v>0</v>
      </c>
      <c r="K446" s="86">
        <v>0</v>
      </c>
      <c r="L446" s="86">
        <v>0</v>
      </c>
      <c r="M446" s="86">
        <v>0</v>
      </c>
      <c r="N446" s="86">
        <v>0</v>
      </c>
      <c r="O446" s="86">
        <v>0</v>
      </c>
      <c r="P446" s="86">
        <v>0</v>
      </c>
      <c r="Q446" s="86">
        <v>0</v>
      </c>
      <c r="R446" s="86">
        <v>0</v>
      </c>
      <c r="S446" s="86">
        <v>0</v>
      </c>
      <c r="T446" s="86">
        <v>0</v>
      </c>
      <c r="U446" s="86">
        <v>0</v>
      </c>
      <c r="V446" s="86">
        <v>0</v>
      </c>
      <c r="W446" s="86">
        <v>0</v>
      </c>
      <c r="X446" s="86">
        <v>0</v>
      </c>
      <c r="Y446" s="86">
        <v>0</v>
      </c>
      <c r="Z446" s="86">
        <v>0</v>
      </c>
      <c r="AA446" s="86">
        <v>0</v>
      </c>
      <c r="AB446" s="86">
        <v>0</v>
      </c>
      <c r="AC446" s="86">
        <v>0</v>
      </c>
      <c r="AD446" s="86">
        <v>0</v>
      </c>
      <c r="AE446" s="86">
        <v>0</v>
      </c>
      <c r="AF446" s="86">
        <v>0</v>
      </c>
      <c r="AG446" s="86">
        <v>0</v>
      </c>
      <c r="AH446" s="86">
        <v>0</v>
      </c>
    </row>
    <row r="447" spans="2:34">
      <c r="B447" s="44" t="s">
        <v>1263</v>
      </c>
      <c r="C447" s="44" t="s">
        <v>2307</v>
      </c>
      <c r="D447" s="86">
        <v>0</v>
      </c>
      <c r="E447" s="86">
        <v>0</v>
      </c>
      <c r="F447" s="86"/>
      <c r="G447" s="86">
        <v>0</v>
      </c>
      <c r="H447" s="86">
        <v>0</v>
      </c>
      <c r="I447" s="86">
        <v>0</v>
      </c>
      <c r="J447" s="86">
        <v>0</v>
      </c>
      <c r="K447" s="86">
        <v>0</v>
      </c>
      <c r="L447" s="86">
        <v>0</v>
      </c>
      <c r="M447" s="86">
        <v>0</v>
      </c>
      <c r="N447" s="86">
        <v>0</v>
      </c>
      <c r="O447" s="86">
        <v>0</v>
      </c>
      <c r="P447" s="86">
        <v>0</v>
      </c>
      <c r="Q447" s="86">
        <v>0</v>
      </c>
      <c r="R447" s="86">
        <v>0</v>
      </c>
      <c r="S447" s="86">
        <v>0</v>
      </c>
      <c r="T447" s="86">
        <v>0</v>
      </c>
      <c r="U447" s="86">
        <v>0</v>
      </c>
      <c r="V447" s="86">
        <v>0</v>
      </c>
      <c r="W447" s="86">
        <v>0</v>
      </c>
      <c r="X447" s="86">
        <v>0</v>
      </c>
      <c r="Y447" s="86">
        <v>0</v>
      </c>
      <c r="Z447" s="86">
        <v>0</v>
      </c>
      <c r="AA447" s="86">
        <v>0</v>
      </c>
      <c r="AB447" s="86">
        <v>0</v>
      </c>
      <c r="AC447" s="86">
        <v>0</v>
      </c>
      <c r="AD447" s="86">
        <v>0</v>
      </c>
      <c r="AE447" s="86">
        <v>0</v>
      </c>
      <c r="AF447" s="86">
        <v>0</v>
      </c>
      <c r="AG447" s="86">
        <v>0</v>
      </c>
      <c r="AH447" s="86">
        <v>0</v>
      </c>
    </row>
    <row r="448" spans="2:34">
      <c r="B448" s="44" t="s">
        <v>1342</v>
      </c>
      <c r="C448" s="44" t="s">
        <v>2308</v>
      </c>
      <c r="D448" s="86">
        <v>0</v>
      </c>
      <c r="E448" s="86">
        <v>0</v>
      </c>
      <c r="F448" s="86"/>
      <c r="G448" s="86">
        <v>0</v>
      </c>
      <c r="H448" s="86">
        <v>0</v>
      </c>
      <c r="I448" s="86">
        <v>0</v>
      </c>
      <c r="J448" s="86">
        <v>0</v>
      </c>
      <c r="K448" s="86">
        <v>0</v>
      </c>
      <c r="L448" s="86">
        <v>0</v>
      </c>
      <c r="M448" s="86">
        <v>0</v>
      </c>
      <c r="N448" s="86">
        <v>0</v>
      </c>
      <c r="O448" s="86">
        <v>0</v>
      </c>
      <c r="P448" s="86">
        <v>0</v>
      </c>
      <c r="Q448" s="86">
        <v>0</v>
      </c>
      <c r="R448" s="86">
        <v>0</v>
      </c>
      <c r="S448" s="86">
        <v>0</v>
      </c>
      <c r="T448" s="86">
        <v>0</v>
      </c>
      <c r="U448" s="86">
        <v>0</v>
      </c>
      <c r="V448" s="86">
        <v>0</v>
      </c>
      <c r="W448" s="86">
        <v>0</v>
      </c>
      <c r="X448" s="86">
        <v>0</v>
      </c>
      <c r="Y448" s="86">
        <v>0</v>
      </c>
      <c r="Z448" s="86">
        <v>0</v>
      </c>
      <c r="AA448" s="86">
        <v>0</v>
      </c>
      <c r="AB448" s="86">
        <v>0</v>
      </c>
      <c r="AC448" s="86">
        <v>0</v>
      </c>
      <c r="AD448" s="86">
        <v>0</v>
      </c>
      <c r="AE448" s="86">
        <v>0</v>
      </c>
      <c r="AF448" s="86">
        <v>0</v>
      </c>
      <c r="AG448" s="86">
        <v>0</v>
      </c>
      <c r="AH448" s="86">
        <v>0</v>
      </c>
    </row>
    <row r="449" spans="2:34">
      <c r="B449" s="44" t="s">
        <v>1264</v>
      </c>
      <c r="C449" s="44" t="s">
        <v>2280</v>
      </c>
      <c r="D449" s="86">
        <v>0</v>
      </c>
      <c r="E449" s="86">
        <v>0</v>
      </c>
      <c r="F449" s="86"/>
      <c r="G449" s="86">
        <v>0</v>
      </c>
      <c r="H449" s="86">
        <v>0</v>
      </c>
      <c r="I449" s="86">
        <v>0</v>
      </c>
      <c r="J449" s="86">
        <v>0</v>
      </c>
      <c r="K449" s="86">
        <v>0</v>
      </c>
      <c r="L449" s="86">
        <v>0</v>
      </c>
      <c r="M449" s="86">
        <v>0</v>
      </c>
      <c r="N449" s="86">
        <v>0</v>
      </c>
      <c r="O449" s="86">
        <v>0</v>
      </c>
      <c r="P449" s="86">
        <v>0</v>
      </c>
      <c r="Q449" s="86">
        <v>0</v>
      </c>
      <c r="R449" s="86">
        <v>0</v>
      </c>
      <c r="S449" s="86">
        <v>0</v>
      </c>
      <c r="T449" s="86">
        <v>0</v>
      </c>
      <c r="U449" s="86">
        <v>0</v>
      </c>
      <c r="V449" s="86">
        <v>0</v>
      </c>
      <c r="W449" s="86">
        <v>0</v>
      </c>
      <c r="X449" s="86">
        <v>0</v>
      </c>
      <c r="Y449" s="86">
        <v>0</v>
      </c>
      <c r="Z449" s="86">
        <v>0</v>
      </c>
      <c r="AA449" s="86">
        <v>0</v>
      </c>
      <c r="AB449" s="86">
        <v>0</v>
      </c>
      <c r="AC449" s="86">
        <v>0</v>
      </c>
      <c r="AD449" s="86">
        <v>0</v>
      </c>
      <c r="AE449" s="86">
        <v>0</v>
      </c>
      <c r="AF449" s="86">
        <v>0</v>
      </c>
      <c r="AG449" s="86">
        <v>0</v>
      </c>
      <c r="AH449" s="86">
        <v>0</v>
      </c>
    </row>
    <row r="450" spans="2:34">
      <c r="B450" s="44" t="s">
        <v>1265</v>
      </c>
      <c r="C450" s="44" t="s">
        <v>2281</v>
      </c>
      <c r="D450" s="86">
        <v>0</v>
      </c>
      <c r="E450" s="86">
        <v>0</v>
      </c>
      <c r="F450" s="86"/>
      <c r="G450" s="86">
        <v>0</v>
      </c>
      <c r="H450" s="86">
        <v>0</v>
      </c>
      <c r="I450" s="86">
        <v>-778885495</v>
      </c>
      <c r="J450" s="86">
        <v>-896519200</v>
      </c>
      <c r="K450" s="86">
        <v>4664168321</v>
      </c>
      <c r="L450" s="86">
        <v>-180252902</v>
      </c>
      <c r="M450" s="86">
        <v>-116422703</v>
      </c>
      <c r="N450" s="86">
        <v>-75129684</v>
      </c>
      <c r="O450" s="86">
        <v>-2417585497</v>
      </c>
      <c r="P450" s="86">
        <v>195256988</v>
      </c>
      <c r="Q450" s="86">
        <v>-204720482</v>
      </c>
      <c r="R450" s="86">
        <v>-149920417</v>
      </c>
      <c r="S450" s="86">
        <v>3011961252</v>
      </c>
      <c r="T450" s="86">
        <v>20956297</v>
      </c>
      <c r="U450" s="86">
        <v>72818134</v>
      </c>
      <c r="V450" s="86">
        <v>-138716251</v>
      </c>
      <c r="W450" s="86">
        <v>427351344</v>
      </c>
      <c r="X450" s="86">
        <v>-314614184</v>
      </c>
      <c r="Y450" s="86">
        <v>-565388856</v>
      </c>
      <c r="Z450" s="86">
        <v>-888774514</v>
      </c>
      <c r="AA450" s="86">
        <v>1065270289</v>
      </c>
      <c r="AB450" s="86">
        <v>-274245607</v>
      </c>
      <c r="AC450" s="86">
        <v>-722514525</v>
      </c>
      <c r="AD450" s="86">
        <v>-1002283850</v>
      </c>
      <c r="AE450" s="86">
        <v>-2912122126</v>
      </c>
      <c r="AF450" s="86">
        <v>-6092480046</v>
      </c>
      <c r="AG450" s="86">
        <v>-3002933678</v>
      </c>
      <c r="AH450" s="86">
        <v>-2632656621</v>
      </c>
    </row>
    <row r="451" spans="2:34">
      <c r="B451" s="44" t="s">
        <v>1266</v>
      </c>
      <c r="C451" s="44" t="s">
        <v>2309</v>
      </c>
      <c r="D451" s="86">
        <v>2290279445</v>
      </c>
      <c r="E451" s="86">
        <v>-4433464865</v>
      </c>
      <c r="F451" s="86"/>
      <c r="G451" s="86">
        <v>-11355753626</v>
      </c>
      <c r="H451" s="86">
        <v>-2248231083</v>
      </c>
      <c r="I451" s="86">
        <v>-7444254616</v>
      </c>
      <c r="J451" s="86">
        <v>-7508524261</v>
      </c>
      <c r="K451" s="86">
        <v>-2241402707</v>
      </c>
      <c r="L451" s="86">
        <v>-4196958006</v>
      </c>
      <c r="M451" s="86">
        <v>-10977441060</v>
      </c>
      <c r="N451" s="86">
        <v>-7882266633</v>
      </c>
      <c r="O451" s="86">
        <v>-16774489389</v>
      </c>
      <c r="P451" s="86">
        <v>4389200455</v>
      </c>
      <c r="Q451" s="86">
        <v>6776208099</v>
      </c>
      <c r="R451" s="86">
        <v>6002231190</v>
      </c>
      <c r="S451" s="86">
        <v>2738076697</v>
      </c>
      <c r="T451" s="86">
        <v>-2676349740</v>
      </c>
      <c r="U451" s="86">
        <v>-2139261018</v>
      </c>
      <c r="V451" s="86">
        <v>-2312087738</v>
      </c>
      <c r="W451" s="86">
        <v>1390902383</v>
      </c>
      <c r="X451" s="86">
        <v>2951676995</v>
      </c>
      <c r="Y451" s="86">
        <v>40653013920</v>
      </c>
      <c r="Z451" s="86">
        <v>36040949283</v>
      </c>
      <c r="AA451" s="86">
        <v>33267275838</v>
      </c>
      <c r="AB451" s="86">
        <v>-9799438427</v>
      </c>
      <c r="AC451" s="86">
        <v>2988494685</v>
      </c>
      <c r="AD451" s="86">
        <v>8878148429</v>
      </c>
      <c r="AE451" s="86">
        <v>13687627</v>
      </c>
      <c r="AF451" s="86">
        <v>-14434706533</v>
      </c>
      <c r="AG451" s="86">
        <v>-7016333021</v>
      </c>
      <c r="AH451" s="86">
        <v>-19370376625</v>
      </c>
    </row>
    <row r="452" spans="2:34">
      <c r="B452" s="39" t="s">
        <v>1267</v>
      </c>
      <c r="C452" s="39" t="s">
        <v>1267</v>
      </c>
      <c r="D452" s="88">
        <v>197948526296</v>
      </c>
      <c r="E452" s="88">
        <v>4661014312</v>
      </c>
      <c r="F452" s="88"/>
      <c r="G452" s="88">
        <v>67914647471</v>
      </c>
      <c r="H452" s="88">
        <v>151980332980</v>
      </c>
      <c r="I452" s="88">
        <v>26748394599</v>
      </c>
      <c r="J452" s="88">
        <v>42246599331</v>
      </c>
      <c r="K452" s="88">
        <v>68517636633</v>
      </c>
      <c r="L452" s="88">
        <v>26572397704</v>
      </c>
      <c r="M452" s="88">
        <v>74882932311</v>
      </c>
      <c r="N452" s="88">
        <v>150059381015</v>
      </c>
      <c r="O452" s="88">
        <v>167551201757</v>
      </c>
      <c r="P452" s="88">
        <v>124223626326</v>
      </c>
      <c r="Q452" s="88">
        <v>227875845844</v>
      </c>
      <c r="R452" s="88">
        <v>272437901549</v>
      </c>
      <c r="S452" s="88">
        <v>264637253480</v>
      </c>
      <c r="T452" s="88">
        <v>76617076820</v>
      </c>
      <c r="U452" s="88">
        <v>126232292077</v>
      </c>
      <c r="V452" s="88">
        <v>167636934512</v>
      </c>
      <c r="W452" s="88">
        <v>248073927911</v>
      </c>
      <c r="X452" s="88">
        <v>152474240121</v>
      </c>
      <c r="Y452" s="88">
        <v>392533519445</v>
      </c>
      <c r="Z452" s="88">
        <v>488323757376</v>
      </c>
      <c r="AA452" s="88">
        <v>539337675177</v>
      </c>
      <c r="AB452" s="88">
        <v>138537004816</v>
      </c>
      <c r="AC452" s="88">
        <v>303395031916</v>
      </c>
      <c r="AD452" s="88">
        <v>436934258666</v>
      </c>
      <c r="AE452" s="88">
        <v>503546127519</v>
      </c>
      <c r="AF452" s="88">
        <v>197977312533</v>
      </c>
      <c r="AG452" s="88">
        <v>392673876476</v>
      </c>
      <c r="AH452" s="88">
        <v>474089500116</v>
      </c>
    </row>
    <row r="453" spans="2:34">
      <c r="B453" s="46"/>
      <c r="C453" s="46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  <c r="AD453" s="81"/>
      <c r="AE453" s="81"/>
      <c r="AF453" s="81"/>
      <c r="AG453" s="81"/>
      <c r="AH453" s="81"/>
    </row>
    <row r="454" spans="2:34">
      <c r="B454" s="47" t="s">
        <v>214</v>
      </c>
      <c r="C454" s="47" t="s">
        <v>214</v>
      </c>
      <c r="D454" s="82">
        <v>268849</v>
      </c>
      <c r="E454" s="82">
        <v>25582</v>
      </c>
      <c r="F454" s="82"/>
      <c r="G454" s="82">
        <v>132094</v>
      </c>
      <c r="H454" s="82">
        <v>209500</v>
      </c>
      <c r="I454" s="82">
        <v>44764</v>
      </c>
      <c r="J454" s="82">
        <v>76263</v>
      </c>
      <c r="K454" s="82">
        <v>91639.87</v>
      </c>
      <c r="L454" s="82">
        <v>49893.442999999999</v>
      </c>
      <c r="M454" s="82">
        <v>132034.78599999999</v>
      </c>
      <c r="N454" s="82">
        <v>218247.18299999999</v>
      </c>
      <c r="O454" s="82">
        <v>296319.67</v>
      </c>
      <c r="P454" s="82">
        <v>132316.1</v>
      </c>
      <c r="Q454" s="82">
        <v>256255.709</v>
      </c>
      <c r="R454" s="82">
        <v>315657</v>
      </c>
      <c r="S454" s="82">
        <v>314443</v>
      </c>
      <c r="T454" s="82">
        <v>89810</v>
      </c>
      <c r="U454" s="82">
        <v>154204</v>
      </c>
      <c r="V454" s="82">
        <v>210717</v>
      </c>
      <c r="W454" s="82">
        <v>299810</v>
      </c>
      <c r="X454" s="82">
        <v>175322</v>
      </c>
      <c r="Y454" s="82">
        <v>338938</v>
      </c>
      <c r="Z454" s="82">
        <v>481576</v>
      </c>
      <c r="AA454" s="82">
        <v>603456</v>
      </c>
      <c r="AB454" s="82">
        <f>Data!AA18*100</f>
        <v>210707.00000000003</v>
      </c>
      <c r="AC454" s="1312">
        <f>Data!AB18*100</f>
        <v>380063</v>
      </c>
      <c r="AD454" s="1312">
        <f>Data!AC18*100</f>
        <v>541429</v>
      </c>
      <c r="AE454" s="1312">
        <f>Data!AD18*100</f>
        <v>670645</v>
      </c>
      <c r="AF454" s="1312">
        <f>Data!AE18*100</f>
        <v>308198</v>
      </c>
      <c r="AG454" s="1312">
        <f>Data!AF18*100</f>
        <v>548462</v>
      </c>
      <c r="AH454" s="1312">
        <f>Data!AG18*100</f>
        <v>704672</v>
      </c>
    </row>
    <row r="455" spans="2:34">
      <c r="B455" s="47" t="s">
        <v>1343</v>
      </c>
      <c r="C455" s="47" t="s">
        <v>1343</v>
      </c>
      <c r="D455" s="82">
        <v>214620</v>
      </c>
      <c r="E455" s="82">
        <v>18548</v>
      </c>
      <c r="F455" s="82"/>
      <c r="G455" s="82">
        <v>103483</v>
      </c>
      <c r="H455" s="82">
        <v>159022</v>
      </c>
      <c r="I455" s="82">
        <v>50066</v>
      </c>
      <c r="J455" s="82">
        <v>65765</v>
      </c>
      <c r="K455" s="82">
        <v>75538.228000000003</v>
      </c>
      <c r="L455" s="82">
        <v>39718.241000000002</v>
      </c>
      <c r="M455" s="82">
        <v>109266.817</v>
      </c>
      <c r="N455" s="82">
        <v>174748.46400000001</v>
      </c>
      <c r="O455" s="82">
        <v>220092.78400000001</v>
      </c>
      <c r="P455" s="82">
        <v>110475.63400000001</v>
      </c>
      <c r="Q455" s="82">
        <v>206651.19399999999</v>
      </c>
      <c r="R455" s="82">
        <v>253638</v>
      </c>
      <c r="S455" s="82">
        <v>256061</v>
      </c>
      <c r="T455" s="82">
        <v>85000</v>
      </c>
      <c r="U455" s="82">
        <v>132933</v>
      </c>
      <c r="V455" s="82">
        <v>174879</v>
      </c>
      <c r="W455" s="82">
        <v>243717</v>
      </c>
      <c r="X455" s="82">
        <v>143229</v>
      </c>
      <c r="Y455" s="82">
        <v>265199</v>
      </c>
      <c r="Z455" s="82">
        <v>375435</v>
      </c>
      <c r="AA455" s="82">
        <v>472280</v>
      </c>
      <c r="AB455" s="82">
        <f>Data!AA21*100</f>
        <v>164372</v>
      </c>
      <c r="AC455" s="1312">
        <f>Data!AB21*100</f>
        <v>295516</v>
      </c>
      <c r="AD455" s="1312">
        <f>Data!AC21*100</f>
        <v>413528</v>
      </c>
      <c r="AE455" s="1312">
        <f>Data!AD21*100</f>
        <v>503510.00000000006</v>
      </c>
      <c r="AF455" s="1312">
        <f>Data!AE21*100</f>
        <v>236032.00000000003</v>
      </c>
      <c r="AG455" s="1312">
        <f>Data!AF21*100</f>
        <v>411171</v>
      </c>
      <c r="AH455" s="1312">
        <f>Data!AG21*100</f>
        <v>525157</v>
      </c>
    </row>
    <row r="456" spans="2:34">
      <c r="B456" s="47" t="s">
        <v>1344</v>
      </c>
      <c r="C456" s="47" t="s">
        <v>1344</v>
      </c>
      <c r="D456" s="82">
        <v>197949</v>
      </c>
      <c r="E456" s="82">
        <v>4661</v>
      </c>
      <c r="F456" s="82"/>
      <c r="G456" s="82">
        <v>67915</v>
      </c>
      <c r="H456" s="82">
        <v>151980</v>
      </c>
      <c r="I456" s="82">
        <v>26748</v>
      </c>
      <c r="J456" s="82">
        <v>42247</v>
      </c>
      <c r="K456" s="82">
        <v>68517.635999999999</v>
      </c>
      <c r="L456" s="82">
        <v>26572.397000000001</v>
      </c>
      <c r="M456" s="82">
        <v>74882.932000000001</v>
      </c>
      <c r="N456" s="82">
        <v>150059.38099999999</v>
      </c>
      <c r="O456" s="82">
        <v>167551.201</v>
      </c>
      <c r="P456" s="82">
        <v>124223.626</v>
      </c>
      <c r="Q456" s="82">
        <v>227875.845</v>
      </c>
      <c r="R456" s="82">
        <v>272438</v>
      </c>
      <c r="S456" s="82">
        <v>264637</v>
      </c>
      <c r="T456" s="82">
        <v>76617</v>
      </c>
      <c r="U456" s="82">
        <v>126232</v>
      </c>
      <c r="V456" s="82">
        <v>167637</v>
      </c>
      <c r="W456" s="82">
        <v>248073</v>
      </c>
      <c r="X456" s="82">
        <v>152474</v>
      </c>
      <c r="Y456" s="82">
        <v>392534</v>
      </c>
      <c r="Z456" s="82">
        <v>488324</v>
      </c>
      <c r="AA456" s="82">
        <v>539338</v>
      </c>
      <c r="AB456" s="82">
        <f>Data!AA23*100</f>
        <v>138537</v>
      </c>
      <c r="AC456" s="1312">
        <f>Data!AB23*100</f>
        <v>303395</v>
      </c>
      <c r="AD456" s="1312">
        <f>Data!AC23*100</f>
        <v>436934</v>
      </c>
      <c r="AE456" s="1312">
        <f>Data!AD23*100</f>
        <v>503546</v>
      </c>
      <c r="AF456" s="1312">
        <f>Data!AE23*100</f>
        <v>197977</v>
      </c>
      <c r="AG456" s="1312">
        <f>Data!AF23*100</f>
        <v>392674</v>
      </c>
      <c r="AH456" s="1312">
        <f>Data!AG23*100</f>
        <v>474089.99999999994</v>
      </c>
    </row>
    <row r="457" spans="2:34">
      <c r="B457" s="46"/>
      <c r="C457" s="46"/>
      <c r="D457" s="32"/>
      <c r="E457" s="32"/>
      <c r="F457" s="32"/>
      <c r="G457" s="32"/>
      <c r="H457" s="32"/>
      <c r="I457" s="78"/>
      <c r="J457" s="32"/>
      <c r="K457" s="32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</row>
    <row r="458" spans="2:34">
      <c r="B458" s="39" t="s">
        <v>176</v>
      </c>
      <c r="C458" s="39" t="s">
        <v>176</v>
      </c>
      <c r="D458" s="30">
        <f t="shared" ref="D458:AA458" si="56">D17-SUM(D18,D73,D127,D142,D167,D172,D175,D201)</f>
        <v>0</v>
      </c>
      <c r="E458" s="30">
        <f t="shared" si="56"/>
        <v>0</v>
      </c>
      <c r="F458" s="30">
        <f t="shared" si="56"/>
        <v>0</v>
      </c>
      <c r="G458" s="30">
        <f t="shared" si="56"/>
        <v>0</v>
      </c>
      <c r="H458" s="30">
        <f t="shared" si="56"/>
        <v>0</v>
      </c>
      <c r="I458" s="76">
        <f t="shared" si="56"/>
        <v>0</v>
      </c>
      <c r="J458" s="30">
        <f t="shared" si="56"/>
        <v>0</v>
      </c>
      <c r="K458" s="30">
        <f t="shared" si="56"/>
        <v>0</v>
      </c>
      <c r="L458" s="76">
        <f t="shared" si="56"/>
        <v>0</v>
      </c>
      <c r="M458" s="76">
        <f t="shared" si="56"/>
        <v>0</v>
      </c>
      <c r="N458" s="76">
        <f t="shared" si="56"/>
        <v>0</v>
      </c>
      <c r="O458" s="76">
        <f t="shared" si="56"/>
        <v>0</v>
      </c>
      <c r="P458" s="76">
        <f t="shared" si="56"/>
        <v>0</v>
      </c>
      <c r="Q458" s="76">
        <f t="shared" si="56"/>
        <v>0</v>
      </c>
      <c r="R458" s="76">
        <f t="shared" si="56"/>
        <v>0</v>
      </c>
      <c r="S458" s="76">
        <f t="shared" si="56"/>
        <v>0</v>
      </c>
      <c r="T458" s="76">
        <f t="shared" si="56"/>
        <v>0</v>
      </c>
      <c r="U458" s="76">
        <f t="shared" si="56"/>
        <v>0</v>
      </c>
      <c r="V458" s="76">
        <f t="shared" si="56"/>
        <v>0</v>
      </c>
      <c r="W458" s="76">
        <f t="shared" si="56"/>
        <v>0</v>
      </c>
      <c r="X458" s="76">
        <f t="shared" si="56"/>
        <v>0</v>
      </c>
      <c r="Y458" s="76">
        <f t="shared" si="56"/>
        <v>0</v>
      </c>
      <c r="Z458" s="76">
        <f t="shared" si="56"/>
        <v>0</v>
      </c>
      <c r="AA458" s="76">
        <f t="shared" si="56"/>
        <v>0</v>
      </c>
      <c r="AB458" s="76">
        <f t="shared" ref="AB458:AC458" si="57">AB17-SUM(AB18,AB73,AB127,AB142,AB167,AB172,AB175,AB201)</f>
        <v>0</v>
      </c>
      <c r="AC458" s="76">
        <f t="shared" si="57"/>
        <v>0</v>
      </c>
      <c r="AD458" s="76">
        <f t="shared" ref="AD458:AE458" si="58">AD17-SUM(AD18,AD73,AD127,AD142,AD167,AD172,AD175,AD201)</f>
        <v>0</v>
      </c>
      <c r="AE458" s="76">
        <f t="shared" si="58"/>
        <v>0</v>
      </c>
      <c r="AF458" s="76">
        <f t="shared" ref="AF458:AG458" si="59">AF17-SUM(AF18,AF73,AF127,AF142,AF167,AF172,AF175,AF201)</f>
        <v>0</v>
      </c>
      <c r="AG458" s="76">
        <f t="shared" si="59"/>
        <v>0</v>
      </c>
      <c r="AH458" s="76">
        <f t="shared" ref="AH458" si="60">AH17-SUM(AH18,AH73,AH127,AH142,AH167,AH172,AH175,AH201)</f>
        <v>0</v>
      </c>
    </row>
    <row r="459" spans="2:34">
      <c r="B459" s="40" t="s">
        <v>177</v>
      </c>
      <c r="C459" s="40" t="s">
        <v>177</v>
      </c>
      <c r="D459" s="31">
        <f t="shared" ref="D459:AA459" si="61">D18-SUM(D19,D28,D31,D32,D35,D39,D43,D44,D49,D53,D65,D70,D71,D72)</f>
        <v>0</v>
      </c>
      <c r="E459" s="31">
        <f t="shared" si="61"/>
        <v>0</v>
      </c>
      <c r="F459" s="31">
        <f t="shared" si="61"/>
        <v>0</v>
      </c>
      <c r="G459" s="31">
        <f t="shared" si="61"/>
        <v>0</v>
      </c>
      <c r="H459" s="31">
        <f t="shared" si="61"/>
        <v>0</v>
      </c>
      <c r="I459" s="77">
        <f t="shared" si="61"/>
        <v>0</v>
      </c>
      <c r="J459" s="31">
        <f t="shared" si="61"/>
        <v>0</v>
      </c>
      <c r="K459" s="31">
        <f t="shared" si="61"/>
        <v>0</v>
      </c>
      <c r="L459" s="77">
        <f t="shared" si="61"/>
        <v>0</v>
      </c>
      <c r="M459" s="77">
        <f t="shared" si="61"/>
        <v>0</v>
      </c>
      <c r="N459" s="77">
        <f t="shared" si="61"/>
        <v>0</v>
      </c>
      <c r="O459" s="77">
        <f t="shared" si="61"/>
        <v>0</v>
      </c>
      <c r="P459" s="77">
        <f t="shared" si="61"/>
        <v>0</v>
      </c>
      <c r="Q459" s="77">
        <f t="shared" si="61"/>
        <v>0</v>
      </c>
      <c r="R459" s="77">
        <f t="shared" si="61"/>
        <v>0</v>
      </c>
      <c r="S459" s="77">
        <f t="shared" si="61"/>
        <v>0</v>
      </c>
      <c r="T459" s="77">
        <f t="shared" si="61"/>
        <v>0</v>
      </c>
      <c r="U459" s="77">
        <f t="shared" si="61"/>
        <v>0</v>
      </c>
      <c r="V459" s="77">
        <f t="shared" si="61"/>
        <v>0</v>
      </c>
      <c r="W459" s="77">
        <f t="shared" si="61"/>
        <v>0</v>
      </c>
      <c r="X459" s="77">
        <f t="shared" si="61"/>
        <v>0</v>
      </c>
      <c r="Y459" s="77">
        <f t="shared" si="61"/>
        <v>0</v>
      </c>
      <c r="Z459" s="77">
        <f t="shared" si="61"/>
        <v>0</v>
      </c>
      <c r="AA459" s="77">
        <f t="shared" si="61"/>
        <v>0</v>
      </c>
      <c r="AB459" s="77">
        <f t="shared" ref="AB459:AC459" si="62">AB18-SUM(AB19,AB28,AB31,AB32,AB35,AB39,AB43,AB44,AB49,AB53,AB65,AB70,AB71,AB72)</f>
        <v>0</v>
      </c>
      <c r="AC459" s="77">
        <f t="shared" si="62"/>
        <v>0</v>
      </c>
      <c r="AD459" s="77">
        <f t="shared" ref="AD459:AE459" si="63">AD18-SUM(AD19,AD28,AD31,AD32,AD35,AD39,AD43,AD44,AD49,AD53,AD65,AD70,AD71,AD72)</f>
        <v>0</v>
      </c>
      <c r="AE459" s="77">
        <f t="shared" si="63"/>
        <v>0</v>
      </c>
      <c r="AF459" s="77">
        <f t="shared" ref="AF459:AG459" si="64">AF18-SUM(AF19,AF28,AF31,AF32,AF35,AF39,AF43,AF44,AF49,AF53,AF65,AF70,AF71,AF72)</f>
        <v>0</v>
      </c>
      <c r="AG459" s="77">
        <f t="shared" si="64"/>
        <v>0</v>
      </c>
      <c r="AH459" s="77">
        <f t="shared" ref="AH459" si="65">AH18-SUM(AH19,AH28,AH31,AH32,AH35,AH39,AH43,AH44,AH49,AH53,AH65,AH70,AH71,AH72)</f>
        <v>0</v>
      </c>
    </row>
    <row r="460" spans="2:34">
      <c r="B460" s="40" t="s">
        <v>184</v>
      </c>
      <c r="C460" s="40" t="s">
        <v>184</v>
      </c>
      <c r="D460" s="31">
        <f t="shared" ref="D460:S460" si="66">D73-SUM(D74,D82,D89,D96,D100,D103,D107,D111,D115,D119,D123)</f>
        <v>0</v>
      </c>
      <c r="E460" s="31">
        <f t="shared" si="66"/>
        <v>0</v>
      </c>
      <c r="F460" s="31">
        <f t="shared" si="66"/>
        <v>0</v>
      </c>
      <c r="G460" s="31">
        <f t="shared" si="66"/>
        <v>0</v>
      </c>
      <c r="H460" s="31">
        <f t="shared" si="66"/>
        <v>0</v>
      </c>
      <c r="I460" s="77">
        <f t="shared" si="66"/>
        <v>0</v>
      </c>
      <c r="J460" s="31">
        <f t="shared" si="66"/>
        <v>0</v>
      </c>
      <c r="K460" s="31">
        <f t="shared" si="66"/>
        <v>0</v>
      </c>
      <c r="L460" s="77">
        <f t="shared" si="66"/>
        <v>0</v>
      </c>
      <c r="M460" s="77">
        <f t="shared" si="66"/>
        <v>0</v>
      </c>
      <c r="N460" s="77">
        <f t="shared" si="66"/>
        <v>0</v>
      </c>
      <c r="O460" s="77">
        <f t="shared" si="66"/>
        <v>0</v>
      </c>
      <c r="P460" s="77">
        <f t="shared" si="66"/>
        <v>0</v>
      </c>
      <c r="Q460" s="77">
        <f t="shared" si="66"/>
        <v>0</v>
      </c>
      <c r="R460" s="77">
        <f t="shared" si="66"/>
        <v>0</v>
      </c>
      <c r="S460" s="77">
        <f t="shared" si="66"/>
        <v>0</v>
      </c>
      <c r="T460" s="77">
        <f t="shared" ref="T460:U460" si="67">T73-SUM(T74,T82,T89,T96,T100,T103,T107,T111,T115,T119,T123)</f>
        <v>0</v>
      </c>
      <c r="U460" s="77">
        <f t="shared" si="67"/>
        <v>0</v>
      </c>
      <c r="V460" s="77">
        <f t="shared" ref="V460:W460" si="68">V73-SUM(V74,V82,V89,V96,V100,V103,V107,V111,V115,V119,V123)</f>
        <v>0</v>
      </c>
      <c r="W460" s="77">
        <f t="shared" si="68"/>
        <v>0</v>
      </c>
      <c r="X460" s="77">
        <f t="shared" ref="X460:AA460" si="69">X73-SUM(X74,X82,X89,X96,X100,X103,X107,X111,X115,X119,X123)</f>
        <v>0</v>
      </c>
      <c r="Y460" s="77">
        <f t="shared" si="69"/>
        <v>0</v>
      </c>
      <c r="Z460" s="77">
        <f t="shared" si="69"/>
        <v>0</v>
      </c>
      <c r="AA460" s="77">
        <f t="shared" si="69"/>
        <v>0</v>
      </c>
      <c r="AB460" s="77">
        <f t="shared" ref="AB460:AC460" si="70">AB73-SUM(AB74,AB82,AB89,AB96,AB100,AB103,AB107,AB111,AB115,AB119,AB123)</f>
        <v>0</v>
      </c>
      <c r="AC460" s="77">
        <f t="shared" si="70"/>
        <v>0</v>
      </c>
      <c r="AD460" s="77">
        <f t="shared" ref="AD460:AE460" si="71">AD73-SUM(AD74,AD82,AD89,AD96,AD100,AD103,AD107,AD111,AD115,AD119,AD123)</f>
        <v>0</v>
      </c>
      <c r="AE460" s="77">
        <f t="shared" si="71"/>
        <v>0</v>
      </c>
      <c r="AF460" s="77">
        <f t="shared" ref="AF460:AG460" si="72">AF73-SUM(AF74,AF82,AF89,AF96,AF100,AF103,AF107,AF111,AF115,AF119,AF123)</f>
        <v>0</v>
      </c>
      <c r="AG460" s="77">
        <f t="shared" si="72"/>
        <v>0</v>
      </c>
      <c r="AH460" s="77">
        <f t="shared" ref="AH460" si="73">AH73-SUM(AH74,AH82,AH89,AH96,AH100,AH103,AH107,AH111,AH115,AH119,AH123)</f>
        <v>0</v>
      </c>
    </row>
    <row r="461" spans="2:34">
      <c r="B461" s="40" t="s">
        <v>185</v>
      </c>
      <c r="C461" s="40" t="s">
        <v>185</v>
      </c>
      <c r="D461" s="31">
        <f t="shared" ref="D461:S461" si="74">D127-SUM(D128,D135)</f>
        <v>0</v>
      </c>
      <c r="E461" s="31">
        <f t="shared" si="74"/>
        <v>0</v>
      </c>
      <c r="F461" s="31">
        <f t="shared" si="74"/>
        <v>0</v>
      </c>
      <c r="G461" s="31">
        <f t="shared" si="74"/>
        <v>0</v>
      </c>
      <c r="H461" s="31">
        <f t="shared" si="74"/>
        <v>0</v>
      </c>
      <c r="I461" s="77">
        <f t="shared" si="74"/>
        <v>0</v>
      </c>
      <c r="J461" s="31">
        <f t="shared" si="74"/>
        <v>0</v>
      </c>
      <c r="K461" s="31">
        <f t="shared" si="74"/>
        <v>0</v>
      </c>
      <c r="L461" s="77">
        <f t="shared" si="74"/>
        <v>0</v>
      </c>
      <c r="M461" s="77">
        <f t="shared" si="74"/>
        <v>0</v>
      </c>
      <c r="N461" s="77">
        <f t="shared" si="74"/>
        <v>0</v>
      </c>
      <c r="O461" s="77">
        <f t="shared" si="74"/>
        <v>0</v>
      </c>
      <c r="P461" s="77">
        <f t="shared" si="74"/>
        <v>0</v>
      </c>
      <c r="Q461" s="77">
        <f t="shared" si="74"/>
        <v>0</v>
      </c>
      <c r="R461" s="77">
        <f t="shared" si="74"/>
        <v>0</v>
      </c>
      <c r="S461" s="77">
        <f t="shared" si="74"/>
        <v>0</v>
      </c>
      <c r="T461" s="77">
        <f t="shared" ref="T461:U461" si="75">T127-SUM(T128,T135)</f>
        <v>0</v>
      </c>
      <c r="U461" s="77">
        <f t="shared" si="75"/>
        <v>0</v>
      </c>
      <c r="V461" s="77">
        <f t="shared" ref="V461:W461" si="76">V127-SUM(V128,V135)</f>
        <v>0</v>
      </c>
      <c r="W461" s="77">
        <f t="shared" si="76"/>
        <v>0</v>
      </c>
      <c r="X461" s="77">
        <f t="shared" ref="X461:AA461" si="77">X127-SUM(X128,X135)</f>
        <v>0</v>
      </c>
      <c r="Y461" s="77">
        <f t="shared" si="77"/>
        <v>0</v>
      </c>
      <c r="Z461" s="77">
        <f t="shared" si="77"/>
        <v>0</v>
      </c>
      <c r="AA461" s="77">
        <f t="shared" si="77"/>
        <v>0</v>
      </c>
      <c r="AB461" s="77">
        <f t="shared" ref="AB461:AC461" si="78">AB127-SUM(AB128,AB135)</f>
        <v>0</v>
      </c>
      <c r="AC461" s="77">
        <f t="shared" si="78"/>
        <v>0</v>
      </c>
      <c r="AD461" s="77">
        <f t="shared" ref="AD461:AE461" si="79">AD127-SUM(AD128,AD135)</f>
        <v>0</v>
      </c>
      <c r="AE461" s="77">
        <f t="shared" si="79"/>
        <v>0</v>
      </c>
      <c r="AF461" s="77">
        <f t="shared" ref="AF461:AG461" si="80">AF127-SUM(AF128,AF135)</f>
        <v>0</v>
      </c>
      <c r="AG461" s="77">
        <f t="shared" si="80"/>
        <v>0</v>
      </c>
      <c r="AH461" s="77">
        <f t="shared" ref="AH461" si="81">AH127-SUM(AH128,AH135)</f>
        <v>0</v>
      </c>
    </row>
    <row r="462" spans="2:34">
      <c r="B462" s="40" t="s">
        <v>186</v>
      </c>
      <c r="C462" s="40" t="s">
        <v>186</v>
      </c>
      <c r="D462" s="31">
        <f t="shared" ref="D462:S462" si="82">D142-SUM(D143,D149,D150,D151,D152,D153,D154,D155,D156,D157,D158,D159,D160,D161,D162,D163,D164,D165,D166)</f>
        <v>0</v>
      </c>
      <c r="E462" s="31">
        <f t="shared" si="82"/>
        <v>0</v>
      </c>
      <c r="F462" s="31">
        <f t="shared" si="82"/>
        <v>0</v>
      </c>
      <c r="G462" s="31">
        <f t="shared" si="82"/>
        <v>0</v>
      </c>
      <c r="H462" s="31">
        <f t="shared" si="82"/>
        <v>0</v>
      </c>
      <c r="I462" s="77">
        <f t="shared" si="82"/>
        <v>0</v>
      </c>
      <c r="J462" s="31">
        <f t="shared" si="82"/>
        <v>0</v>
      </c>
      <c r="K462" s="31">
        <f t="shared" si="82"/>
        <v>0</v>
      </c>
      <c r="L462" s="77">
        <f t="shared" si="82"/>
        <v>0</v>
      </c>
      <c r="M462" s="77">
        <f t="shared" si="82"/>
        <v>0</v>
      </c>
      <c r="N462" s="77">
        <f t="shared" si="82"/>
        <v>0</v>
      </c>
      <c r="O462" s="77">
        <f t="shared" si="82"/>
        <v>0</v>
      </c>
      <c r="P462" s="77">
        <f t="shared" si="82"/>
        <v>0</v>
      </c>
      <c r="Q462" s="77">
        <f t="shared" si="82"/>
        <v>0</v>
      </c>
      <c r="R462" s="77">
        <f t="shared" si="82"/>
        <v>0</v>
      </c>
      <c r="S462" s="77">
        <f t="shared" si="82"/>
        <v>0</v>
      </c>
      <c r="T462" s="77">
        <f t="shared" ref="T462:U462" si="83">T142-SUM(T143,T149,T150,T151,T152,T153,T154,T155,T156,T157,T158,T159,T160,T161,T162,T163,T164,T165,T166)</f>
        <v>0</v>
      </c>
      <c r="U462" s="77">
        <f t="shared" si="83"/>
        <v>0</v>
      </c>
      <c r="V462" s="77">
        <f t="shared" ref="V462:W462" si="84">V142-SUM(V143,V149,V150,V151,V152,V153,V154,V155,V156,V157,V158,V159,V160,V161,V162,V163,V164,V165,V166)</f>
        <v>0</v>
      </c>
      <c r="W462" s="77">
        <f t="shared" si="84"/>
        <v>0</v>
      </c>
      <c r="X462" s="77">
        <f t="shared" ref="X462:AA462" si="85">X142-SUM(X143,X149,X150,X151,X152,X153,X154,X155,X156,X157,X158,X159,X160,X161,X162,X163,X164,X165,X166)</f>
        <v>0</v>
      </c>
      <c r="Y462" s="77">
        <f t="shared" si="85"/>
        <v>0</v>
      </c>
      <c r="Z462" s="77">
        <f t="shared" si="85"/>
        <v>0</v>
      </c>
      <c r="AA462" s="77">
        <f t="shared" si="85"/>
        <v>0</v>
      </c>
      <c r="AB462" s="77">
        <f t="shared" ref="AB462:AC462" si="86">AB142-SUM(AB143,AB149,AB150,AB151,AB152,AB153,AB154,AB155,AB156,AB157,AB158,AB159,AB160,AB161,AB162,AB163,AB164,AB165,AB166)</f>
        <v>0</v>
      </c>
      <c r="AC462" s="77">
        <f t="shared" si="86"/>
        <v>0</v>
      </c>
      <c r="AD462" s="77">
        <f t="shared" ref="AD462:AE462" si="87">AD142-SUM(AD143,AD149,AD150,AD151,AD152,AD153,AD154,AD155,AD156,AD157,AD158,AD159,AD160,AD161,AD162,AD163,AD164,AD165,AD166)</f>
        <v>0</v>
      </c>
      <c r="AE462" s="77">
        <f t="shared" si="87"/>
        <v>0</v>
      </c>
      <c r="AF462" s="77">
        <f t="shared" ref="AF462:AG462" si="88">AF142-SUM(AF143,AF149,AF150,AF151,AF152,AF153,AF154,AF155,AF156,AF157,AF158,AF159,AF160,AF161,AF162,AF163,AF164,AF165,AF166)</f>
        <v>0</v>
      </c>
      <c r="AG462" s="77">
        <f t="shared" si="88"/>
        <v>0</v>
      </c>
      <c r="AH462" s="77">
        <f t="shared" ref="AH462" si="89">AH142-SUM(AH143,AH149,AH150,AH151,AH152,AH153,AH154,AH155,AH156,AH157,AH158,AH159,AH160,AH161,AH162,AH163,AH164,AH165,AH166)</f>
        <v>0</v>
      </c>
    </row>
    <row r="463" spans="2:34">
      <c r="B463" s="40" t="s">
        <v>187</v>
      </c>
      <c r="C463" s="40" t="s">
        <v>187</v>
      </c>
      <c r="D463" s="31">
        <f t="shared" ref="D463:S463" si="90">D167-SUM(D168,D169,D170,D171)</f>
        <v>0</v>
      </c>
      <c r="E463" s="31">
        <f t="shared" si="90"/>
        <v>0</v>
      </c>
      <c r="F463" s="31">
        <f t="shared" si="90"/>
        <v>0</v>
      </c>
      <c r="G463" s="31">
        <f t="shared" si="90"/>
        <v>0</v>
      </c>
      <c r="H463" s="31">
        <f t="shared" si="90"/>
        <v>0</v>
      </c>
      <c r="I463" s="77">
        <f t="shared" si="90"/>
        <v>0</v>
      </c>
      <c r="J463" s="31">
        <f t="shared" si="90"/>
        <v>0</v>
      </c>
      <c r="K463" s="31">
        <f t="shared" si="90"/>
        <v>0</v>
      </c>
      <c r="L463" s="77">
        <f t="shared" si="90"/>
        <v>0</v>
      </c>
      <c r="M463" s="77">
        <f t="shared" si="90"/>
        <v>0</v>
      </c>
      <c r="N463" s="77">
        <f t="shared" si="90"/>
        <v>0</v>
      </c>
      <c r="O463" s="77">
        <f t="shared" si="90"/>
        <v>0</v>
      </c>
      <c r="P463" s="77">
        <f t="shared" si="90"/>
        <v>0</v>
      </c>
      <c r="Q463" s="77">
        <f t="shared" si="90"/>
        <v>0</v>
      </c>
      <c r="R463" s="77">
        <f t="shared" si="90"/>
        <v>0</v>
      </c>
      <c r="S463" s="77">
        <f t="shared" si="90"/>
        <v>0</v>
      </c>
      <c r="T463" s="77">
        <f t="shared" ref="T463:U463" si="91">T167-SUM(T168,T169,T170,T171)</f>
        <v>0</v>
      </c>
      <c r="U463" s="77">
        <f t="shared" si="91"/>
        <v>0</v>
      </c>
      <c r="V463" s="77">
        <f t="shared" ref="V463:W463" si="92">V167-SUM(V168,V169,V170,V171)</f>
        <v>0</v>
      </c>
      <c r="W463" s="77">
        <f t="shared" si="92"/>
        <v>0</v>
      </c>
      <c r="X463" s="77">
        <f t="shared" ref="X463:AA463" si="93">X167-SUM(X168,X169,X170,X171)</f>
        <v>0</v>
      </c>
      <c r="Y463" s="77">
        <f t="shared" si="93"/>
        <v>0</v>
      </c>
      <c r="Z463" s="77">
        <f t="shared" si="93"/>
        <v>0</v>
      </c>
      <c r="AA463" s="77">
        <f t="shared" si="93"/>
        <v>0</v>
      </c>
      <c r="AB463" s="77">
        <f t="shared" ref="AB463:AC463" si="94">AB167-SUM(AB168,AB169,AB170,AB171)</f>
        <v>0</v>
      </c>
      <c r="AC463" s="77">
        <f t="shared" si="94"/>
        <v>0</v>
      </c>
      <c r="AD463" s="77">
        <f t="shared" ref="AD463:AE463" si="95">AD167-SUM(AD168,AD169,AD170,AD171)</f>
        <v>0</v>
      </c>
      <c r="AE463" s="77">
        <f t="shared" si="95"/>
        <v>0</v>
      </c>
      <c r="AF463" s="77">
        <f t="shared" ref="AF463:AG463" si="96">AF167-SUM(AF168,AF169,AF170,AF171)</f>
        <v>0</v>
      </c>
      <c r="AG463" s="77">
        <f t="shared" si="96"/>
        <v>0</v>
      </c>
      <c r="AH463" s="77">
        <f t="shared" ref="AH463" si="97">AH167-SUM(AH168,AH169,AH170,AH171)</f>
        <v>0</v>
      </c>
    </row>
    <row r="464" spans="2:34">
      <c r="B464" s="40" t="s">
        <v>188</v>
      </c>
      <c r="C464" s="40" t="s">
        <v>188</v>
      </c>
      <c r="D464" s="31">
        <f t="shared" ref="D464:S464" si="98">D172-SUM(D173,D174)</f>
        <v>0</v>
      </c>
      <c r="E464" s="31">
        <f t="shared" si="98"/>
        <v>0</v>
      </c>
      <c r="F464" s="31">
        <f t="shared" si="98"/>
        <v>0</v>
      </c>
      <c r="G464" s="31">
        <f t="shared" si="98"/>
        <v>0</v>
      </c>
      <c r="H464" s="31">
        <f t="shared" si="98"/>
        <v>0</v>
      </c>
      <c r="I464" s="77">
        <f t="shared" si="98"/>
        <v>0</v>
      </c>
      <c r="J464" s="31">
        <f t="shared" si="98"/>
        <v>0</v>
      </c>
      <c r="K464" s="31">
        <f t="shared" si="98"/>
        <v>0</v>
      </c>
      <c r="L464" s="77">
        <f t="shared" si="98"/>
        <v>0</v>
      </c>
      <c r="M464" s="77">
        <f t="shared" si="98"/>
        <v>0</v>
      </c>
      <c r="N464" s="77">
        <f t="shared" si="98"/>
        <v>0</v>
      </c>
      <c r="O464" s="77">
        <f t="shared" si="98"/>
        <v>0</v>
      </c>
      <c r="P464" s="77">
        <f t="shared" si="98"/>
        <v>0</v>
      </c>
      <c r="Q464" s="77">
        <f t="shared" si="98"/>
        <v>0</v>
      </c>
      <c r="R464" s="77">
        <f t="shared" si="98"/>
        <v>0</v>
      </c>
      <c r="S464" s="77">
        <f t="shared" si="98"/>
        <v>0</v>
      </c>
      <c r="T464" s="77">
        <f t="shared" ref="T464:U464" si="99">T172-SUM(T173,T174)</f>
        <v>0</v>
      </c>
      <c r="U464" s="77">
        <f t="shared" si="99"/>
        <v>0</v>
      </c>
      <c r="V464" s="77">
        <f t="shared" ref="V464:W464" si="100">V172-SUM(V173,V174)</f>
        <v>0</v>
      </c>
      <c r="W464" s="77">
        <f t="shared" si="100"/>
        <v>0</v>
      </c>
      <c r="X464" s="77">
        <f t="shared" ref="X464:AA464" si="101">X172-SUM(X173,X174)</f>
        <v>0</v>
      </c>
      <c r="Y464" s="77">
        <f t="shared" si="101"/>
        <v>0</v>
      </c>
      <c r="Z464" s="77">
        <f t="shared" si="101"/>
        <v>0</v>
      </c>
      <c r="AA464" s="77">
        <f t="shared" si="101"/>
        <v>0</v>
      </c>
      <c r="AB464" s="77">
        <f t="shared" ref="AB464:AC464" si="102">AB172-SUM(AB173,AB174)</f>
        <v>0</v>
      </c>
      <c r="AC464" s="77">
        <f t="shared" si="102"/>
        <v>0</v>
      </c>
      <c r="AD464" s="77">
        <f t="shared" ref="AD464:AE464" si="103">AD172-SUM(AD173,AD174)</f>
        <v>0</v>
      </c>
      <c r="AE464" s="77">
        <f t="shared" si="103"/>
        <v>0</v>
      </c>
      <c r="AF464" s="77">
        <f t="shared" ref="AF464:AG464" si="104">AF172-SUM(AF173,AF174)</f>
        <v>0</v>
      </c>
      <c r="AG464" s="77">
        <f t="shared" si="104"/>
        <v>0</v>
      </c>
      <c r="AH464" s="77">
        <f t="shared" ref="AH464" si="105">AH172-SUM(AH173,AH174)</f>
        <v>0</v>
      </c>
    </row>
    <row r="465" spans="2:34">
      <c r="B465" s="40" t="s">
        <v>189</v>
      </c>
      <c r="C465" s="40" t="s">
        <v>189</v>
      </c>
      <c r="D465" s="31">
        <f t="shared" ref="D465:S465" si="106">D175-SUM(D176,D177,D178,D179,D182,D183,D188,D189,D190,D195,D196,D197,D198,D199,D200)</f>
        <v>0</v>
      </c>
      <c r="E465" s="31">
        <f t="shared" si="106"/>
        <v>0</v>
      </c>
      <c r="F465" s="31">
        <f t="shared" si="106"/>
        <v>0</v>
      </c>
      <c r="G465" s="31">
        <f t="shared" si="106"/>
        <v>0</v>
      </c>
      <c r="H465" s="31">
        <f t="shared" si="106"/>
        <v>0</v>
      </c>
      <c r="I465" s="77">
        <f t="shared" si="106"/>
        <v>0</v>
      </c>
      <c r="J465" s="31">
        <f t="shared" si="106"/>
        <v>0</v>
      </c>
      <c r="K465" s="31">
        <f t="shared" si="106"/>
        <v>0</v>
      </c>
      <c r="L465" s="77">
        <f t="shared" si="106"/>
        <v>0</v>
      </c>
      <c r="M465" s="77">
        <f t="shared" si="106"/>
        <v>0</v>
      </c>
      <c r="N465" s="77">
        <f t="shared" si="106"/>
        <v>0</v>
      </c>
      <c r="O465" s="77">
        <f t="shared" si="106"/>
        <v>0</v>
      </c>
      <c r="P465" s="77">
        <f t="shared" si="106"/>
        <v>0</v>
      </c>
      <c r="Q465" s="77">
        <f t="shared" si="106"/>
        <v>0</v>
      </c>
      <c r="R465" s="77">
        <f t="shared" si="106"/>
        <v>0</v>
      </c>
      <c r="S465" s="77">
        <f t="shared" si="106"/>
        <v>0</v>
      </c>
      <c r="T465" s="77">
        <f t="shared" ref="T465:U465" si="107">T175-SUM(T176,T177,T178,T179,T182,T183,T188,T189,T190,T195,T196,T197,T198,T199,T200)</f>
        <v>0</v>
      </c>
      <c r="U465" s="77">
        <f t="shared" si="107"/>
        <v>0</v>
      </c>
      <c r="V465" s="77">
        <f t="shared" ref="V465:W465" si="108">V175-SUM(V176,V177,V178,V179,V182,V183,V188,V189,V190,V195,V196,V197,V198,V199,V200)</f>
        <v>0</v>
      </c>
      <c r="W465" s="77">
        <f t="shared" si="108"/>
        <v>0</v>
      </c>
      <c r="X465" s="77">
        <f t="shared" ref="X465:AA465" si="109">X175-SUM(X176,X177,X178,X179,X182,X183,X188,X189,X190,X195,X196,X197,X198,X199,X200)</f>
        <v>0</v>
      </c>
      <c r="Y465" s="77">
        <f t="shared" si="109"/>
        <v>0</v>
      </c>
      <c r="Z465" s="77">
        <f t="shared" si="109"/>
        <v>0</v>
      </c>
      <c r="AA465" s="77">
        <f t="shared" si="109"/>
        <v>0</v>
      </c>
      <c r="AB465" s="77">
        <f t="shared" ref="AB465:AC465" si="110">AB175-SUM(AB176,AB177,AB178,AB179,AB182,AB183,AB188,AB189,AB190,AB195,AB196,AB197,AB198,AB199,AB200)</f>
        <v>0</v>
      </c>
      <c r="AC465" s="77">
        <f t="shared" si="110"/>
        <v>0</v>
      </c>
      <c r="AD465" s="77">
        <f t="shared" ref="AD465:AE465" si="111">AD175-SUM(AD176,AD177,AD178,AD179,AD182,AD183,AD188,AD189,AD190,AD195,AD196,AD197,AD198,AD199,AD200)</f>
        <v>0</v>
      </c>
      <c r="AE465" s="77">
        <f t="shared" si="111"/>
        <v>0</v>
      </c>
      <c r="AF465" s="77">
        <f t="shared" ref="AF465:AG465" si="112">AF175-SUM(AF176,AF177,AF178,AF179,AF182,AF183,AF188,AF189,AF190,AF195,AF196,AF197,AF198,AF199,AF200)</f>
        <v>0</v>
      </c>
      <c r="AG465" s="77">
        <f t="shared" si="112"/>
        <v>0</v>
      </c>
      <c r="AH465" s="77">
        <f t="shared" ref="AH465" si="113">AH175-SUM(AH176,AH177,AH178,AH179,AH182,AH183,AH188,AH189,AH190,AH195,AH196,AH197,AH198,AH199,AH200)</f>
        <v>0</v>
      </c>
    </row>
    <row r="466" spans="2:34">
      <c r="B466" s="40" t="s">
        <v>190</v>
      </c>
      <c r="C466" s="40" t="s">
        <v>190</v>
      </c>
      <c r="D466" s="31">
        <f t="shared" ref="D466:S466" si="114">D201-SUM(D202,D205,D208,D212,D216)</f>
        <v>0</v>
      </c>
      <c r="E466" s="31">
        <f t="shared" si="114"/>
        <v>0</v>
      </c>
      <c r="F466" s="31">
        <f t="shared" si="114"/>
        <v>0</v>
      </c>
      <c r="G466" s="31">
        <f t="shared" si="114"/>
        <v>0</v>
      </c>
      <c r="H466" s="31">
        <f t="shared" si="114"/>
        <v>0</v>
      </c>
      <c r="I466" s="77">
        <f t="shared" si="114"/>
        <v>0</v>
      </c>
      <c r="J466" s="31">
        <f t="shared" si="114"/>
        <v>0</v>
      </c>
      <c r="K466" s="31">
        <f t="shared" si="114"/>
        <v>0</v>
      </c>
      <c r="L466" s="77">
        <f t="shared" si="114"/>
        <v>0</v>
      </c>
      <c r="M466" s="77">
        <f t="shared" si="114"/>
        <v>0</v>
      </c>
      <c r="N466" s="77">
        <f t="shared" si="114"/>
        <v>0</v>
      </c>
      <c r="O466" s="77">
        <f t="shared" si="114"/>
        <v>0</v>
      </c>
      <c r="P466" s="77">
        <f t="shared" si="114"/>
        <v>0</v>
      </c>
      <c r="Q466" s="77">
        <f t="shared" si="114"/>
        <v>0</v>
      </c>
      <c r="R466" s="77">
        <f t="shared" si="114"/>
        <v>0</v>
      </c>
      <c r="S466" s="77">
        <f t="shared" si="114"/>
        <v>0</v>
      </c>
      <c r="T466" s="77">
        <f t="shared" ref="T466:U466" si="115">T201-SUM(T202,T205,T208,T212,T216)</f>
        <v>0</v>
      </c>
      <c r="U466" s="77">
        <f t="shared" si="115"/>
        <v>0</v>
      </c>
      <c r="V466" s="77">
        <f t="shared" ref="V466:W466" si="116">V201-SUM(V202,V205,V208,V212,V216)</f>
        <v>0</v>
      </c>
      <c r="W466" s="77">
        <f t="shared" si="116"/>
        <v>0</v>
      </c>
      <c r="X466" s="77">
        <f t="shared" ref="X466:AA466" si="117">X201-SUM(X202,X205,X208,X212,X216)</f>
        <v>0</v>
      </c>
      <c r="Y466" s="77">
        <f t="shared" si="117"/>
        <v>0</v>
      </c>
      <c r="Z466" s="77">
        <f t="shared" si="117"/>
        <v>0</v>
      </c>
      <c r="AA466" s="77">
        <f t="shared" si="117"/>
        <v>0</v>
      </c>
      <c r="AB466" s="77">
        <f t="shared" ref="AB466:AC466" si="118">AB201-SUM(AB202,AB205,AB208,AB212,AB216)</f>
        <v>0</v>
      </c>
      <c r="AC466" s="77">
        <f t="shared" si="118"/>
        <v>0</v>
      </c>
      <c r="AD466" s="77">
        <f t="shared" ref="AD466:AE466" si="119">AD201-SUM(AD202,AD205,AD208,AD212,AD216)</f>
        <v>0</v>
      </c>
      <c r="AE466" s="77">
        <f t="shared" si="119"/>
        <v>0</v>
      </c>
      <c r="AF466" s="77">
        <f t="shared" ref="AF466:AG466" si="120">AF201-SUM(AF202,AF205,AF208,AF212,AF216)</f>
        <v>0</v>
      </c>
      <c r="AG466" s="77">
        <f t="shared" si="120"/>
        <v>0</v>
      </c>
      <c r="AH466" s="77">
        <f t="shared" ref="AH466" si="121">AH201-SUM(AH202,AH205,AH208,AH212,AH216)</f>
        <v>0</v>
      </c>
    </row>
    <row r="467" spans="2:34">
      <c r="B467" s="39" t="s">
        <v>191</v>
      </c>
      <c r="C467" s="39" t="s">
        <v>191</v>
      </c>
      <c r="D467" s="30">
        <f t="shared" ref="D467:S467" si="122">D217-SUM(D218,D228,D283,D299,D316,D321,D324,D360,D381)</f>
        <v>0</v>
      </c>
      <c r="E467" s="30">
        <f t="shared" si="122"/>
        <v>0</v>
      </c>
      <c r="F467" s="30">
        <f t="shared" si="122"/>
        <v>0</v>
      </c>
      <c r="G467" s="30">
        <f t="shared" si="122"/>
        <v>0</v>
      </c>
      <c r="H467" s="30">
        <f t="shared" si="122"/>
        <v>0</v>
      </c>
      <c r="I467" s="76">
        <f t="shared" si="122"/>
        <v>0</v>
      </c>
      <c r="J467" s="30">
        <f t="shared" si="122"/>
        <v>0</v>
      </c>
      <c r="K467" s="30">
        <f t="shared" si="122"/>
        <v>0</v>
      </c>
      <c r="L467" s="76">
        <f t="shared" si="122"/>
        <v>0</v>
      </c>
      <c r="M467" s="76">
        <f t="shared" si="122"/>
        <v>0</v>
      </c>
      <c r="N467" s="76">
        <f t="shared" si="122"/>
        <v>0</v>
      </c>
      <c r="O467" s="76">
        <f t="shared" si="122"/>
        <v>0</v>
      </c>
      <c r="P467" s="76">
        <f t="shared" si="122"/>
        <v>0</v>
      </c>
      <c r="Q467" s="76">
        <f t="shared" si="122"/>
        <v>0</v>
      </c>
      <c r="R467" s="76">
        <f t="shared" si="122"/>
        <v>0</v>
      </c>
      <c r="S467" s="76">
        <f t="shared" si="122"/>
        <v>0</v>
      </c>
      <c r="T467" s="76">
        <f t="shared" ref="T467:U467" si="123">T217-SUM(T218,T228,T283,T299,T316,T321,T324,T360,T381)</f>
        <v>0</v>
      </c>
      <c r="U467" s="76">
        <f t="shared" si="123"/>
        <v>0</v>
      </c>
      <c r="V467" s="76">
        <f t="shared" ref="V467:W467" si="124">V217-SUM(V218,V228,V283,V299,V316,V321,V324,V360,V381)</f>
        <v>0</v>
      </c>
      <c r="W467" s="76">
        <f t="shared" si="124"/>
        <v>0</v>
      </c>
      <c r="X467" s="76">
        <f t="shared" ref="X467:AA467" si="125">X217-SUM(X218,X228,X283,X299,X316,X321,X324,X360,X381)</f>
        <v>0</v>
      </c>
      <c r="Y467" s="76">
        <f t="shared" si="125"/>
        <v>0</v>
      </c>
      <c r="Z467" s="76">
        <f t="shared" si="125"/>
        <v>0</v>
      </c>
      <c r="AA467" s="76">
        <f t="shared" si="125"/>
        <v>0</v>
      </c>
      <c r="AB467" s="76">
        <f t="shared" ref="AB467:AC467" si="126">AB217-SUM(AB218,AB228,AB283,AB299,AB316,AB321,AB324,AB360,AB381)</f>
        <v>0</v>
      </c>
      <c r="AC467" s="76">
        <f t="shared" si="126"/>
        <v>0</v>
      </c>
      <c r="AD467" s="76">
        <f t="shared" ref="AD467:AE467" si="127">AD217-SUM(AD218,AD228,AD283,AD299,AD316,AD321,AD324,AD360,AD381)</f>
        <v>0</v>
      </c>
      <c r="AE467" s="76">
        <f t="shared" si="127"/>
        <v>0</v>
      </c>
      <c r="AF467" s="76">
        <f t="shared" ref="AF467:AG467" si="128">AF217-SUM(AF218,AF228,AF283,AF299,AF316,AF321,AF324,AF360,AF381)</f>
        <v>0</v>
      </c>
      <c r="AG467" s="76">
        <f t="shared" si="128"/>
        <v>0</v>
      </c>
      <c r="AH467" s="76">
        <f t="shared" ref="AH467" si="129">AH217-SUM(AH218,AH228,AH283,AH299,AH316,AH321,AH324,AH360,AH381)</f>
        <v>0</v>
      </c>
    </row>
    <row r="468" spans="2:34">
      <c r="B468" s="40" t="s">
        <v>192</v>
      </c>
      <c r="C468" s="40" t="s">
        <v>192</v>
      </c>
      <c r="D468" s="31">
        <f t="shared" ref="D468:S468" si="130">D218-SUM(D219,D222:D227)</f>
        <v>0</v>
      </c>
      <c r="E468" s="31">
        <f t="shared" si="130"/>
        <v>0</v>
      </c>
      <c r="F468" s="31">
        <f t="shared" si="130"/>
        <v>0</v>
      </c>
      <c r="G468" s="31">
        <f t="shared" si="130"/>
        <v>0</v>
      </c>
      <c r="H468" s="31">
        <f t="shared" si="130"/>
        <v>0</v>
      </c>
      <c r="I468" s="77">
        <f t="shared" si="130"/>
        <v>0</v>
      </c>
      <c r="J468" s="31">
        <f t="shared" si="130"/>
        <v>0</v>
      </c>
      <c r="K468" s="31">
        <f t="shared" si="130"/>
        <v>0</v>
      </c>
      <c r="L468" s="77">
        <f t="shared" si="130"/>
        <v>0</v>
      </c>
      <c r="M468" s="77">
        <f t="shared" si="130"/>
        <v>0</v>
      </c>
      <c r="N468" s="77">
        <f t="shared" si="130"/>
        <v>0</v>
      </c>
      <c r="O468" s="77">
        <f t="shared" si="130"/>
        <v>0</v>
      </c>
      <c r="P468" s="77">
        <f t="shared" si="130"/>
        <v>0</v>
      </c>
      <c r="Q468" s="77">
        <f t="shared" si="130"/>
        <v>0</v>
      </c>
      <c r="R468" s="77">
        <f t="shared" si="130"/>
        <v>0</v>
      </c>
      <c r="S468" s="77">
        <f t="shared" si="130"/>
        <v>0</v>
      </c>
      <c r="T468" s="77">
        <f t="shared" ref="T468:U468" si="131">T218-SUM(T219,T222:T227)</f>
        <v>0</v>
      </c>
      <c r="U468" s="77">
        <f t="shared" si="131"/>
        <v>0</v>
      </c>
      <c r="V468" s="77">
        <f t="shared" ref="V468:W468" si="132">V218-SUM(V219,V222:V227)</f>
        <v>0</v>
      </c>
      <c r="W468" s="77">
        <f t="shared" si="132"/>
        <v>0</v>
      </c>
      <c r="X468" s="77">
        <f t="shared" ref="X468:AA468" si="133">X218-SUM(X219,X222:X227)</f>
        <v>0</v>
      </c>
      <c r="Y468" s="77">
        <f t="shared" si="133"/>
        <v>0</v>
      </c>
      <c r="Z468" s="77">
        <f t="shared" si="133"/>
        <v>0</v>
      </c>
      <c r="AA468" s="77">
        <f t="shared" si="133"/>
        <v>0</v>
      </c>
      <c r="AB468" s="77">
        <f t="shared" ref="AB468:AC468" si="134">AB218-SUM(AB219,AB222:AB227)</f>
        <v>0</v>
      </c>
      <c r="AC468" s="77">
        <f t="shared" si="134"/>
        <v>0</v>
      </c>
      <c r="AD468" s="77">
        <f t="shared" ref="AD468:AE468" si="135">AD218-SUM(AD219,AD222:AD227)</f>
        <v>0</v>
      </c>
      <c r="AE468" s="77">
        <f t="shared" si="135"/>
        <v>0</v>
      </c>
      <c r="AF468" s="77">
        <f t="shared" ref="AF468:AG468" si="136">AF218-SUM(AF219,AF222:AF227)</f>
        <v>0</v>
      </c>
      <c r="AG468" s="77">
        <f t="shared" si="136"/>
        <v>0</v>
      </c>
      <c r="AH468" s="77">
        <f t="shared" ref="AH468" si="137">AH218-SUM(AH219,AH222:AH227)</f>
        <v>0</v>
      </c>
    </row>
    <row r="469" spans="2:34">
      <c r="B469" s="40" t="s">
        <v>193</v>
      </c>
      <c r="C469" s="40" t="s">
        <v>193</v>
      </c>
      <c r="D469" s="31">
        <f t="shared" ref="D469:S469" si="138">D228-SUM(D229,D237,D244,D251,D255,D259,D263,D267,D271,D275,D279)</f>
        <v>0</v>
      </c>
      <c r="E469" s="31">
        <f t="shared" si="138"/>
        <v>0</v>
      </c>
      <c r="F469" s="31">
        <f t="shared" si="138"/>
        <v>0</v>
      </c>
      <c r="G469" s="31">
        <f t="shared" si="138"/>
        <v>0</v>
      </c>
      <c r="H469" s="31">
        <f t="shared" si="138"/>
        <v>0</v>
      </c>
      <c r="I469" s="77">
        <f t="shared" si="138"/>
        <v>0</v>
      </c>
      <c r="J469" s="31">
        <f t="shared" si="138"/>
        <v>0</v>
      </c>
      <c r="K469" s="31">
        <f t="shared" si="138"/>
        <v>0</v>
      </c>
      <c r="L469" s="77">
        <f t="shared" si="138"/>
        <v>0</v>
      </c>
      <c r="M469" s="77">
        <f t="shared" si="138"/>
        <v>0</v>
      </c>
      <c r="N469" s="77">
        <f t="shared" si="138"/>
        <v>0</v>
      </c>
      <c r="O469" s="77">
        <f t="shared" si="138"/>
        <v>0</v>
      </c>
      <c r="P469" s="77">
        <f t="shared" si="138"/>
        <v>0</v>
      </c>
      <c r="Q469" s="77">
        <f t="shared" si="138"/>
        <v>0</v>
      </c>
      <c r="R469" s="77">
        <f t="shared" si="138"/>
        <v>0</v>
      </c>
      <c r="S469" s="77">
        <f t="shared" si="138"/>
        <v>0</v>
      </c>
      <c r="T469" s="77">
        <f t="shared" ref="T469:U469" si="139">T228-SUM(T229,T237,T244,T251,T255,T259,T263,T267,T271,T275,T279)</f>
        <v>0</v>
      </c>
      <c r="U469" s="77">
        <f t="shared" si="139"/>
        <v>0</v>
      </c>
      <c r="V469" s="77">
        <f t="shared" ref="V469:W469" si="140">V228-SUM(V229,V237,V244,V251,V255,V259,V263,V267,V271,V275,V279)</f>
        <v>0</v>
      </c>
      <c r="W469" s="77">
        <f t="shared" si="140"/>
        <v>0</v>
      </c>
      <c r="X469" s="77">
        <f t="shared" ref="X469:AA469" si="141">X228-SUM(X229,X237,X244,X251,X255,X259,X263,X267,X271,X275,X279)</f>
        <v>0</v>
      </c>
      <c r="Y469" s="77">
        <f t="shared" si="141"/>
        <v>0</v>
      </c>
      <c r="Z469" s="77">
        <f t="shared" si="141"/>
        <v>0</v>
      </c>
      <c r="AA469" s="77">
        <f t="shared" si="141"/>
        <v>0</v>
      </c>
      <c r="AB469" s="77">
        <f t="shared" ref="AB469:AC469" si="142">AB228-SUM(AB229,AB237,AB244,AB251,AB255,AB259,AB263,AB267,AB271,AB275,AB279)</f>
        <v>0</v>
      </c>
      <c r="AC469" s="77">
        <f t="shared" si="142"/>
        <v>0</v>
      </c>
      <c r="AD469" s="77">
        <f t="shared" ref="AD469:AE469" si="143">AD228-SUM(AD229,AD237,AD244,AD251,AD255,AD259,AD263,AD267,AD271,AD275,AD279)</f>
        <v>0</v>
      </c>
      <c r="AE469" s="77">
        <f t="shared" si="143"/>
        <v>0</v>
      </c>
      <c r="AF469" s="77">
        <f t="shared" ref="AF469:AG469" si="144">AF228-SUM(AF229,AF237,AF244,AF251,AF255,AF259,AF263,AF267,AF271,AF275,AF279)</f>
        <v>0</v>
      </c>
      <c r="AG469" s="77">
        <f t="shared" si="144"/>
        <v>0</v>
      </c>
      <c r="AH469" s="77">
        <f t="shared" ref="AH469" si="145">AH228-SUM(AH229,AH237,AH244,AH251,AH255,AH259,AH263,AH267,AH271,AH275,AH279)</f>
        <v>0</v>
      </c>
    </row>
    <row r="470" spans="2:34">
      <c r="B470" s="40" t="s">
        <v>194</v>
      </c>
      <c r="C470" s="40" t="s">
        <v>194</v>
      </c>
      <c r="D470" s="31">
        <f t="shared" ref="D470:S470" si="146">D283-SUM(D284,D291,D298)</f>
        <v>0</v>
      </c>
      <c r="E470" s="31">
        <f t="shared" si="146"/>
        <v>0</v>
      </c>
      <c r="F470" s="31">
        <f t="shared" si="146"/>
        <v>0</v>
      </c>
      <c r="G470" s="31">
        <f t="shared" si="146"/>
        <v>0</v>
      </c>
      <c r="H470" s="31">
        <f t="shared" si="146"/>
        <v>0</v>
      </c>
      <c r="I470" s="77">
        <f t="shared" si="146"/>
        <v>0</v>
      </c>
      <c r="J470" s="31">
        <f t="shared" si="146"/>
        <v>0</v>
      </c>
      <c r="K470" s="31">
        <f t="shared" si="146"/>
        <v>0</v>
      </c>
      <c r="L470" s="77">
        <f t="shared" si="146"/>
        <v>0</v>
      </c>
      <c r="M470" s="77">
        <f t="shared" si="146"/>
        <v>0</v>
      </c>
      <c r="N470" s="77">
        <f t="shared" si="146"/>
        <v>0</v>
      </c>
      <c r="O470" s="77">
        <f t="shared" si="146"/>
        <v>0</v>
      </c>
      <c r="P470" s="77">
        <f t="shared" si="146"/>
        <v>0</v>
      </c>
      <c r="Q470" s="77">
        <f t="shared" si="146"/>
        <v>0</v>
      </c>
      <c r="R470" s="77">
        <f t="shared" si="146"/>
        <v>0</v>
      </c>
      <c r="S470" s="77">
        <f t="shared" si="146"/>
        <v>0</v>
      </c>
      <c r="T470" s="77">
        <f t="shared" ref="T470:U470" si="147">T283-SUM(T284,T291,T298)</f>
        <v>0</v>
      </c>
      <c r="U470" s="77">
        <f t="shared" si="147"/>
        <v>0</v>
      </c>
      <c r="V470" s="77">
        <f t="shared" ref="V470:W470" si="148">V283-SUM(V284,V291,V298)</f>
        <v>0</v>
      </c>
      <c r="W470" s="77">
        <f t="shared" si="148"/>
        <v>0</v>
      </c>
      <c r="X470" s="77">
        <f t="shared" ref="X470:AA470" si="149">X283-SUM(X284,X291,X298)</f>
        <v>0</v>
      </c>
      <c r="Y470" s="77">
        <f t="shared" si="149"/>
        <v>0</v>
      </c>
      <c r="Z470" s="77">
        <f t="shared" si="149"/>
        <v>0</v>
      </c>
      <c r="AA470" s="77">
        <f t="shared" si="149"/>
        <v>0</v>
      </c>
      <c r="AB470" s="77">
        <f t="shared" ref="AB470:AC470" si="150">AB283-SUM(AB284,AB291,AB298)</f>
        <v>0</v>
      </c>
      <c r="AC470" s="77">
        <f t="shared" si="150"/>
        <v>0</v>
      </c>
      <c r="AD470" s="77">
        <f t="shared" ref="AD470:AE470" si="151">AD283-SUM(AD284,AD291,AD298)</f>
        <v>0</v>
      </c>
      <c r="AE470" s="77">
        <f t="shared" si="151"/>
        <v>0</v>
      </c>
      <c r="AF470" s="77">
        <f t="shared" ref="AF470:AG470" si="152">AF283-SUM(AF284,AF291,AF298)</f>
        <v>0</v>
      </c>
      <c r="AG470" s="77">
        <f t="shared" si="152"/>
        <v>0</v>
      </c>
      <c r="AH470" s="77">
        <f t="shared" ref="AH470" si="153">AH283-SUM(AH284,AH291,AH298)</f>
        <v>0</v>
      </c>
    </row>
    <row r="471" spans="2:34">
      <c r="B471" s="40" t="s">
        <v>195</v>
      </c>
      <c r="C471" s="40" t="s">
        <v>195</v>
      </c>
      <c r="D471" s="31">
        <f t="shared" ref="D471:S471" si="154">D299-SUM(D300,D304,D305,D306,D307,D308,D309,D310,D311,D312,D313,D314,D315)</f>
        <v>0</v>
      </c>
      <c r="E471" s="31">
        <f t="shared" si="154"/>
        <v>0</v>
      </c>
      <c r="F471" s="31">
        <f t="shared" si="154"/>
        <v>0</v>
      </c>
      <c r="G471" s="31">
        <f t="shared" si="154"/>
        <v>0</v>
      </c>
      <c r="H471" s="31">
        <f t="shared" si="154"/>
        <v>0</v>
      </c>
      <c r="I471" s="77">
        <f t="shared" si="154"/>
        <v>0</v>
      </c>
      <c r="J471" s="31">
        <f t="shared" si="154"/>
        <v>0</v>
      </c>
      <c r="K471" s="31">
        <f t="shared" si="154"/>
        <v>0</v>
      </c>
      <c r="L471" s="77">
        <f t="shared" si="154"/>
        <v>0</v>
      </c>
      <c r="M471" s="77">
        <f t="shared" si="154"/>
        <v>0</v>
      </c>
      <c r="N471" s="77">
        <f t="shared" si="154"/>
        <v>0</v>
      </c>
      <c r="O471" s="77">
        <f t="shared" si="154"/>
        <v>0</v>
      </c>
      <c r="P471" s="77">
        <f t="shared" si="154"/>
        <v>0</v>
      </c>
      <c r="Q471" s="77">
        <f t="shared" si="154"/>
        <v>0</v>
      </c>
      <c r="R471" s="77">
        <f t="shared" si="154"/>
        <v>0</v>
      </c>
      <c r="S471" s="77">
        <f t="shared" si="154"/>
        <v>0</v>
      </c>
      <c r="T471" s="77">
        <f t="shared" ref="T471:U471" si="155">T299-SUM(T300,T304,T305,T306,T307,T308,T309,T310,T311,T312,T313,T314,T315)</f>
        <v>0</v>
      </c>
      <c r="U471" s="77">
        <f t="shared" si="155"/>
        <v>0</v>
      </c>
      <c r="V471" s="77">
        <f t="shared" ref="V471:W471" si="156">V299-SUM(V300,V304,V305,V306,V307,V308,V309,V310,V311,V312,V313,V314,V315)</f>
        <v>0</v>
      </c>
      <c r="W471" s="77">
        <f t="shared" si="156"/>
        <v>0</v>
      </c>
      <c r="X471" s="77">
        <f t="shared" ref="X471:AA471" si="157">X299-SUM(X300,X304,X305,X306,X307,X308,X309,X310,X311,X312,X313,X314,X315)</f>
        <v>0</v>
      </c>
      <c r="Y471" s="77">
        <f t="shared" si="157"/>
        <v>0</v>
      </c>
      <c r="Z471" s="77">
        <f t="shared" si="157"/>
        <v>0</v>
      </c>
      <c r="AA471" s="77">
        <f t="shared" si="157"/>
        <v>0</v>
      </c>
      <c r="AB471" s="77">
        <f t="shared" ref="AB471:AC471" si="158">AB299-SUM(AB300,AB304,AB305,AB306,AB307,AB308,AB309,AB310,AB311,AB312,AB313,AB314,AB315)</f>
        <v>0</v>
      </c>
      <c r="AC471" s="77">
        <f t="shared" si="158"/>
        <v>0</v>
      </c>
      <c r="AD471" s="77">
        <f t="shared" ref="AD471:AE471" si="159">AD299-SUM(AD300,AD304,AD305,AD306,AD307,AD308,AD309,AD310,AD311,AD312,AD313,AD314,AD315)</f>
        <v>0</v>
      </c>
      <c r="AE471" s="77">
        <f t="shared" si="159"/>
        <v>0</v>
      </c>
      <c r="AF471" s="77">
        <f t="shared" ref="AF471:AG471" si="160">AF299-SUM(AF300,AF304,AF305,AF306,AF307,AF308,AF309,AF310,AF311,AF312,AF313,AF314,AF315)</f>
        <v>0</v>
      </c>
      <c r="AG471" s="77">
        <f t="shared" si="160"/>
        <v>0</v>
      </c>
      <c r="AH471" s="77">
        <f t="shared" ref="AH471" si="161">AH299-SUM(AH300,AH304,AH305,AH306,AH307,AH308,AH309,AH310,AH311,AH312,AH313,AH314,AH315)</f>
        <v>0</v>
      </c>
    </row>
    <row r="472" spans="2:34">
      <c r="B472" s="40" t="s">
        <v>196</v>
      </c>
      <c r="C472" s="40" t="s">
        <v>196</v>
      </c>
      <c r="D472" s="31">
        <f t="shared" ref="D472:S472" si="162">D316-SUM(D317,D318,D319,D320)</f>
        <v>0</v>
      </c>
      <c r="E472" s="31">
        <f t="shared" si="162"/>
        <v>0</v>
      </c>
      <c r="F472" s="31">
        <f t="shared" si="162"/>
        <v>0</v>
      </c>
      <c r="G472" s="31">
        <f t="shared" si="162"/>
        <v>0</v>
      </c>
      <c r="H472" s="31">
        <f t="shared" si="162"/>
        <v>0</v>
      </c>
      <c r="I472" s="77">
        <f t="shared" si="162"/>
        <v>0</v>
      </c>
      <c r="J472" s="31">
        <f t="shared" si="162"/>
        <v>0</v>
      </c>
      <c r="K472" s="31">
        <f t="shared" si="162"/>
        <v>0</v>
      </c>
      <c r="L472" s="77">
        <f t="shared" si="162"/>
        <v>0</v>
      </c>
      <c r="M472" s="77">
        <f t="shared" si="162"/>
        <v>0</v>
      </c>
      <c r="N472" s="77">
        <f t="shared" si="162"/>
        <v>0</v>
      </c>
      <c r="O472" s="77">
        <f t="shared" si="162"/>
        <v>0</v>
      </c>
      <c r="P472" s="77">
        <f t="shared" si="162"/>
        <v>0</v>
      </c>
      <c r="Q472" s="77">
        <f t="shared" si="162"/>
        <v>0</v>
      </c>
      <c r="R472" s="77">
        <f t="shared" si="162"/>
        <v>0</v>
      </c>
      <c r="S472" s="77">
        <f t="shared" si="162"/>
        <v>0</v>
      </c>
      <c r="T472" s="77">
        <f t="shared" ref="T472:U472" si="163">T316-SUM(T317,T318,T319,T320)</f>
        <v>0</v>
      </c>
      <c r="U472" s="77">
        <f t="shared" si="163"/>
        <v>0</v>
      </c>
      <c r="V472" s="77">
        <f t="shared" ref="V472:W472" si="164">V316-SUM(V317,V318,V319,V320)</f>
        <v>0</v>
      </c>
      <c r="W472" s="77">
        <f t="shared" si="164"/>
        <v>0</v>
      </c>
      <c r="X472" s="77">
        <f t="shared" ref="X472:AA472" si="165">X316-SUM(X317,X318,X319,X320)</f>
        <v>0</v>
      </c>
      <c r="Y472" s="77">
        <f t="shared" si="165"/>
        <v>0</v>
      </c>
      <c r="Z472" s="77">
        <f t="shared" si="165"/>
        <v>0</v>
      </c>
      <c r="AA472" s="77">
        <f t="shared" si="165"/>
        <v>0</v>
      </c>
      <c r="AB472" s="77">
        <f t="shared" ref="AB472:AC472" si="166">AB316-SUM(AB317,AB318,AB319,AB320)</f>
        <v>0</v>
      </c>
      <c r="AC472" s="77">
        <f t="shared" si="166"/>
        <v>0</v>
      </c>
      <c r="AD472" s="77">
        <f t="shared" ref="AD472:AE472" si="167">AD316-SUM(AD317,AD318,AD319,AD320)</f>
        <v>0</v>
      </c>
      <c r="AE472" s="77">
        <f t="shared" si="167"/>
        <v>0</v>
      </c>
      <c r="AF472" s="77">
        <f t="shared" ref="AF472:AG472" si="168">AF316-SUM(AF317,AF318,AF319,AF320)</f>
        <v>0</v>
      </c>
      <c r="AG472" s="77">
        <f t="shared" si="168"/>
        <v>0</v>
      </c>
      <c r="AH472" s="77">
        <f t="shared" ref="AH472" si="169">AH316-SUM(AH317,AH318,AH319,AH320)</f>
        <v>0</v>
      </c>
    </row>
    <row r="473" spans="2:34">
      <c r="B473" s="40" t="s">
        <v>197</v>
      </c>
      <c r="C473" s="40" t="s">
        <v>197</v>
      </c>
      <c r="D473" s="31">
        <f t="shared" ref="D473:S473" si="170">D321-SUM(D322,D323)</f>
        <v>0</v>
      </c>
      <c r="E473" s="31">
        <f t="shared" si="170"/>
        <v>0</v>
      </c>
      <c r="F473" s="31">
        <f t="shared" si="170"/>
        <v>0</v>
      </c>
      <c r="G473" s="31">
        <f t="shared" si="170"/>
        <v>0</v>
      </c>
      <c r="H473" s="31">
        <f t="shared" si="170"/>
        <v>0</v>
      </c>
      <c r="I473" s="77">
        <f t="shared" si="170"/>
        <v>0</v>
      </c>
      <c r="J473" s="31">
        <f t="shared" si="170"/>
        <v>0</v>
      </c>
      <c r="K473" s="31">
        <f t="shared" si="170"/>
        <v>0</v>
      </c>
      <c r="L473" s="77">
        <f t="shared" si="170"/>
        <v>0</v>
      </c>
      <c r="M473" s="77">
        <f t="shared" si="170"/>
        <v>0</v>
      </c>
      <c r="N473" s="77">
        <f t="shared" si="170"/>
        <v>0</v>
      </c>
      <c r="O473" s="77">
        <f t="shared" si="170"/>
        <v>0</v>
      </c>
      <c r="P473" s="77">
        <f t="shared" si="170"/>
        <v>0</v>
      </c>
      <c r="Q473" s="77">
        <f t="shared" si="170"/>
        <v>0</v>
      </c>
      <c r="R473" s="77">
        <f t="shared" si="170"/>
        <v>0</v>
      </c>
      <c r="S473" s="77">
        <f t="shared" si="170"/>
        <v>0</v>
      </c>
      <c r="T473" s="77">
        <f t="shared" ref="T473:U473" si="171">T321-SUM(T322,T323)</f>
        <v>0</v>
      </c>
      <c r="U473" s="77">
        <f t="shared" si="171"/>
        <v>0</v>
      </c>
      <c r="V473" s="77">
        <f t="shared" ref="V473:W473" si="172">V321-SUM(V322,V323)</f>
        <v>0</v>
      </c>
      <c r="W473" s="77">
        <f t="shared" si="172"/>
        <v>0</v>
      </c>
      <c r="X473" s="77">
        <f t="shared" ref="X473:AA473" si="173">X321-SUM(X322,X323)</f>
        <v>0</v>
      </c>
      <c r="Y473" s="77">
        <f t="shared" si="173"/>
        <v>0</v>
      </c>
      <c r="Z473" s="77">
        <f t="shared" si="173"/>
        <v>0</v>
      </c>
      <c r="AA473" s="77">
        <f t="shared" si="173"/>
        <v>0</v>
      </c>
      <c r="AB473" s="77">
        <f t="shared" ref="AB473:AC473" si="174">AB321-SUM(AB322,AB323)</f>
        <v>0</v>
      </c>
      <c r="AC473" s="77">
        <f t="shared" si="174"/>
        <v>0</v>
      </c>
      <c r="AD473" s="77">
        <f t="shared" ref="AD473:AE473" si="175">AD321-SUM(AD322,AD323)</f>
        <v>0</v>
      </c>
      <c r="AE473" s="77">
        <f t="shared" si="175"/>
        <v>0</v>
      </c>
      <c r="AF473" s="77">
        <f t="shared" ref="AF473:AG473" si="176">AF321-SUM(AF322,AF323)</f>
        <v>0</v>
      </c>
      <c r="AG473" s="77">
        <f t="shared" si="176"/>
        <v>0</v>
      </c>
      <c r="AH473" s="77">
        <f t="shared" ref="AH473" si="177">AH321-SUM(AH322,AH323)</f>
        <v>0</v>
      </c>
    </row>
    <row r="474" spans="2:34">
      <c r="B474" s="40" t="s">
        <v>198</v>
      </c>
      <c r="C474" s="40" t="s">
        <v>198</v>
      </c>
      <c r="D474" s="31">
        <f t="shared" ref="D474:S474" si="178">D324-SUM(D325,D328,D335:D359)</f>
        <v>0</v>
      </c>
      <c r="E474" s="31">
        <f t="shared" si="178"/>
        <v>0</v>
      </c>
      <c r="F474" s="31">
        <f t="shared" si="178"/>
        <v>0</v>
      </c>
      <c r="G474" s="31">
        <f t="shared" si="178"/>
        <v>0</v>
      </c>
      <c r="H474" s="31">
        <f t="shared" si="178"/>
        <v>0</v>
      </c>
      <c r="I474" s="77">
        <f t="shared" si="178"/>
        <v>0</v>
      </c>
      <c r="J474" s="31">
        <f t="shared" si="178"/>
        <v>0</v>
      </c>
      <c r="K474" s="31">
        <f t="shared" si="178"/>
        <v>0</v>
      </c>
      <c r="L474" s="77">
        <f t="shared" si="178"/>
        <v>0</v>
      </c>
      <c r="M474" s="77">
        <f t="shared" si="178"/>
        <v>0</v>
      </c>
      <c r="N474" s="77">
        <f t="shared" si="178"/>
        <v>0</v>
      </c>
      <c r="O474" s="77">
        <f t="shared" si="178"/>
        <v>0</v>
      </c>
      <c r="P474" s="77">
        <f t="shared" si="178"/>
        <v>0</v>
      </c>
      <c r="Q474" s="77">
        <f t="shared" si="178"/>
        <v>0</v>
      </c>
      <c r="R474" s="77">
        <f t="shared" si="178"/>
        <v>0</v>
      </c>
      <c r="S474" s="77">
        <f t="shared" si="178"/>
        <v>0</v>
      </c>
      <c r="T474" s="77">
        <f t="shared" ref="T474:U474" si="179">T324-SUM(T325,T328,T335:T359)</f>
        <v>0</v>
      </c>
      <c r="U474" s="77">
        <f t="shared" si="179"/>
        <v>0</v>
      </c>
      <c r="V474" s="77">
        <f t="shared" ref="V474:W474" si="180">V324-SUM(V325,V328,V335:V359)</f>
        <v>0</v>
      </c>
      <c r="W474" s="77">
        <f t="shared" si="180"/>
        <v>0</v>
      </c>
      <c r="X474" s="77">
        <f t="shared" ref="X474:AA474" si="181">X324-SUM(X325,X328,X335:X359)</f>
        <v>0</v>
      </c>
      <c r="Y474" s="77">
        <f t="shared" si="181"/>
        <v>0</v>
      </c>
      <c r="Z474" s="77">
        <f t="shared" si="181"/>
        <v>0</v>
      </c>
      <c r="AA474" s="77">
        <f t="shared" si="181"/>
        <v>0</v>
      </c>
      <c r="AB474" s="77">
        <f t="shared" ref="AB474:AC474" si="182">AB324-SUM(AB325,AB328,AB335:AB359)</f>
        <v>0</v>
      </c>
      <c r="AC474" s="77">
        <f t="shared" si="182"/>
        <v>0</v>
      </c>
      <c r="AD474" s="77">
        <f t="shared" ref="AD474:AE474" si="183">AD324-SUM(AD325,AD328,AD335:AD359)</f>
        <v>0</v>
      </c>
      <c r="AE474" s="77">
        <f t="shared" si="183"/>
        <v>0</v>
      </c>
      <c r="AF474" s="77">
        <f t="shared" ref="AF474:AG474" si="184">AF324-SUM(AF325,AF328,AF335:AF359)</f>
        <v>0</v>
      </c>
      <c r="AG474" s="77">
        <f t="shared" si="184"/>
        <v>0</v>
      </c>
      <c r="AH474" s="77">
        <f t="shared" ref="AH474" si="185">AH324-SUM(AH325,AH328,AH335:AH359)</f>
        <v>0</v>
      </c>
    </row>
    <row r="475" spans="2:34">
      <c r="B475" s="40" t="s">
        <v>199</v>
      </c>
      <c r="C475" s="40" t="s">
        <v>199</v>
      </c>
      <c r="D475" s="31">
        <f t="shared" ref="D475:S475" si="186">D360-SUM(D361,D362,D368,D369,D370,D375:D380)</f>
        <v>0</v>
      </c>
      <c r="E475" s="31">
        <f t="shared" si="186"/>
        <v>0</v>
      </c>
      <c r="F475" s="31">
        <f t="shared" si="186"/>
        <v>0</v>
      </c>
      <c r="G475" s="31">
        <f t="shared" si="186"/>
        <v>0</v>
      </c>
      <c r="H475" s="31">
        <f t="shared" si="186"/>
        <v>0</v>
      </c>
      <c r="I475" s="77">
        <f t="shared" si="186"/>
        <v>0</v>
      </c>
      <c r="J475" s="31">
        <f t="shared" si="186"/>
        <v>0</v>
      </c>
      <c r="K475" s="31">
        <f t="shared" si="186"/>
        <v>0</v>
      </c>
      <c r="L475" s="77">
        <f t="shared" si="186"/>
        <v>0</v>
      </c>
      <c r="M475" s="77">
        <f t="shared" si="186"/>
        <v>0</v>
      </c>
      <c r="N475" s="77">
        <f t="shared" si="186"/>
        <v>0</v>
      </c>
      <c r="O475" s="77">
        <f t="shared" si="186"/>
        <v>0</v>
      </c>
      <c r="P475" s="77">
        <f t="shared" si="186"/>
        <v>0</v>
      </c>
      <c r="Q475" s="77">
        <f t="shared" si="186"/>
        <v>0</v>
      </c>
      <c r="R475" s="77">
        <f t="shared" si="186"/>
        <v>0</v>
      </c>
      <c r="S475" s="77">
        <f t="shared" si="186"/>
        <v>0</v>
      </c>
      <c r="T475" s="77">
        <f t="shared" ref="T475:U475" si="187">T360-SUM(T361,T362,T368,T369,T370,T375:T380)</f>
        <v>0</v>
      </c>
      <c r="U475" s="77">
        <f t="shared" si="187"/>
        <v>0</v>
      </c>
      <c r="V475" s="77">
        <f t="shared" ref="V475:W475" si="188">V360-SUM(V361,V362,V368,V369,V370,V375:V380)</f>
        <v>0</v>
      </c>
      <c r="W475" s="77">
        <f t="shared" si="188"/>
        <v>0</v>
      </c>
      <c r="X475" s="77">
        <f t="shared" ref="X475:AA475" si="189">X360-SUM(X361,X362,X368,X369,X370,X375:X380)</f>
        <v>0</v>
      </c>
      <c r="Y475" s="77">
        <f t="shared" si="189"/>
        <v>0</v>
      </c>
      <c r="Z475" s="77">
        <f t="shared" si="189"/>
        <v>0</v>
      </c>
      <c r="AA475" s="77">
        <f t="shared" si="189"/>
        <v>0</v>
      </c>
      <c r="AB475" s="77">
        <f t="shared" ref="AB475:AC475" si="190">AB360-SUM(AB361,AB362,AB368,AB369,AB370,AB375:AB380)</f>
        <v>0</v>
      </c>
      <c r="AC475" s="77">
        <f t="shared" si="190"/>
        <v>0</v>
      </c>
      <c r="AD475" s="77">
        <f t="shared" ref="AD475:AE475" si="191">AD360-SUM(AD361,AD362,AD368,AD369,AD370,AD375:AD380)</f>
        <v>0</v>
      </c>
      <c r="AE475" s="77">
        <f t="shared" si="191"/>
        <v>0</v>
      </c>
      <c r="AF475" s="77">
        <f t="shared" ref="AF475:AG475" si="192">AF360-SUM(AF361,AF362,AF368,AF369,AF370,AF375:AF380)</f>
        <v>0</v>
      </c>
      <c r="AG475" s="77">
        <f t="shared" si="192"/>
        <v>0</v>
      </c>
      <c r="AH475" s="77">
        <f t="shared" ref="AH475" si="193">AH360-SUM(AH361,AH362,AH368,AH369,AH370,AH375:AH380)</f>
        <v>0</v>
      </c>
    </row>
    <row r="476" spans="2:34">
      <c r="B476" s="40" t="s">
        <v>200</v>
      </c>
      <c r="C476" s="40" t="s">
        <v>200</v>
      </c>
      <c r="D476" s="31">
        <f t="shared" ref="D476:S476" si="194">D381-SUM(D382,D385,D388,D392,D396)</f>
        <v>0</v>
      </c>
      <c r="E476" s="31">
        <f t="shared" si="194"/>
        <v>0</v>
      </c>
      <c r="F476" s="31">
        <f t="shared" si="194"/>
        <v>0</v>
      </c>
      <c r="G476" s="31">
        <f t="shared" si="194"/>
        <v>0</v>
      </c>
      <c r="H476" s="31">
        <f t="shared" si="194"/>
        <v>0</v>
      </c>
      <c r="I476" s="77">
        <f t="shared" si="194"/>
        <v>0</v>
      </c>
      <c r="J476" s="31">
        <f t="shared" si="194"/>
        <v>0</v>
      </c>
      <c r="K476" s="31">
        <f t="shared" si="194"/>
        <v>0</v>
      </c>
      <c r="L476" s="77">
        <f t="shared" si="194"/>
        <v>0</v>
      </c>
      <c r="M476" s="77">
        <f t="shared" si="194"/>
        <v>0</v>
      </c>
      <c r="N476" s="77">
        <f t="shared" si="194"/>
        <v>0</v>
      </c>
      <c r="O476" s="77">
        <f t="shared" si="194"/>
        <v>0</v>
      </c>
      <c r="P476" s="77">
        <f t="shared" si="194"/>
        <v>0</v>
      </c>
      <c r="Q476" s="77">
        <f t="shared" si="194"/>
        <v>0</v>
      </c>
      <c r="R476" s="77">
        <f t="shared" si="194"/>
        <v>0</v>
      </c>
      <c r="S476" s="77">
        <f t="shared" si="194"/>
        <v>0</v>
      </c>
      <c r="T476" s="77">
        <f t="shared" ref="T476:U476" si="195">T381-SUM(T382,T385,T388,T392,T396)</f>
        <v>0</v>
      </c>
      <c r="U476" s="77">
        <f t="shared" si="195"/>
        <v>0</v>
      </c>
      <c r="V476" s="77">
        <f t="shared" ref="V476:W476" si="196">V381-SUM(V382,V385,V388,V392,V396)</f>
        <v>0</v>
      </c>
      <c r="W476" s="77">
        <f t="shared" si="196"/>
        <v>0</v>
      </c>
      <c r="X476" s="77">
        <f t="shared" ref="X476:AA476" si="197">X381-SUM(X382,X385,X388,X392,X396)</f>
        <v>0</v>
      </c>
      <c r="Y476" s="77">
        <f t="shared" si="197"/>
        <v>0</v>
      </c>
      <c r="Z476" s="77">
        <f t="shared" si="197"/>
        <v>0</v>
      </c>
      <c r="AA476" s="77">
        <f t="shared" si="197"/>
        <v>0</v>
      </c>
      <c r="AB476" s="77">
        <f t="shared" ref="AB476:AC476" si="198">AB381-SUM(AB382,AB385,AB388,AB392,AB396)</f>
        <v>0</v>
      </c>
      <c r="AC476" s="77">
        <f t="shared" si="198"/>
        <v>0</v>
      </c>
      <c r="AD476" s="77">
        <f t="shared" ref="AD476:AE476" si="199">AD381-SUM(AD382,AD385,AD388,AD392,AD396)</f>
        <v>0</v>
      </c>
      <c r="AE476" s="77">
        <f t="shared" si="199"/>
        <v>0</v>
      </c>
      <c r="AF476" s="77">
        <f t="shared" ref="AF476:AG476" si="200">AF381-SUM(AF382,AF385,AF388,AF392,AF396)</f>
        <v>0</v>
      </c>
      <c r="AG476" s="77">
        <f t="shared" si="200"/>
        <v>0</v>
      </c>
      <c r="AH476" s="77">
        <f t="shared" ref="AH476" si="201">AH381-SUM(AH382,AH385,AH388,AH392,AH396)</f>
        <v>0</v>
      </c>
    </row>
    <row r="477" spans="2:34">
      <c r="B477" s="39" t="s">
        <v>201</v>
      </c>
      <c r="C477" s="39" t="s">
        <v>201</v>
      </c>
      <c r="D477" s="30">
        <f t="shared" ref="D477:AA477" si="202">D397-SUM(D17,-D217)</f>
        <v>0</v>
      </c>
      <c r="E477" s="30">
        <f t="shared" si="202"/>
        <v>0</v>
      </c>
      <c r="F477" s="30">
        <f t="shared" si="202"/>
        <v>0</v>
      </c>
      <c r="G477" s="30">
        <f t="shared" si="202"/>
        <v>0</v>
      </c>
      <c r="H477" s="30">
        <f t="shared" si="202"/>
        <v>0</v>
      </c>
      <c r="I477" s="76">
        <f t="shared" si="202"/>
        <v>0</v>
      </c>
      <c r="J477" s="30">
        <f t="shared" si="202"/>
        <v>0</v>
      </c>
      <c r="K477" s="30">
        <f t="shared" si="202"/>
        <v>0</v>
      </c>
      <c r="L477" s="76">
        <f t="shared" si="202"/>
        <v>0</v>
      </c>
      <c r="M477" s="76">
        <f t="shared" si="202"/>
        <v>0</v>
      </c>
      <c r="N477" s="76">
        <f t="shared" si="202"/>
        <v>0</v>
      </c>
      <c r="O477" s="76">
        <f t="shared" si="202"/>
        <v>0</v>
      </c>
      <c r="P477" s="76">
        <f t="shared" si="202"/>
        <v>0</v>
      </c>
      <c r="Q477" s="76">
        <f t="shared" si="202"/>
        <v>0</v>
      </c>
      <c r="R477" s="76">
        <f t="shared" si="202"/>
        <v>0</v>
      </c>
      <c r="S477" s="76">
        <f t="shared" si="202"/>
        <v>0</v>
      </c>
      <c r="T477" s="76">
        <f t="shared" si="202"/>
        <v>0</v>
      </c>
      <c r="U477" s="76">
        <f t="shared" si="202"/>
        <v>0</v>
      </c>
      <c r="V477" s="76">
        <f t="shared" si="202"/>
        <v>0</v>
      </c>
      <c r="W477" s="76">
        <f t="shared" si="202"/>
        <v>0</v>
      </c>
      <c r="X477" s="76">
        <f t="shared" si="202"/>
        <v>0</v>
      </c>
      <c r="Y477" s="76">
        <f t="shared" si="202"/>
        <v>0</v>
      </c>
      <c r="Z477" s="76">
        <f t="shared" si="202"/>
        <v>0</v>
      </c>
      <c r="AA477" s="76">
        <f t="shared" si="202"/>
        <v>0</v>
      </c>
      <c r="AB477" s="76">
        <f t="shared" ref="AB477:AC477" si="203">AB397-SUM(AB17,-AB217)</f>
        <v>0</v>
      </c>
      <c r="AC477" s="76">
        <f t="shared" si="203"/>
        <v>0</v>
      </c>
      <c r="AD477" s="76">
        <f t="shared" ref="AD477:AE477" si="204">AD397-SUM(AD17,-AD217)</f>
        <v>0</v>
      </c>
      <c r="AE477" s="76">
        <f t="shared" si="204"/>
        <v>0</v>
      </c>
      <c r="AF477" s="76">
        <f t="shared" ref="AF477:AG477" si="205">AF397-SUM(AF17,-AF217)</f>
        <v>0</v>
      </c>
      <c r="AG477" s="76">
        <f t="shared" si="205"/>
        <v>0</v>
      </c>
      <c r="AH477" s="76">
        <f t="shared" ref="AH477" si="206">AH397-SUM(AH17,-AH217)</f>
        <v>0</v>
      </c>
    </row>
    <row r="478" spans="2:34">
      <c r="B478" s="43" t="s">
        <v>202</v>
      </c>
      <c r="C478" s="43" t="s">
        <v>202</v>
      </c>
      <c r="D478" s="31">
        <f t="shared" ref="D478:S478" si="207">D398-SUM(D399:D415)</f>
        <v>0</v>
      </c>
      <c r="E478" s="31">
        <f t="shared" si="207"/>
        <v>0</v>
      </c>
      <c r="F478" s="31">
        <f t="shared" si="207"/>
        <v>0</v>
      </c>
      <c r="G478" s="31">
        <f t="shared" si="207"/>
        <v>0</v>
      </c>
      <c r="H478" s="31">
        <f t="shared" si="207"/>
        <v>0</v>
      </c>
      <c r="I478" s="77">
        <f t="shared" si="207"/>
        <v>0</v>
      </c>
      <c r="J478" s="31">
        <f t="shared" si="207"/>
        <v>0</v>
      </c>
      <c r="K478" s="31">
        <f t="shared" si="207"/>
        <v>0</v>
      </c>
      <c r="L478" s="77">
        <f t="shared" si="207"/>
        <v>0</v>
      </c>
      <c r="M478" s="77">
        <f t="shared" si="207"/>
        <v>0</v>
      </c>
      <c r="N478" s="77">
        <f t="shared" si="207"/>
        <v>0</v>
      </c>
      <c r="O478" s="77">
        <f t="shared" si="207"/>
        <v>0</v>
      </c>
      <c r="P478" s="77">
        <f t="shared" si="207"/>
        <v>0</v>
      </c>
      <c r="Q478" s="77">
        <f t="shared" si="207"/>
        <v>0</v>
      </c>
      <c r="R478" s="77">
        <f t="shared" si="207"/>
        <v>0</v>
      </c>
      <c r="S478" s="77">
        <f t="shared" si="207"/>
        <v>0</v>
      </c>
      <c r="T478" s="77">
        <f t="shared" ref="T478:U478" si="208">T398-SUM(T399:T415)</f>
        <v>0</v>
      </c>
      <c r="U478" s="77">
        <f t="shared" si="208"/>
        <v>0</v>
      </c>
      <c r="V478" s="77">
        <f t="shared" ref="V478:W478" si="209">V398-SUM(V399:V415)</f>
        <v>0</v>
      </c>
      <c r="W478" s="77">
        <f t="shared" si="209"/>
        <v>0</v>
      </c>
      <c r="X478" s="77">
        <f t="shared" ref="X478:AA478" si="210">X398-SUM(X399:X415)</f>
        <v>0</v>
      </c>
      <c r="Y478" s="77">
        <f t="shared" si="210"/>
        <v>0</v>
      </c>
      <c r="Z478" s="77">
        <f t="shared" si="210"/>
        <v>0</v>
      </c>
      <c r="AA478" s="77">
        <f t="shared" si="210"/>
        <v>0</v>
      </c>
      <c r="AB478" s="77">
        <f t="shared" ref="AB478:AC478" si="211">AB398-SUM(AB399:AB415)</f>
        <v>0</v>
      </c>
      <c r="AC478" s="77">
        <f t="shared" si="211"/>
        <v>0</v>
      </c>
      <c r="AD478" s="77">
        <f t="shared" ref="AD478:AE478" si="212">AD398-SUM(AD399:AD415)</f>
        <v>0</v>
      </c>
      <c r="AE478" s="77">
        <f t="shared" si="212"/>
        <v>0</v>
      </c>
      <c r="AF478" s="77">
        <f t="shared" ref="AF478:AG478" si="213">AF398-SUM(AF399:AF415)</f>
        <v>0</v>
      </c>
      <c r="AG478" s="77">
        <f t="shared" si="213"/>
        <v>0</v>
      </c>
      <c r="AH478" s="77">
        <f t="shared" ref="AH478" si="214">AH398-SUM(AH399:AH415)</f>
        <v>0</v>
      </c>
    </row>
    <row r="479" spans="2:34">
      <c r="B479" s="43" t="s">
        <v>203</v>
      </c>
      <c r="C479" s="43" t="s">
        <v>203</v>
      </c>
      <c r="D479" s="31">
        <f t="shared" ref="D479:S479" si="215">D416-SUM(D417:D434)</f>
        <v>0</v>
      </c>
      <c r="E479" s="31">
        <f t="shared" si="215"/>
        <v>0</v>
      </c>
      <c r="F479" s="31">
        <f t="shared" si="215"/>
        <v>0</v>
      </c>
      <c r="G479" s="31">
        <f t="shared" si="215"/>
        <v>0</v>
      </c>
      <c r="H479" s="31">
        <f t="shared" si="215"/>
        <v>0</v>
      </c>
      <c r="I479" s="77">
        <f t="shared" si="215"/>
        <v>0</v>
      </c>
      <c r="J479" s="31">
        <f t="shared" si="215"/>
        <v>0</v>
      </c>
      <c r="K479" s="31">
        <f t="shared" si="215"/>
        <v>0</v>
      </c>
      <c r="L479" s="77">
        <f t="shared" si="215"/>
        <v>0</v>
      </c>
      <c r="M479" s="77">
        <f t="shared" si="215"/>
        <v>0</v>
      </c>
      <c r="N479" s="77">
        <f t="shared" si="215"/>
        <v>0</v>
      </c>
      <c r="O479" s="77">
        <f t="shared" si="215"/>
        <v>0</v>
      </c>
      <c r="P479" s="77">
        <f t="shared" si="215"/>
        <v>0</v>
      </c>
      <c r="Q479" s="77">
        <f t="shared" si="215"/>
        <v>0</v>
      </c>
      <c r="R479" s="77">
        <f t="shared" si="215"/>
        <v>0</v>
      </c>
      <c r="S479" s="77">
        <f t="shared" si="215"/>
        <v>0</v>
      </c>
      <c r="T479" s="77">
        <f t="shared" ref="T479:U479" si="216">T416-SUM(T417:T434)</f>
        <v>0</v>
      </c>
      <c r="U479" s="77">
        <f t="shared" si="216"/>
        <v>0</v>
      </c>
      <c r="V479" s="77">
        <f t="shared" ref="V479:W479" si="217">V416-SUM(V417:V434)</f>
        <v>0</v>
      </c>
      <c r="W479" s="77">
        <f t="shared" si="217"/>
        <v>0</v>
      </c>
      <c r="X479" s="77">
        <f t="shared" ref="X479:AA479" si="218">X416-SUM(X417:X434)</f>
        <v>0</v>
      </c>
      <c r="Y479" s="77">
        <f t="shared" si="218"/>
        <v>0</v>
      </c>
      <c r="Z479" s="77">
        <f t="shared" si="218"/>
        <v>0</v>
      </c>
      <c r="AA479" s="77">
        <f t="shared" si="218"/>
        <v>0</v>
      </c>
      <c r="AB479" s="77">
        <f t="shared" ref="AB479:AC479" si="219">AB416-SUM(AB417:AB434)</f>
        <v>0</v>
      </c>
      <c r="AC479" s="77">
        <f t="shared" si="219"/>
        <v>0</v>
      </c>
      <c r="AD479" s="77">
        <f t="shared" ref="AD479:AE479" si="220">AD416-SUM(AD417:AD434)</f>
        <v>0</v>
      </c>
      <c r="AE479" s="77">
        <f t="shared" si="220"/>
        <v>0</v>
      </c>
      <c r="AF479" s="77">
        <f t="shared" ref="AF479:AG479" si="221">AF416-SUM(AF417:AF434)</f>
        <v>0</v>
      </c>
      <c r="AG479" s="77">
        <f t="shared" si="221"/>
        <v>0</v>
      </c>
      <c r="AH479" s="77">
        <f t="shared" ref="AH479" si="222">AH416-SUM(AH417:AH434)</f>
        <v>0</v>
      </c>
    </row>
    <row r="480" spans="2:34">
      <c r="B480" s="39" t="s">
        <v>204</v>
      </c>
      <c r="C480" s="39" t="s">
        <v>204</v>
      </c>
      <c r="D480" s="30">
        <f t="shared" ref="D480:S480" si="223">D435-SUM(D397,(D398-D416))</f>
        <v>0</v>
      </c>
      <c r="E480" s="30">
        <f t="shared" si="223"/>
        <v>0</v>
      </c>
      <c r="F480" s="30">
        <f t="shared" si="223"/>
        <v>0</v>
      </c>
      <c r="G480" s="30">
        <f t="shared" si="223"/>
        <v>0</v>
      </c>
      <c r="H480" s="30">
        <f t="shared" si="223"/>
        <v>0</v>
      </c>
      <c r="I480" s="76">
        <f t="shared" si="223"/>
        <v>0</v>
      </c>
      <c r="J480" s="30">
        <f t="shared" si="223"/>
        <v>0</v>
      </c>
      <c r="K480" s="30">
        <f t="shared" si="223"/>
        <v>0</v>
      </c>
      <c r="L480" s="76">
        <f t="shared" si="223"/>
        <v>0</v>
      </c>
      <c r="M480" s="76">
        <f t="shared" si="223"/>
        <v>0</v>
      </c>
      <c r="N480" s="76">
        <f t="shared" si="223"/>
        <v>0</v>
      </c>
      <c r="O480" s="76">
        <f t="shared" si="223"/>
        <v>0</v>
      </c>
      <c r="P480" s="76">
        <f t="shared" si="223"/>
        <v>0</v>
      </c>
      <c r="Q480" s="76">
        <f t="shared" si="223"/>
        <v>0</v>
      </c>
      <c r="R480" s="76">
        <f t="shared" si="223"/>
        <v>0</v>
      </c>
      <c r="S480" s="76">
        <f t="shared" si="223"/>
        <v>0</v>
      </c>
      <c r="T480" s="76">
        <f t="shared" ref="T480:U480" si="224">T435-SUM(T397,(T398-T416))</f>
        <v>0</v>
      </c>
      <c r="U480" s="76">
        <f t="shared" si="224"/>
        <v>0</v>
      </c>
      <c r="V480" s="76">
        <f t="shared" ref="V480:W480" si="225">V435-SUM(V397,(V398-V416))</f>
        <v>0</v>
      </c>
      <c r="W480" s="76">
        <f t="shared" si="225"/>
        <v>0</v>
      </c>
      <c r="X480" s="76">
        <f t="shared" ref="X480:AA480" si="226">X435-SUM(X397,(X398-X416))</f>
        <v>0</v>
      </c>
      <c r="Y480" s="76">
        <f t="shared" si="226"/>
        <v>0</v>
      </c>
      <c r="Z480" s="76">
        <f t="shared" si="226"/>
        <v>0</v>
      </c>
      <c r="AA480" s="76">
        <f t="shared" si="226"/>
        <v>0</v>
      </c>
      <c r="AB480" s="76">
        <f t="shared" ref="AB480:AC480" si="227">AB435-SUM(AB397,(AB398-AB416))</f>
        <v>0</v>
      </c>
      <c r="AC480" s="76">
        <f t="shared" si="227"/>
        <v>0</v>
      </c>
      <c r="AD480" s="76">
        <f t="shared" ref="AD480:AE480" si="228">AD435-SUM(AD397,(AD398-AD416))</f>
        <v>0</v>
      </c>
      <c r="AE480" s="76">
        <f t="shared" si="228"/>
        <v>0</v>
      </c>
      <c r="AF480" s="76">
        <f t="shared" ref="AF480:AG480" si="229">AF435-SUM(AF397,(AF398-AF416))</f>
        <v>0</v>
      </c>
      <c r="AG480" s="76">
        <f t="shared" si="229"/>
        <v>0</v>
      </c>
      <c r="AH480" s="76">
        <f t="shared" ref="AH480" si="230">AH435-SUM(AH397,(AH398-AH416))</f>
        <v>0</v>
      </c>
    </row>
    <row r="481" spans="1:34">
      <c r="B481" s="39" t="s">
        <v>205</v>
      </c>
      <c r="C481" s="39" t="s">
        <v>205</v>
      </c>
      <c r="D481" s="30">
        <f t="shared" ref="D481:S481" si="231">D437-SUM(D435,-D436)</f>
        <v>0</v>
      </c>
      <c r="E481" s="30">
        <f t="shared" si="231"/>
        <v>0</v>
      </c>
      <c r="F481" s="30">
        <f t="shared" si="231"/>
        <v>0</v>
      </c>
      <c r="G481" s="30">
        <f t="shared" si="231"/>
        <v>0</v>
      </c>
      <c r="H481" s="30">
        <f t="shared" si="231"/>
        <v>0</v>
      </c>
      <c r="I481" s="76">
        <f t="shared" si="231"/>
        <v>0</v>
      </c>
      <c r="J481" s="30">
        <f t="shared" si="231"/>
        <v>0</v>
      </c>
      <c r="K481" s="30">
        <f t="shared" si="231"/>
        <v>0</v>
      </c>
      <c r="L481" s="76">
        <f t="shared" si="231"/>
        <v>0</v>
      </c>
      <c r="M481" s="76">
        <f t="shared" si="231"/>
        <v>0</v>
      </c>
      <c r="N481" s="76">
        <f t="shared" si="231"/>
        <v>0</v>
      </c>
      <c r="O481" s="76">
        <f t="shared" si="231"/>
        <v>0</v>
      </c>
      <c r="P481" s="76">
        <f t="shared" si="231"/>
        <v>0</v>
      </c>
      <c r="Q481" s="76">
        <f t="shared" si="231"/>
        <v>0</v>
      </c>
      <c r="R481" s="76">
        <f t="shared" si="231"/>
        <v>0</v>
      </c>
      <c r="S481" s="76">
        <f t="shared" si="231"/>
        <v>0</v>
      </c>
      <c r="T481" s="76">
        <f t="shared" ref="T481:U481" si="232">T437-SUM(T435,-T436)</f>
        <v>0</v>
      </c>
      <c r="U481" s="76">
        <f t="shared" si="232"/>
        <v>0</v>
      </c>
      <c r="V481" s="76">
        <f t="shared" ref="V481:W481" si="233">V437-SUM(V435,-V436)</f>
        <v>0</v>
      </c>
      <c r="W481" s="76">
        <f t="shared" si="233"/>
        <v>0</v>
      </c>
      <c r="X481" s="76">
        <f t="shared" ref="X481:AA481" si="234">X437-SUM(X435,-X436)</f>
        <v>0</v>
      </c>
      <c r="Y481" s="76">
        <f t="shared" si="234"/>
        <v>0</v>
      </c>
      <c r="Z481" s="76">
        <f t="shared" si="234"/>
        <v>0</v>
      </c>
      <c r="AA481" s="76">
        <f t="shared" si="234"/>
        <v>0</v>
      </c>
      <c r="AB481" s="76">
        <f t="shared" ref="AB481:AC481" si="235">AB437-SUM(AB435,-AB436)</f>
        <v>0</v>
      </c>
      <c r="AC481" s="76">
        <f t="shared" si="235"/>
        <v>0</v>
      </c>
      <c r="AD481" s="76">
        <f t="shared" ref="AD481:AE481" si="236">AD437-SUM(AD435,-AD436)</f>
        <v>0</v>
      </c>
      <c r="AE481" s="76">
        <f t="shared" si="236"/>
        <v>0</v>
      </c>
      <c r="AF481" s="76">
        <f t="shared" ref="AF481:AG481" si="237">AF437-SUM(AF435,-AF436)</f>
        <v>0</v>
      </c>
      <c r="AG481" s="76">
        <f t="shared" si="237"/>
        <v>0</v>
      </c>
      <c r="AH481" s="76">
        <f t="shared" ref="AH481" si="238">AH437-SUM(AH435,-AH436)</f>
        <v>0</v>
      </c>
    </row>
    <row r="482" spans="1:34">
      <c r="B482" s="39" t="s">
        <v>206</v>
      </c>
      <c r="C482" s="39" t="s">
        <v>206</v>
      </c>
      <c r="D482" s="30">
        <f t="shared" ref="D482:S482" si="239">D439-SUM(D437,D438)</f>
        <v>0</v>
      </c>
      <c r="E482" s="30">
        <f t="shared" si="239"/>
        <v>0</v>
      </c>
      <c r="F482" s="30">
        <f t="shared" si="239"/>
        <v>0</v>
      </c>
      <c r="G482" s="30">
        <f t="shared" si="239"/>
        <v>0</v>
      </c>
      <c r="H482" s="30">
        <f t="shared" si="239"/>
        <v>0</v>
      </c>
      <c r="I482" s="76">
        <f t="shared" si="239"/>
        <v>0</v>
      </c>
      <c r="J482" s="30">
        <f t="shared" si="239"/>
        <v>0</v>
      </c>
      <c r="K482" s="30">
        <f t="shared" si="239"/>
        <v>0</v>
      </c>
      <c r="L482" s="76">
        <f t="shared" si="239"/>
        <v>0</v>
      </c>
      <c r="M482" s="76">
        <f t="shared" si="239"/>
        <v>0</v>
      </c>
      <c r="N482" s="76">
        <f t="shared" si="239"/>
        <v>0</v>
      </c>
      <c r="O482" s="76">
        <f t="shared" si="239"/>
        <v>0</v>
      </c>
      <c r="P482" s="76">
        <f t="shared" si="239"/>
        <v>0</v>
      </c>
      <c r="Q482" s="76">
        <f t="shared" si="239"/>
        <v>0</v>
      </c>
      <c r="R482" s="76">
        <f t="shared" si="239"/>
        <v>0</v>
      </c>
      <c r="S482" s="76">
        <f t="shared" si="239"/>
        <v>0</v>
      </c>
      <c r="T482" s="76">
        <f t="shared" ref="T482:U482" si="240">T439-SUM(T437,T438)</f>
        <v>0</v>
      </c>
      <c r="U482" s="76">
        <f t="shared" si="240"/>
        <v>0</v>
      </c>
      <c r="V482" s="76">
        <f t="shared" ref="V482:W482" si="241">V439-SUM(V437,V438)</f>
        <v>0</v>
      </c>
      <c r="W482" s="76">
        <f t="shared" si="241"/>
        <v>0</v>
      </c>
      <c r="X482" s="76">
        <f t="shared" ref="X482:AA482" si="242">X439-SUM(X437,X438)</f>
        <v>0</v>
      </c>
      <c r="Y482" s="76">
        <f t="shared" si="242"/>
        <v>0</v>
      </c>
      <c r="Z482" s="76">
        <f t="shared" si="242"/>
        <v>0</v>
      </c>
      <c r="AA482" s="76">
        <f t="shared" si="242"/>
        <v>0</v>
      </c>
      <c r="AB482" s="76">
        <f t="shared" ref="AB482:AC482" si="243">AB439-SUM(AB437,AB438)</f>
        <v>0</v>
      </c>
      <c r="AC482" s="76">
        <f t="shared" si="243"/>
        <v>0</v>
      </c>
      <c r="AD482" s="76">
        <f t="shared" ref="AD482:AE482" si="244">AD439-SUM(AD437,AD438)</f>
        <v>0</v>
      </c>
      <c r="AE482" s="76">
        <f t="shared" si="244"/>
        <v>0</v>
      </c>
      <c r="AF482" s="76">
        <f t="shared" ref="AF482:AG482" si="245">AF439-SUM(AF437,AF438)</f>
        <v>0</v>
      </c>
      <c r="AG482" s="76">
        <f t="shared" si="245"/>
        <v>0</v>
      </c>
      <c r="AH482" s="76">
        <f t="shared" ref="AH482" si="246">AH439-SUM(AH437,AH438)</f>
        <v>0</v>
      </c>
    </row>
    <row r="483" spans="1:34">
      <c r="B483" s="39" t="s">
        <v>175</v>
      </c>
      <c r="C483" s="39" t="s">
        <v>175</v>
      </c>
      <c r="D483" s="30">
        <f>D442-SUM(D443:D450,-D451)</f>
        <v>0</v>
      </c>
      <c r="E483" s="30">
        <f>E442-SUM(E443:E450,E451)</f>
        <v>8866929730</v>
      </c>
      <c r="F483" s="30">
        <f>F442-SUM(F443:F450,-F451)</f>
        <v>0</v>
      </c>
      <c r="G483" s="30">
        <f>G442-SUM(G443:G450,G451)</f>
        <v>22711507252</v>
      </c>
      <c r="H483" s="76">
        <f>H442-SUM(H443:H451)</f>
        <v>4496462166</v>
      </c>
      <c r="I483" s="76">
        <f>I442-SUM(I443:I450,I451)</f>
        <v>14888509232</v>
      </c>
      <c r="J483" s="30">
        <f t="shared" ref="J483:R483" si="247">J442-SUM(J443:J450,-J451)</f>
        <v>0</v>
      </c>
      <c r="K483" s="76">
        <f>K442-SUM(K443:K451)</f>
        <v>4482805414</v>
      </c>
      <c r="L483" s="76">
        <f t="shared" si="247"/>
        <v>0</v>
      </c>
      <c r="M483" s="76">
        <f t="shared" si="247"/>
        <v>0</v>
      </c>
      <c r="N483" s="76">
        <f t="shared" si="247"/>
        <v>0</v>
      </c>
      <c r="O483" s="76">
        <f>O442-SUM(O443:O451)</f>
        <v>33548978778</v>
      </c>
      <c r="P483" s="76">
        <f t="shared" si="247"/>
        <v>0</v>
      </c>
      <c r="Q483" s="76">
        <f t="shared" si="247"/>
        <v>0</v>
      </c>
      <c r="R483" s="76">
        <f t="shared" si="247"/>
        <v>0</v>
      </c>
      <c r="S483" s="76"/>
      <c r="T483" s="76">
        <f t="shared" ref="T483:U483" si="248">T442-SUM(T443:T450,-T451)</f>
        <v>0</v>
      </c>
      <c r="U483" s="76">
        <f t="shared" si="248"/>
        <v>0</v>
      </c>
      <c r="V483" s="76">
        <f t="shared" ref="V483:W483" si="249">V442-SUM(V443:V450,-V451)</f>
        <v>0</v>
      </c>
      <c r="W483" s="76">
        <f t="shared" si="249"/>
        <v>0</v>
      </c>
      <c r="X483" s="76">
        <f t="shared" ref="X483:AA483" si="250">X442-SUM(X443:X450,-X451)</f>
        <v>0</v>
      </c>
      <c r="Y483" s="76">
        <f t="shared" si="250"/>
        <v>0</v>
      </c>
      <c r="Z483" s="76">
        <f t="shared" si="250"/>
        <v>0</v>
      </c>
      <c r="AA483" s="76">
        <f t="shared" si="250"/>
        <v>0</v>
      </c>
      <c r="AB483" s="76">
        <f t="shared" ref="AB483:AC483" si="251">AB442-SUM(AB443:AB450,-AB451)</f>
        <v>0</v>
      </c>
      <c r="AC483" s="76">
        <f t="shared" si="251"/>
        <v>0</v>
      </c>
      <c r="AD483" s="76">
        <f t="shared" ref="AD483:AE483" si="252">AD442-SUM(AD443:AD450,-AD451)</f>
        <v>0</v>
      </c>
      <c r="AE483" s="76">
        <f t="shared" si="252"/>
        <v>0</v>
      </c>
      <c r="AF483" s="76">
        <f t="shared" ref="AF483:AG483" si="253">AF442-SUM(AF443:AF450,-AF451)</f>
        <v>0</v>
      </c>
      <c r="AG483" s="76">
        <f t="shared" si="253"/>
        <v>0</v>
      </c>
      <c r="AH483" s="76">
        <f t="shared" ref="AH483" si="254">AH442-SUM(AH443:AH450,-AH451)</f>
        <v>0</v>
      </c>
    </row>
    <row r="484" spans="1:34">
      <c r="B484" s="39" t="s">
        <v>207</v>
      </c>
      <c r="C484" s="39" t="s">
        <v>207</v>
      </c>
      <c r="D484" s="30">
        <f t="shared" ref="D484:S484" si="255">D452-SUM(D439,D442)</f>
        <v>0</v>
      </c>
      <c r="E484" s="30">
        <f t="shared" si="255"/>
        <v>0</v>
      </c>
      <c r="F484" s="30">
        <f t="shared" si="255"/>
        <v>0</v>
      </c>
      <c r="G484" s="30">
        <f t="shared" si="255"/>
        <v>0</v>
      </c>
      <c r="H484" s="30">
        <f t="shared" si="255"/>
        <v>0</v>
      </c>
      <c r="I484" s="76">
        <f t="shared" si="255"/>
        <v>0</v>
      </c>
      <c r="J484" s="30">
        <f t="shared" si="255"/>
        <v>0</v>
      </c>
      <c r="K484" s="30">
        <f t="shared" si="255"/>
        <v>0</v>
      </c>
      <c r="L484" s="76">
        <f t="shared" si="255"/>
        <v>0</v>
      </c>
      <c r="M484" s="76">
        <f t="shared" si="255"/>
        <v>0</v>
      </c>
      <c r="N484" s="76">
        <f t="shared" si="255"/>
        <v>0</v>
      </c>
      <c r="O484" s="76">
        <f t="shared" si="255"/>
        <v>0</v>
      </c>
      <c r="P484" s="76">
        <f t="shared" si="255"/>
        <v>0</v>
      </c>
      <c r="Q484" s="76">
        <f t="shared" si="255"/>
        <v>0</v>
      </c>
      <c r="R484" s="76">
        <f t="shared" si="255"/>
        <v>0</v>
      </c>
      <c r="S484" s="76">
        <f t="shared" si="255"/>
        <v>0</v>
      </c>
      <c r="T484" s="76">
        <f t="shared" ref="T484:U484" si="256">T452-SUM(T439,T442)</f>
        <v>0</v>
      </c>
      <c r="U484" s="76">
        <f t="shared" si="256"/>
        <v>0</v>
      </c>
      <c r="V484" s="76">
        <f t="shared" ref="V484:W484" si="257">V452-SUM(V439,V442)</f>
        <v>0</v>
      </c>
      <c r="W484" s="76">
        <f t="shared" si="257"/>
        <v>0</v>
      </c>
      <c r="X484" s="76">
        <f t="shared" ref="X484:AA484" si="258">X452-SUM(X439,X442)</f>
        <v>0</v>
      </c>
      <c r="Y484" s="76">
        <f t="shared" si="258"/>
        <v>0</v>
      </c>
      <c r="Z484" s="76">
        <f t="shared" si="258"/>
        <v>0</v>
      </c>
      <c r="AA484" s="76">
        <f t="shared" si="258"/>
        <v>0</v>
      </c>
      <c r="AB484" s="76">
        <f t="shared" ref="AB484:AC484" si="259">AB452-SUM(AB439,AB442)</f>
        <v>0</v>
      </c>
      <c r="AC484" s="76">
        <f t="shared" si="259"/>
        <v>0</v>
      </c>
      <c r="AD484" s="76">
        <f t="shared" ref="AD484:AE484" si="260">AD452-SUM(AD439,AD442)</f>
        <v>0</v>
      </c>
      <c r="AE484" s="76">
        <f t="shared" si="260"/>
        <v>0</v>
      </c>
      <c r="AF484" s="76">
        <f t="shared" ref="AF484:AG484" si="261">AF452-SUM(AF439,AF442)</f>
        <v>0</v>
      </c>
      <c r="AG484" s="76">
        <f t="shared" si="261"/>
        <v>0</v>
      </c>
      <c r="AH484" s="76">
        <f t="shared" ref="AH484" si="262">AH452-SUM(AH439,AH442)</f>
        <v>0</v>
      </c>
    </row>
    <row r="485" spans="1:34">
      <c r="B485" s="46"/>
      <c r="C485" s="46"/>
      <c r="D485" s="32"/>
      <c r="E485" s="32"/>
      <c r="F485" s="32"/>
      <c r="G485" s="32"/>
      <c r="H485" s="32"/>
      <c r="I485" s="78"/>
      <c r="J485" s="32"/>
      <c r="K485" s="32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  <c r="AD485" s="81"/>
      <c r="AE485" s="81"/>
      <c r="AF485" s="81"/>
      <c r="AG485" s="81"/>
      <c r="AH485" s="81"/>
    </row>
    <row r="487" spans="1:34">
      <c r="D487" s="58"/>
      <c r="E487" s="58"/>
      <c r="F487" s="58"/>
      <c r="G487" s="58"/>
      <c r="H487" s="58"/>
      <c r="J487" s="58"/>
      <c r="K487" s="58"/>
    </row>
    <row r="488" spans="1:34">
      <c r="D488" s="58"/>
      <c r="E488" s="58"/>
      <c r="F488" s="58"/>
      <c r="G488" s="58"/>
      <c r="H488" s="58"/>
      <c r="J488" s="58"/>
      <c r="K488" s="58"/>
    </row>
    <row r="489" spans="1:34">
      <c r="D489" s="58"/>
      <c r="E489" s="58"/>
      <c r="F489" s="58"/>
      <c r="G489" s="58"/>
      <c r="H489" s="58"/>
      <c r="J489" s="58"/>
      <c r="K489" s="58"/>
    </row>
    <row r="490" spans="1:34" s="494" customFormat="1">
      <c r="A490" s="490" t="s">
        <v>874</v>
      </c>
      <c r="B490" s="491"/>
      <c r="C490" s="491"/>
      <c r="D490" s="492"/>
      <c r="E490" s="492"/>
      <c r="F490" s="493"/>
      <c r="G490" s="493"/>
      <c r="H490" s="493"/>
      <c r="I490" s="493"/>
      <c r="J490" s="493"/>
      <c r="K490" s="493"/>
      <c r="L490" s="493"/>
      <c r="M490" s="493"/>
      <c r="N490" s="493"/>
      <c r="O490" s="493"/>
      <c r="P490" s="493"/>
      <c r="Q490" s="493"/>
      <c r="R490" s="493"/>
      <c r="S490" s="493"/>
      <c r="T490" s="493"/>
      <c r="U490" s="493"/>
      <c r="V490" s="493"/>
      <c r="W490" s="493"/>
      <c r="X490" s="493"/>
      <c r="Y490" s="493"/>
      <c r="Z490" s="493"/>
      <c r="AA490" s="493"/>
      <c r="AB490" s="493"/>
      <c r="AC490" s="493"/>
      <c r="AD490" s="493"/>
      <c r="AE490" s="493"/>
      <c r="AF490" s="493"/>
      <c r="AG490" s="493"/>
      <c r="AH490" s="493"/>
    </row>
    <row r="491" spans="1:34">
      <c r="D491" s="58"/>
      <c r="E491" s="58"/>
      <c r="F491" s="58"/>
      <c r="G491" s="58"/>
      <c r="H491" s="58"/>
      <c r="J491" s="58"/>
      <c r="K491" s="58"/>
    </row>
    <row r="492" spans="1:34" outlineLevel="1">
      <c r="B492" s="34" t="s">
        <v>13</v>
      </c>
      <c r="C492" s="34" t="s">
        <v>13</v>
      </c>
      <c r="D492" s="495">
        <f t="shared" ref="D492:S492" si="263">D$19</f>
        <v>333998682604</v>
      </c>
      <c r="E492" s="495">
        <f t="shared" si="263"/>
        <v>60789660487</v>
      </c>
      <c r="F492" s="495">
        <f t="shared" si="263"/>
        <v>0</v>
      </c>
      <c r="G492" s="495">
        <f t="shared" si="263"/>
        <v>193093527508</v>
      </c>
      <c r="H492" s="495">
        <f t="shared" si="263"/>
        <v>250902953769</v>
      </c>
      <c r="I492" s="495">
        <f t="shared" si="263"/>
        <v>68795418295</v>
      </c>
      <c r="J492" s="495">
        <f t="shared" si="263"/>
        <v>129007347485</v>
      </c>
      <c r="K492" s="495">
        <f t="shared" si="263"/>
        <v>183262698546</v>
      </c>
      <c r="L492" s="495">
        <f t="shared" si="263"/>
        <v>58514979278</v>
      </c>
      <c r="M492" s="495">
        <f t="shared" si="263"/>
        <v>112704448785</v>
      </c>
      <c r="N492" s="495">
        <f t="shared" si="263"/>
        <v>173858078841</v>
      </c>
      <c r="O492" s="495">
        <f t="shared" si="263"/>
        <v>232910594031</v>
      </c>
      <c r="P492" s="495">
        <f t="shared" si="263"/>
        <v>65926719142</v>
      </c>
      <c r="Q492" s="495">
        <f t="shared" si="263"/>
        <v>154519404719</v>
      </c>
      <c r="R492" s="495">
        <f t="shared" si="263"/>
        <v>235870391444</v>
      </c>
      <c r="S492" s="495">
        <f t="shared" si="263"/>
        <v>298245107059</v>
      </c>
      <c r="T492" s="495">
        <f t="shared" ref="T492:AH492" si="264">T$19</f>
        <v>66165809804</v>
      </c>
      <c r="U492" s="495">
        <f t="shared" si="264"/>
        <v>132460279041</v>
      </c>
      <c r="V492" s="495">
        <f t="shared" si="264"/>
        <v>196522422961</v>
      </c>
      <c r="W492" s="495">
        <f t="shared" si="264"/>
        <v>251648497235</v>
      </c>
      <c r="X492" s="495">
        <f t="shared" si="264"/>
        <v>54780711432</v>
      </c>
      <c r="Y492" s="495">
        <f t="shared" si="264"/>
        <v>120572662181</v>
      </c>
      <c r="Z492" s="495">
        <f t="shared" si="264"/>
        <v>185784869635</v>
      </c>
      <c r="AA492" s="495">
        <f t="shared" si="264"/>
        <v>259755960650</v>
      </c>
      <c r="AB492" s="495">
        <f t="shared" si="264"/>
        <v>92404290827</v>
      </c>
      <c r="AC492" s="495">
        <f t="shared" si="264"/>
        <v>170960210548</v>
      </c>
      <c r="AD492" s="495">
        <f t="shared" si="264"/>
        <v>229894373131</v>
      </c>
      <c r="AE492" s="495">
        <f t="shared" si="264"/>
        <v>290765589044</v>
      </c>
      <c r="AF492" s="495">
        <f t="shared" si="264"/>
        <v>61666336751</v>
      </c>
      <c r="AG492" s="495">
        <f t="shared" si="264"/>
        <v>120387304127</v>
      </c>
      <c r="AH492" s="495">
        <f t="shared" si="264"/>
        <v>177586362239</v>
      </c>
    </row>
    <row r="493" spans="1:34" outlineLevel="1">
      <c r="B493" s="34" t="s">
        <v>830</v>
      </c>
      <c r="C493" s="34" t="s">
        <v>830</v>
      </c>
      <c r="D493" s="495">
        <f t="shared" ref="D493:S493" si="265">SUM(D$203,D$206,D$209,D$213,D$155,D$178)</f>
        <v>58330723290</v>
      </c>
      <c r="E493" s="495">
        <f t="shared" si="265"/>
        <v>12423604516</v>
      </c>
      <c r="F493" s="495">
        <f t="shared" si="265"/>
        <v>0</v>
      </c>
      <c r="G493" s="495">
        <f t="shared" si="265"/>
        <v>35276990113</v>
      </c>
      <c r="H493" s="495">
        <f t="shared" si="265"/>
        <v>45178543295</v>
      </c>
      <c r="I493" s="495">
        <f t="shared" si="265"/>
        <v>9294712145</v>
      </c>
      <c r="J493" s="495">
        <f t="shared" si="265"/>
        <v>18834493939</v>
      </c>
      <c r="K493" s="495">
        <f t="shared" si="265"/>
        <v>28023204079</v>
      </c>
      <c r="L493" s="495">
        <f t="shared" si="265"/>
        <v>8856521402</v>
      </c>
      <c r="M493" s="495">
        <f t="shared" si="265"/>
        <v>18194274405</v>
      </c>
      <c r="N493" s="495">
        <f t="shared" si="265"/>
        <v>28030579043</v>
      </c>
      <c r="O493" s="495">
        <f t="shared" si="265"/>
        <v>38500017122</v>
      </c>
      <c r="P493" s="495">
        <f t="shared" si="265"/>
        <v>8813490552</v>
      </c>
      <c r="Q493" s="495">
        <f t="shared" si="265"/>
        <v>18390489237</v>
      </c>
      <c r="R493" s="495">
        <f t="shared" si="265"/>
        <v>26987861492</v>
      </c>
      <c r="S493" s="495">
        <f t="shared" si="265"/>
        <v>34608894381</v>
      </c>
      <c r="T493" s="495">
        <f t="shared" ref="T493:AH493" si="266">SUM(T$203,T$206,T$209,T$213,T$155,T$178)</f>
        <v>8534839904</v>
      </c>
      <c r="U493" s="495">
        <f t="shared" si="266"/>
        <v>16376606752</v>
      </c>
      <c r="V493" s="495">
        <f t="shared" si="266"/>
        <v>24237268420</v>
      </c>
      <c r="W493" s="495">
        <f t="shared" si="266"/>
        <v>32238877725</v>
      </c>
      <c r="X493" s="495">
        <f t="shared" si="266"/>
        <v>7550309814</v>
      </c>
      <c r="Y493" s="495">
        <f t="shared" si="266"/>
        <v>15739320622</v>
      </c>
      <c r="Z493" s="495">
        <f t="shared" si="266"/>
        <v>24129856434</v>
      </c>
      <c r="AA493" s="495">
        <f t="shared" si="266"/>
        <v>33071314152</v>
      </c>
      <c r="AB493" s="495">
        <f t="shared" si="266"/>
        <v>9878443899</v>
      </c>
      <c r="AC493" s="495">
        <f t="shared" si="266"/>
        <v>20669282487</v>
      </c>
      <c r="AD493" s="495">
        <f t="shared" si="266"/>
        <v>30470246898</v>
      </c>
      <c r="AE493" s="495">
        <f t="shared" si="266"/>
        <v>40527765541</v>
      </c>
      <c r="AF493" s="495">
        <f t="shared" si="266"/>
        <v>10134423813</v>
      </c>
      <c r="AG493" s="495">
        <f t="shared" si="266"/>
        <v>20811297249</v>
      </c>
      <c r="AH493" s="495">
        <f t="shared" si="266"/>
        <v>30676922921</v>
      </c>
    </row>
    <row r="494" spans="1:34" outlineLevel="1">
      <c r="B494" s="34" t="s">
        <v>82</v>
      </c>
      <c r="C494" s="34" t="s">
        <v>82</v>
      </c>
      <c r="D494" s="495">
        <f t="shared" ref="D494:S494" si="267">D$219</f>
        <v>27747322350</v>
      </c>
      <c r="E494" s="495">
        <f t="shared" si="267"/>
        <v>6513487918</v>
      </c>
      <c r="F494" s="495">
        <f t="shared" si="267"/>
        <v>0</v>
      </c>
      <c r="G494" s="495">
        <f t="shared" si="267"/>
        <v>19091218659</v>
      </c>
      <c r="H494" s="495">
        <f t="shared" si="267"/>
        <v>25003020466</v>
      </c>
      <c r="I494" s="495">
        <f t="shared" si="267"/>
        <v>7812477898</v>
      </c>
      <c r="J494" s="495">
        <f t="shared" si="267"/>
        <v>14866067786</v>
      </c>
      <c r="K494" s="495">
        <f t="shared" si="267"/>
        <v>21719649107</v>
      </c>
      <c r="L494" s="495">
        <f t="shared" si="267"/>
        <v>6944166589</v>
      </c>
      <c r="M494" s="495">
        <f t="shared" si="267"/>
        <v>12682910883</v>
      </c>
      <c r="N494" s="495">
        <f t="shared" si="267"/>
        <v>19355747378</v>
      </c>
      <c r="O494" s="495">
        <f t="shared" si="267"/>
        <v>26777393731</v>
      </c>
      <c r="P494" s="495">
        <f t="shared" si="267"/>
        <v>7384809253</v>
      </c>
      <c r="Q494" s="495">
        <f t="shared" si="267"/>
        <v>16237788266</v>
      </c>
      <c r="R494" s="495">
        <f t="shared" si="267"/>
        <v>27263657062</v>
      </c>
      <c r="S494" s="495">
        <f t="shared" si="267"/>
        <v>36787555971</v>
      </c>
      <c r="T494" s="495">
        <f t="shared" ref="T494:AH494" si="268">T$219</f>
        <v>10742733880</v>
      </c>
      <c r="U494" s="495">
        <f t="shared" si="268"/>
        <v>20598245403</v>
      </c>
      <c r="V494" s="495">
        <f t="shared" si="268"/>
        <v>30703211058</v>
      </c>
      <c r="W494" s="495">
        <f t="shared" si="268"/>
        <v>41039454079</v>
      </c>
      <c r="X494" s="495">
        <f t="shared" si="268"/>
        <v>9605893064</v>
      </c>
      <c r="Y494" s="495">
        <f t="shared" si="268"/>
        <v>20483036717</v>
      </c>
      <c r="Z494" s="495">
        <f t="shared" si="268"/>
        <v>31921789913</v>
      </c>
      <c r="AA494" s="495">
        <f t="shared" si="268"/>
        <v>44301136112</v>
      </c>
      <c r="AB494" s="495">
        <f t="shared" si="268"/>
        <v>16143202035</v>
      </c>
      <c r="AC494" s="495">
        <f t="shared" si="268"/>
        <v>28869506203</v>
      </c>
      <c r="AD494" s="495">
        <f t="shared" si="268"/>
        <v>40822556112</v>
      </c>
      <c r="AE494" s="495">
        <f t="shared" si="268"/>
        <v>56586526075</v>
      </c>
      <c r="AF494" s="495">
        <f t="shared" si="268"/>
        <v>13572194067</v>
      </c>
      <c r="AG494" s="495">
        <f t="shared" si="268"/>
        <v>27135259041</v>
      </c>
      <c r="AH494" s="495">
        <f t="shared" si="268"/>
        <v>41248399451</v>
      </c>
    </row>
    <row r="495" spans="1:34" outlineLevel="1">
      <c r="B495" s="34" t="s">
        <v>83</v>
      </c>
      <c r="C495" s="34" t="s">
        <v>83</v>
      </c>
      <c r="D495" s="495">
        <f t="shared" ref="D495:S495" si="269">D$305</f>
        <v>13419236088</v>
      </c>
      <c r="E495" s="495">
        <f t="shared" si="269"/>
        <v>4094890947</v>
      </c>
      <c r="F495" s="495">
        <f t="shared" si="269"/>
        <v>0</v>
      </c>
      <c r="G495" s="495">
        <f t="shared" si="269"/>
        <v>12263969308</v>
      </c>
      <c r="H495" s="495">
        <f t="shared" si="269"/>
        <v>16124403030</v>
      </c>
      <c r="I495" s="495">
        <f t="shared" si="269"/>
        <v>3780702776</v>
      </c>
      <c r="J495" s="495">
        <f t="shared" si="269"/>
        <v>7985472616</v>
      </c>
      <c r="K495" s="495">
        <f t="shared" si="269"/>
        <v>12019099808</v>
      </c>
      <c r="L495" s="495">
        <f t="shared" si="269"/>
        <v>4862313985</v>
      </c>
      <c r="M495" s="495">
        <f t="shared" si="269"/>
        <v>9771643132</v>
      </c>
      <c r="N495" s="495">
        <f t="shared" si="269"/>
        <v>14591803671</v>
      </c>
      <c r="O495" s="495">
        <f t="shared" si="269"/>
        <v>19185692965</v>
      </c>
      <c r="P495" s="495">
        <f t="shared" si="269"/>
        <v>4038310407</v>
      </c>
      <c r="Q495" s="495">
        <f t="shared" si="269"/>
        <v>8003206909</v>
      </c>
      <c r="R495" s="495">
        <f t="shared" si="269"/>
        <v>11993596317</v>
      </c>
      <c r="S495" s="495">
        <f t="shared" si="269"/>
        <v>15631308272</v>
      </c>
      <c r="T495" s="495">
        <f t="shared" ref="T495:AH495" si="270">T$305</f>
        <v>3880672462</v>
      </c>
      <c r="U495" s="495">
        <f t="shared" si="270"/>
        <v>7780296098</v>
      </c>
      <c r="V495" s="495">
        <f t="shared" si="270"/>
        <v>11000693355</v>
      </c>
      <c r="W495" s="495">
        <f t="shared" si="270"/>
        <v>14046759735</v>
      </c>
      <c r="X495" s="495">
        <f t="shared" si="270"/>
        <v>2868322818</v>
      </c>
      <c r="Y495" s="495">
        <f t="shared" si="270"/>
        <v>6306629620</v>
      </c>
      <c r="Z495" s="495">
        <f t="shared" si="270"/>
        <v>9677729760</v>
      </c>
      <c r="AA495" s="495">
        <f t="shared" si="270"/>
        <v>12986751497</v>
      </c>
      <c r="AB495" s="495">
        <f t="shared" si="270"/>
        <v>3942223911</v>
      </c>
      <c r="AC495" s="495">
        <f t="shared" si="270"/>
        <v>9023038867</v>
      </c>
      <c r="AD495" s="495">
        <f t="shared" si="270"/>
        <v>13607852892</v>
      </c>
      <c r="AE495" s="495">
        <f t="shared" si="270"/>
        <v>18009169444</v>
      </c>
      <c r="AF495" s="495">
        <f t="shared" si="270"/>
        <v>4538952356</v>
      </c>
      <c r="AG495" s="495">
        <f t="shared" si="270"/>
        <v>9310899503</v>
      </c>
      <c r="AH495" s="495">
        <f t="shared" si="270"/>
        <v>13772359104</v>
      </c>
    </row>
    <row r="496" spans="1:34" outlineLevel="1">
      <c r="B496" s="34" t="s">
        <v>831</v>
      </c>
      <c r="C496" s="34" t="s">
        <v>831</v>
      </c>
      <c r="D496" s="495">
        <f t="shared" ref="D496:S496" si="271">SUM(D$222,D$361,D$383,D$386,D$389,D$393)</f>
        <v>0</v>
      </c>
      <c r="E496" s="495">
        <f t="shared" si="271"/>
        <v>0</v>
      </c>
      <c r="F496" s="495">
        <f t="shared" si="271"/>
        <v>0</v>
      </c>
      <c r="G496" s="495">
        <f t="shared" si="271"/>
        <v>0</v>
      </c>
      <c r="H496" s="495">
        <f t="shared" si="271"/>
        <v>0</v>
      </c>
      <c r="I496" s="495">
        <f t="shared" si="271"/>
        <v>0</v>
      </c>
      <c r="J496" s="495">
        <f t="shared" si="271"/>
        <v>0</v>
      </c>
      <c r="K496" s="495">
        <f t="shared" si="271"/>
        <v>0</v>
      </c>
      <c r="L496" s="495">
        <f t="shared" si="271"/>
        <v>0</v>
      </c>
      <c r="M496" s="495">
        <f t="shared" si="271"/>
        <v>0</v>
      </c>
      <c r="N496" s="495">
        <f t="shared" si="271"/>
        <v>0</v>
      </c>
      <c r="O496" s="495">
        <f t="shared" si="271"/>
        <v>0</v>
      </c>
      <c r="P496" s="495">
        <f t="shared" si="271"/>
        <v>0</v>
      </c>
      <c r="Q496" s="495">
        <f t="shared" si="271"/>
        <v>0</v>
      </c>
      <c r="R496" s="495">
        <f t="shared" si="271"/>
        <v>0</v>
      </c>
      <c r="S496" s="495">
        <f t="shared" si="271"/>
        <v>0</v>
      </c>
      <c r="T496" s="495">
        <f t="shared" ref="T496:AH496" si="272">SUM(T$222,T$361,T$383,T$386,T$389,T$393)</f>
        <v>0</v>
      </c>
      <c r="U496" s="495">
        <f t="shared" si="272"/>
        <v>0</v>
      </c>
      <c r="V496" s="495">
        <f t="shared" si="272"/>
        <v>0</v>
      </c>
      <c r="W496" s="495">
        <f t="shared" si="272"/>
        <v>0</v>
      </c>
      <c r="X496" s="495">
        <f t="shared" si="272"/>
        <v>0</v>
      </c>
      <c r="Y496" s="495">
        <f t="shared" si="272"/>
        <v>0</v>
      </c>
      <c r="Z496" s="495">
        <f t="shared" si="272"/>
        <v>0</v>
      </c>
      <c r="AA496" s="495">
        <f t="shared" si="272"/>
        <v>0</v>
      </c>
      <c r="AB496" s="495">
        <f t="shared" si="272"/>
        <v>0</v>
      </c>
      <c r="AC496" s="495">
        <f t="shared" si="272"/>
        <v>0</v>
      </c>
      <c r="AD496" s="495">
        <f t="shared" si="272"/>
        <v>0</v>
      </c>
      <c r="AE496" s="495">
        <f t="shared" si="272"/>
        <v>0</v>
      </c>
      <c r="AF496" s="495">
        <f t="shared" si="272"/>
        <v>0</v>
      </c>
      <c r="AG496" s="495">
        <f t="shared" si="272"/>
        <v>0</v>
      </c>
      <c r="AH496" s="495">
        <f t="shared" si="272"/>
        <v>0</v>
      </c>
    </row>
    <row r="497" spans="1:34">
      <c r="A497" s="496" t="s">
        <v>832</v>
      </c>
      <c r="B497" s="496"/>
      <c r="C497" s="496"/>
      <c r="D497" s="497">
        <f t="shared" ref="D497:S497" si="273">SUM(D492:D493)-SUM(D494:D496)</f>
        <v>351162847456</v>
      </c>
      <c r="E497" s="497">
        <f t="shared" si="273"/>
        <v>62604886138</v>
      </c>
      <c r="F497" s="497">
        <f t="shared" si="273"/>
        <v>0</v>
      </c>
      <c r="G497" s="497">
        <f t="shared" si="273"/>
        <v>197015329654</v>
      </c>
      <c r="H497" s="497">
        <f t="shared" si="273"/>
        <v>254954073568</v>
      </c>
      <c r="I497" s="497">
        <f t="shared" si="273"/>
        <v>66496949766</v>
      </c>
      <c r="J497" s="497">
        <f t="shared" si="273"/>
        <v>124990301022</v>
      </c>
      <c r="K497" s="497">
        <f t="shared" si="273"/>
        <v>177547153710</v>
      </c>
      <c r="L497" s="497">
        <f t="shared" si="273"/>
        <v>55565020106</v>
      </c>
      <c r="M497" s="497">
        <f t="shared" si="273"/>
        <v>108444169175</v>
      </c>
      <c r="N497" s="497">
        <f t="shared" si="273"/>
        <v>167941106835</v>
      </c>
      <c r="O497" s="497">
        <f t="shared" si="273"/>
        <v>225447524457</v>
      </c>
      <c r="P497" s="497">
        <f t="shared" si="273"/>
        <v>63317090034</v>
      </c>
      <c r="Q497" s="497">
        <f t="shared" si="273"/>
        <v>148668898781</v>
      </c>
      <c r="R497" s="497">
        <f t="shared" si="273"/>
        <v>223600999557</v>
      </c>
      <c r="S497" s="497">
        <f t="shared" si="273"/>
        <v>280435137197</v>
      </c>
      <c r="T497" s="497">
        <f t="shared" ref="T497:AA497" si="274">SUM(T492:T493)-SUM(T494:T496)</f>
        <v>60077243366</v>
      </c>
      <c r="U497" s="497">
        <f t="shared" si="274"/>
        <v>120458344292</v>
      </c>
      <c r="V497" s="497">
        <f t="shared" si="274"/>
        <v>179055786968</v>
      </c>
      <c r="W497" s="497">
        <f t="shared" si="274"/>
        <v>228801161146</v>
      </c>
      <c r="X497" s="497">
        <f t="shared" si="274"/>
        <v>49856805364</v>
      </c>
      <c r="Y497" s="497">
        <f t="shared" si="274"/>
        <v>109522316466</v>
      </c>
      <c r="Z497" s="497">
        <f t="shared" si="274"/>
        <v>168315206396</v>
      </c>
      <c r="AA497" s="497">
        <f t="shared" si="274"/>
        <v>235539387193</v>
      </c>
      <c r="AB497" s="497">
        <f t="shared" ref="AB497:AC497" si="275">SUM(AB492:AB493)-SUM(AB494:AB496)</f>
        <v>82197308780</v>
      </c>
      <c r="AC497" s="497">
        <f t="shared" si="275"/>
        <v>153736947965</v>
      </c>
      <c r="AD497" s="497">
        <f t="shared" ref="AD497:AE497" si="276">SUM(AD492:AD493)-SUM(AD494:AD496)</f>
        <v>205934211025</v>
      </c>
      <c r="AE497" s="497">
        <f t="shared" si="276"/>
        <v>256697659066</v>
      </c>
      <c r="AF497" s="497">
        <f t="shared" ref="AF497:AG497" si="277">SUM(AF492:AF493)-SUM(AF494:AF496)</f>
        <v>53689614141</v>
      </c>
      <c r="AG497" s="497">
        <f t="shared" si="277"/>
        <v>104752442832</v>
      </c>
      <c r="AH497" s="497">
        <f t="shared" ref="AH497" si="278">SUM(AH492:AH493)-SUM(AH494:AH496)</f>
        <v>153242526605</v>
      </c>
    </row>
    <row r="498" spans="1:34" outlineLevel="1">
      <c r="B498" s="34" t="s">
        <v>80</v>
      </c>
      <c r="C498" s="34" t="s">
        <v>80</v>
      </c>
      <c r="D498" s="497">
        <f t="shared" ref="D498:S498" si="279">SUM(D499:D508)</f>
        <v>592656843063</v>
      </c>
      <c r="E498" s="497">
        <f t="shared" si="279"/>
        <v>153761035502</v>
      </c>
      <c r="F498" s="497">
        <f t="shared" si="279"/>
        <v>0</v>
      </c>
      <c r="G498" s="497">
        <f t="shared" si="279"/>
        <v>451336451364</v>
      </c>
      <c r="H498" s="497">
        <f t="shared" si="279"/>
        <v>598382825732</v>
      </c>
      <c r="I498" s="497">
        <f t="shared" si="279"/>
        <v>173758664190</v>
      </c>
      <c r="J498" s="497">
        <f t="shared" si="279"/>
        <v>302981840125</v>
      </c>
      <c r="K498" s="497">
        <f t="shared" si="279"/>
        <v>432971253074</v>
      </c>
      <c r="L498" s="497">
        <f t="shared" si="279"/>
        <v>147390280583</v>
      </c>
      <c r="M498" s="497">
        <f t="shared" si="279"/>
        <v>317518490802</v>
      </c>
      <c r="N498" s="497">
        <f t="shared" si="279"/>
        <v>460285359928</v>
      </c>
      <c r="O498" s="497">
        <f t="shared" si="279"/>
        <v>623395398917</v>
      </c>
      <c r="P498" s="497">
        <f t="shared" si="279"/>
        <v>188052921829</v>
      </c>
      <c r="Q498" s="497">
        <f t="shared" si="279"/>
        <v>348131131384</v>
      </c>
      <c r="R498" s="497">
        <f t="shared" si="279"/>
        <v>491480829479</v>
      </c>
      <c r="S498" s="497">
        <f t="shared" si="279"/>
        <v>631171378797</v>
      </c>
      <c r="T498" s="497">
        <f t="shared" ref="T498:AA498" si="280">SUM(T499:T508)</f>
        <v>186204817490</v>
      </c>
      <c r="U498" s="497">
        <f t="shared" si="280"/>
        <v>325663225668</v>
      </c>
      <c r="V498" s="497">
        <f t="shared" si="280"/>
        <v>466368860632</v>
      </c>
      <c r="W498" s="497">
        <f t="shared" si="280"/>
        <v>604221333988</v>
      </c>
      <c r="X498" s="497">
        <f t="shared" si="280"/>
        <v>203988442995</v>
      </c>
      <c r="Y498" s="497">
        <f t="shared" si="280"/>
        <v>362764188945</v>
      </c>
      <c r="Z498" s="497">
        <f t="shared" si="280"/>
        <v>528482898128</v>
      </c>
      <c r="AA498" s="497">
        <f t="shared" si="280"/>
        <v>709419273691</v>
      </c>
      <c r="AB498" s="497">
        <f t="shared" ref="AB498:AC498" si="281">SUM(AB499:AB508)</f>
        <v>261488559344</v>
      </c>
      <c r="AC498" s="497">
        <f t="shared" si="281"/>
        <v>492310287337</v>
      </c>
      <c r="AD498" s="497">
        <f t="shared" ref="AD498:AE498" si="282">SUM(AD499:AD508)</f>
        <v>725001403746</v>
      </c>
      <c r="AE498" s="497">
        <f t="shared" si="282"/>
        <v>983598101795</v>
      </c>
      <c r="AF498" s="497">
        <f t="shared" ref="AF498:AG498" si="283">SUM(AF499:AF508)</f>
        <v>341878073952</v>
      </c>
      <c r="AG498" s="497">
        <f t="shared" si="283"/>
        <v>622541459104</v>
      </c>
      <c r="AH498" s="497">
        <f t="shared" ref="AH498" si="284">SUM(AH499:AH508)</f>
        <v>869603684272</v>
      </c>
    </row>
    <row r="499" spans="1:34" outlineLevel="1">
      <c r="B499" s="34" t="s">
        <v>99</v>
      </c>
      <c r="C499" s="34" t="s">
        <v>99</v>
      </c>
      <c r="D499" s="495">
        <f t="shared" ref="D499:S499" si="285">D$176</f>
        <v>44076695689</v>
      </c>
      <c r="E499" s="495">
        <f t="shared" si="285"/>
        <v>2001521020</v>
      </c>
      <c r="F499" s="495">
        <f t="shared" si="285"/>
        <v>0</v>
      </c>
      <c r="G499" s="495">
        <f t="shared" si="285"/>
        <v>6156027134</v>
      </c>
      <c r="H499" s="495">
        <f t="shared" si="285"/>
        <v>17584452566</v>
      </c>
      <c r="I499" s="495">
        <f t="shared" si="285"/>
        <v>39598536140</v>
      </c>
      <c r="J499" s="495">
        <f t="shared" si="285"/>
        <v>41856841805</v>
      </c>
      <c r="K499" s="495">
        <f t="shared" si="285"/>
        <v>43572738986</v>
      </c>
      <c r="L499" s="495">
        <f t="shared" si="285"/>
        <v>15480130601</v>
      </c>
      <c r="M499" s="495">
        <f t="shared" si="285"/>
        <v>44824625557</v>
      </c>
      <c r="N499" s="495">
        <f t="shared" si="285"/>
        <v>46030028391</v>
      </c>
      <c r="O499" s="495">
        <f t="shared" si="285"/>
        <v>48386149712</v>
      </c>
      <c r="P499" s="495">
        <f t="shared" si="285"/>
        <v>43674457272</v>
      </c>
      <c r="Q499" s="495">
        <f t="shared" si="285"/>
        <v>47676836438</v>
      </c>
      <c r="R499" s="495">
        <f t="shared" si="285"/>
        <v>49309191885</v>
      </c>
      <c r="S499" s="495">
        <f t="shared" si="285"/>
        <v>51109511955</v>
      </c>
      <c r="T499" s="495">
        <f t="shared" ref="T499:AH499" si="286">T$176</f>
        <v>45916045879</v>
      </c>
      <c r="U499" s="495">
        <f t="shared" si="286"/>
        <v>50488012610</v>
      </c>
      <c r="V499" s="495">
        <f t="shared" si="286"/>
        <v>55617811049</v>
      </c>
      <c r="W499" s="495">
        <f t="shared" si="286"/>
        <v>58623316093</v>
      </c>
      <c r="X499" s="495">
        <f t="shared" si="286"/>
        <v>63910603073</v>
      </c>
      <c r="Y499" s="495">
        <f t="shared" si="286"/>
        <v>73831123583</v>
      </c>
      <c r="Z499" s="495">
        <f t="shared" si="286"/>
        <v>85708858412</v>
      </c>
      <c r="AA499" s="495">
        <f t="shared" si="286"/>
        <v>101618526471</v>
      </c>
      <c r="AB499" s="495">
        <f t="shared" si="286"/>
        <v>68245803770</v>
      </c>
      <c r="AC499" s="495">
        <f t="shared" si="286"/>
        <v>76933253278</v>
      </c>
      <c r="AD499" s="495">
        <f t="shared" si="286"/>
        <v>82568554180</v>
      </c>
      <c r="AE499" s="495">
        <f t="shared" si="286"/>
        <v>85681111729</v>
      </c>
      <c r="AF499" s="495">
        <f t="shared" si="286"/>
        <v>74561213422</v>
      </c>
      <c r="AG499" s="495">
        <f t="shared" si="286"/>
        <v>88053575972</v>
      </c>
      <c r="AH499" s="495">
        <f t="shared" si="286"/>
        <v>92538162645</v>
      </c>
    </row>
    <row r="500" spans="1:34" outlineLevel="1">
      <c r="B500" s="34" t="s">
        <v>102</v>
      </c>
      <c r="C500" s="34" t="s">
        <v>102</v>
      </c>
      <c r="D500" s="495">
        <f t="shared" ref="D500:S500" si="287">D$177</f>
        <v>148979200</v>
      </c>
      <c r="E500" s="495">
        <f t="shared" si="287"/>
        <v>3925619</v>
      </c>
      <c r="F500" s="495">
        <f t="shared" si="287"/>
        <v>0</v>
      </c>
      <c r="G500" s="495">
        <f t="shared" si="287"/>
        <v>85446189</v>
      </c>
      <c r="H500" s="495">
        <f t="shared" si="287"/>
        <v>95365717</v>
      </c>
      <c r="I500" s="495">
        <f t="shared" si="287"/>
        <v>2192982</v>
      </c>
      <c r="J500" s="495">
        <f t="shared" si="287"/>
        <v>4003064</v>
      </c>
      <c r="K500" s="495">
        <f t="shared" si="287"/>
        <v>64414399</v>
      </c>
      <c r="L500" s="495">
        <f t="shared" si="287"/>
        <v>58998</v>
      </c>
      <c r="M500" s="495">
        <f t="shared" si="287"/>
        <v>7179570</v>
      </c>
      <c r="N500" s="495">
        <f t="shared" si="287"/>
        <v>10696230</v>
      </c>
      <c r="O500" s="495">
        <f t="shared" si="287"/>
        <v>19112361411</v>
      </c>
      <c r="P500" s="495">
        <f t="shared" si="287"/>
        <v>2124607429</v>
      </c>
      <c r="Q500" s="495">
        <f t="shared" si="287"/>
        <v>8589022636</v>
      </c>
      <c r="R500" s="495">
        <f t="shared" si="287"/>
        <v>8597193541</v>
      </c>
      <c r="S500" s="495">
        <f t="shared" si="287"/>
        <v>8829460627</v>
      </c>
      <c r="T500" s="495">
        <f t="shared" ref="T500:AH500" si="288">T$177</f>
        <v>4491670022</v>
      </c>
      <c r="U500" s="495">
        <f t="shared" si="288"/>
        <v>4594131416</v>
      </c>
      <c r="V500" s="495">
        <f t="shared" si="288"/>
        <v>4601871817</v>
      </c>
      <c r="W500" s="495">
        <f t="shared" si="288"/>
        <v>5210600371</v>
      </c>
      <c r="X500" s="495">
        <f t="shared" si="288"/>
        <v>648360466</v>
      </c>
      <c r="Y500" s="495">
        <f t="shared" si="288"/>
        <v>705198100</v>
      </c>
      <c r="Z500" s="495">
        <f t="shared" si="288"/>
        <v>1618871176</v>
      </c>
      <c r="AA500" s="495">
        <f t="shared" si="288"/>
        <v>2159864398</v>
      </c>
      <c r="AB500" s="495">
        <f t="shared" si="288"/>
        <v>6617729982</v>
      </c>
      <c r="AC500" s="495">
        <f t="shared" si="288"/>
        <v>18939244636</v>
      </c>
      <c r="AD500" s="495">
        <f t="shared" si="288"/>
        <v>33604351968</v>
      </c>
      <c r="AE500" s="495">
        <f t="shared" si="288"/>
        <v>64177937919</v>
      </c>
      <c r="AF500" s="495">
        <f t="shared" si="288"/>
        <v>33912132969</v>
      </c>
      <c r="AG500" s="495">
        <f t="shared" si="288"/>
        <v>60898075099</v>
      </c>
      <c r="AH500" s="495">
        <f t="shared" si="288"/>
        <v>80476617052</v>
      </c>
    </row>
    <row r="501" spans="1:34" outlineLevel="1">
      <c r="B501" s="34" t="s">
        <v>100</v>
      </c>
      <c r="C501" s="34" t="s">
        <v>100</v>
      </c>
      <c r="D501" s="495">
        <f t="shared" ref="D501:S501" si="289">D$152</f>
        <v>309840033871</v>
      </c>
      <c r="E501" s="495">
        <f t="shared" si="289"/>
        <v>97565430521</v>
      </c>
      <c r="F501" s="495">
        <f t="shared" si="289"/>
        <v>0</v>
      </c>
      <c r="G501" s="495">
        <f t="shared" si="289"/>
        <v>301037201274</v>
      </c>
      <c r="H501" s="495">
        <f t="shared" si="289"/>
        <v>394775220375</v>
      </c>
      <c r="I501" s="495">
        <f t="shared" si="289"/>
        <v>95967804367</v>
      </c>
      <c r="J501" s="495">
        <f t="shared" si="289"/>
        <v>184343991800</v>
      </c>
      <c r="K501" s="495">
        <f t="shared" si="289"/>
        <v>275285212014</v>
      </c>
      <c r="L501" s="495">
        <f t="shared" si="289"/>
        <v>91863041786</v>
      </c>
      <c r="M501" s="495">
        <f t="shared" si="289"/>
        <v>188053308962</v>
      </c>
      <c r="N501" s="495">
        <f t="shared" si="289"/>
        <v>282874887946</v>
      </c>
      <c r="O501" s="495">
        <f t="shared" si="289"/>
        <v>377395255064</v>
      </c>
      <c r="P501" s="495">
        <f t="shared" si="289"/>
        <v>95320516953</v>
      </c>
      <c r="Q501" s="495">
        <f t="shared" si="289"/>
        <v>193583137203</v>
      </c>
      <c r="R501" s="495">
        <f t="shared" si="289"/>
        <v>286536375404</v>
      </c>
      <c r="S501" s="495">
        <f t="shared" si="289"/>
        <v>380897517887</v>
      </c>
      <c r="T501" s="495">
        <f t="shared" ref="T501:AH501" si="290">T$152</f>
        <v>88968402808</v>
      </c>
      <c r="U501" s="495">
        <f t="shared" si="290"/>
        <v>175099751789</v>
      </c>
      <c r="V501" s="495">
        <f t="shared" si="290"/>
        <v>256980477113</v>
      </c>
      <c r="W501" s="495">
        <f t="shared" si="290"/>
        <v>340058191058</v>
      </c>
      <c r="X501" s="495">
        <f t="shared" si="290"/>
        <v>86811569828</v>
      </c>
      <c r="Y501" s="495">
        <f t="shared" si="290"/>
        <v>176941922937</v>
      </c>
      <c r="Z501" s="495">
        <f t="shared" si="290"/>
        <v>268100406253</v>
      </c>
      <c r="AA501" s="495">
        <f t="shared" si="290"/>
        <v>368039103831</v>
      </c>
      <c r="AB501" s="495">
        <f t="shared" si="290"/>
        <v>110584432023</v>
      </c>
      <c r="AC501" s="495">
        <f t="shared" si="290"/>
        <v>228591313980</v>
      </c>
      <c r="AD501" s="495">
        <f t="shared" si="290"/>
        <v>347627040204</v>
      </c>
      <c r="AE501" s="495">
        <f t="shared" si="290"/>
        <v>474949089748</v>
      </c>
      <c r="AF501" s="495">
        <f t="shared" si="290"/>
        <v>122133671813</v>
      </c>
      <c r="AG501" s="495">
        <f t="shared" si="290"/>
        <v>256692871415</v>
      </c>
      <c r="AH501" s="495">
        <f t="shared" si="290"/>
        <v>384602622575</v>
      </c>
    </row>
    <row r="502" spans="1:34" outlineLevel="1">
      <c r="B502" s="34" t="s">
        <v>101</v>
      </c>
      <c r="C502" s="34" t="s">
        <v>101</v>
      </c>
      <c r="D502" s="495">
        <f t="shared" ref="D502:S502" si="291">D$154</f>
        <v>6793905863</v>
      </c>
      <c r="E502" s="495">
        <f t="shared" si="291"/>
        <v>2246567861</v>
      </c>
      <c r="F502" s="495">
        <f t="shared" si="291"/>
        <v>0</v>
      </c>
      <c r="G502" s="495">
        <f t="shared" si="291"/>
        <v>5847702797</v>
      </c>
      <c r="H502" s="495">
        <f t="shared" si="291"/>
        <v>7612096364</v>
      </c>
      <c r="I502" s="495">
        <f t="shared" si="291"/>
        <v>2201721728</v>
      </c>
      <c r="J502" s="495">
        <f t="shared" si="291"/>
        <v>3020789852</v>
      </c>
      <c r="K502" s="495">
        <f t="shared" si="291"/>
        <v>3666839921</v>
      </c>
      <c r="L502" s="495">
        <f t="shared" si="291"/>
        <v>1465286815</v>
      </c>
      <c r="M502" s="495">
        <f t="shared" si="291"/>
        <v>4131831169</v>
      </c>
      <c r="N502" s="495">
        <f t="shared" si="291"/>
        <v>9056546728</v>
      </c>
      <c r="O502" s="495">
        <f t="shared" si="291"/>
        <v>13783722960</v>
      </c>
      <c r="P502" s="495">
        <f t="shared" si="291"/>
        <v>4693376669</v>
      </c>
      <c r="Q502" s="495">
        <f t="shared" si="291"/>
        <v>8045741095</v>
      </c>
      <c r="R502" s="495">
        <f t="shared" si="291"/>
        <v>11886818717</v>
      </c>
      <c r="S502" s="495">
        <f t="shared" si="291"/>
        <v>13335854260</v>
      </c>
      <c r="T502" s="495">
        <f t="shared" ref="T502:AH502" si="292">T$154</f>
        <v>1821002448</v>
      </c>
      <c r="U502" s="495">
        <f t="shared" si="292"/>
        <v>3393572430</v>
      </c>
      <c r="V502" s="495">
        <f t="shared" si="292"/>
        <v>5065803489</v>
      </c>
      <c r="W502" s="495">
        <f t="shared" si="292"/>
        <v>6426409645</v>
      </c>
      <c r="X502" s="495">
        <f t="shared" si="292"/>
        <v>2059475061</v>
      </c>
      <c r="Y502" s="495">
        <f t="shared" si="292"/>
        <v>3844672252</v>
      </c>
      <c r="Z502" s="495">
        <f t="shared" si="292"/>
        <v>6194965747</v>
      </c>
      <c r="AA502" s="495">
        <f t="shared" si="292"/>
        <v>8699441839</v>
      </c>
      <c r="AB502" s="495">
        <f t="shared" si="292"/>
        <v>4801729875</v>
      </c>
      <c r="AC502" s="495">
        <f t="shared" si="292"/>
        <v>11141481777</v>
      </c>
      <c r="AD502" s="495">
        <f t="shared" si="292"/>
        <v>20825271430</v>
      </c>
      <c r="AE502" s="495">
        <f t="shared" si="292"/>
        <v>34171929243</v>
      </c>
      <c r="AF502" s="495">
        <f t="shared" si="292"/>
        <v>13730622948</v>
      </c>
      <c r="AG502" s="495">
        <f t="shared" si="292"/>
        <v>24731521572</v>
      </c>
      <c r="AH502" s="495">
        <f t="shared" si="292"/>
        <v>34442528118</v>
      </c>
    </row>
    <row r="503" spans="1:34" outlineLevel="1">
      <c r="B503" s="34" t="s">
        <v>103</v>
      </c>
      <c r="C503" s="34" t="s">
        <v>103</v>
      </c>
      <c r="D503" s="495">
        <f t="shared" ref="D503:S503" si="293">D$143</f>
        <v>87371813601</v>
      </c>
      <c r="E503" s="495">
        <f t="shared" si="293"/>
        <v>21684569445</v>
      </c>
      <c r="F503" s="495">
        <f t="shared" si="293"/>
        <v>0</v>
      </c>
      <c r="G503" s="495">
        <f t="shared" si="293"/>
        <v>64648167249</v>
      </c>
      <c r="H503" s="495">
        <f t="shared" si="293"/>
        <v>85786265784</v>
      </c>
      <c r="I503" s="495">
        <f t="shared" si="293"/>
        <v>22537342001</v>
      </c>
      <c r="J503" s="495">
        <f t="shared" si="293"/>
        <v>45068587147</v>
      </c>
      <c r="K503" s="495">
        <f t="shared" si="293"/>
        <v>67506784939</v>
      </c>
      <c r="L503" s="495">
        <f t="shared" si="293"/>
        <v>21946070520</v>
      </c>
      <c r="M503" s="495">
        <f t="shared" si="293"/>
        <v>45707062195</v>
      </c>
      <c r="N503" s="495">
        <f t="shared" si="293"/>
        <v>69237405910</v>
      </c>
      <c r="O503" s="495">
        <f t="shared" si="293"/>
        <v>92286196919</v>
      </c>
      <c r="P503" s="495">
        <f t="shared" si="293"/>
        <v>22505204706</v>
      </c>
      <c r="Q503" s="495">
        <f t="shared" si="293"/>
        <v>50466320691</v>
      </c>
      <c r="R503" s="495">
        <f t="shared" si="293"/>
        <v>78999668609</v>
      </c>
      <c r="S503" s="495">
        <f t="shared" si="293"/>
        <v>106514459786</v>
      </c>
      <c r="T503" s="495">
        <f t="shared" ref="T503:AH503" si="294">T$143</f>
        <v>26670946032</v>
      </c>
      <c r="U503" s="495">
        <f t="shared" si="294"/>
        <v>55516884881</v>
      </c>
      <c r="V503" s="495">
        <f t="shared" si="294"/>
        <v>86222231956</v>
      </c>
      <c r="W503" s="495">
        <f t="shared" si="294"/>
        <v>116106137289</v>
      </c>
      <c r="X503" s="495">
        <f t="shared" si="294"/>
        <v>29207183625</v>
      </c>
      <c r="Y503" s="495">
        <f t="shared" si="294"/>
        <v>60934816265</v>
      </c>
      <c r="Z503" s="495">
        <f t="shared" si="294"/>
        <v>95817545100</v>
      </c>
      <c r="AA503" s="495">
        <f t="shared" si="294"/>
        <v>133489623074</v>
      </c>
      <c r="AB503" s="495">
        <f t="shared" si="294"/>
        <v>41508445346</v>
      </c>
      <c r="AC503" s="495">
        <f t="shared" si="294"/>
        <v>87293584490</v>
      </c>
      <c r="AD503" s="495">
        <f t="shared" si="294"/>
        <v>132116418529</v>
      </c>
      <c r="AE503" s="495">
        <f t="shared" si="294"/>
        <v>172283064236</v>
      </c>
      <c r="AF503" s="495">
        <f t="shared" si="294"/>
        <v>40225026182</v>
      </c>
      <c r="AG503" s="495">
        <f t="shared" si="294"/>
        <v>83655825354</v>
      </c>
      <c r="AH503" s="495">
        <f t="shared" si="294"/>
        <v>123957485780</v>
      </c>
    </row>
    <row r="504" spans="1:34" outlineLevel="1">
      <c r="B504" s="34" t="s">
        <v>104</v>
      </c>
      <c r="C504" s="34" t="s">
        <v>104</v>
      </c>
      <c r="D504" s="495">
        <f t="shared" ref="D504:S504" si="295">D$150</f>
        <v>979476098</v>
      </c>
      <c r="E504" s="495">
        <f t="shared" si="295"/>
        <v>382181539</v>
      </c>
      <c r="F504" s="495">
        <f t="shared" si="295"/>
        <v>0</v>
      </c>
      <c r="G504" s="495">
        <f t="shared" si="295"/>
        <v>642893482</v>
      </c>
      <c r="H504" s="495">
        <f t="shared" si="295"/>
        <v>1348427728</v>
      </c>
      <c r="I504" s="495">
        <f t="shared" si="295"/>
        <v>125000000</v>
      </c>
      <c r="J504" s="495">
        <f t="shared" si="295"/>
        <v>866109665</v>
      </c>
      <c r="K504" s="495">
        <f t="shared" si="295"/>
        <v>1271888760</v>
      </c>
      <c r="L504" s="495">
        <f t="shared" si="295"/>
        <v>1487909669</v>
      </c>
      <c r="M504" s="495">
        <f t="shared" si="295"/>
        <v>3137295210</v>
      </c>
      <c r="N504" s="495">
        <f t="shared" si="295"/>
        <v>3706449580</v>
      </c>
      <c r="O504" s="495">
        <f t="shared" si="295"/>
        <v>4456034400</v>
      </c>
      <c r="P504" s="495">
        <f t="shared" si="295"/>
        <v>631245197</v>
      </c>
      <c r="Q504" s="495">
        <f t="shared" si="295"/>
        <v>1083658025</v>
      </c>
      <c r="R504" s="495">
        <f t="shared" si="295"/>
        <v>2523662847</v>
      </c>
      <c r="S504" s="495">
        <f t="shared" si="295"/>
        <v>3903591764</v>
      </c>
      <c r="T504" s="495">
        <f t="shared" ref="T504:AH504" si="296">T$150</f>
        <v>2398293500</v>
      </c>
      <c r="U504" s="495">
        <f t="shared" si="296"/>
        <v>6835725166</v>
      </c>
      <c r="V504" s="495">
        <f t="shared" si="296"/>
        <v>10363826927</v>
      </c>
      <c r="W504" s="495">
        <f t="shared" si="296"/>
        <v>14341138878</v>
      </c>
      <c r="X504" s="495">
        <f t="shared" si="296"/>
        <v>5009187825</v>
      </c>
      <c r="Y504" s="495">
        <f t="shared" si="296"/>
        <v>12348549111</v>
      </c>
      <c r="Z504" s="495">
        <f t="shared" si="296"/>
        <v>19778415529</v>
      </c>
      <c r="AA504" s="495">
        <f t="shared" si="296"/>
        <v>28977328939</v>
      </c>
      <c r="AB504" s="495">
        <f t="shared" si="296"/>
        <v>8807067961</v>
      </c>
      <c r="AC504" s="495">
        <f t="shared" si="296"/>
        <v>19277884802</v>
      </c>
      <c r="AD504" s="495">
        <f t="shared" si="296"/>
        <v>30651888132</v>
      </c>
      <c r="AE504" s="495">
        <f t="shared" si="296"/>
        <v>41497908136</v>
      </c>
      <c r="AF504" s="495">
        <f t="shared" si="296"/>
        <v>18121303273</v>
      </c>
      <c r="AG504" s="495">
        <f t="shared" si="296"/>
        <v>38346742650</v>
      </c>
      <c r="AH504" s="495">
        <f t="shared" si="296"/>
        <v>62080508120</v>
      </c>
    </row>
    <row r="505" spans="1:34" outlineLevel="1">
      <c r="B505" s="34" t="s">
        <v>105</v>
      </c>
      <c r="C505" s="34" t="s">
        <v>105</v>
      </c>
      <c r="D505" s="495">
        <f t="shared" ref="D505:S505" si="297">D$149</f>
        <v>1598785477</v>
      </c>
      <c r="E505" s="495">
        <f t="shared" si="297"/>
        <v>1613205478</v>
      </c>
      <c r="F505" s="495">
        <f t="shared" si="297"/>
        <v>0</v>
      </c>
      <c r="G505" s="495">
        <f t="shared" si="297"/>
        <v>9136575329</v>
      </c>
      <c r="H505" s="495">
        <f t="shared" si="297"/>
        <v>12951506835</v>
      </c>
      <c r="I505" s="495">
        <f t="shared" si="297"/>
        <v>3778506842</v>
      </c>
      <c r="J505" s="495">
        <f t="shared" si="297"/>
        <v>7869253602</v>
      </c>
      <c r="K505" s="495">
        <f t="shared" si="297"/>
        <v>10871832118</v>
      </c>
      <c r="L505" s="495">
        <f t="shared" si="297"/>
        <v>2610616435</v>
      </c>
      <c r="M505" s="495">
        <f t="shared" si="297"/>
        <v>4630075337</v>
      </c>
      <c r="N505" s="495">
        <f t="shared" si="297"/>
        <v>5385304103</v>
      </c>
      <c r="O505" s="495">
        <f t="shared" si="297"/>
        <v>5467339719</v>
      </c>
      <c r="P505" s="495">
        <f t="shared" si="297"/>
        <v>0</v>
      </c>
      <c r="Q505" s="495">
        <f t="shared" si="297"/>
        <v>0</v>
      </c>
      <c r="R505" s="495">
        <f t="shared" si="297"/>
        <v>0</v>
      </c>
      <c r="S505" s="495">
        <f t="shared" si="297"/>
        <v>0</v>
      </c>
      <c r="T505" s="495">
        <f t="shared" ref="T505:AH505" si="298">T$149</f>
        <v>0</v>
      </c>
      <c r="U505" s="495">
        <f t="shared" si="298"/>
        <v>0</v>
      </c>
      <c r="V505" s="495">
        <f t="shared" si="298"/>
        <v>1080924657</v>
      </c>
      <c r="W505" s="495">
        <f t="shared" si="298"/>
        <v>1080924657</v>
      </c>
      <c r="X505" s="495">
        <f t="shared" si="298"/>
        <v>0</v>
      </c>
      <c r="Y505" s="495">
        <f t="shared" si="298"/>
        <v>0</v>
      </c>
      <c r="Z505" s="495">
        <f t="shared" si="298"/>
        <v>0</v>
      </c>
      <c r="AA505" s="495">
        <f t="shared" si="298"/>
        <v>202578606</v>
      </c>
      <c r="AB505" s="495">
        <f t="shared" si="298"/>
        <v>849083641</v>
      </c>
      <c r="AC505" s="495">
        <f t="shared" si="298"/>
        <v>1822699256</v>
      </c>
      <c r="AD505" s="495">
        <f t="shared" si="298"/>
        <v>2639131752</v>
      </c>
      <c r="AE505" s="495">
        <f t="shared" si="298"/>
        <v>2957821024</v>
      </c>
      <c r="AF505" s="495">
        <f t="shared" si="298"/>
        <v>120870247</v>
      </c>
      <c r="AG505" s="495">
        <f t="shared" si="298"/>
        <v>243083497</v>
      </c>
      <c r="AH505" s="495">
        <f t="shared" si="298"/>
        <v>357505459</v>
      </c>
    </row>
    <row r="506" spans="1:34" outlineLevel="1">
      <c r="B506" s="34" t="s">
        <v>106</v>
      </c>
      <c r="C506" s="34" t="s">
        <v>106</v>
      </c>
      <c r="D506" s="495">
        <f t="shared" ref="D506:S506" si="299">D$157</f>
        <v>1570326</v>
      </c>
      <c r="E506" s="495">
        <f t="shared" si="299"/>
        <v>0</v>
      </c>
      <c r="F506" s="495">
        <f t="shared" si="299"/>
        <v>0</v>
      </c>
      <c r="G506" s="495">
        <f t="shared" si="299"/>
        <v>0</v>
      </c>
      <c r="H506" s="495">
        <f t="shared" si="299"/>
        <v>0</v>
      </c>
      <c r="I506" s="495">
        <f t="shared" si="299"/>
        <v>0</v>
      </c>
      <c r="J506" s="495">
        <f t="shared" si="299"/>
        <v>0</v>
      </c>
      <c r="K506" s="495">
        <f t="shared" si="299"/>
        <v>0</v>
      </c>
      <c r="L506" s="495">
        <f t="shared" si="299"/>
        <v>0</v>
      </c>
      <c r="M506" s="495">
        <f t="shared" si="299"/>
        <v>0</v>
      </c>
      <c r="N506" s="495">
        <f t="shared" si="299"/>
        <v>0</v>
      </c>
      <c r="O506" s="495">
        <f t="shared" si="299"/>
        <v>0</v>
      </c>
      <c r="P506" s="495">
        <f t="shared" si="299"/>
        <v>0</v>
      </c>
      <c r="Q506" s="495">
        <f t="shared" si="299"/>
        <v>0</v>
      </c>
      <c r="R506" s="495">
        <f t="shared" si="299"/>
        <v>0</v>
      </c>
      <c r="S506" s="495">
        <f t="shared" si="299"/>
        <v>0</v>
      </c>
      <c r="T506" s="495">
        <f t="shared" ref="T506:AH506" si="300">T$157</f>
        <v>0</v>
      </c>
      <c r="U506" s="495">
        <f t="shared" si="300"/>
        <v>0</v>
      </c>
      <c r="V506" s="495">
        <f t="shared" si="300"/>
        <v>0</v>
      </c>
      <c r="W506" s="495">
        <f t="shared" si="300"/>
        <v>0</v>
      </c>
      <c r="X506" s="495">
        <f t="shared" si="300"/>
        <v>0</v>
      </c>
      <c r="Y506" s="495">
        <f t="shared" si="300"/>
        <v>0</v>
      </c>
      <c r="Z506" s="495">
        <f t="shared" si="300"/>
        <v>0</v>
      </c>
      <c r="AA506" s="495">
        <f t="shared" si="300"/>
        <v>0</v>
      </c>
      <c r="AB506" s="495">
        <f t="shared" si="300"/>
        <v>0</v>
      </c>
      <c r="AC506" s="495">
        <f t="shared" si="300"/>
        <v>0</v>
      </c>
      <c r="AD506" s="495">
        <f t="shared" si="300"/>
        <v>0</v>
      </c>
      <c r="AE506" s="495">
        <f t="shared" si="300"/>
        <v>0</v>
      </c>
      <c r="AF506" s="495">
        <f t="shared" si="300"/>
        <v>0</v>
      </c>
      <c r="AG506" s="495">
        <f t="shared" si="300"/>
        <v>0</v>
      </c>
      <c r="AH506" s="495">
        <f t="shared" si="300"/>
        <v>0</v>
      </c>
    </row>
    <row r="507" spans="1:34" outlineLevel="1">
      <c r="B507" s="34" t="s">
        <v>107</v>
      </c>
      <c r="C507" s="34" t="s">
        <v>107</v>
      </c>
      <c r="D507" s="495">
        <f t="shared" ref="D507:S507" si="301">D$159</f>
        <v>9054245</v>
      </c>
      <c r="E507" s="495">
        <f t="shared" si="301"/>
        <v>0</v>
      </c>
      <c r="F507" s="495">
        <f t="shared" si="301"/>
        <v>0</v>
      </c>
      <c r="G507" s="495">
        <f t="shared" si="301"/>
        <v>0</v>
      </c>
      <c r="H507" s="495">
        <f t="shared" si="301"/>
        <v>0</v>
      </c>
      <c r="I507" s="495">
        <f t="shared" si="301"/>
        <v>0</v>
      </c>
      <c r="J507" s="495">
        <f t="shared" si="301"/>
        <v>0</v>
      </c>
      <c r="K507" s="495">
        <f t="shared" si="301"/>
        <v>0</v>
      </c>
      <c r="L507" s="495">
        <f t="shared" si="301"/>
        <v>0</v>
      </c>
      <c r="M507" s="495">
        <f t="shared" si="301"/>
        <v>0</v>
      </c>
      <c r="N507" s="495">
        <f t="shared" si="301"/>
        <v>0</v>
      </c>
      <c r="O507" s="495">
        <f t="shared" si="301"/>
        <v>0</v>
      </c>
      <c r="P507" s="495">
        <f t="shared" si="301"/>
        <v>0</v>
      </c>
      <c r="Q507" s="495">
        <f t="shared" si="301"/>
        <v>0</v>
      </c>
      <c r="R507" s="495">
        <f t="shared" si="301"/>
        <v>0</v>
      </c>
      <c r="S507" s="495">
        <f t="shared" si="301"/>
        <v>0</v>
      </c>
      <c r="T507" s="495">
        <f t="shared" ref="T507:AH507" si="302">T$159</f>
        <v>0</v>
      </c>
      <c r="U507" s="495">
        <f t="shared" si="302"/>
        <v>1040491</v>
      </c>
      <c r="V507" s="495">
        <f t="shared" si="302"/>
        <v>1040491</v>
      </c>
      <c r="W507" s="495">
        <f t="shared" si="302"/>
        <v>1040491</v>
      </c>
      <c r="X507" s="495">
        <f t="shared" si="302"/>
        <v>0</v>
      </c>
      <c r="Y507" s="495">
        <f t="shared" si="302"/>
        <v>0</v>
      </c>
      <c r="Z507" s="495">
        <f t="shared" si="302"/>
        <v>0</v>
      </c>
      <c r="AA507" s="495">
        <f t="shared" si="302"/>
        <v>0</v>
      </c>
      <c r="AB507" s="495">
        <f t="shared" si="302"/>
        <v>0</v>
      </c>
      <c r="AC507" s="495">
        <f t="shared" si="302"/>
        <v>0</v>
      </c>
      <c r="AD507" s="495">
        <f t="shared" si="302"/>
        <v>0</v>
      </c>
      <c r="AE507" s="495">
        <f t="shared" si="302"/>
        <v>0</v>
      </c>
      <c r="AF507" s="495">
        <f t="shared" si="302"/>
        <v>0</v>
      </c>
      <c r="AG507" s="495">
        <f t="shared" si="302"/>
        <v>0</v>
      </c>
      <c r="AH507" s="495">
        <f t="shared" si="302"/>
        <v>0</v>
      </c>
    </row>
    <row r="508" spans="1:34" outlineLevel="1">
      <c r="B508" s="34" t="s">
        <v>836</v>
      </c>
      <c r="C508" s="34" t="s">
        <v>836</v>
      </c>
      <c r="D508" s="495">
        <f t="shared" ref="D508:S508" si="303">SUM(D$151,D$153,D$156,D$158,D$160,D$161,D$162,D$163,D$164,D$165,D$166)</f>
        <v>141836528693</v>
      </c>
      <c r="E508" s="495">
        <f t="shared" si="303"/>
        <v>28263634019</v>
      </c>
      <c r="F508" s="495">
        <f t="shared" si="303"/>
        <v>0</v>
      </c>
      <c r="G508" s="495">
        <f t="shared" si="303"/>
        <v>63782437910</v>
      </c>
      <c r="H508" s="495">
        <f t="shared" si="303"/>
        <v>78229490363</v>
      </c>
      <c r="I508" s="495">
        <f t="shared" si="303"/>
        <v>9547560130</v>
      </c>
      <c r="J508" s="495">
        <f t="shared" si="303"/>
        <v>19952263190</v>
      </c>
      <c r="K508" s="495">
        <f t="shared" si="303"/>
        <v>30731541937</v>
      </c>
      <c r="L508" s="495">
        <f t="shared" si="303"/>
        <v>12537165759</v>
      </c>
      <c r="M508" s="495">
        <f t="shared" si="303"/>
        <v>27027112802</v>
      </c>
      <c r="N508" s="495">
        <f t="shared" si="303"/>
        <v>43984041040</v>
      </c>
      <c r="O508" s="495">
        <f t="shared" si="303"/>
        <v>62508338732</v>
      </c>
      <c r="P508" s="495">
        <f t="shared" si="303"/>
        <v>19103513603</v>
      </c>
      <c r="Q508" s="495">
        <f t="shared" si="303"/>
        <v>38686415296</v>
      </c>
      <c r="R508" s="495">
        <f t="shared" si="303"/>
        <v>53627918476</v>
      </c>
      <c r="S508" s="495">
        <f t="shared" si="303"/>
        <v>66580982518</v>
      </c>
      <c r="T508" s="495">
        <f t="shared" ref="T508:AH508" si="304">SUM(T$151,T$153,T$156,T$158,T$160,T$161,T$162,T$163,T$164,T$165,T$166)</f>
        <v>15938456801</v>
      </c>
      <c r="U508" s="495">
        <f t="shared" si="304"/>
        <v>29734106885</v>
      </c>
      <c r="V508" s="495">
        <f t="shared" si="304"/>
        <v>46434873133</v>
      </c>
      <c r="W508" s="495">
        <f t="shared" si="304"/>
        <v>62373575506</v>
      </c>
      <c r="X508" s="495">
        <f t="shared" si="304"/>
        <v>16342063117</v>
      </c>
      <c r="Y508" s="495">
        <f t="shared" si="304"/>
        <v>34157906697</v>
      </c>
      <c r="Z508" s="495">
        <f t="shared" si="304"/>
        <v>51263835911</v>
      </c>
      <c r="AA508" s="495">
        <f t="shared" si="304"/>
        <v>66232806533</v>
      </c>
      <c r="AB508" s="495">
        <f t="shared" si="304"/>
        <v>20074266746</v>
      </c>
      <c r="AC508" s="495">
        <f t="shared" si="304"/>
        <v>48310825118</v>
      </c>
      <c r="AD508" s="495">
        <f t="shared" si="304"/>
        <v>74968747551</v>
      </c>
      <c r="AE508" s="495">
        <f t="shared" si="304"/>
        <v>107879239760</v>
      </c>
      <c r="AF508" s="495">
        <f t="shared" si="304"/>
        <v>39073233098</v>
      </c>
      <c r="AG508" s="495">
        <f t="shared" si="304"/>
        <v>69919763545</v>
      </c>
      <c r="AH508" s="495">
        <f t="shared" si="304"/>
        <v>91148254523</v>
      </c>
    </row>
    <row r="509" spans="1:34" outlineLevel="1">
      <c r="B509" s="34" t="s">
        <v>108</v>
      </c>
      <c r="C509" s="34" t="s">
        <v>108</v>
      </c>
      <c r="D509" s="497">
        <f t="shared" ref="D509:S509" si="305">SUM(D510:D514)</f>
        <v>371589028250</v>
      </c>
      <c r="E509" s="497">
        <f t="shared" si="305"/>
        <v>64012397142</v>
      </c>
      <c r="F509" s="497">
        <f t="shared" si="305"/>
        <v>0</v>
      </c>
      <c r="G509" s="497">
        <f t="shared" si="305"/>
        <v>200598575724</v>
      </c>
      <c r="H509" s="497">
        <f t="shared" si="305"/>
        <v>260704839135</v>
      </c>
      <c r="I509" s="497">
        <f t="shared" si="305"/>
        <v>62362894001</v>
      </c>
      <c r="J509" s="497">
        <f t="shared" si="305"/>
        <v>119479285624</v>
      </c>
      <c r="K509" s="497">
        <f t="shared" si="305"/>
        <v>179435385138</v>
      </c>
      <c r="L509" s="497">
        <f t="shared" si="305"/>
        <v>59872127592</v>
      </c>
      <c r="M509" s="497">
        <f t="shared" si="305"/>
        <v>124722965578</v>
      </c>
      <c r="N509" s="497">
        <f t="shared" si="305"/>
        <v>187713701569</v>
      </c>
      <c r="O509" s="497">
        <f t="shared" si="305"/>
        <v>245215875615</v>
      </c>
      <c r="P509" s="497">
        <f t="shared" si="305"/>
        <v>50300873205</v>
      </c>
      <c r="Q509" s="497">
        <f t="shared" si="305"/>
        <v>99231149257</v>
      </c>
      <c r="R509" s="497">
        <f t="shared" si="305"/>
        <v>145463785121</v>
      </c>
      <c r="S509" s="497">
        <f t="shared" si="305"/>
        <v>192857177366</v>
      </c>
      <c r="T509" s="497">
        <f t="shared" ref="T509:AA509" si="306">SUM(T510:T514)</f>
        <v>47204368077</v>
      </c>
      <c r="U509" s="497">
        <f t="shared" si="306"/>
        <v>97040694929</v>
      </c>
      <c r="V509" s="497">
        <f t="shared" si="306"/>
        <v>143417014364</v>
      </c>
      <c r="W509" s="497">
        <f t="shared" si="306"/>
        <v>190793923835</v>
      </c>
      <c r="X509" s="497">
        <f t="shared" si="306"/>
        <v>45769821829</v>
      </c>
      <c r="Y509" s="497">
        <f t="shared" si="306"/>
        <v>95207807929</v>
      </c>
      <c r="Z509" s="497">
        <f t="shared" si="306"/>
        <v>147046542229</v>
      </c>
      <c r="AA509" s="497">
        <f t="shared" si="306"/>
        <v>204559655672</v>
      </c>
      <c r="AB509" s="497">
        <f t="shared" ref="AB509:AC509" si="307">SUM(AB510:AB514)</f>
        <v>62292389651</v>
      </c>
      <c r="AC509" s="497">
        <f t="shared" si="307"/>
        <v>130301030272</v>
      </c>
      <c r="AD509" s="497">
        <f t="shared" ref="AD509:AE509" si="308">SUM(AD510:AD514)</f>
        <v>203809112411</v>
      </c>
      <c r="AE509" s="497">
        <f t="shared" si="308"/>
        <v>284098693654</v>
      </c>
      <c r="AF509" s="497">
        <f t="shared" ref="AF509:AG509" si="309">SUM(AF510:AF514)</f>
        <v>89573916452</v>
      </c>
      <c r="AG509" s="497">
        <f t="shared" si="309"/>
        <v>185082438436</v>
      </c>
      <c r="AH509" s="497">
        <f t="shared" ref="AH509" si="310">SUM(AH510:AH514)</f>
        <v>276186884867</v>
      </c>
    </row>
    <row r="510" spans="1:34" outlineLevel="1">
      <c r="B510" s="34" t="s">
        <v>109</v>
      </c>
      <c r="C510" s="34" t="s">
        <v>109</v>
      </c>
      <c r="D510" s="495">
        <f t="shared" ref="D510:S510" si="311">D$300</f>
        <v>45927190539</v>
      </c>
      <c r="E510" s="495">
        <f t="shared" si="311"/>
        <v>5774804320</v>
      </c>
      <c r="F510" s="495">
        <f t="shared" si="311"/>
        <v>0</v>
      </c>
      <c r="G510" s="495">
        <f t="shared" si="311"/>
        <v>19686156675</v>
      </c>
      <c r="H510" s="495">
        <f t="shared" si="311"/>
        <v>24661604583</v>
      </c>
      <c r="I510" s="495">
        <f t="shared" si="311"/>
        <v>4330809067</v>
      </c>
      <c r="J510" s="495">
        <f t="shared" si="311"/>
        <v>7745764757</v>
      </c>
      <c r="K510" s="495">
        <f t="shared" si="311"/>
        <v>11919689303</v>
      </c>
      <c r="L510" s="495">
        <f t="shared" si="311"/>
        <v>3027698171</v>
      </c>
      <c r="M510" s="495">
        <f t="shared" si="311"/>
        <v>7478962739</v>
      </c>
      <c r="N510" s="495">
        <f t="shared" si="311"/>
        <v>11825232006</v>
      </c>
      <c r="O510" s="495">
        <f t="shared" si="311"/>
        <v>18343818013</v>
      </c>
      <c r="P510" s="495">
        <f t="shared" si="311"/>
        <v>3589978445</v>
      </c>
      <c r="Q510" s="495">
        <f t="shared" si="311"/>
        <v>8248328256</v>
      </c>
      <c r="R510" s="495">
        <f t="shared" si="311"/>
        <v>12310318712</v>
      </c>
      <c r="S510" s="495">
        <f t="shared" si="311"/>
        <v>16143328458</v>
      </c>
      <c r="T510" s="495">
        <f t="shared" ref="T510:AH510" si="312">T$300</f>
        <v>3544602546</v>
      </c>
      <c r="U510" s="495">
        <f t="shared" si="312"/>
        <v>6668881159</v>
      </c>
      <c r="V510" s="495">
        <f t="shared" si="312"/>
        <v>10091751311</v>
      </c>
      <c r="W510" s="495">
        <f t="shared" si="312"/>
        <v>13431027718</v>
      </c>
      <c r="X510" s="495">
        <f t="shared" si="312"/>
        <v>3080929460</v>
      </c>
      <c r="Y510" s="495">
        <f t="shared" si="312"/>
        <v>6179674987</v>
      </c>
      <c r="Z510" s="495">
        <f t="shared" si="312"/>
        <v>9559497826</v>
      </c>
      <c r="AA510" s="495">
        <f t="shared" si="312"/>
        <v>13243651132</v>
      </c>
      <c r="AB510" s="495">
        <f t="shared" si="312"/>
        <v>2438543613</v>
      </c>
      <c r="AC510" s="495">
        <f t="shared" si="312"/>
        <v>4973033065</v>
      </c>
      <c r="AD510" s="495">
        <f t="shared" si="312"/>
        <v>7310314192</v>
      </c>
      <c r="AE510" s="495">
        <f t="shared" si="312"/>
        <v>10406910324</v>
      </c>
      <c r="AF510" s="495">
        <f t="shared" si="312"/>
        <v>3952536726</v>
      </c>
      <c r="AG510" s="495">
        <f t="shared" si="312"/>
        <v>9717858252</v>
      </c>
      <c r="AH510" s="495">
        <f t="shared" si="312"/>
        <v>13858110065</v>
      </c>
    </row>
    <row r="511" spans="1:34" outlineLevel="1">
      <c r="B511" s="34" t="s">
        <v>110</v>
      </c>
      <c r="C511" s="34" t="s">
        <v>110</v>
      </c>
      <c r="D511" s="495">
        <f t="shared" ref="D511:S511" si="313">D$306</f>
        <v>176502443449</v>
      </c>
      <c r="E511" s="495">
        <f t="shared" si="313"/>
        <v>52126036462</v>
      </c>
      <c r="F511" s="495">
        <f t="shared" si="313"/>
        <v>0</v>
      </c>
      <c r="G511" s="495">
        <f t="shared" si="313"/>
        <v>161117180025</v>
      </c>
      <c r="H511" s="495">
        <f t="shared" si="313"/>
        <v>209830611268</v>
      </c>
      <c r="I511" s="495">
        <f t="shared" si="313"/>
        <v>51846188817</v>
      </c>
      <c r="J511" s="495">
        <f t="shared" si="313"/>
        <v>101692321001</v>
      </c>
      <c r="K511" s="495">
        <f t="shared" si="313"/>
        <v>151524802374</v>
      </c>
      <c r="L511" s="495">
        <f t="shared" si="313"/>
        <v>50837250152</v>
      </c>
      <c r="M511" s="495">
        <f t="shared" si="313"/>
        <v>106858362692</v>
      </c>
      <c r="N511" s="495">
        <f t="shared" si="313"/>
        <v>160886846945</v>
      </c>
      <c r="O511" s="495">
        <f t="shared" si="313"/>
        <v>207553382270</v>
      </c>
      <c r="P511" s="495">
        <f t="shared" si="313"/>
        <v>42925700229</v>
      </c>
      <c r="Q511" s="495">
        <f t="shared" si="313"/>
        <v>83460268778</v>
      </c>
      <c r="R511" s="495">
        <f t="shared" si="313"/>
        <v>121896131831</v>
      </c>
      <c r="S511" s="495">
        <f t="shared" si="313"/>
        <v>160787812031</v>
      </c>
      <c r="T511" s="495">
        <f t="shared" ref="T511:AH511" si="314">T$306</f>
        <v>39299244902</v>
      </c>
      <c r="U511" s="495">
        <f t="shared" si="314"/>
        <v>81037852499</v>
      </c>
      <c r="V511" s="495">
        <f t="shared" si="314"/>
        <v>118867099622</v>
      </c>
      <c r="W511" s="495">
        <f t="shared" si="314"/>
        <v>157760264733</v>
      </c>
      <c r="X511" s="495">
        <f t="shared" si="314"/>
        <v>37446740008</v>
      </c>
      <c r="Y511" s="495">
        <f t="shared" si="314"/>
        <v>78131657447</v>
      </c>
      <c r="Z511" s="495">
        <f t="shared" si="314"/>
        <v>120531912622</v>
      </c>
      <c r="AA511" s="495">
        <f t="shared" si="314"/>
        <v>167210034392</v>
      </c>
      <c r="AB511" s="495">
        <f t="shared" si="314"/>
        <v>46861324362</v>
      </c>
      <c r="AC511" s="495">
        <f t="shared" si="314"/>
        <v>90961701091</v>
      </c>
      <c r="AD511" s="495">
        <f t="shared" si="314"/>
        <v>134158342534</v>
      </c>
      <c r="AE511" s="495">
        <f t="shared" si="314"/>
        <v>177687244304</v>
      </c>
      <c r="AF511" s="495">
        <f t="shared" si="314"/>
        <v>46347737563</v>
      </c>
      <c r="AG511" s="495">
        <f t="shared" si="314"/>
        <v>91426420608</v>
      </c>
      <c r="AH511" s="495">
        <f t="shared" si="314"/>
        <v>131882656919</v>
      </c>
    </row>
    <row r="512" spans="1:34" outlineLevel="1">
      <c r="B512" s="34" t="s">
        <v>111</v>
      </c>
      <c r="C512" s="34" t="s">
        <v>111</v>
      </c>
      <c r="D512" s="495">
        <f t="shared" ref="D512:S512" si="315">D$309</f>
        <v>1558037686</v>
      </c>
      <c r="E512" s="495">
        <f t="shared" si="315"/>
        <v>410148690</v>
      </c>
      <c r="F512" s="495">
        <f t="shared" si="315"/>
        <v>0</v>
      </c>
      <c r="G512" s="495">
        <f t="shared" si="315"/>
        <v>3435356305</v>
      </c>
      <c r="H512" s="495">
        <f t="shared" si="315"/>
        <v>5652913154</v>
      </c>
      <c r="I512" s="495">
        <f t="shared" si="315"/>
        <v>2292096575</v>
      </c>
      <c r="J512" s="495">
        <f t="shared" si="315"/>
        <v>4584193151</v>
      </c>
      <c r="K512" s="495">
        <f t="shared" si="315"/>
        <v>6851443151</v>
      </c>
      <c r="L512" s="495">
        <f t="shared" si="315"/>
        <v>2217556849</v>
      </c>
      <c r="M512" s="495">
        <f t="shared" si="315"/>
        <v>4509653424</v>
      </c>
      <c r="N512" s="495">
        <f t="shared" si="315"/>
        <v>6801750000</v>
      </c>
      <c r="O512" s="495">
        <f t="shared" si="315"/>
        <v>9069000000</v>
      </c>
      <c r="P512" s="495">
        <f t="shared" si="315"/>
        <v>2217556849</v>
      </c>
      <c r="Q512" s="495">
        <f t="shared" si="315"/>
        <v>4509653424</v>
      </c>
      <c r="R512" s="495">
        <f t="shared" si="315"/>
        <v>6915458217</v>
      </c>
      <c r="S512" s="495">
        <f t="shared" si="315"/>
        <v>10395598149</v>
      </c>
      <c r="T512" s="495">
        <f t="shared" ref="T512:AH512" si="316">T$309</f>
        <v>3554512191</v>
      </c>
      <c r="U512" s="495">
        <f t="shared" si="316"/>
        <v>7883169040</v>
      </c>
      <c r="V512" s="495">
        <f t="shared" si="316"/>
        <v>12301569450</v>
      </c>
      <c r="W512" s="495">
        <f t="shared" si="316"/>
        <v>16710354519</v>
      </c>
      <c r="X512" s="495">
        <f t="shared" si="316"/>
        <v>4329051644</v>
      </c>
      <c r="Y512" s="495">
        <f t="shared" si="316"/>
        <v>8741814521</v>
      </c>
      <c r="Z512" s="495">
        <f t="shared" si="316"/>
        <v>13160214931</v>
      </c>
      <c r="AA512" s="495">
        <f t="shared" si="316"/>
        <v>17083687123</v>
      </c>
      <c r="AB512" s="495">
        <f t="shared" si="316"/>
        <v>3879612544</v>
      </c>
      <c r="AC512" s="495">
        <f t="shared" si="316"/>
        <v>9024560044</v>
      </c>
      <c r="AD512" s="495">
        <f t="shared" si="316"/>
        <v>14186507076</v>
      </c>
      <c r="AE512" s="495">
        <f t="shared" si="316"/>
        <v>19094727062</v>
      </c>
      <c r="AF512" s="495">
        <f t="shared" si="316"/>
        <v>5249605647</v>
      </c>
      <c r="AG512" s="495">
        <f t="shared" si="316"/>
        <v>11363773391</v>
      </c>
      <c r="AH512" s="495">
        <f t="shared" si="316"/>
        <v>17735364709</v>
      </c>
    </row>
    <row r="513" spans="1:34" outlineLevel="1">
      <c r="B513" s="34" t="s">
        <v>112</v>
      </c>
      <c r="C513" s="34" t="s">
        <v>112</v>
      </c>
      <c r="D513" s="495">
        <f t="shared" ref="D513:S513" si="317">D$310</f>
        <v>0</v>
      </c>
      <c r="E513" s="495">
        <f t="shared" si="317"/>
        <v>0</v>
      </c>
      <c r="F513" s="495">
        <f t="shared" si="317"/>
        <v>0</v>
      </c>
      <c r="G513" s="495">
        <f t="shared" si="317"/>
        <v>0</v>
      </c>
      <c r="H513" s="495">
        <f t="shared" si="317"/>
        <v>0</v>
      </c>
      <c r="I513" s="495">
        <f t="shared" si="317"/>
        <v>0</v>
      </c>
      <c r="J513" s="495">
        <f t="shared" si="317"/>
        <v>0</v>
      </c>
      <c r="K513" s="495">
        <f t="shared" si="317"/>
        <v>0</v>
      </c>
      <c r="L513" s="495">
        <f t="shared" si="317"/>
        <v>0</v>
      </c>
      <c r="M513" s="495">
        <f t="shared" si="317"/>
        <v>0</v>
      </c>
      <c r="N513" s="495">
        <f t="shared" si="317"/>
        <v>0</v>
      </c>
      <c r="O513" s="495">
        <f t="shared" si="317"/>
        <v>0</v>
      </c>
      <c r="P513" s="495">
        <f t="shared" si="317"/>
        <v>0</v>
      </c>
      <c r="Q513" s="495">
        <f t="shared" si="317"/>
        <v>0</v>
      </c>
      <c r="R513" s="495">
        <f t="shared" si="317"/>
        <v>0</v>
      </c>
      <c r="S513" s="495">
        <f t="shared" si="317"/>
        <v>0</v>
      </c>
      <c r="T513" s="495">
        <f t="shared" ref="T513:AH513" si="318">T$310</f>
        <v>0</v>
      </c>
      <c r="U513" s="495">
        <f t="shared" si="318"/>
        <v>0</v>
      </c>
      <c r="V513" s="495">
        <f t="shared" si="318"/>
        <v>0</v>
      </c>
      <c r="W513" s="495">
        <f t="shared" si="318"/>
        <v>0</v>
      </c>
      <c r="X513" s="495">
        <f t="shared" si="318"/>
        <v>0</v>
      </c>
      <c r="Y513" s="495">
        <f t="shared" si="318"/>
        <v>0</v>
      </c>
      <c r="Z513" s="495">
        <f t="shared" si="318"/>
        <v>0</v>
      </c>
      <c r="AA513" s="495">
        <f t="shared" si="318"/>
        <v>1142389430</v>
      </c>
      <c r="AB513" s="495">
        <f t="shared" si="318"/>
        <v>6807622892</v>
      </c>
      <c r="AC513" s="495">
        <f t="shared" si="318"/>
        <v>18466341875</v>
      </c>
      <c r="AD513" s="495">
        <f t="shared" si="318"/>
        <v>34335422143</v>
      </c>
      <c r="AE513" s="495">
        <f t="shared" si="318"/>
        <v>54024513165</v>
      </c>
      <c r="AF513" s="495">
        <f t="shared" si="318"/>
        <v>24828301184</v>
      </c>
      <c r="AG513" s="495">
        <f t="shared" si="318"/>
        <v>54186944960</v>
      </c>
      <c r="AH513" s="495">
        <f t="shared" si="318"/>
        <v>84302367343</v>
      </c>
    </row>
    <row r="514" spans="1:34" outlineLevel="1">
      <c r="B514" s="34" t="s">
        <v>852</v>
      </c>
      <c r="C514" s="34" t="s">
        <v>852</v>
      </c>
      <c r="D514" s="495">
        <f t="shared" ref="D514:S514" si="319">SUM(D$304,D$307,D$308,D$311,D$312,D$313,D$314,D$315)</f>
        <v>147601356576</v>
      </c>
      <c r="E514" s="495">
        <f t="shared" si="319"/>
        <v>5701407670</v>
      </c>
      <c r="F514" s="495">
        <f t="shared" si="319"/>
        <v>0</v>
      </c>
      <c r="G514" s="495">
        <f t="shared" si="319"/>
        <v>16359882719</v>
      </c>
      <c r="H514" s="495">
        <f t="shared" si="319"/>
        <v>20559710130</v>
      </c>
      <c r="I514" s="495">
        <f t="shared" si="319"/>
        <v>3893799542</v>
      </c>
      <c r="J514" s="495">
        <f t="shared" si="319"/>
        <v>5457006715</v>
      </c>
      <c r="K514" s="495">
        <f t="shared" si="319"/>
        <v>9139450310</v>
      </c>
      <c r="L514" s="495">
        <f t="shared" si="319"/>
        <v>3789622420</v>
      </c>
      <c r="M514" s="495">
        <f t="shared" si="319"/>
        <v>5875986723</v>
      </c>
      <c r="N514" s="495">
        <f t="shared" si="319"/>
        <v>8199872618</v>
      </c>
      <c r="O514" s="495">
        <f t="shared" si="319"/>
        <v>10249675332</v>
      </c>
      <c r="P514" s="495">
        <f t="shared" si="319"/>
        <v>1567637682</v>
      </c>
      <c r="Q514" s="495">
        <f t="shared" si="319"/>
        <v>3012898799</v>
      </c>
      <c r="R514" s="495">
        <f t="shared" si="319"/>
        <v>4341876361</v>
      </c>
      <c r="S514" s="495">
        <f t="shared" si="319"/>
        <v>5530438728</v>
      </c>
      <c r="T514" s="495">
        <f t="shared" ref="T514:AH514" si="320">SUM(T$304,T$307,T$308,T$311,T$312,T$313,T$314,T$315)</f>
        <v>806008438</v>
      </c>
      <c r="U514" s="495">
        <f t="shared" si="320"/>
        <v>1450792231</v>
      </c>
      <c r="V514" s="495">
        <f t="shared" si="320"/>
        <v>2156593981</v>
      </c>
      <c r="W514" s="495">
        <f t="shared" si="320"/>
        <v>2892276865</v>
      </c>
      <c r="X514" s="495">
        <f t="shared" si="320"/>
        <v>913100717</v>
      </c>
      <c r="Y514" s="495">
        <f t="shared" si="320"/>
        <v>2154660974</v>
      </c>
      <c r="Z514" s="495">
        <f t="shared" si="320"/>
        <v>3794916850</v>
      </c>
      <c r="AA514" s="495">
        <f t="shared" si="320"/>
        <v>5879893595</v>
      </c>
      <c r="AB514" s="495">
        <f t="shared" si="320"/>
        <v>2305286240</v>
      </c>
      <c r="AC514" s="495">
        <f t="shared" si="320"/>
        <v>6875394197</v>
      </c>
      <c r="AD514" s="495">
        <f t="shared" si="320"/>
        <v>13818526466</v>
      </c>
      <c r="AE514" s="495">
        <f t="shared" si="320"/>
        <v>22885298799</v>
      </c>
      <c r="AF514" s="495">
        <f t="shared" si="320"/>
        <v>9195735332</v>
      </c>
      <c r="AG514" s="495">
        <f t="shared" si="320"/>
        <v>18387441225</v>
      </c>
      <c r="AH514" s="495">
        <f t="shared" si="320"/>
        <v>28408385831</v>
      </c>
    </row>
    <row r="515" spans="1:34">
      <c r="A515" s="496" t="s">
        <v>835</v>
      </c>
      <c r="D515" s="497">
        <f t="shared" ref="D515:S515" si="321">D498-D509</f>
        <v>221067814813</v>
      </c>
      <c r="E515" s="497">
        <f t="shared" si="321"/>
        <v>89748638360</v>
      </c>
      <c r="F515" s="497">
        <f t="shared" si="321"/>
        <v>0</v>
      </c>
      <c r="G515" s="497">
        <f t="shared" si="321"/>
        <v>250737875640</v>
      </c>
      <c r="H515" s="497">
        <f t="shared" si="321"/>
        <v>337677986597</v>
      </c>
      <c r="I515" s="497">
        <f t="shared" si="321"/>
        <v>111395770189</v>
      </c>
      <c r="J515" s="497">
        <f t="shared" si="321"/>
        <v>183502554501</v>
      </c>
      <c r="K515" s="497">
        <f t="shared" si="321"/>
        <v>253535867936</v>
      </c>
      <c r="L515" s="497">
        <f t="shared" si="321"/>
        <v>87518152991</v>
      </c>
      <c r="M515" s="497">
        <f t="shared" si="321"/>
        <v>192795525224</v>
      </c>
      <c r="N515" s="497">
        <f t="shared" si="321"/>
        <v>272571658359</v>
      </c>
      <c r="O515" s="497">
        <f t="shared" si="321"/>
        <v>378179523302</v>
      </c>
      <c r="P515" s="497">
        <f t="shared" si="321"/>
        <v>137752048624</v>
      </c>
      <c r="Q515" s="497">
        <f t="shared" si="321"/>
        <v>248899982127</v>
      </c>
      <c r="R515" s="497">
        <f t="shared" si="321"/>
        <v>346017044358</v>
      </c>
      <c r="S515" s="497">
        <f t="shared" si="321"/>
        <v>438314201431</v>
      </c>
      <c r="T515" s="497">
        <f t="shared" ref="T515:AA515" si="322">T498-T509</f>
        <v>139000449413</v>
      </c>
      <c r="U515" s="497">
        <f t="shared" si="322"/>
        <v>228622530739</v>
      </c>
      <c r="V515" s="497">
        <f t="shared" si="322"/>
        <v>322951846268</v>
      </c>
      <c r="W515" s="497">
        <f t="shared" si="322"/>
        <v>413427410153</v>
      </c>
      <c r="X515" s="497">
        <f t="shared" si="322"/>
        <v>158218621166</v>
      </c>
      <c r="Y515" s="497">
        <f t="shared" si="322"/>
        <v>267556381016</v>
      </c>
      <c r="Z515" s="497">
        <f t="shared" si="322"/>
        <v>381436355899</v>
      </c>
      <c r="AA515" s="497">
        <f t="shared" si="322"/>
        <v>504859618019</v>
      </c>
      <c r="AB515" s="497">
        <f t="shared" ref="AB515:AC515" si="323">AB498-AB509</f>
        <v>199196169693</v>
      </c>
      <c r="AC515" s="497">
        <f t="shared" si="323"/>
        <v>362009257065</v>
      </c>
      <c r="AD515" s="497">
        <f t="shared" ref="AD515:AE515" si="324">AD498-AD509</f>
        <v>521192291335</v>
      </c>
      <c r="AE515" s="497">
        <f t="shared" si="324"/>
        <v>699499408141</v>
      </c>
      <c r="AF515" s="497">
        <f t="shared" ref="AF515:AG515" si="325">AF498-AF509</f>
        <v>252304157500</v>
      </c>
      <c r="AG515" s="497">
        <f t="shared" si="325"/>
        <v>437459020668</v>
      </c>
      <c r="AH515" s="497">
        <f t="shared" ref="AH515" si="326">AH498-AH509</f>
        <v>593416799405</v>
      </c>
    </row>
    <row r="516" spans="1:34" hidden="1" outlineLevel="1">
      <c r="B516" s="34" t="s">
        <v>16</v>
      </c>
      <c r="C516" s="34" t="s">
        <v>16</v>
      </c>
      <c r="D516" s="495">
        <f t="shared" ref="D516:S516" si="327">D$32</f>
        <v>72579384206</v>
      </c>
      <c r="E516" s="495">
        <f t="shared" si="327"/>
        <v>15318062575</v>
      </c>
      <c r="F516" s="495">
        <f t="shared" si="327"/>
        <v>0</v>
      </c>
      <c r="G516" s="495">
        <f t="shared" si="327"/>
        <v>44431283784</v>
      </c>
      <c r="H516" s="495">
        <f t="shared" si="327"/>
        <v>59490750427</v>
      </c>
      <c r="I516" s="495">
        <f t="shared" si="327"/>
        <v>14723521031</v>
      </c>
      <c r="J516" s="495">
        <f t="shared" si="327"/>
        <v>28625384043</v>
      </c>
      <c r="K516" s="495">
        <f t="shared" si="327"/>
        <v>42138133707</v>
      </c>
      <c r="L516" s="495">
        <f t="shared" si="327"/>
        <v>13513176236</v>
      </c>
      <c r="M516" s="495">
        <f t="shared" si="327"/>
        <v>27416731722</v>
      </c>
      <c r="N516" s="495">
        <f t="shared" si="327"/>
        <v>42185177293</v>
      </c>
      <c r="O516" s="495">
        <f t="shared" si="327"/>
        <v>55100014265</v>
      </c>
      <c r="P516" s="495">
        <f t="shared" si="327"/>
        <v>13738140163</v>
      </c>
      <c r="Q516" s="495">
        <f t="shared" si="327"/>
        <v>29881522102</v>
      </c>
      <c r="R516" s="495">
        <f t="shared" si="327"/>
        <v>43503544597</v>
      </c>
      <c r="S516" s="495">
        <f t="shared" si="327"/>
        <v>56902689653</v>
      </c>
      <c r="T516" s="495">
        <f t="shared" ref="T516:AH516" si="328">T$32</f>
        <v>13269841117</v>
      </c>
      <c r="U516" s="495">
        <f t="shared" si="328"/>
        <v>28484586410</v>
      </c>
      <c r="V516" s="495">
        <f t="shared" si="328"/>
        <v>44262188689</v>
      </c>
      <c r="W516" s="495">
        <f t="shared" si="328"/>
        <v>57538758811</v>
      </c>
      <c r="X516" s="495">
        <f t="shared" si="328"/>
        <v>16723151367</v>
      </c>
      <c r="Y516" s="495">
        <f t="shared" si="328"/>
        <v>32527888269</v>
      </c>
      <c r="Z516" s="495">
        <f t="shared" si="328"/>
        <v>51187239522</v>
      </c>
      <c r="AA516" s="495">
        <f t="shared" si="328"/>
        <v>70348390236</v>
      </c>
      <c r="AB516" s="495">
        <f t="shared" si="328"/>
        <v>21238732859</v>
      </c>
      <c r="AC516" s="495">
        <f t="shared" si="328"/>
        <v>42093449303</v>
      </c>
      <c r="AD516" s="495">
        <f t="shared" si="328"/>
        <v>61735127949</v>
      </c>
      <c r="AE516" s="495">
        <f t="shared" si="328"/>
        <v>78729660694</v>
      </c>
      <c r="AF516" s="495">
        <f t="shared" si="328"/>
        <v>20628137978</v>
      </c>
      <c r="AG516" s="495">
        <f t="shared" si="328"/>
        <v>44915622526</v>
      </c>
      <c r="AH516" s="495">
        <f t="shared" si="328"/>
        <v>67690312467</v>
      </c>
    </row>
    <row r="517" spans="1:34" hidden="1" outlineLevel="1">
      <c r="B517" s="34" t="s">
        <v>17</v>
      </c>
      <c r="C517" s="34" t="s">
        <v>17</v>
      </c>
      <c r="D517" s="495">
        <f t="shared" ref="D517:S517" si="329">D$35</f>
        <v>41799478379</v>
      </c>
      <c r="E517" s="495">
        <f t="shared" si="329"/>
        <v>5180740899</v>
      </c>
      <c r="F517" s="495">
        <f t="shared" si="329"/>
        <v>0</v>
      </c>
      <c r="G517" s="495">
        <f t="shared" si="329"/>
        <v>16402562193</v>
      </c>
      <c r="H517" s="495">
        <f t="shared" si="329"/>
        <v>20802581835</v>
      </c>
      <c r="I517" s="495">
        <f t="shared" si="329"/>
        <v>5112279309</v>
      </c>
      <c r="J517" s="495">
        <f t="shared" si="329"/>
        <v>9266650509</v>
      </c>
      <c r="K517" s="495">
        <f t="shared" si="329"/>
        <v>13457141271</v>
      </c>
      <c r="L517" s="495">
        <f t="shared" si="329"/>
        <v>3598108036</v>
      </c>
      <c r="M517" s="495">
        <f t="shared" si="329"/>
        <v>7206041881</v>
      </c>
      <c r="N517" s="495">
        <f t="shared" si="329"/>
        <v>10970596314</v>
      </c>
      <c r="O517" s="495">
        <f t="shared" si="329"/>
        <v>14443673131</v>
      </c>
      <c r="P517" s="495">
        <f t="shared" si="329"/>
        <v>4510775202</v>
      </c>
      <c r="Q517" s="495">
        <f t="shared" si="329"/>
        <v>12312220940</v>
      </c>
      <c r="R517" s="495">
        <f t="shared" si="329"/>
        <v>19643143165</v>
      </c>
      <c r="S517" s="495">
        <f t="shared" si="329"/>
        <v>27383685405</v>
      </c>
      <c r="T517" s="495">
        <f t="shared" ref="T517:AH517" si="330">T$35</f>
        <v>6891163036</v>
      </c>
      <c r="U517" s="495">
        <f t="shared" si="330"/>
        <v>14157487584</v>
      </c>
      <c r="V517" s="495">
        <f t="shared" si="330"/>
        <v>21226211850</v>
      </c>
      <c r="W517" s="495">
        <f t="shared" si="330"/>
        <v>27886770338</v>
      </c>
      <c r="X517" s="495">
        <f t="shared" si="330"/>
        <v>6111760781</v>
      </c>
      <c r="Y517" s="495">
        <f t="shared" si="330"/>
        <v>12327616169</v>
      </c>
      <c r="Z517" s="495">
        <f t="shared" si="330"/>
        <v>19119099828</v>
      </c>
      <c r="AA517" s="495">
        <f t="shared" si="330"/>
        <v>25577056458</v>
      </c>
      <c r="AB517" s="495">
        <f t="shared" si="330"/>
        <v>6736864796</v>
      </c>
      <c r="AC517" s="495">
        <f t="shared" si="330"/>
        <v>13322261590</v>
      </c>
      <c r="AD517" s="495">
        <f t="shared" si="330"/>
        <v>19391495764</v>
      </c>
      <c r="AE517" s="495">
        <f t="shared" si="330"/>
        <v>23290559802</v>
      </c>
      <c r="AF517" s="495">
        <f t="shared" si="330"/>
        <v>3494401758</v>
      </c>
      <c r="AG517" s="495">
        <f t="shared" si="330"/>
        <v>7667274969</v>
      </c>
      <c r="AH517" s="495">
        <f t="shared" si="330"/>
        <v>11602260160</v>
      </c>
    </row>
    <row r="518" spans="1:34" hidden="1" outlineLevel="1">
      <c r="B518" s="34" t="s">
        <v>18</v>
      </c>
      <c r="C518" s="34" t="s">
        <v>18</v>
      </c>
      <c r="D518" s="495">
        <f t="shared" ref="D518:S518" si="331">D$49</f>
        <v>0</v>
      </c>
      <c r="E518" s="495">
        <f t="shared" si="331"/>
        <v>0</v>
      </c>
      <c r="F518" s="495">
        <f t="shared" si="331"/>
        <v>0</v>
      </c>
      <c r="G518" s="495">
        <f t="shared" si="331"/>
        <v>0</v>
      </c>
      <c r="H518" s="495">
        <f t="shared" si="331"/>
        <v>0</v>
      </c>
      <c r="I518" s="495">
        <f t="shared" si="331"/>
        <v>0</v>
      </c>
      <c r="J518" s="495">
        <f t="shared" si="331"/>
        <v>0</v>
      </c>
      <c r="K518" s="495">
        <f t="shared" si="331"/>
        <v>0</v>
      </c>
      <c r="L518" s="495">
        <f t="shared" si="331"/>
        <v>0</v>
      </c>
      <c r="M518" s="495">
        <f t="shared" si="331"/>
        <v>0</v>
      </c>
      <c r="N518" s="495">
        <f t="shared" si="331"/>
        <v>0</v>
      </c>
      <c r="O518" s="495">
        <f t="shared" si="331"/>
        <v>0</v>
      </c>
      <c r="P518" s="495">
        <f t="shared" si="331"/>
        <v>0</v>
      </c>
      <c r="Q518" s="495">
        <f t="shared" si="331"/>
        <v>0</v>
      </c>
      <c r="R518" s="495">
        <f t="shared" si="331"/>
        <v>0</v>
      </c>
      <c r="S518" s="495">
        <f t="shared" si="331"/>
        <v>0</v>
      </c>
      <c r="T518" s="495">
        <f t="shared" ref="T518:AH518" si="332">T$49</f>
        <v>0</v>
      </c>
      <c r="U518" s="495">
        <f t="shared" si="332"/>
        <v>0</v>
      </c>
      <c r="V518" s="495">
        <f t="shared" si="332"/>
        <v>0</v>
      </c>
      <c r="W518" s="495">
        <f t="shared" si="332"/>
        <v>0</v>
      </c>
      <c r="X518" s="495">
        <f t="shared" si="332"/>
        <v>0</v>
      </c>
      <c r="Y518" s="495">
        <f t="shared" si="332"/>
        <v>0</v>
      </c>
      <c r="Z518" s="495">
        <f t="shared" si="332"/>
        <v>0</v>
      </c>
      <c r="AA518" s="495">
        <f t="shared" si="332"/>
        <v>0</v>
      </c>
      <c r="AB518" s="495">
        <f t="shared" si="332"/>
        <v>0</v>
      </c>
      <c r="AC518" s="495">
        <f t="shared" si="332"/>
        <v>0</v>
      </c>
      <c r="AD518" s="495">
        <f t="shared" si="332"/>
        <v>0</v>
      </c>
      <c r="AE518" s="495">
        <f t="shared" si="332"/>
        <v>0</v>
      </c>
      <c r="AF518" s="495">
        <f t="shared" si="332"/>
        <v>0</v>
      </c>
      <c r="AG518" s="495">
        <f t="shared" si="332"/>
        <v>0</v>
      </c>
      <c r="AH518" s="495">
        <f t="shared" si="332"/>
        <v>0</v>
      </c>
    </row>
    <row r="519" spans="1:34" hidden="1" outlineLevel="1">
      <c r="B519" s="34" t="s">
        <v>1394</v>
      </c>
      <c r="C519" s="34" t="s">
        <v>1394</v>
      </c>
      <c r="D519" s="495">
        <f t="shared" ref="D519:R519" si="333">D$53</f>
        <v>6160125602</v>
      </c>
      <c r="E519" s="495">
        <f t="shared" si="333"/>
        <v>2373760988</v>
      </c>
      <c r="F519" s="495">
        <f t="shared" si="333"/>
        <v>0</v>
      </c>
      <c r="G519" s="495">
        <f t="shared" si="333"/>
        <v>7059140250</v>
      </c>
      <c r="H519" s="495">
        <f t="shared" si="333"/>
        <v>9764780118</v>
      </c>
      <c r="I519" s="495">
        <f t="shared" si="333"/>
        <v>3315209499</v>
      </c>
      <c r="J519" s="495">
        <f t="shared" si="333"/>
        <v>6046290740</v>
      </c>
      <c r="K519" s="495">
        <f t="shared" si="333"/>
        <v>8926635161</v>
      </c>
      <c r="L519" s="495">
        <f t="shared" si="333"/>
        <v>3260122919</v>
      </c>
      <c r="M519" s="495">
        <f t="shared" si="333"/>
        <v>7172252724</v>
      </c>
      <c r="N519" s="495">
        <f t="shared" si="333"/>
        <v>10046717302</v>
      </c>
      <c r="O519" s="495">
        <f t="shared" si="333"/>
        <v>13512692095</v>
      </c>
      <c r="P519" s="495">
        <f t="shared" si="333"/>
        <v>3269723986</v>
      </c>
      <c r="Q519" s="495">
        <f t="shared" si="333"/>
        <v>8645425998</v>
      </c>
      <c r="R519" s="495">
        <f t="shared" si="333"/>
        <v>12906468876</v>
      </c>
      <c r="S519" s="495">
        <f>S$53</f>
        <v>16740923369</v>
      </c>
      <c r="T519" s="495">
        <f t="shared" ref="T519:AH519" si="334">T$53</f>
        <v>3554259094</v>
      </c>
      <c r="U519" s="495">
        <f t="shared" si="334"/>
        <v>8828059942</v>
      </c>
      <c r="V519" s="495">
        <f t="shared" si="334"/>
        <v>12963180716</v>
      </c>
      <c r="W519" s="495">
        <f t="shared" si="334"/>
        <v>17728595250</v>
      </c>
      <c r="X519" s="495">
        <f t="shared" si="334"/>
        <v>5023977671</v>
      </c>
      <c r="Y519" s="495">
        <f t="shared" si="334"/>
        <v>12295120179</v>
      </c>
      <c r="Z519" s="495">
        <f t="shared" si="334"/>
        <v>18211000116</v>
      </c>
      <c r="AA519" s="495">
        <f t="shared" si="334"/>
        <v>24043720901</v>
      </c>
      <c r="AB519" s="495">
        <f t="shared" si="334"/>
        <v>6074584303</v>
      </c>
      <c r="AC519" s="495">
        <f t="shared" si="334"/>
        <v>14604967887</v>
      </c>
      <c r="AD519" s="495">
        <f t="shared" si="334"/>
        <v>20523450839</v>
      </c>
      <c r="AE519" s="495">
        <f t="shared" si="334"/>
        <v>26481909256</v>
      </c>
      <c r="AF519" s="495">
        <f t="shared" si="334"/>
        <v>6572665351</v>
      </c>
      <c r="AG519" s="495">
        <f t="shared" si="334"/>
        <v>14892096401</v>
      </c>
      <c r="AH519" s="495">
        <f t="shared" si="334"/>
        <v>22532508814</v>
      </c>
    </row>
    <row r="520" spans="1:34" collapsed="1">
      <c r="A520" s="496" t="s">
        <v>837</v>
      </c>
      <c r="D520" s="495">
        <f t="shared" ref="D520:Z520" si="335">SUM(D516:D519)</f>
        <v>120538988187</v>
      </c>
      <c r="E520" s="495">
        <f t="shared" si="335"/>
        <v>22872564462</v>
      </c>
      <c r="F520" s="495">
        <f t="shared" si="335"/>
        <v>0</v>
      </c>
      <c r="G520" s="495">
        <f t="shared" si="335"/>
        <v>67892986227</v>
      </c>
      <c r="H520" s="495">
        <f t="shared" si="335"/>
        <v>90058112380</v>
      </c>
      <c r="I520" s="495">
        <f t="shared" si="335"/>
        <v>23151009839</v>
      </c>
      <c r="J520" s="495">
        <f t="shared" si="335"/>
        <v>43938325292</v>
      </c>
      <c r="K520" s="495">
        <f t="shared" si="335"/>
        <v>64521910139</v>
      </c>
      <c r="L520" s="495">
        <f t="shared" si="335"/>
        <v>20371407191</v>
      </c>
      <c r="M520" s="495">
        <f t="shared" si="335"/>
        <v>41795026327</v>
      </c>
      <c r="N520" s="495">
        <f t="shared" si="335"/>
        <v>63202490909</v>
      </c>
      <c r="O520" s="495">
        <f t="shared" si="335"/>
        <v>83056379491</v>
      </c>
      <c r="P520" s="495">
        <f t="shared" si="335"/>
        <v>21518639351</v>
      </c>
      <c r="Q520" s="495">
        <f t="shared" si="335"/>
        <v>50839169040</v>
      </c>
      <c r="R520" s="495">
        <f t="shared" si="335"/>
        <v>76053156638</v>
      </c>
      <c r="S520" s="495">
        <f t="shared" si="335"/>
        <v>101027298427</v>
      </c>
      <c r="T520" s="495">
        <f t="shared" si="335"/>
        <v>23715263247</v>
      </c>
      <c r="U520" s="495">
        <f t="shared" si="335"/>
        <v>51470133936</v>
      </c>
      <c r="V520" s="495">
        <f t="shared" si="335"/>
        <v>78451581255</v>
      </c>
      <c r="W520" s="495">
        <f t="shared" si="335"/>
        <v>103154124399</v>
      </c>
      <c r="X520" s="495">
        <f t="shared" si="335"/>
        <v>27858889819</v>
      </c>
      <c r="Y520" s="495">
        <f t="shared" si="335"/>
        <v>57150624617</v>
      </c>
      <c r="Z520" s="495">
        <f t="shared" si="335"/>
        <v>88517339466</v>
      </c>
      <c r="AA520" s="495">
        <f t="shared" ref="AA520:AF520" si="336">SUM(AA516:AA519)</f>
        <v>119969167595</v>
      </c>
      <c r="AB520" s="495">
        <f t="shared" si="336"/>
        <v>34050181958</v>
      </c>
      <c r="AC520" s="495">
        <f t="shared" si="336"/>
        <v>70020678780</v>
      </c>
      <c r="AD520" s="495">
        <f t="shared" si="336"/>
        <v>101650074552</v>
      </c>
      <c r="AE520" s="495">
        <f t="shared" si="336"/>
        <v>128502129752</v>
      </c>
      <c r="AF520" s="495">
        <f t="shared" si="336"/>
        <v>30695205087</v>
      </c>
      <c r="AG520" s="495">
        <f t="shared" ref="AG520:AH520" si="337">SUM(AG516:AG519)</f>
        <v>67474993896</v>
      </c>
      <c r="AH520" s="495">
        <f t="shared" si="337"/>
        <v>101825081441</v>
      </c>
    </row>
    <row r="521" spans="1:34" hidden="1" outlineLevel="1">
      <c r="B521" s="34" t="s">
        <v>14</v>
      </c>
      <c r="C521" s="34" t="s">
        <v>14</v>
      </c>
      <c r="D521" s="495">
        <f t="shared" ref="D521:S521" si="338">D$28</f>
        <v>44679151805</v>
      </c>
      <c r="E521" s="495">
        <f t="shared" si="338"/>
        <v>10133139752</v>
      </c>
      <c r="F521" s="495">
        <f t="shared" si="338"/>
        <v>0</v>
      </c>
      <c r="G521" s="495">
        <f t="shared" si="338"/>
        <v>29551512216</v>
      </c>
      <c r="H521" s="495">
        <f t="shared" si="338"/>
        <v>36340026553</v>
      </c>
      <c r="I521" s="495">
        <f t="shared" si="338"/>
        <v>8846574174</v>
      </c>
      <c r="J521" s="495">
        <f t="shared" si="338"/>
        <v>14277598373</v>
      </c>
      <c r="K521" s="495">
        <f t="shared" si="338"/>
        <v>22680860420</v>
      </c>
      <c r="L521" s="495">
        <f t="shared" si="338"/>
        <v>6271045326</v>
      </c>
      <c r="M521" s="495">
        <f t="shared" si="338"/>
        <v>18096390229</v>
      </c>
      <c r="N521" s="495">
        <f t="shared" si="338"/>
        <v>25600839250</v>
      </c>
      <c r="O521" s="495">
        <f t="shared" si="338"/>
        <v>40431269812</v>
      </c>
      <c r="P521" s="495">
        <f t="shared" si="338"/>
        <v>14993639550</v>
      </c>
      <c r="Q521" s="495">
        <f t="shared" si="338"/>
        <v>30494651218</v>
      </c>
      <c r="R521" s="495">
        <f t="shared" si="338"/>
        <v>46102679164</v>
      </c>
      <c r="S521" s="495">
        <f t="shared" si="338"/>
        <v>58101968616</v>
      </c>
      <c r="T521" s="495">
        <f t="shared" ref="T521:AH521" si="339">T$28</f>
        <v>21517752199</v>
      </c>
      <c r="U521" s="495">
        <f t="shared" si="339"/>
        <v>37012870470</v>
      </c>
      <c r="V521" s="495">
        <f t="shared" si="339"/>
        <v>58891328959</v>
      </c>
      <c r="W521" s="495">
        <f t="shared" si="339"/>
        <v>82236884109</v>
      </c>
      <c r="X521" s="495">
        <f t="shared" si="339"/>
        <v>19640194091</v>
      </c>
      <c r="Y521" s="495">
        <f t="shared" si="339"/>
        <v>35439731244</v>
      </c>
      <c r="Z521" s="495">
        <f t="shared" si="339"/>
        <v>63008099936</v>
      </c>
      <c r="AA521" s="495">
        <f t="shared" si="339"/>
        <v>98878581587</v>
      </c>
      <c r="AB521" s="495">
        <f t="shared" si="339"/>
        <v>18410768310</v>
      </c>
      <c r="AC521" s="495">
        <f t="shared" si="339"/>
        <v>35757726751</v>
      </c>
      <c r="AD521" s="495">
        <f t="shared" si="339"/>
        <v>51028563378</v>
      </c>
      <c r="AE521" s="495">
        <f t="shared" si="339"/>
        <v>76435634115</v>
      </c>
      <c r="AF521" s="495">
        <f t="shared" si="339"/>
        <v>11604901279</v>
      </c>
      <c r="AG521" s="495">
        <f t="shared" si="339"/>
        <v>39477327067</v>
      </c>
      <c r="AH521" s="495">
        <f t="shared" si="339"/>
        <v>60123376132</v>
      </c>
    </row>
    <row r="522" spans="1:34" hidden="1" outlineLevel="1">
      <c r="B522" s="34" t="s">
        <v>839</v>
      </c>
      <c r="C522" s="34" t="s">
        <v>839</v>
      </c>
      <c r="D522" s="495">
        <f t="shared" ref="D522:S522" si="340">D$44</f>
        <v>12796324325</v>
      </c>
      <c r="E522" s="495">
        <f t="shared" si="340"/>
        <v>5624142987</v>
      </c>
      <c r="F522" s="495">
        <f t="shared" si="340"/>
        <v>0</v>
      </c>
      <c r="G522" s="495">
        <f t="shared" si="340"/>
        <v>12522482923</v>
      </c>
      <c r="H522" s="495">
        <f t="shared" si="340"/>
        <v>14434277507</v>
      </c>
      <c r="I522" s="495">
        <f t="shared" si="340"/>
        <v>9105740674</v>
      </c>
      <c r="J522" s="495">
        <f t="shared" si="340"/>
        <v>13684047525</v>
      </c>
      <c r="K522" s="495">
        <f t="shared" si="340"/>
        <v>16184651041</v>
      </c>
      <c r="L522" s="495">
        <f t="shared" si="340"/>
        <v>9133474679</v>
      </c>
      <c r="M522" s="495">
        <f t="shared" si="340"/>
        <v>16141122919</v>
      </c>
      <c r="N522" s="495">
        <f t="shared" si="340"/>
        <v>22166471695</v>
      </c>
      <c r="O522" s="495">
        <f t="shared" si="340"/>
        <v>25476348246</v>
      </c>
      <c r="P522" s="495">
        <f t="shared" si="340"/>
        <v>7541023741</v>
      </c>
      <c r="Q522" s="495">
        <f t="shared" si="340"/>
        <v>11316835413</v>
      </c>
      <c r="R522" s="495">
        <f t="shared" si="340"/>
        <v>14316508140</v>
      </c>
      <c r="S522" s="495">
        <f t="shared" si="340"/>
        <v>17690864165</v>
      </c>
      <c r="T522" s="495">
        <f t="shared" ref="T522:AH522" si="341">T$44</f>
        <v>7734995412</v>
      </c>
      <c r="U522" s="495">
        <f t="shared" si="341"/>
        <v>15164615808</v>
      </c>
      <c r="V522" s="495">
        <f t="shared" si="341"/>
        <v>21065141763</v>
      </c>
      <c r="W522" s="495">
        <f t="shared" si="341"/>
        <v>35330675480</v>
      </c>
      <c r="X522" s="495">
        <f t="shared" si="341"/>
        <v>5407037711</v>
      </c>
      <c r="Y522" s="495">
        <f t="shared" si="341"/>
        <v>16360875666</v>
      </c>
      <c r="Z522" s="495">
        <f t="shared" si="341"/>
        <v>33024630211</v>
      </c>
      <c r="AA522" s="495">
        <f t="shared" si="341"/>
        <v>42753015490</v>
      </c>
      <c r="AB522" s="495">
        <f t="shared" si="341"/>
        <v>11707302000</v>
      </c>
      <c r="AC522" s="495">
        <f t="shared" si="341"/>
        <v>29365690936</v>
      </c>
      <c r="AD522" s="495">
        <f t="shared" si="341"/>
        <v>49330357918</v>
      </c>
      <c r="AE522" s="495">
        <f t="shared" si="341"/>
        <v>59590007121</v>
      </c>
      <c r="AF522" s="495">
        <f t="shared" si="341"/>
        <v>24766447551</v>
      </c>
      <c r="AG522" s="495">
        <f t="shared" si="341"/>
        <v>66918662704</v>
      </c>
      <c r="AH522" s="495">
        <f t="shared" si="341"/>
        <v>104580447935</v>
      </c>
    </row>
    <row r="523" spans="1:34" hidden="1" outlineLevel="1">
      <c r="B523" s="34" t="s">
        <v>15</v>
      </c>
      <c r="C523" s="34" t="s">
        <v>15</v>
      </c>
      <c r="D523" s="495">
        <f t="shared" ref="D523:S523" si="342">D$31</f>
        <v>531000000</v>
      </c>
      <c r="E523" s="495">
        <f t="shared" si="342"/>
        <v>41000000</v>
      </c>
      <c r="F523" s="495">
        <f t="shared" si="342"/>
        <v>0</v>
      </c>
      <c r="G523" s="495">
        <f t="shared" si="342"/>
        <v>86000000</v>
      </c>
      <c r="H523" s="495">
        <f t="shared" si="342"/>
        <v>90000000</v>
      </c>
      <c r="I523" s="495">
        <f t="shared" si="342"/>
        <v>2000000</v>
      </c>
      <c r="J523" s="495">
        <f t="shared" si="342"/>
        <v>15000000</v>
      </c>
      <c r="K523" s="495">
        <f t="shared" si="342"/>
        <v>18000000</v>
      </c>
      <c r="L523" s="495">
        <f t="shared" si="342"/>
        <v>2000000</v>
      </c>
      <c r="M523" s="495">
        <f t="shared" si="342"/>
        <v>2000000</v>
      </c>
      <c r="N523" s="495">
        <f t="shared" si="342"/>
        <v>2000000</v>
      </c>
      <c r="O523" s="495">
        <f t="shared" si="342"/>
        <v>12000000</v>
      </c>
      <c r="P523" s="495">
        <f t="shared" si="342"/>
        <v>0</v>
      </c>
      <c r="Q523" s="495">
        <f t="shared" si="342"/>
        <v>0</v>
      </c>
      <c r="R523" s="495">
        <f t="shared" si="342"/>
        <v>0</v>
      </c>
      <c r="S523" s="495">
        <f t="shared" si="342"/>
        <v>0</v>
      </c>
      <c r="T523" s="495">
        <f t="shared" ref="T523:AH523" si="343">T$31</f>
        <v>0</v>
      </c>
      <c r="U523" s="495">
        <f t="shared" si="343"/>
        <v>0</v>
      </c>
      <c r="V523" s="495">
        <f t="shared" si="343"/>
        <v>0</v>
      </c>
      <c r="W523" s="495">
        <f t="shared" si="343"/>
        <v>0</v>
      </c>
      <c r="X523" s="495">
        <f t="shared" si="343"/>
        <v>0</v>
      </c>
      <c r="Y523" s="495">
        <f t="shared" si="343"/>
        <v>0</v>
      </c>
      <c r="Z523" s="495">
        <f t="shared" si="343"/>
        <v>0</v>
      </c>
      <c r="AA523" s="495">
        <f t="shared" si="343"/>
        <v>0</v>
      </c>
      <c r="AB523" s="495">
        <f t="shared" si="343"/>
        <v>0</v>
      </c>
      <c r="AC523" s="495">
        <f t="shared" si="343"/>
        <v>0</v>
      </c>
      <c r="AD523" s="495">
        <f t="shared" si="343"/>
        <v>0</v>
      </c>
      <c r="AE523" s="495">
        <f t="shared" si="343"/>
        <v>0</v>
      </c>
      <c r="AF523" s="495">
        <f t="shared" si="343"/>
        <v>0</v>
      </c>
      <c r="AG523" s="495">
        <f t="shared" si="343"/>
        <v>0</v>
      </c>
      <c r="AH523" s="495">
        <f t="shared" si="343"/>
        <v>0</v>
      </c>
    </row>
    <row r="524" spans="1:34" hidden="1" outlineLevel="1">
      <c r="B524" s="34" t="s">
        <v>2124</v>
      </c>
      <c r="C524" s="34" t="s">
        <v>2124</v>
      </c>
      <c r="D524" s="495">
        <f t="shared" ref="D524:AH524" si="344">SUM(D$43,D$65)</f>
        <v>0</v>
      </c>
      <c r="E524" s="495">
        <f t="shared" si="344"/>
        <v>0</v>
      </c>
      <c r="F524" s="495">
        <f t="shared" si="344"/>
        <v>0</v>
      </c>
      <c r="G524" s="495">
        <f t="shared" si="344"/>
        <v>0</v>
      </c>
      <c r="H524" s="495">
        <f t="shared" si="344"/>
        <v>0</v>
      </c>
      <c r="I524" s="495">
        <f t="shared" si="344"/>
        <v>224821130</v>
      </c>
      <c r="J524" s="495">
        <f t="shared" si="344"/>
        <v>639741377</v>
      </c>
      <c r="K524" s="495">
        <f t="shared" si="344"/>
        <v>1398075410</v>
      </c>
      <c r="L524" s="495">
        <f t="shared" si="344"/>
        <v>755227454</v>
      </c>
      <c r="M524" s="495">
        <f t="shared" si="344"/>
        <v>1511866710</v>
      </c>
      <c r="N524" s="495">
        <f t="shared" si="344"/>
        <v>2223937112</v>
      </c>
      <c r="O524" s="495">
        <f t="shared" si="344"/>
        <v>3849604413</v>
      </c>
      <c r="P524" s="495">
        <f t="shared" si="344"/>
        <v>3050066991</v>
      </c>
      <c r="Q524" s="495">
        <f t="shared" si="344"/>
        <v>6069469677</v>
      </c>
      <c r="R524" s="495">
        <f t="shared" si="344"/>
        <v>8746627406</v>
      </c>
      <c r="S524" s="495">
        <f t="shared" si="344"/>
        <v>11001698277</v>
      </c>
      <c r="T524" s="495">
        <f t="shared" si="344"/>
        <v>3769553477</v>
      </c>
      <c r="U524" s="495">
        <f t="shared" si="344"/>
        <v>9298686339</v>
      </c>
      <c r="V524" s="495">
        <f t="shared" si="344"/>
        <v>15295541808</v>
      </c>
      <c r="W524" s="495">
        <f t="shared" si="344"/>
        <v>23045468891</v>
      </c>
      <c r="X524" s="495">
        <f t="shared" si="344"/>
        <v>6459751506</v>
      </c>
      <c r="Y524" s="495">
        <f t="shared" si="344"/>
        <v>14827824432</v>
      </c>
      <c r="Z524" s="495">
        <f t="shared" si="344"/>
        <v>23940395788</v>
      </c>
      <c r="AA524" s="495">
        <f t="shared" si="344"/>
        <v>32530119058</v>
      </c>
      <c r="AB524" s="495">
        <f t="shared" si="344"/>
        <v>16165617519</v>
      </c>
      <c r="AC524" s="495">
        <f t="shared" si="344"/>
        <v>32278969914</v>
      </c>
      <c r="AD524" s="495">
        <f t="shared" si="344"/>
        <v>50698137180</v>
      </c>
      <c r="AE524" s="495">
        <f t="shared" si="344"/>
        <v>67542978068</v>
      </c>
      <c r="AF524" s="495">
        <f t="shared" si="344"/>
        <v>17682844295</v>
      </c>
      <c r="AG524" s="495">
        <f t="shared" si="344"/>
        <v>38848570907</v>
      </c>
      <c r="AH524" s="495">
        <f t="shared" si="344"/>
        <v>60880554815</v>
      </c>
    </row>
    <row r="525" spans="1:34" collapsed="1">
      <c r="A525" s="496" t="s">
        <v>838</v>
      </c>
      <c r="D525" s="495">
        <f t="shared" ref="D525:AA525" si="345">SUM(D521:D524)</f>
        <v>58006476130</v>
      </c>
      <c r="E525" s="495">
        <f t="shared" si="345"/>
        <v>15798282739</v>
      </c>
      <c r="F525" s="495">
        <f t="shared" si="345"/>
        <v>0</v>
      </c>
      <c r="G525" s="495">
        <f t="shared" si="345"/>
        <v>42159995139</v>
      </c>
      <c r="H525" s="495">
        <f t="shared" si="345"/>
        <v>50864304060</v>
      </c>
      <c r="I525" s="495">
        <f t="shared" si="345"/>
        <v>18179135978</v>
      </c>
      <c r="J525" s="495">
        <f t="shared" si="345"/>
        <v>28616387275</v>
      </c>
      <c r="K525" s="495">
        <f t="shared" si="345"/>
        <v>40281586871</v>
      </c>
      <c r="L525" s="495">
        <f t="shared" si="345"/>
        <v>16161747459</v>
      </c>
      <c r="M525" s="495">
        <f t="shared" si="345"/>
        <v>35751379858</v>
      </c>
      <c r="N525" s="495">
        <f t="shared" si="345"/>
        <v>49993248057</v>
      </c>
      <c r="O525" s="495">
        <f t="shared" si="345"/>
        <v>69769222471</v>
      </c>
      <c r="P525" s="495">
        <f t="shared" si="345"/>
        <v>25584730282</v>
      </c>
      <c r="Q525" s="495">
        <f t="shared" si="345"/>
        <v>47880956308</v>
      </c>
      <c r="R525" s="495">
        <f t="shared" si="345"/>
        <v>69165814710</v>
      </c>
      <c r="S525" s="495">
        <f t="shared" si="345"/>
        <v>86794531058</v>
      </c>
      <c r="T525" s="495">
        <f t="shared" si="345"/>
        <v>33022301088</v>
      </c>
      <c r="U525" s="495">
        <f t="shared" si="345"/>
        <v>61476172617</v>
      </c>
      <c r="V525" s="495">
        <f t="shared" si="345"/>
        <v>95252012530</v>
      </c>
      <c r="W525" s="495">
        <f t="shared" si="345"/>
        <v>140613028480</v>
      </c>
      <c r="X525" s="495">
        <f t="shared" si="345"/>
        <v>31506983308</v>
      </c>
      <c r="Y525" s="495">
        <f t="shared" si="345"/>
        <v>66628431342</v>
      </c>
      <c r="Z525" s="495">
        <f t="shared" si="345"/>
        <v>119973125935</v>
      </c>
      <c r="AA525" s="495">
        <f t="shared" si="345"/>
        <v>174161716135</v>
      </c>
      <c r="AB525" s="495">
        <f t="shared" ref="AB525:AC525" si="346">SUM(AB521:AB524)</f>
        <v>46283687829</v>
      </c>
      <c r="AC525" s="495">
        <f t="shared" si="346"/>
        <v>97402387601</v>
      </c>
      <c r="AD525" s="495">
        <f t="shared" ref="AD525:AE525" si="347">SUM(AD521:AD524)</f>
        <v>151057058476</v>
      </c>
      <c r="AE525" s="495">
        <f t="shared" si="347"/>
        <v>203568619304</v>
      </c>
      <c r="AF525" s="495">
        <f t="shared" ref="AF525:AG525" si="348">SUM(AF521:AF524)</f>
        <v>54054193125</v>
      </c>
      <c r="AG525" s="495">
        <f t="shared" si="348"/>
        <v>145244560678</v>
      </c>
      <c r="AH525" s="495">
        <f t="shared" ref="AH525" si="349">SUM(AH521:AH524)</f>
        <v>225584378882</v>
      </c>
    </row>
    <row r="526" spans="1:34" hidden="1" outlineLevel="1">
      <c r="B526" s="496" t="s">
        <v>841</v>
      </c>
      <c r="C526" s="496" t="s">
        <v>841</v>
      </c>
      <c r="D526" s="497">
        <f t="shared" ref="D526:S526" si="350">SUM(D527:D529)-SUM(D530:D532)</f>
        <v>-14097336375</v>
      </c>
      <c r="E526" s="497">
        <f t="shared" si="350"/>
        <v>-47251858040</v>
      </c>
      <c r="F526" s="497">
        <f t="shared" si="350"/>
        <v>0</v>
      </c>
      <c r="G526" s="497">
        <f t="shared" si="350"/>
        <v>29347014997</v>
      </c>
      <c r="H526" s="497">
        <f t="shared" si="350"/>
        <v>17178619877</v>
      </c>
      <c r="I526" s="497">
        <f t="shared" si="350"/>
        <v>-94125718476</v>
      </c>
      <c r="J526" s="497">
        <f t="shared" si="350"/>
        <v>-19563438244</v>
      </c>
      <c r="K526" s="497">
        <f t="shared" si="350"/>
        <v>-38613984418</v>
      </c>
      <c r="L526" s="497">
        <f t="shared" si="350"/>
        <v>-27540978130</v>
      </c>
      <c r="M526" s="497">
        <f t="shared" si="350"/>
        <v>-31325401496</v>
      </c>
      <c r="N526" s="497">
        <f t="shared" si="350"/>
        <v>-63173193121</v>
      </c>
      <c r="O526" s="497">
        <f t="shared" si="350"/>
        <v>-82856104039</v>
      </c>
      <c r="P526" s="497">
        <f t="shared" si="350"/>
        <v>27358574949</v>
      </c>
      <c r="Q526" s="497">
        <f t="shared" si="350"/>
        <v>8551527164</v>
      </c>
      <c r="R526" s="497">
        <f t="shared" si="350"/>
        <v>-186405010</v>
      </c>
      <c r="S526" s="497">
        <f t="shared" si="350"/>
        <v>-5107380526</v>
      </c>
      <c r="T526" s="497">
        <f t="shared" ref="T526:AA526" si="351">SUM(T527:T529)-SUM(T530:T532)</f>
        <v>17273656964</v>
      </c>
      <c r="U526" s="497">
        <f t="shared" si="351"/>
        <v>2355120109</v>
      </c>
      <c r="V526" s="497">
        <f t="shared" si="351"/>
        <v>25184564702</v>
      </c>
      <c r="W526" s="497">
        <f t="shared" si="351"/>
        <v>45344688348</v>
      </c>
      <c r="X526" s="497">
        <f t="shared" si="351"/>
        <v>28527280446</v>
      </c>
      <c r="Y526" s="497">
        <f t="shared" si="351"/>
        <v>101242706446</v>
      </c>
      <c r="Z526" s="497">
        <f t="shared" si="351"/>
        <v>157493963180</v>
      </c>
      <c r="AA526" s="497">
        <f t="shared" si="351"/>
        <v>176095910237</v>
      </c>
      <c r="AB526" s="497">
        <f t="shared" ref="AB526:AC526" si="352">SUM(AB527:AB529)-SUM(AB530:AB532)</f>
        <v>-41375302124</v>
      </c>
      <c r="AC526" s="497">
        <f t="shared" si="352"/>
        <v>-49626143135</v>
      </c>
      <c r="AD526" s="497">
        <f t="shared" ref="AD526:AE526" si="353">SUM(AD527:AD529)-SUM(AD530:AD532)</f>
        <v>-16073198017</v>
      </c>
      <c r="AE526" s="497">
        <f t="shared" si="353"/>
        <v>-154678560269</v>
      </c>
      <c r="AF526" s="497">
        <f t="shared" ref="AF526:AG526" si="354">SUM(AF527:AF529)-SUM(AF530:AF532)</f>
        <v>127559299064</v>
      </c>
      <c r="AG526" s="497">
        <f t="shared" si="354"/>
        <v>132810801064</v>
      </c>
      <c r="AH526" s="497">
        <f t="shared" ref="AH526" si="355">SUM(AH527:AH529)-SUM(AH530:AH532)</f>
        <v>133205221232</v>
      </c>
    </row>
    <row r="527" spans="1:34" hidden="1" outlineLevel="1">
      <c r="B527" s="34" t="s">
        <v>842</v>
      </c>
      <c r="C527" s="34" t="s">
        <v>842</v>
      </c>
      <c r="D527" s="495">
        <f t="shared" ref="D527:S527" si="356">SUM(D$75,D$90)</f>
        <v>124711713033</v>
      </c>
      <c r="E527" s="495">
        <f t="shared" si="356"/>
        <v>16929912430</v>
      </c>
      <c r="F527" s="495">
        <f t="shared" si="356"/>
        <v>0</v>
      </c>
      <c r="G527" s="495">
        <f t="shared" si="356"/>
        <v>104635618044</v>
      </c>
      <c r="H527" s="495">
        <f t="shared" si="356"/>
        <v>141269241961</v>
      </c>
      <c r="I527" s="495">
        <f t="shared" si="356"/>
        <v>28658499132</v>
      </c>
      <c r="J527" s="495">
        <f t="shared" si="356"/>
        <v>71638228272</v>
      </c>
      <c r="K527" s="495">
        <f t="shared" si="356"/>
        <v>116117555597</v>
      </c>
      <c r="L527" s="495">
        <f t="shared" si="356"/>
        <v>19924627363</v>
      </c>
      <c r="M527" s="495">
        <f t="shared" si="356"/>
        <v>39062232998</v>
      </c>
      <c r="N527" s="495">
        <f t="shared" si="356"/>
        <v>56460125514</v>
      </c>
      <c r="O527" s="495">
        <f t="shared" si="356"/>
        <v>85245938860</v>
      </c>
      <c r="P527" s="495">
        <f t="shared" si="356"/>
        <v>38788544842</v>
      </c>
      <c r="Q527" s="495">
        <f t="shared" si="356"/>
        <v>88660896220</v>
      </c>
      <c r="R527" s="495">
        <f t="shared" si="356"/>
        <v>130363170286</v>
      </c>
      <c r="S527" s="495">
        <f t="shared" si="356"/>
        <v>162178508593</v>
      </c>
      <c r="T527" s="495">
        <f t="shared" ref="T527:AH527" si="357">SUM(T$75,T$90)</f>
        <v>44211281402</v>
      </c>
      <c r="U527" s="495">
        <f t="shared" si="357"/>
        <v>91117772182</v>
      </c>
      <c r="V527" s="495">
        <f t="shared" si="357"/>
        <v>147500623611</v>
      </c>
      <c r="W527" s="495">
        <f t="shared" si="357"/>
        <v>191014658559</v>
      </c>
      <c r="X527" s="495">
        <f t="shared" si="357"/>
        <v>46620822204</v>
      </c>
      <c r="Y527" s="495">
        <f t="shared" si="357"/>
        <v>152131291803</v>
      </c>
      <c r="Z527" s="495">
        <f t="shared" si="357"/>
        <v>246936424078</v>
      </c>
      <c r="AA527" s="495">
        <f t="shared" si="357"/>
        <v>369518009431</v>
      </c>
      <c r="AB527" s="495">
        <f t="shared" si="357"/>
        <v>113408702418</v>
      </c>
      <c r="AC527" s="495">
        <f t="shared" si="357"/>
        <v>196635654625</v>
      </c>
      <c r="AD527" s="495">
        <f t="shared" si="357"/>
        <v>248758598093</v>
      </c>
      <c r="AE527" s="495">
        <f t="shared" si="357"/>
        <v>344950504970</v>
      </c>
      <c r="AF527" s="495">
        <f t="shared" si="357"/>
        <v>97182118926</v>
      </c>
      <c r="AG527" s="495">
        <f t="shared" si="357"/>
        <v>176369847423</v>
      </c>
      <c r="AH527" s="495">
        <f t="shared" si="357"/>
        <v>242634593829</v>
      </c>
    </row>
    <row r="528" spans="1:34" hidden="1" outlineLevel="1">
      <c r="B528" s="34" t="s">
        <v>84</v>
      </c>
      <c r="C528" s="34" t="s">
        <v>84</v>
      </c>
      <c r="D528" s="495">
        <f t="shared" ref="D528:S528" si="358">D$83</f>
        <v>22540872128</v>
      </c>
      <c r="E528" s="495">
        <f t="shared" si="358"/>
        <v>0</v>
      </c>
      <c r="F528" s="495">
        <f t="shared" si="358"/>
        <v>0</v>
      </c>
      <c r="G528" s="495">
        <f t="shared" si="358"/>
        <v>10839258409</v>
      </c>
      <c r="H528" s="495">
        <f t="shared" si="358"/>
        <v>15573372</v>
      </c>
      <c r="I528" s="495">
        <f t="shared" si="358"/>
        <v>0</v>
      </c>
      <c r="J528" s="495">
        <f t="shared" si="358"/>
        <v>897874058</v>
      </c>
      <c r="K528" s="495">
        <f t="shared" si="358"/>
        <v>0</v>
      </c>
      <c r="L528" s="495">
        <f t="shared" si="358"/>
        <v>6537000</v>
      </c>
      <c r="M528" s="495">
        <f t="shared" si="358"/>
        <v>0</v>
      </c>
      <c r="N528" s="495">
        <f t="shared" si="358"/>
        <v>182727400</v>
      </c>
      <c r="O528" s="495">
        <f t="shared" si="358"/>
        <v>166666000</v>
      </c>
      <c r="P528" s="495">
        <f t="shared" si="358"/>
        <v>14426634578</v>
      </c>
      <c r="Q528" s="495">
        <f t="shared" si="358"/>
        <v>6519240</v>
      </c>
      <c r="R528" s="495">
        <f t="shared" si="358"/>
        <v>384042397</v>
      </c>
      <c r="S528" s="495">
        <f t="shared" si="358"/>
        <v>0</v>
      </c>
      <c r="T528" s="495">
        <f t="shared" ref="T528:AH528" si="359">T$83</f>
        <v>10726266200</v>
      </c>
      <c r="U528" s="495">
        <f t="shared" si="359"/>
        <v>0</v>
      </c>
      <c r="V528" s="495">
        <f t="shared" si="359"/>
        <v>5346295938</v>
      </c>
      <c r="W528" s="495">
        <f t="shared" si="359"/>
        <v>19087361375</v>
      </c>
      <c r="X528" s="495">
        <f t="shared" si="359"/>
        <v>25982264928</v>
      </c>
      <c r="Y528" s="495">
        <f t="shared" si="359"/>
        <v>56819460804</v>
      </c>
      <c r="Z528" s="495">
        <f t="shared" si="359"/>
        <v>71674030695</v>
      </c>
      <c r="AA528" s="495">
        <f t="shared" si="359"/>
        <v>46664631397</v>
      </c>
      <c r="AB528" s="495">
        <f t="shared" si="359"/>
        <v>7549404948</v>
      </c>
      <c r="AC528" s="495">
        <f t="shared" si="359"/>
        <v>12989462111</v>
      </c>
      <c r="AD528" s="495">
        <f t="shared" si="359"/>
        <v>36332223160</v>
      </c>
      <c r="AE528" s="495">
        <f t="shared" si="359"/>
        <v>31919639910</v>
      </c>
      <c r="AF528" s="495">
        <f t="shared" si="359"/>
        <v>86281064971</v>
      </c>
      <c r="AG528" s="495">
        <f t="shared" si="359"/>
        <v>78397612141</v>
      </c>
      <c r="AH528" s="495">
        <f t="shared" si="359"/>
        <v>99835163713</v>
      </c>
    </row>
    <row r="529" spans="2:34" hidden="1" outlineLevel="1">
      <c r="B529" s="34" t="s">
        <v>853</v>
      </c>
      <c r="C529" s="34" t="s">
        <v>853</v>
      </c>
      <c r="D529" s="495">
        <f t="shared" ref="D529:S529" si="360">SUM(D$76,D$84)</f>
        <v>0</v>
      </c>
      <c r="E529" s="495">
        <f t="shared" si="360"/>
        <v>0</v>
      </c>
      <c r="F529" s="495">
        <f t="shared" si="360"/>
        <v>0</v>
      </c>
      <c r="G529" s="495">
        <f t="shared" si="360"/>
        <v>0</v>
      </c>
      <c r="H529" s="495">
        <f t="shared" si="360"/>
        <v>0</v>
      </c>
      <c r="I529" s="495">
        <f t="shared" si="360"/>
        <v>0</v>
      </c>
      <c r="J529" s="495">
        <f t="shared" si="360"/>
        <v>0</v>
      </c>
      <c r="K529" s="495">
        <f t="shared" si="360"/>
        <v>0</v>
      </c>
      <c r="L529" s="495">
        <f t="shared" si="360"/>
        <v>0</v>
      </c>
      <c r="M529" s="495">
        <f t="shared" si="360"/>
        <v>0</v>
      </c>
      <c r="N529" s="495">
        <f t="shared" si="360"/>
        <v>0</v>
      </c>
      <c r="O529" s="495">
        <f t="shared" si="360"/>
        <v>0</v>
      </c>
      <c r="P529" s="495">
        <f t="shared" si="360"/>
        <v>0</v>
      </c>
      <c r="Q529" s="495">
        <f t="shared" si="360"/>
        <v>0</v>
      </c>
      <c r="R529" s="495">
        <f t="shared" si="360"/>
        <v>0</v>
      </c>
      <c r="S529" s="495">
        <f t="shared" si="360"/>
        <v>0</v>
      </c>
      <c r="T529" s="495">
        <f t="shared" ref="T529:AH529" si="361">SUM(T$76,T$84)</f>
        <v>0</v>
      </c>
      <c r="U529" s="495">
        <f t="shared" si="361"/>
        <v>0</v>
      </c>
      <c r="V529" s="495">
        <f t="shared" si="361"/>
        <v>0</v>
      </c>
      <c r="W529" s="495">
        <f t="shared" si="361"/>
        <v>0</v>
      </c>
      <c r="X529" s="495">
        <f t="shared" si="361"/>
        <v>0</v>
      </c>
      <c r="Y529" s="495">
        <f t="shared" si="361"/>
        <v>0</v>
      </c>
      <c r="Z529" s="495">
        <f t="shared" si="361"/>
        <v>0</v>
      </c>
      <c r="AA529" s="495">
        <f t="shared" si="361"/>
        <v>0</v>
      </c>
      <c r="AB529" s="495">
        <f t="shared" si="361"/>
        <v>0</v>
      </c>
      <c r="AC529" s="495">
        <f t="shared" si="361"/>
        <v>0</v>
      </c>
      <c r="AD529" s="495">
        <f t="shared" si="361"/>
        <v>0</v>
      </c>
      <c r="AE529" s="495">
        <f t="shared" si="361"/>
        <v>0</v>
      </c>
      <c r="AF529" s="495">
        <f t="shared" si="361"/>
        <v>0</v>
      </c>
      <c r="AG529" s="495">
        <f t="shared" si="361"/>
        <v>0</v>
      </c>
      <c r="AH529" s="495">
        <f t="shared" si="361"/>
        <v>0</v>
      </c>
    </row>
    <row r="530" spans="2:34" hidden="1" outlineLevel="1">
      <c r="B530" s="34" t="s">
        <v>85</v>
      </c>
      <c r="C530" s="34" t="s">
        <v>85</v>
      </c>
      <c r="D530" s="495">
        <f t="shared" ref="D530:S530" si="362">SUM(D$230,D$245)</f>
        <v>144523988698</v>
      </c>
      <c r="E530" s="495">
        <f t="shared" si="362"/>
        <v>28281397801</v>
      </c>
      <c r="F530" s="495">
        <f t="shared" si="362"/>
        <v>0</v>
      </c>
      <c r="G530" s="495">
        <f t="shared" si="362"/>
        <v>85073812596</v>
      </c>
      <c r="H530" s="495">
        <f t="shared" si="362"/>
        <v>105711174618</v>
      </c>
      <c r="I530" s="495">
        <f t="shared" si="362"/>
        <v>54466009878</v>
      </c>
      <c r="J530" s="495">
        <f t="shared" si="362"/>
        <v>92097598074</v>
      </c>
      <c r="K530" s="495">
        <f t="shared" si="362"/>
        <v>136259674175</v>
      </c>
      <c r="L530" s="495">
        <f t="shared" si="362"/>
        <v>38393331390</v>
      </c>
      <c r="M530" s="495">
        <f t="shared" si="362"/>
        <v>65030719555</v>
      </c>
      <c r="N530" s="495">
        <f t="shared" si="362"/>
        <v>94048650927</v>
      </c>
      <c r="O530" s="495">
        <f t="shared" si="362"/>
        <v>140177262833</v>
      </c>
      <c r="P530" s="495">
        <f t="shared" si="362"/>
        <v>25856604471</v>
      </c>
      <c r="Q530" s="495">
        <f t="shared" si="362"/>
        <v>78468719317</v>
      </c>
      <c r="R530" s="495">
        <f t="shared" si="362"/>
        <v>124951400734</v>
      </c>
      <c r="S530" s="495">
        <f t="shared" si="362"/>
        <v>158270706565</v>
      </c>
      <c r="T530" s="495">
        <f t="shared" ref="T530:AH530" si="363">SUM(T$230,T$245)</f>
        <v>37271332115</v>
      </c>
      <c r="U530" s="495">
        <f t="shared" si="363"/>
        <v>85084753352</v>
      </c>
      <c r="V530" s="495">
        <f t="shared" si="363"/>
        <v>125207723849</v>
      </c>
      <c r="W530" s="495">
        <f t="shared" si="363"/>
        <v>162788966073</v>
      </c>
      <c r="X530" s="495">
        <f t="shared" si="363"/>
        <v>40417621666</v>
      </c>
      <c r="Y530" s="495">
        <f t="shared" si="363"/>
        <v>107695641817</v>
      </c>
      <c r="Z530" s="495">
        <f t="shared" si="363"/>
        <v>161104568295</v>
      </c>
      <c r="AA530" s="495">
        <f t="shared" si="363"/>
        <v>234035569996</v>
      </c>
      <c r="AB530" s="495">
        <f t="shared" si="363"/>
        <v>133791247624</v>
      </c>
      <c r="AC530" s="495">
        <f t="shared" si="363"/>
        <v>215898465643</v>
      </c>
      <c r="AD530" s="495">
        <f t="shared" si="363"/>
        <v>295184151418</v>
      </c>
      <c r="AE530" s="495">
        <f t="shared" si="363"/>
        <v>405392902498</v>
      </c>
      <c r="AF530" s="495">
        <f t="shared" si="363"/>
        <v>53027020290</v>
      </c>
      <c r="AG530" s="495">
        <f t="shared" si="363"/>
        <v>115828030756</v>
      </c>
      <c r="AH530" s="495">
        <f t="shared" si="363"/>
        <v>197288826888</v>
      </c>
    </row>
    <row r="531" spans="2:34" hidden="1" outlineLevel="1">
      <c r="B531" s="34" t="s">
        <v>86</v>
      </c>
      <c r="C531" s="34" t="s">
        <v>86</v>
      </c>
      <c r="D531" s="495">
        <f t="shared" ref="D531:S531" si="364">D$238</f>
        <v>16825932838</v>
      </c>
      <c r="E531" s="495">
        <f t="shared" si="364"/>
        <v>35900372669</v>
      </c>
      <c r="F531" s="495">
        <f t="shared" si="364"/>
        <v>0</v>
      </c>
      <c r="G531" s="495">
        <f t="shared" si="364"/>
        <v>1054048860</v>
      </c>
      <c r="H531" s="495">
        <f t="shared" si="364"/>
        <v>18395020838</v>
      </c>
      <c r="I531" s="495">
        <f t="shared" si="364"/>
        <v>68318207730</v>
      </c>
      <c r="J531" s="495">
        <f t="shared" si="364"/>
        <v>1942500</v>
      </c>
      <c r="K531" s="495">
        <f t="shared" si="364"/>
        <v>18471865840</v>
      </c>
      <c r="L531" s="495">
        <f t="shared" si="364"/>
        <v>9078811103</v>
      </c>
      <c r="M531" s="495">
        <f t="shared" si="364"/>
        <v>5356914939</v>
      </c>
      <c r="N531" s="495">
        <f t="shared" si="364"/>
        <v>25767395108</v>
      </c>
      <c r="O531" s="495">
        <f t="shared" si="364"/>
        <v>28091446066</v>
      </c>
      <c r="P531" s="495">
        <f t="shared" si="364"/>
        <v>0</v>
      </c>
      <c r="Q531" s="495">
        <f t="shared" si="364"/>
        <v>1647168979</v>
      </c>
      <c r="R531" s="495">
        <f t="shared" si="364"/>
        <v>5982216959</v>
      </c>
      <c r="S531" s="495">
        <f t="shared" si="364"/>
        <v>9015182554</v>
      </c>
      <c r="T531" s="495">
        <f t="shared" ref="T531:AH531" si="365">T$238</f>
        <v>392558523</v>
      </c>
      <c r="U531" s="495">
        <f t="shared" si="365"/>
        <v>3677898721</v>
      </c>
      <c r="V531" s="495">
        <f t="shared" si="365"/>
        <v>2454630998</v>
      </c>
      <c r="W531" s="495">
        <f t="shared" si="365"/>
        <v>1968365513</v>
      </c>
      <c r="X531" s="495">
        <f t="shared" si="365"/>
        <v>3658185020</v>
      </c>
      <c r="Y531" s="495">
        <f t="shared" si="365"/>
        <v>12404344</v>
      </c>
      <c r="Z531" s="495">
        <f t="shared" si="365"/>
        <v>11923298</v>
      </c>
      <c r="AA531" s="495">
        <f t="shared" si="365"/>
        <v>6051160595</v>
      </c>
      <c r="AB531" s="495">
        <f t="shared" si="365"/>
        <v>28542161866</v>
      </c>
      <c r="AC531" s="495">
        <f t="shared" si="365"/>
        <v>43352794228</v>
      </c>
      <c r="AD531" s="495">
        <f t="shared" si="365"/>
        <v>5979867852</v>
      </c>
      <c r="AE531" s="495">
        <f t="shared" si="365"/>
        <v>126155802651</v>
      </c>
      <c r="AF531" s="495">
        <f t="shared" si="365"/>
        <v>2876864543</v>
      </c>
      <c r="AG531" s="495">
        <f t="shared" si="365"/>
        <v>6128627744</v>
      </c>
      <c r="AH531" s="495">
        <f t="shared" si="365"/>
        <v>11975709422</v>
      </c>
    </row>
    <row r="532" spans="2:34" hidden="1" outlineLevel="1">
      <c r="B532" s="34" t="s">
        <v>854</v>
      </c>
      <c r="C532" s="34" t="s">
        <v>854</v>
      </c>
      <c r="D532" s="495">
        <f t="shared" ref="D532:S532" si="366">SUM(D$231,D$239)</f>
        <v>0</v>
      </c>
      <c r="E532" s="495">
        <f t="shared" si="366"/>
        <v>0</v>
      </c>
      <c r="F532" s="495">
        <f t="shared" si="366"/>
        <v>0</v>
      </c>
      <c r="G532" s="495">
        <f t="shared" si="366"/>
        <v>0</v>
      </c>
      <c r="H532" s="495">
        <f t="shared" si="366"/>
        <v>0</v>
      </c>
      <c r="I532" s="495">
        <f t="shared" si="366"/>
        <v>0</v>
      </c>
      <c r="J532" s="495">
        <f t="shared" si="366"/>
        <v>0</v>
      </c>
      <c r="K532" s="495">
        <f t="shared" si="366"/>
        <v>0</v>
      </c>
      <c r="L532" s="495">
        <f t="shared" si="366"/>
        <v>0</v>
      </c>
      <c r="M532" s="495">
        <f t="shared" si="366"/>
        <v>0</v>
      </c>
      <c r="N532" s="495">
        <f t="shared" si="366"/>
        <v>0</v>
      </c>
      <c r="O532" s="495">
        <f t="shared" si="366"/>
        <v>0</v>
      </c>
      <c r="P532" s="495">
        <f t="shared" si="366"/>
        <v>0</v>
      </c>
      <c r="Q532" s="495">
        <f t="shared" si="366"/>
        <v>0</v>
      </c>
      <c r="R532" s="495">
        <f t="shared" si="366"/>
        <v>0</v>
      </c>
      <c r="S532" s="495">
        <f t="shared" si="366"/>
        <v>0</v>
      </c>
      <c r="T532" s="495">
        <f t="shared" ref="T532:AH532" si="367">SUM(T$231,T$239)</f>
        <v>0</v>
      </c>
      <c r="U532" s="495">
        <f t="shared" si="367"/>
        <v>0</v>
      </c>
      <c r="V532" s="495">
        <f t="shared" si="367"/>
        <v>0</v>
      </c>
      <c r="W532" s="495">
        <f t="shared" si="367"/>
        <v>0</v>
      </c>
      <c r="X532" s="495">
        <f t="shared" si="367"/>
        <v>0</v>
      </c>
      <c r="Y532" s="495">
        <f t="shared" si="367"/>
        <v>0</v>
      </c>
      <c r="Z532" s="495">
        <f t="shared" si="367"/>
        <v>0</v>
      </c>
      <c r="AA532" s="495">
        <f t="shared" si="367"/>
        <v>0</v>
      </c>
      <c r="AB532" s="495">
        <f t="shared" si="367"/>
        <v>0</v>
      </c>
      <c r="AC532" s="495">
        <f t="shared" si="367"/>
        <v>0</v>
      </c>
      <c r="AD532" s="495">
        <f t="shared" si="367"/>
        <v>0</v>
      </c>
      <c r="AE532" s="495">
        <f t="shared" si="367"/>
        <v>0</v>
      </c>
      <c r="AF532" s="495">
        <f t="shared" si="367"/>
        <v>0</v>
      </c>
      <c r="AG532" s="495">
        <f t="shared" si="367"/>
        <v>0</v>
      </c>
      <c r="AH532" s="495">
        <f t="shared" si="367"/>
        <v>0</v>
      </c>
    </row>
    <row r="533" spans="2:34" hidden="1" outlineLevel="1">
      <c r="B533" s="496" t="s">
        <v>843</v>
      </c>
      <c r="C533" s="496" t="s">
        <v>843</v>
      </c>
      <c r="D533" s="495">
        <f t="shared" ref="D533:S533" si="368">SUM(D534:D538)-SUM(D539:D543)</f>
        <v>8931030595</v>
      </c>
      <c r="E533" s="495">
        <f t="shared" si="368"/>
        <v>12598741466</v>
      </c>
      <c r="F533" s="495">
        <f t="shared" si="368"/>
        <v>0</v>
      </c>
      <c r="G533" s="495">
        <f t="shared" si="368"/>
        <v>-19300983691</v>
      </c>
      <c r="H533" s="495">
        <f t="shared" si="368"/>
        <v>16636817998</v>
      </c>
      <c r="I533" s="495">
        <f t="shared" si="368"/>
        <v>-94798131501</v>
      </c>
      <c r="J533" s="495">
        <f t="shared" si="368"/>
        <v>-114724701548</v>
      </c>
      <c r="K533" s="495">
        <f t="shared" si="368"/>
        <v>-151465330873</v>
      </c>
      <c r="L533" s="495">
        <f t="shared" si="368"/>
        <v>2547726922</v>
      </c>
      <c r="M533" s="495">
        <f t="shared" si="368"/>
        <v>12066530683</v>
      </c>
      <c r="N533" s="495">
        <f t="shared" si="368"/>
        <v>48673366023</v>
      </c>
      <c r="O533" s="495">
        <f t="shared" si="368"/>
        <v>62946637458</v>
      </c>
      <c r="P533" s="495">
        <f t="shared" si="368"/>
        <v>58038762755</v>
      </c>
      <c r="Q533" s="495">
        <f t="shared" si="368"/>
        <v>17318589409</v>
      </c>
      <c r="R533" s="495">
        <f t="shared" si="368"/>
        <v>39882707708</v>
      </c>
      <c r="S533" s="495">
        <f t="shared" si="368"/>
        <v>-19782821204</v>
      </c>
      <c r="T533" s="495">
        <f t="shared" ref="T533:AA533" si="369">SUM(T534:T538)-SUM(T539:T543)</f>
        <v>12405606331</v>
      </c>
      <c r="U533" s="495">
        <f t="shared" si="369"/>
        <v>41969964083</v>
      </c>
      <c r="V533" s="495">
        <f t="shared" si="369"/>
        <v>-11689385968</v>
      </c>
      <c r="W533" s="495">
        <f t="shared" si="369"/>
        <v>-48326819590</v>
      </c>
      <c r="X533" s="495">
        <f t="shared" si="369"/>
        <v>-27028468553</v>
      </c>
      <c r="Y533" s="495">
        <f t="shared" si="369"/>
        <v>-15268884326</v>
      </c>
      <c r="Z533" s="495">
        <f t="shared" si="369"/>
        <v>-64194985499</v>
      </c>
      <c r="AA533" s="495">
        <f t="shared" si="369"/>
        <v>-163040466788</v>
      </c>
      <c r="AB533" s="495">
        <f t="shared" ref="AB533:AC533" si="370">SUM(AB534:AB538)-SUM(AB539:AB543)</f>
        <v>-12943094454</v>
      </c>
      <c r="AC533" s="495">
        <f t="shared" si="370"/>
        <v>60257997197</v>
      </c>
      <c r="AD533" s="495">
        <f t="shared" ref="AD533:AE533" si="371">SUM(AD534:AD538)-SUM(AD539:AD543)</f>
        <v>116502210018</v>
      </c>
      <c r="AE533" s="495">
        <f t="shared" si="371"/>
        <v>223405788250</v>
      </c>
      <c r="AF533" s="495">
        <f t="shared" ref="AF533:AG533" si="372">SUM(AF534:AF538)-SUM(AF539:AF543)</f>
        <v>115881743612</v>
      </c>
      <c r="AG533" s="495">
        <f t="shared" si="372"/>
        <v>241496458316</v>
      </c>
      <c r="AH533" s="495">
        <f t="shared" ref="AH533" si="373">SUM(AH534:AH538)-SUM(AH539:AH543)</f>
        <v>366671205230</v>
      </c>
    </row>
    <row r="534" spans="2:34" hidden="1" outlineLevel="1">
      <c r="B534" s="34" t="s">
        <v>87</v>
      </c>
      <c r="C534" s="34" t="s">
        <v>87</v>
      </c>
      <c r="D534" s="495">
        <f t="shared" ref="D534:S534" si="374">SUM(D$77,D$91)</f>
        <v>84459067728</v>
      </c>
      <c r="E534" s="495">
        <f t="shared" si="374"/>
        <v>19354011838</v>
      </c>
      <c r="F534" s="495">
        <f t="shared" si="374"/>
        <v>0</v>
      </c>
      <c r="G534" s="495">
        <f t="shared" si="374"/>
        <v>98869671979</v>
      </c>
      <c r="H534" s="495">
        <f t="shared" si="374"/>
        <v>135824322751</v>
      </c>
      <c r="I534" s="495">
        <f t="shared" si="374"/>
        <v>29457736689</v>
      </c>
      <c r="J534" s="495">
        <f t="shared" si="374"/>
        <v>39313959748</v>
      </c>
      <c r="K534" s="495">
        <f t="shared" si="374"/>
        <v>48019761609</v>
      </c>
      <c r="L534" s="495">
        <f t="shared" si="374"/>
        <v>8264180036</v>
      </c>
      <c r="M534" s="495">
        <f t="shared" si="374"/>
        <v>26429939626</v>
      </c>
      <c r="N534" s="495">
        <f t="shared" si="374"/>
        <v>57702030656</v>
      </c>
      <c r="O534" s="495">
        <f t="shared" si="374"/>
        <v>100002382272</v>
      </c>
      <c r="P534" s="495">
        <f t="shared" si="374"/>
        <v>41892143419</v>
      </c>
      <c r="Q534" s="495">
        <f t="shared" si="374"/>
        <v>76758301762</v>
      </c>
      <c r="R534" s="495">
        <f t="shared" si="374"/>
        <v>105769874167</v>
      </c>
      <c r="S534" s="495">
        <f t="shared" si="374"/>
        <v>127514059863</v>
      </c>
      <c r="T534" s="495">
        <f t="shared" ref="T534:AH534" si="375">SUM(T$77,T$91)</f>
        <v>27820579003</v>
      </c>
      <c r="U534" s="495">
        <f t="shared" si="375"/>
        <v>54823507915</v>
      </c>
      <c r="V534" s="495">
        <f t="shared" si="375"/>
        <v>84146134404</v>
      </c>
      <c r="W534" s="495">
        <f t="shared" si="375"/>
        <v>109065483513</v>
      </c>
      <c r="X534" s="495">
        <f t="shared" si="375"/>
        <v>31119527289</v>
      </c>
      <c r="Y534" s="495">
        <f t="shared" si="375"/>
        <v>57210078195</v>
      </c>
      <c r="Z534" s="495">
        <f t="shared" si="375"/>
        <v>79596350415</v>
      </c>
      <c r="AA534" s="495">
        <f t="shared" si="375"/>
        <v>108126969742</v>
      </c>
      <c r="AB534" s="495">
        <f t="shared" si="375"/>
        <v>32593139636</v>
      </c>
      <c r="AC534" s="495">
        <f t="shared" si="375"/>
        <v>65897009193</v>
      </c>
      <c r="AD534" s="495">
        <f t="shared" si="375"/>
        <v>117734309490</v>
      </c>
      <c r="AE534" s="495">
        <f t="shared" si="375"/>
        <v>159028662459</v>
      </c>
      <c r="AF534" s="495">
        <f t="shared" si="375"/>
        <v>24733628755</v>
      </c>
      <c r="AG534" s="495">
        <f t="shared" si="375"/>
        <v>81869845711</v>
      </c>
      <c r="AH534" s="495">
        <f t="shared" si="375"/>
        <v>191914932837</v>
      </c>
    </row>
    <row r="535" spans="2:34" hidden="1" outlineLevel="1">
      <c r="B535" s="34" t="s">
        <v>88</v>
      </c>
      <c r="C535" s="34" t="s">
        <v>88</v>
      </c>
      <c r="D535" s="495">
        <f t="shared" ref="D535:S535" si="376">SUM(D$79,D$93)</f>
        <v>19853351893</v>
      </c>
      <c r="E535" s="495">
        <f t="shared" si="376"/>
        <v>4250592529</v>
      </c>
      <c r="F535" s="495">
        <f t="shared" si="376"/>
        <v>0</v>
      </c>
      <c r="G535" s="495">
        <f t="shared" si="376"/>
        <v>16003055051</v>
      </c>
      <c r="H535" s="495">
        <f t="shared" si="376"/>
        <v>19737601737</v>
      </c>
      <c r="I535" s="495">
        <f t="shared" si="376"/>
        <v>2319746272</v>
      </c>
      <c r="J535" s="495">
        <f t="shared" si="376"/>
        <v>5044951648</v>
      </c>
      <c r="K535" s="495">
        <f t="shared" si="376"/>
        <v>6060886055</v>
      </c>
      <c r="L535" s="495">
        <f t="shared" si="376"/>
        <v>1341560771</v>
      </c>
      <c r="M535" s="495">
        <f t="shared" si="376"/>
        <v>2145089337</v>
      </c>
      <c r="N535" s="495">
        <f t="shared" si="376"/>
        <v>4314205285</v>
      </c>
      <c r="O535" s="495">
        <f t="shared" si="376"/>
        <v>6208589978</v>
      </c>
      <c r="P535" s="495">
        <f t="shared" si="376"/>
        <v>2168642743</v>
      </c>
      <c r="Q535" s="495">
        <f t="shared" si="376"/>
        <v>5718345362</v>
      </c>
      <c r="R535" s="495">
        <f t="shared" si="376"/>
        <v>8417769066</v>
      </c>
      <c r="S535" s="495">
        <f t="shared" si="376"/>
        <v>10388095473</v>
      </c>
      <c r="T535" s="495">
        <f t="shared" ref="T535:AH535" si="377">SUM(T$79,T$93)</f>
        <v>2665711405</v>
      </c>
      <c r="U535" s="495">
        <f t="shared" si="377"/>
        <v>6248265383</v>
      </c>
      <c r="V535" s="495">
        <f t="shared" si="377"/>
        <v>10993253754</v>
      </c>
      <c r="W535" s="495">
        <f t="shared" si="377"/>
        <v>12884822067</v>
      </c>
      <c r="X535" s="495">
        <f t="shared" si="377"/>
        <v>2404608246</v>
      </c>
      <c r="Y535" s="495">
        <f t="shared" si="377"/>
        <v>5297077419</v>
      </c>
      <c r="Z535" s="495">
        <f t="shared" si="377"/>
        <v>7835611258</v>
      </c>
      <c r="AA535" s="495">
        <f t="shared" si="377"/>
        <v>8986552087</v>
      </c>
      <c r="AB535" s="495">
        <f t="shared" si="377"/>
        <v>1428315748</v>
      </c>
      <c r="AC535" s="495">
        <f t="shared" si="377"/>
        <v>2806856776</v>
      </c>
      <c r="AD535" s="495">
        <f t="shared" si="377"/>
        <v>4420240202</v>
      </c>
      <c r="AE535" s="495">
        <f t="shared" si="377"/>
        <v>5078567721</v>
      </c>
      <c r="AF535" s="495">
        <f t="shared" si="377"/>
        <v>1903877508</v>
      </c>
      <c r="AG535" s="495">
        <f t="shared" si="377"/>
        <v>3612580332</v>
      </c>
      <c r="AH535" s="495">
        <f t="shared" si="377"/>
        <v>5834333328</v>
      </c>
    </row>
    <row r="536" spans="2:34" hidden="1" outlineLevel="1">
      <c r="B536" s="34" t="s">
        <v>89</v>
      </c>
      <c r="C536" s="34" t="s">
        <v>89</v>
      </c>
      <c r="D536" s="495">
        <f t="shared" ref="D536:S536" si="378">SUM(D$80,D$94)</f>
        <v>5056815473</v>
      </c>
      <c r="E536" s="495">
        <f t="shared" si="378"/>
        <v>4263717</v>
      </c>
      <c r="F536" s="495">
        <f t="shared" si="378"/>
        <v>0</v>
      </c>
      <c r="G536" s="495">
        <f t="shared" si="378"/>
        <v>17589265</v>
      </c>
      <c r="H536" s="495">
        <f t="shared" si="378"/>
        <v>25861193</v>
      </c>
      <c r="I536" s="495">
        <f t="shared" si="378"/>
        <v>20003121467</v>
      </c>
      <c r="J536" s="495">
        <f t="shared" si="378"/>
        <v>20004305868</v>
      </c>
      <c r="K536" s="495">
        <f t="shared" si="378"/>
        <v>20803458784</v>
      </c>
      <c r="L536" s="495">
        <f t="shared" si="378"/>
        <v>11495811</v>
      </c>
      <c r="M536" s="495">
        <f t="shared" si="378"/>
        <v>27709159</v>
      </c>
      <c r="N536" s="495">
        <f t="shared" si="378"/>
        <v>74868667</v>
      </c>
      <c r="O536" s="495">
        <f t="shared" si="378"/>
        <v>115051839</v>
      </c>
      <c r="P536" s="495">
        <f t="shared" si="378"/>
        <v>57455385</v>
      </c>
      <c r="Q536" s="495">
        <f t="shared" si="378"/>
        <v>159056806</v>
      </c>
      <c r="R536" s="495">
        <f t="shared" si="378"/>
        <v>344962489</v>
      </c>
      <c r="S536" s="495">
        <f t="shared" si="378"/>
        <v>3135013289</v>
      </c>
      <c r="T536" s="495">
        <f t="shared" ref="T536:AH536" si="379">SUM(T$80,T$94)</f>
        <v>1990584683</v>
      </c>
      <c r="U536" s="495">
        <f t="shared" si="379"/>
        <v>2347207615</v>
      </c>
      <c r="V536" s="495">
        <f t="shared" si="379"/>
        <v>2471781230</v>
      </c>
      <c r="W536" s="495">
        <f t="shared" si="379"/>
        <v>2726365419</v>
      </c>
      <c r="X536" s="495">
        <f t="shared" si="379"/>
        <v>61898891</v>
      </c>
      <c r="Y536" s="495">
        <f t="shared" si="379"/>
        <v>331062836</v>
      </c>
      <c r="Z536" s="495">
        <f t="shared" si="379"/>
        <v>699462487</v>
      </c>
      <c r="AA536" s="495">
        <f t="shared" si="379"/>
        <v>1081943900</v>
      </c>
      <c r="AB536" s="495">
        <f t="shared" si="379"/>
        <v>139035874</v>
      </c>
      <c r="AC536" s="495">
        <f t="shared" si="379"/>
        <v>461237077</v>
      </c>
      <c r="AD536" s="495">
        <f t="shared" si="379"/>
        <v>1270547582</v>
      </c>
      <c r="AE536" s="495">
        <f t="shared" si="379"/>
        <v>2607405310</v>
      </c>
      <c r="AF536" s="495">
        <f t="shared" si="379"/>
        <v>512408872</v>
      </c>
      <c r="AG536" s="495">
        <f t="shared" si="379"/>
        <v>1676849001</v>
      </c>
      <c r="AH536" s="495">
        <f t="shared" si="379"/>
        <v>6909194065</v>
      </c>
    </row>
    <row r="537" spans="2:34" hidden="1" outlineLevel="1">
      <c r="B537" s="34" t="s">
        <v>90</v>
      </c>
      <c r="C537" s="34" t="s">
        <v>90</v>
      </c>
      <c r="D537" s="495">
        <f t="shared" ref="D537:S537" si="380">D$85</f>
        <v>29465326720</v>
      </c>
      <c r="E537" s="495">
        <f t="shared" si="380"/>
        <v>12633614182</v>
      </c>
      <c r="F537" s="495">
        <f t="shared" si="380"/>
        <v>0</v>
      </c>
      <c r="G537" s="495">
        <f t="shared" si="380"/>
        <v>512493750</v>
      </c>
      <c r="H537" s="495">
        <f t="shared" si="380"/>
        <v>26927626370</v>
      </c>
      <c r="I537" s="495">
        <f t="shared" si="380"/>
        <v>32429424</v>
      </c>
      <c r="J537" s="495">
        <f t="shared" si="380"/>
        <v>196018901</v>
      </c>
      <c r="K537" s="495">
        <f t="shared" si="380"/>
        <v>138298761</v>
      </c>
      <c r="L537" s="495">
        <f t="shared" si="380"/>
        <v>6572151224</v>
      </c>
      <c r="M537" s="495">
        <f t="shared" si="380"/>
        <v>15127844859</v>
      </c>
      <c r="N537" s="495">
        <f t="shared" si="380"/>
        <v>47962832508</v>
      </c>
      <c r="O537" s="495">
        <f t="shared" si="380"/>
        <v>39452507405</v>
      </c>
      <c r="P537" s="495">
        <f t="shared" si="380"/>
        <v>49953645449</v>
      </c>
      <c r="Q537" s="495">
        <f t="shared" si="380"/>
        <v>12197503284</v>
      </c>
      <c r="R537" s="495">
        <f t="shared" si="380"/>
        <v>42290658363</v>
      </c>
      <c r="S537" s="495">
        <f t="shared" si="380"/>
        <v>12281881935</v>
      </c>
      <c r="T537" s="495">
        <f t="shared" ref="T537:AH537" si="381">T$85</f>
        <v>10178718180</v>
      </c>
      <c r="U537" s="495">
        <f t="shared" si="381"/>
        <v>28671706439</v>
      </c>
      <c r="V537" s="495">
        <f t="shared" si="381"/>
        <v>12907068857</v>
      </c>
      <c r="W537" s="495">
        <f t="shared" si="381"/>
        <v>12479395251</v>
      </c>
      <c r="X537" s="495">
        <f t="shared" si="381"/>
        <v>4622749241</v>
      </c>
      <c r="Y537" s="495">
        <f t="shared" si="381"/>
        <v>6251409171</v>
      </c>
      <c r="Z537" s="495">
        <f t="shared" si="381"/>
        <v>13400695311</v>
      </c>
      <c r="AA537" s="495">
        <f t="shared" si="381"/>
        <v>1957684640</v>
      </c>
      <c r="AB537" s="495">
        <f t="shared" si="381"/>
        <v>8372135308</v>
      </c>
      <c r="AC537" s="495">
        <f t="shared" si="381"/>
        <v>70195816130</v>
      </c>
      <c r="AD537" s="495">
        <f t="shared" si="381"/>
        <v>109577961234</v>
      </c>
      <c r="AE537" s="495">
        <f t="shared" si="381"/>
        <v>202979306456</v>
      </c>
      <c r="AF537" s="495">
        <f t="shared" si="381"/>
        <v>121780464496</v>
      </c>
      <c r="AG537" s="495">
        <f t="shared" si="381"/>
        <v>210538262963</v>
      </c>
      <c r="AH537" s="495">
        <f t="shared" si="381"/>
        <v>240053363982</v>
      </c>
    </row>
    <row r="538" spans="2:34" hidden="1" outlineLevel="1">
      <c r="B538" s="34" t="s">
        <v>91</v>
      </c>
      <c r="C538" s="34" t="s">
        <v>91</v>
      </c>
      <c r="D538" s="495">
        <f t="shared" ref="D538:S538" si="382">D$87</f>
        <v>131639218</v>
      </c>
      <c r="E538" s="495">
        <f t="shared" si="382"/>
        <v>249780596</v>
      </c>
      <c r="F538" s="495">
        <f t="shared" si="382"/>
        <v>0</v>
      </c>
      <c r="G538" s="495">
        <f t="shared" si="382"/>
        <v>0</v>
      </c>
      <c r="H538" s="495">
        <f t="shared" si="382"/>
        <v>541714506</v>
      </c>
      <c r="I538" s="495">
        <f t="shared" si="382"/>
        <v>134876549</v>
      </c>
      <c r="J538" s="495">
        <f t="shared" si="382"/>
        <v>141139423</v>
      </c>
      <c r="K538" s="495">
        <f t="shared" si="382"/>
        <v>0</v>
      </c>
      <c r="L538" s="495">
        <f t="shared" si="382"/>
        <v>176431485</v>
      </c>
      <c r="M538" s="495">
        <f t="shared" si="382"/>
        <v>220927349</v>
      </c>
      <c r="N538" s="495">
        <f t="shared" si="382"/>
        <v>1100880971</v>
      </c>
      <c r="O538" s="495">
        <f t="shared" si="382"/>
        <v>992460470</v>
      </c>
      <c r="P538" s="495">
        <f t="shared" si="382"/>
        <v>0</v>
      </c>
      <c r="Q538" s="495">
        <f t="shared" si="382"/>
        <v>98979552</v>
      </c>
      <c r="R538" s="495">
        <f t="shared" si="382"/>
        <v>0</v>
      </c>
      <c r="S538" s="495">
        <f t="shared" si="382"/>
        <v>0</v>
      </c>
      <c r="T538" s="495">
        <f t="shared" ref="T538:AH538" si="383">T$87</f>
        <v>205406807</v>
      </c>
      <c r="U538" s="495">
        <f t="shared" si="383"/>
        <v>474582111</v>
      </c>
      <c r="V538" s="495">
        <f t="shared" si="383"/>
        <v>248357930</v>
      </c>
      <c r="W538" s="495">
        <f t="shared" si="383"/>
        <v>21141651</v>
      </c>
      <c r="X538" s="495">
        <f t="shared" si="383"/>
        <v>293976915</v>
      </c>
      <c r="Y538" s="495">
        <f t="shared" si="383"/>
        <v>262138940</v>
      </c>
      <c r="Z538" s="495">
        <f t="shared" si="383"/>
        <v>179671615</v>
      </c>
      <c r="AA538" s="495">
        <f t="shared" si="383"/>
        <v>0</v>
      </c>
      <c r="AB538" s="495">
        <f t="shared" si="383"/>
        <v>425219472</v>
      </c>
      <c r="AC538" s="495">
        <f t="shared" si="383"/>
        <v>766929050</v>
      </c>
      <c r="AD538" s="495">
        <f t="shared" si="383"/>
        <v>986247264</v>
      </c>
      <c r="AE538" s="495">
        <f t="shared" si="383"/>
        <v>866912040</v>
      </c>
      <c r="AF538" s="495">
        <f t="shared" si="383"/>
        <v>432937265</v>
      </c>
      <c r="AG538" s="495">
        <f t="shared" si="383"/>
        <v>1051916568</v>
      </c>
      <c r="AH538" s="495">
        <f t="shared" si="383"/>
        <v>1647237192</v>
      </c>
    </row>
    <row r="539" spans="2:34" hidden="1" outlineLevel="1">
      <c r="B539" s="34" t="s">
        <v>92</v>
      </c>
      <c r="C539" s="34" t="s">
        <v>92</v>
      </c>
      <c r="D539" s="495">
        <f t="shared" ref="D539:S539" si="384">SUM(D$232,D$246)</f>
        <v>97521334908</v>
      </c>
      <c r="E539" s="495">
        <f t="shared" si="384"/>
        <v>21980249258</v>
      </c>
      <c r="F539" s="495">
        <f t="shared" si="384"/>
        <v>0</v>
      </c>
      <c r="G539" s="495">
        <f t="shared" si="384"/>
        <v>92506333148</v>
      </c>
      <c r="H539" s="495">
        <f t="shared" si="384"/>
        <v>123707953569</v>
      </c>
      <c r="I539" s="495">
        <f t="shared" si="384"/>
        <v>92489837303</v>
      </c>
      <c r="J539" s="495">
        <f t="shared" si="384"/>
        <v>134007609519</v>
      </c>
      <c r="K539" s="495">
        <f t="shared" si="384"/>
        <v>152875539432</v>
      </c>
      <c r="L539" s="495">
        <f t="shared" si="384"/>
        <v>9779682165</v>
      </c>
      <c r="M539" s="495">
        <f t="shared" si="384"/>
        <v>21704365159</v>
      </c>
      <c r="N539" s="495">
        <f t="shared" si="384"/>
        <v>42058423598</v>
      </c>
      <c r="O539" s="495">
        <f t="shared" si="384"/>
        <v>61433442916</v>
      </c>
      <c r="P539" s="495">
        <f t="shared" si="384"/>
        <v>33120006336</v>
      </c>
      <c r="Q539" s="495">
        <f t="shared" si="384"/>
        <v>67021942877</v>
      </c>
      <c r="R539" s="495">
        <f t="shared" si="384"/>
        <v>97581006572</v>
      </c>
      <c r="S539" s="495">
        <f t="shared" si="384"/>
        <v>130728029705</v>
      </c>
      <c r="T539" s="495">
        <f t="shared" ref="T539:AH539" si="385">SUM(T$232,T$246)</f>
        <v>19082200828</v>
      </c>
      <c r="U539" s="495">
        <f t="shared" si="385"/>
        <v>42244740872</v>
      </c>
      <c r="V539" s="495">
        <f t="shared" si="385"/>
        <v>78028201871</v>
      </c>
      <c r="W539" s="495">
        <f t="shared" si="385"/>
        <v>121232457462</v>
      </c>
      <c r="X539" s="495">
        <f t="shared" si="385"/>
        <v>36842718017</v>
      </c>
      <c r="Y539" s="495">
        <f t="shared" si="385"/>
        <v>71464541713</v>
      </c>
      <c r="Z539" s="495">
        <f t="shared" si="385"/>
        <v>111622305342</v>
      </c>
      <c r="AA539" s="495">
        <f t="shared" si="385"/>
        <v>163057440226</v>
      </c>
      <c r="AB539" s="495">
        <f t="shared" si="385"/>
        <v>43259228348</v>
      </c>
      <c r="AC539" s="495">
        <f t="shared" si="385"/>
        <v>75283145235</v>
      </c>
      <c r="AD539" s="495">
        <f t="shared" si="385"/>
        <v>112619980777</v>
      </c>
      <c r="AE539" s="495">
        <f t="shared" si="385"/>
        <v>140305105935</v>
      </c>
      <c r="AF539" s="495">
        <f t="shared" si="385"/>
        <v>31768497591</v>
      </c>
      <c r="AG539" s="495">
        <f t="shared" si="385"/>
        <v>52138889312</v>
      </c>
      <c r="AH539" s="495">
        <f t="shared" si="385"/>
        <v>74238035922</v>
      </c>
    </row>
    <row r="540" spans="2:34" hidden="1" outlineLevel="1">
      <c r="B540" s="34" t="s">
        <v>93</v>
      </c>
      <c r="C540" s="34" t="s">
        <v>93</v>
      </c>
      <c r="D540" s="495">
        <f t="shared" ref="D540:S540" si="386">SUM(D$234,D$248)</f>
        <v>4277970059</v>
      </c>
      <c r="E540" s="495">
        <f t="shared" si="386"/>
        <v>356175190</v>
      </c>
      <c r="F540" s="495">
        <f t="shared" si="386"/>
        <v>0</v>
      </c>
      <c r="G540" s="495">
        <f t="shared" si="386"/>
        <v>985552297</v>
      </c>
      <c r="H540" s="495">
        <f t="shared" si="386"/>
        <v>6454236293</v>
      </c>
      <c r="I540" s="495">
        <f t="shared" si="386"/>
        <v>1488434857</v>
      </c>
      <c r="J540" s="495">
        <f t="shared" si="386"/>
        <v>1864441170</v>
      </c>
      <c r="K540" s="495">
        <f t="shared" si="386"/>
        <v>1970951495</v>
      </c>
      <c r="L540" s="495">
        <f t="shared" si="386"/>
        <v>4201844</v>
      </c>
      <c r="M540" s="495">
        <f t="shared" si="386"/>
        <v>8515820</v>
      </c>
      <c r="N540" s="495">
        <f t="shared" si="386"/>
        <v>62707577</v>
      </c>
      <c r="O540" s="495">
        <f t="shared" si="386"/>
        <v>204303194</v>
      </c>
      <c r="P540" s="495">
        <f t="shared" si="386"/>
        <v>40579446</v>
      </c>
      <c r="Q540" s="495">
        <f t="shared" si="386"/>
        <v>117854715</v>
      </c>
      <c r="R540" s="495">
        <f t="shared" si="386"/>
        <v>117854715</v>
      </c>
      <c r="S540" s="495">
        <f t="shared" si="386"/>
        <v>129794435</v>
      </c>
      <c r="T540" s="495">
        <f t="shared" ref="T540:AH540" si="387">SUM(T$234,T$248)</f>
        <v>44980278</v>
      </c>
      <c r="U540" s="495">
        <f t="shared" si="387"/>
        <v>45489866</v>
      </c>
      <c r="V540" s="495">
        <f t="shared" si="387"/>
        <v>72552882</v>
      </c>
      <c r="W540" s="495">
        <f t="shared" si="387"/>
        <v>72552882</v>
      </c>
      <c r="X540" s="495">
        <f t="shared" si="387"/>
        <v>12611568</v>
      </c>
      <c r="Y540" s="495">
        <f t="shared" si="387"/>
        <v>12611568</v>
      </c>
      <c r="Z540" s="495">
        <f t="shared" si="387"/>
        <v>13874307</v>
      </c>
      <c r="AA540" s="495">
        <f t="shared" si="387"/>
        <v>304522471</v>
      </c>
      <c r="AB540" s="495">
        <f t="shared" si="387"/>
        <v>198534776</v>
      </c>
      <c r="AC540" s="495">
        <f t="shared" si="387"/>
        <v>198534776</v>
      </c>
      <c r="AD540" s="495">
        <f t="shared" si="387"/>
        <v>199429722</v>
      </c>
      <c r="AE540" s="495">
        <f t="shared" si="387"/>
        <v>247216018</v>
      </c>
      <c r="AF540" s="495">
        <f t="shared" si="387"/>
        <v>11095570</v>
      </c>
      <c r="AG540" s="495">
        <f t="shared" si="387"/>
        <v>11095570</v>
      </c>
      <c r="AH540" s="495">
        <f t="shared" si="387"/>
        <v>11248996</v>
      </c>
    </row>
    <row r="541" spans="2:34" hidden="1" outlineLevel="1">
      <c r="B541" s="34" t="s">
        <v>94</v>
      </c>
      <c r="C541" s="34" t="s">
        <v>94</v>
      </c>
      <c r="D541" s="495">
        <f t="shared" ref="D541:S541" si="388">SUM(D$235,D$249)</f>
        <v>543233087</v>
      </c>
      <c r="E541" s="495">
        <f t="shared" si="388"/>
        <v>167021201</v>
      </c>
      <c r="F541" s="495">
        <f t="shared" si="388"/>
        <v>0</v>
      </c>
      <c r="G541" s="495">
        <f t="shared" si="388"/>
        <v>2322217437</v>
      </c>
      <c r="H541" s="495">
        <f t="shared" si="388"/>
        <v>9088366583</v>
      </c>
      <c r="I541" s="495">
        <f t="shared" si="388"/>
        <v>866138910</v>
      </c>
      <c r="J541" s="495">
        <f t="shared" si="388"/>
        <v>5210518761</v>
      </c>
      <c r="K541" s="495">
        <f t="shared" si="388"/>
        <v>7158197149</v>
      </c>
      <c r="L541" s="495">
        <f t="shared" si="388"/>
        <v>840325583</v>
      </c>
      <c r="M541" s="495">
        <f t="shared" si="388"/>
        <v>3146812744</v>
      </c>
      <c r="N541" s="495">
        <f t="shared" si="388"/>
        <v>5331196925</v>
      </c>
      <c r="O541" s="495">
        <f t="shared" si="388"/>
        <v>8960470761</v>
      </c>
      <c r="P541" s="495">
        <f t="shared" si="388"/>
        <v>1582253987</v>
      </c>
      <c r="Q541" s="495">
        <f t="shared" si="388"/>
        <v>5741104032</v>
      </c>
      <c r="R541" s="495">
        <f t="shared" si="388"/>
        <v>9601764446</v>
      </c>
      <c r="S541" s="495">
        <f t="shared" si="388"/>
        <v>19145966192</v>
      </c>
      <c r="T541" s="495">
        <f t="shared" ref="T541:AH541" si="389">SUM(T$235,T$249)</f>
        <v>1116948295</v>
      </c>
      <c r="U541" s="495">
        <f t="shared" si="389"/>
        <v>7034520542</v>
      </c>
      <c r="V541" s="495">
        <f t="shared" si="389"/>
        <v>13644516205</v>
      </c>
      <c r="W541" s="495">
        <f t="shared" si="389"/>
        <v>20904593360</v>
      </c>
      <c r="X541" s="495">
        <f t="shared" si="389"/>
        <v>2227225504</v>
      </c>
      <c r="Y541" s="495">
        <f t="shared" si="389"/>
        <v>3541607064</v>
      </c>
      <c r="Z541" s="495">
        <f t="shared" si="389"/>
        <v>6156848133</v>
      </c>
      <c r="AA541" s="495">
        <f t="shared" si="389"/>
        <v>8107960670</v>
      </c>
      <c r="AB541" s="495">
        <f t="shared" si="389"/>
        <v>308318408</v>
      </c>
      <c r="AC541" s="495">
        <f t="shared" si="389"/>
        <v>1153109518</v>
      </c>
      <c r="AD541" s="495">
        <f t="shared" si="389"/>
        <v>1765073050</v>
      </c>
      <c r="AE541" s="495">
        <f t="shared" si="389"/>
        <v>2923461395</v>
      </c>
      <c r="AF541" s="495">
        <f t="shared" si="389"/>
        <v>1563064623</v>
      </c>
      <c r="AG541" s="495">
        <f t="shared" si="389"/>
        <v>4049083015</v>
      </c>
      <c r="AH541" s="495">
        <f t="shared" si="389"/>
        <v>4797604756</v>
      </c>
    </row>
    <row r="542" spans="2:34" hidden="1" outlineLevel="1">
      <c r="B542" s="34" t="s">
        <v>95</v>
      </c>
      <c r="C542" s="34" t="s">
        <v>95</v>
      </c>
      <c r="D542" s="495">
        <f t="shared" ref="D542:S542" si="390">D$240</f>
        <v>23681932979</v>
      </c>
      <c r="E542" s="495">
        <f t="shared" si="390"/>
        <v>1390075747</v>
      </c>
      <c r="F542" s="495">
        <f t="shared" si="390"/>
        <v>0</v>
      </c>
      <c r="G542" s="495">
        <f t="shared" si="390"/>
        <v>33846067701</v>
      </c>
      <c r="H542" s="495">
        <f t="shared" si="390"/>
        <v>27169752114</v>
      </c>
      <c r="I542" s="495">
        <f t="shared" si="390"/>
        <v>51901630832</v>
      </c>
      <c r="J542" s="495">
        <f t="shared" si="390"/>
        <v>38342507686</v>
      </c>
      <c r="K542" s="495">
        <f t="shared" si="390"/>
        <v>61969564385</v>
      </c>
      <c r="L542" s="495">
        <f t="shared" si="390"/>
        <v>3193882813</v>
      </c>
      <c r="M542" s="495">
        <f t="shared" si="390"/>
        <v>7025285924</v>
      </c>
      <c r="N542" s="495">
        <f t="shared" si="390"/>
        <v>15029123964</v>
      </c>
      <c r="O542" s="495">
        <f t="shared" si="390"/>
        <v>13226137635</v>
      </c>
      <c r="P542" s="495">
        <f t="shared" si="390"/>
        <v>1288665000</v>
      </c>
      <c r="Q542" s="495">
        <f t="shared" si="390"/>
        <v>4732695733</v>
      </c>
      <c r="R542" s="495">
        <f t="shared" si="390"/>
        <v>9520034393</v>
      </c>
      <c r="S542" s="495">
        <f t="shared" si="390"/>
        <v>23077707652</v>
      </c>
      <c r="T542" s="495">
        <f t="shared" ref="T542:AH542" si="391">T$240</f>
        <v>10211264346</v>
      </c>
      <c r="U542" s="495">
        <f t="shared" si="391"/>
        <v>1270554100</v>
      </c>
      <c r="V542" s="495">
        <f t="shared" si="391"/>
        <v>30710711185</v>
      </c>
      <c r="W542" s="495">
        <f t="shared" si="391"/>
        <v>43294423787</v>
      </c>
      <c r="X542" s="495">
        <f t="shared" si="391"/>
        <v>26448674046</v>
      </c>
      <c r="Y542" s="495">
        <f t="shared" si="391"/>
        <v>9601890542</v>
      </c>
      <c r="Z542" s="495">
        <f t="shared" si="391"/>
        <v>48113748803</v>
      </c>
      <c r="AA542" s="495">
        <f t="shared" si="391"/>
        <v>111641045225</v>
      </c>
      <c r="AB542" s="495">
        <f t="shared" si="391"/>
        <v>12134858960</v>
      </c>
      <c r="AC542" s="495">
        <f t="shared" si="391"/>
        <v>3235061500</v>
      </c>
      <c r="AD542" s="495">
        <f t="shared" si="391"/>
        <v>2902612205</v>
      </c>
      <c r="AE542" s="495">
        <f t="shared" si="391"/>
        <v>3679282388</v>
      </c>
      <c r="AF542" s="495">
        <f t="shared" si="391"/>
        <v>138915500</v>
      </c>
      <c r="AG542" s="495">
        <f t="shared" si="391"/>
        <v>1053928362</v>
      </c>
      <c r="AH542" s="495">
        <f t="shared" si="391"/>
        <v>640966500</v>
      </c>
    </row>
    <row r="543" spans="2:34" hidden="1" outlineLevel="1">
      <c r="B543" s="34" t="s">
        <v>96</v>
      </c>
      <c r="C543" s="34" t="s">
        <v>96</v>
      </c>
      <c r="D543" s="495">
        <f t="shared" ref="D543:S543" si="392">D$242</f>
        <v>4010699404</v>
      </c>
      <c r="E543" s="495">
        <f t="shared" si="392"/>
        <v>0</v>
      </c>
      <c r="F543" s="495">
        <f t="shared" si="392"/>
        <v>0</v>
      </c>
      <c r="G543" s="495">
        <f t="shared" si="392"/>
        <v>5043623153</v>
      </c>
      <c r="H543" s="495">
        <f t="shared" si="392"/>
        <v>0</v>
      </c>
      <c r="I543" s="495">
        <f t="shared" si="392"/>
        <v>0</v>
      </c>
      <c r="J543" s="495">
        <f t="shared" si="392"/>
        <v>0</v>
      </c>
      <c r="K543" s="495">
        <f t="shared" si="392"/>
        <v>2513483621</v>
      </c>
      <c r="L543" s="495">
        <f t="shared" si="392"/>
        <v>0</v>
      </c>
      <c r="M543" s="495">
        <f t="shared" si="392"/>
        <v>0</v>
      </c>
      <c r="N543" s="495">
        <f t="shared" si="392"/>
        <v>0</v>
      </c>
      <c r="O543" s="495">
        <f t="shared" si="392"/>
        <v>0</v>
      </c>
      <c r="P543" s="495">
        <f t="shared" si="392"/>
        <v>1619472</v>
      </c>
      <c r="Q543" s="495">
        <f t="shared" si="392"/>
        <v>0</v>
      </c>
      <c r="R543" s="495">
        <f t="shared" si="392"/>
        <v>119896251</v>
      </c>
      <c r="S543" s="495">
        <f t="shared" si="392"/>
        <v>20373780</v>
      </c>
      <c r="T543" s="495">
        <f t="shared" ref="T543:AH543" si="393">T$242</f>
        <v>0</v>
      </c>
      <c r="U543" s="495">
        <f t="shared" si="393"/>
        <v>0</v>
      </c>
      <c r="V543" s="495">
        <f t="shared" si="393"/>
        <v>0</v>
      </c>
      <c r="W543" s="495">
        <f t="shared" si="393"/>
        <v>0</v>
      </c>
      <c r="X543" s="495">
        <f t="shared" si="393"/>
        <v>0</v>
      </c>
      <c r="Y543" s="495">
        <f t="shared" si="393"/>
        <v>0</v>
      </c>
      <c r="Z543" s="495">
        <f t="shared" si="393"/>
        <v>0</v>
      </c>
      <c r="AA543" s="495">
        <f t="shared" si="393"/>
        <v>82648565</v>
      </c>
      <c r="AB543" s="495">
        <f t="shared" si="393"/>
        <v>0</v>
      </c>
      <c r="AC543" s="495">
        <f t="shared" si="393"/>
        <v>0</v>
      </c>
      <c r="AD543" s="495">
        <f t="shared" si="393"/>
        <v>0</v>
      </c>
      <c r="AE543" s="495">
        <f t="shared" si="393"/>
        <v>0</v>
      </c>
      <c r="AF543" s="495">
        <f t="shared" si="393"/>
        <v>0</v>
      </c>
      <c r="AG543" s="495">
        <f t="shared" si="393"/>
        <v>0</v>
      </c>
      <c r="AH543" s="495">
        <f t="shared" si="393"/>
        <v>0</v>
      </c>
    </row>
    <row r="544" spans="2:34" hidden="1" outlineLevel="1">
      <c r="B544" s="496" t="s">
        <v>844</v>
      </c>
      <c r="C544" s="496" t="s">
        <v>844</v>
      </c>
      <c r="D544" s="495">
        <f t="shared" ref="D544:S544" si="394">D545-D546</f>
        <v>8675343351</v>
      </c>
      <c r="E544" s="495">
        <f t="shared" si="394"/>
        <v>-809666215</v>
      </c>
      <c r="F544" s="495">
        <f t="shared" si="394"/>
        <v>0</v>
      </c>
      <c r="G544" s="495">
        <f t="shared" si="394"/>
        <v>16143055446</v>
      </c>
      <c r="H544" s="495">
        <f t="shared" si="394"/>
        <v>16303578535</v>
      </c>
      <c r="I544" s="495">
        <f t="shared" si="394"/>
        <v>17444582884</v>
      </c>
      <c r="J544" s="495">
        <f t="shared" si="394"/>
        <v>33501901281</v>
      </c>
      <c r="K544" s="495">
        <f t="shared" si="394"/>
        <v>33140598880</v>
      </c>
      <c r="L544" s="495">
        <f t="shared" si="394"/>
        <v>5090999443</v>
      </c>
      <c r="M544" s="495">
        <f t="shared" si="394"/>
        <v>5292434608</v>
      </c>
      <c r="N544" s="495">
        <f t="shared" si="394"/>
        <v>10675295415</v>
      </c>
      <c r="O544" s="495">
        <f t="shared" si="394"/>
        <v>12467448777</v>
      </c>
      <c r="P544" s="495">
        <f t="shared" si="394"/>
        <v>2378794690</v>
      </c>
      <c r="Q544" s="495">
        <f t="shared" si="394"/>
        <v>5195448681</v>
      </c>
      <c r="R544" s="495">
        <f t="shared" si="394"/>
        <v>5592244108</v>
      </c>
      <c r="S544" s="495">
        <f t="shared" si="394"/>
        <v>7507571175</v>
      </c>
      <c r="T544" s="495">
        <f t="shared" ref="T544:AA544" si="395">T545-T546</f>
        <v>-262700932</v>
      </c>
      <c r="U544" s="495">
        <f t="shared" si="395"/>
        <v>-2602451901</v>
      </c>
      <c r="V544" s="495">
        <f t="shared" si="395"/>
        <v>5637938619</v>
      </c>
      <c r="W544" s="495">
        <f t="shared" si="395"/>
        <v>12755042523</v>
      </c>
      <c r="X544" s="495">
        <f t="shared" si="395"/>
        <v>12246561308</v>
      </c>
      <c r="Y544" s="495">
        <f t="shared" si="395"/>
        <v>15273998671</v>
      </c>
      <c r="Z544" s="495">
        <f t="shared" si="395"/>
        <v>17374117004</v>
      </c>
      <c r="AA544" s="495">
        <f t="shared" si="395"/>
        <v>18753196405</v>
      </c>
      <c r="AB544" s="495">
        <f t="shared" ref="AB544:AC544" si="396">AB545-AB546</f>
        <v>-2518023261</v>
      </c>
      <c r="AC544" s="495">
        <f t="shared" si="396"/>
        <v>-2664890560</v>
      </c>
      <c r="AD544" s="495">
        <f t="shared" ref="AD544:AE544" si="397">AD545-AD546</f>
        <v>40404347</v>
      </c>
      <c r="AE544" s="495">
        <f t="shared" si="397"/>
        <v>-21892495871</v>
      </c>
      <c r="AF544" s="495">
        <f t="shared" ref="AF544:AG544" si="398">AF545-AF546</f>
        <v>14408565923</v>
      </c>
      <c r="AG544" s="495">
        <f t="shared" si="398"/>
        <v>20317665155</v>
      </c>
      <c r="AH544" s="495">
        <f t="shared" ref="AH544" si="399">AH545-AH546</f>
        <v>16989193893</v>
      </c>
    </row>
    <row r="545" spans="2:34" hidden="1" outlineLevel="1">
      <c r="B545" s="34" t="s">
        <v>855</v>
      </c>
      <c r="C545" s="34" t="s">
        <v>855</v>
      </c>
      <c r="D545" s="495">
        <f t="shared" ref="D545:S545" si="400">SUM(D$78,D$86,D$92)</f>
        <v>16084775289</v>
      </c>
      <c r="E545" s="495">
        <f t="shared" si="400"/>
        <v>142850862</v>
      </c>
      <c r="F545" s="495">
        <f t="shared" si="400"/>
        <v>0</v>
      </c>
      <c r="G545" s="495">
        <f t="shared" si="400"/>
        <v>16453200417</v>
      </c>
      <c r="H545" s="495">
        <f t="shared" si="400"/>
        <v>16547528143</v>
      </c>
      <c r="I545" s="495">
        <f t="shared" si="400"/>
        <v>18007093854</v>
      </c>
      <c r="J545" s="495">
        <f t="shared" si="400"/>
        <v>33982767364</v>
      </c>
      <c r="K545" s="495">
        <f t="shared" si="400"/>
        <v>34161269605</v>
      </c>
      <c r="L545" s="495">
        <f t="shared" si="400"/>
        <v>5130140791</v>
      </c>
      <c r="M545" s="495">
        <f t="shared" si="400"/>
        <v>5323839219</v>
      </c>
      <c r="N545" s="495">
        <f t="shared" si="400"/>
        <v>10719091673</v>
      </c>
      <c r="O545" s="495">
        <f t="shared" si="400"/>
        <v>12533334903</v>
      </c>
      <c r="P545" s="495">
        <f t="shared" si="400"/>
        <v>2710892047</v>
      </c>
      <c r="Q545" s="495">
        <f t="shared" si="400"/>
        <v>6401059044</v>
      </c>
      <c r="R545" s="495">
        <f t="shared" si="400"/>
        <v>6221559822</v>
      </c>
      <c r="S545" s="495">
        <f t="shared" si="400"/>
        <v>8411632349</v>
      </c>
      <c r="T545" s="495">
        <f t="shared" ref="T545:AH545" si="401">SUM(T$78,T$86,T$92)</f>
        <v>2350753728</v>
      </c>
      <c r="U545" s="495">
        <f t="shared" si="401"/>
        <v>3221432987</v>
      </c>
      <c r="V545" s="495">
        <f t="shared" si="401"/>
        <v>11622334777</v>
      </c>
      <c r="W545" s="495">
        <f t="shared" si="401"/>
        <v>19003880900</v>
      </c>
      <c r="X545" s="495">
        <f t="shared" si="401"/>
        <v>13968207473</v>
      </c>
      <c r="Y545" s="495">
        <f t="shared" si="401"/>
        <v>17375766356</v>
      </c>
      <c r="Z545" s="495">
        <f t="shared" si="401"/>
        <v>19531617010</v>
      </c>
      <c r="AA545" s="495">
        <f t="shared" si="401"/>
        <v>21321733109</v>
      </c>
      <c r="AB545" s="495">
        <f t="shared" si="401"/>
        <v>7955690093</v>
      </c>
      <c r="AC545" s="495">
        <f t="shared" si="401"/>
        <v>15253471062</v>
      </c>
      <c r="AD545" s="495">
        <f t="shared" si="401"/>
        <v>18956086610</v>
      </c>
      <c r="AE545" s="495">
        <f t="shared" si="401"/>
        <v>20020982600</v>
      </c>
      <c r="AF545" s="495">
        <f t="shared" si="401"/>
        <v>17411519336</v>
      </c>
      <c r="AG545" s="495">
        <f t="shared" si="401"/>
        <v>24442168592</v>
      </c>
      <c r="AH545" s="495">
        <f t="shared" si="401"/>
        <v>31847631503</v>
      </c>
    </row>
    <row r="546" spans="2:34" hidden="1" outlineLevel="1">
      <c r="B546" s="34" t="s">
        <v>856</v>
      </c>
      <c r="C546" s="34" t="s">
        <v>856</v>
      </c>
      <c r="D546" s="495">
        <f t="shared" ref="D546:S546" si="402">SUM(D$233,D$241,D$247)</f>
        <v>7409431938</v>
      </c>
      <c r="E546" s="495">
        <f t="shared" si="402"/>
        <v>952517077</v>
      </c>
      <c r="F546" s="495">
        <f t="shared" si="402"/>
        <v>0</v>
      </c>
      <c r="G546" s="495">
        <f t="shared" si="402"/>
        <v>310144971</v>
      </c>
      <c r="H546" s="495">
        <f t="shared" si="402"/>
        <v>243949608</v>
      </c>
      <c r="I546" s="495">
        <f t="shared" si="402"/>
        <v>562510970</v>
      </c>
      <c r="J546" s="495">
        <f t="shared" si="402"/>
        <v>480866083</v>
      </c>
      <c r="K546" s="495">
        <f t="shared" si="402"/>
        <v>1020670725</v>
      </c>
      <c r="L546" s="495">
        <f t="shared" si="402"/>
        <v>39141348</v>
      </c>
      <c r="M546" s="495">
        <f t="shared" si="402"/>
        <v>31404611</v>
      </c>
      <c r="N546" s="495">
        <f t="shared" si="402"/>
        <v>43796258</v>
      </c>
      <c r="O546" s="495">
        <f t="shared" si="402"/>
        <v>65886126</v>
      </c>
      <c r="P546" s="495">
        <f t="shared" si="402"/>
        <v>332097357</v>
      </c>
      <c r="Q546" s="495">
        <f t="shared" si="402"/>
        <v>1205610363</v>
      </c>
      <c r="R546" s="495">
        <f t="shared" si="402"/>
        <v>629315714</v>
      </c>
      <c r="S546" s="495">
        <f t="shared" si="402"/>
        <v>904061174</v>
      </c>
      <c r="T546" s="495">
        <f t="shared" ref="T546:AH546" si="403">SUM(T$233,T$241,T$247)</f>
        <v>2613454660</v>
      </c>
      <c r="U546" s="495">
        <f t="shared" si="403"/>
        <v>5823884888</v>
      </c>
      <c r="V546" s="495">
        <f t="shared" si="403"/>
        <v>5984396158</v>
      </c>
      <c r="W546" s="495">
        <f t="shared" si="403"/>
        <v>6248838377</v>
      </c>
      <c r="X546" s="495">
        <f t="shared" si="403"/>
        <v>1721646165</v>
      </c>
      <c r="Y546" s="495">
        <f t="shared" si="403"/>
        <v>2101767685</v>
      </c>
      <c r="Z546" s="495">
        <f t="shared" si="403"/>
        <v>2157500006</v>
      </c>
      <c r="AA546" s="495">
        <f t="shared" si="403"/>
        <v>2568536704</v>
      </c>
      <c r="AB546" s="495">
        <f t="shared" si="403"/>
        <v>10473713354</v>
      </c>
      <c r="AC546" s="495">
        <f t="shared" si="403"/>
        <v>17918361622</v>
      </c>
      <c r="AD546" s="495">
        <f t="shared" si="403"/>
        <v>18915682263</v>
      </c>
      <c r="AE546" s="495">
        <f t="shared" si="403"/>
        <v>41913478471</v>
      </c>
      <c r="AF546" s="495">
        <f t="shared" si="403"/>
        <v>3002953413</v>
      </c>
      <c r="AG546" s="495">
        <f t="shared" si="403"/>
        <v>4124503437</v>
      </c>
      <c r="AH546" s="495">
        <f t="shared" si="403"/>
        <v>14858437610</v>
      </c>
    </row>
    <row r="547" spans="2:34" hidden="1" outlineLevel="1">
      <c r="B547" s="496" t="s">
        <v>857</v>
      </c>
      <c r="C547" s="496" t="s">
        <v>857</v>
      </c>
      <c r="D547" s="495">
        <f t="shared" ref="D547:S547" si="404">SUM(D$96,-D$251)</f>
        <v>0</v>
      </c>
      <c r="E547" s="495">
        <f t="shared" si="404"/>
        <v>0</v>
      </c>
      <c r="F547" s="495">
        <f t="shared" si="404"/>
        <v>0</v>
      </c>
      <c r="G547" s="495">
        <f t="shared" si="404"/>
        <v>0</v>
      </c>
      <c r="H547" s="495">
        <f t="shared" si="404"/>
        <v>0</v>
      </c>
      <c r="I547" s="495">
        <f t="shared" si="404"/>
        <v>0</v>
      </c>
      <c r="J547" s="495">
        <f t="shared" si="404"/>
        <v>0</v>
      </c>
      <c r="K547" s="495">
        <f t="shared" si="404"/>
        <v>0</v>
      </c>
      <c r="L547" s="495">
        <f t="shared" si="404"/>
        <v>0</v>
      </c>
      <c r="M547" s="495">
        <f t="shared" si="404"/>
        <v>0</v>
      </c>
      <c r="N547" s="495">
        <f t="shared" si="404"/>
        <v>0</v>
      </c>
      <c r="O547" s="495">
        <f t="shared" si="404"/>
        <v>0</v>
      </c>
      <c r="P547" s="495">
        <f t="shared" si="404"/>
        <v>0</v>
      </c>
      <c r="Q547" s="495">
        <f t="shared" si="404"/>
        <v>0</v>
      </c>
      <c r="R547" s="495">
        <f t="shared" si="404"/>
        <v>0</v>
      </c>
      <c r="S547" s="495">
        <f t="shared" si="404"/>
        <v>0</v>
      </c>
      <c r="T547" s="495">
        <f t="shared" ref="T547:AH547" si="405">SUM(T$96,-T$251)</f>
        <v>0</v>
      </c>
      <c r="U547" s="495">
        <f t="shared" si="405"/>
        <v>0</v>
      </c>
      <c r="V547" s="495">
        <f t="shared" si="405"/>
        <v>0</v>
      </c>
      <c r="W547" s="495">
        <f t="shared" si="405"/>
        <v>0</v>
      </c>
      <c r="X547" s="495">
        <f t="shared" si="405"/>
        <v>0</v>
      </c>
      <c r="Y547" s="495">
        <f t="shared" si="405"/>
        <v>0</v>
      </c>
      <c r="Z547" s="495">
        <f t="shared" si="405"/>
        <v>0</v>
      </c>
      <c r="AA547" s="495">
        <f t="shared" si="405"/>
        <v>0</v>
      </c>
      <c r="AB547" s="495">
        <f t="shared" si="405"/>
        <v>0</v>
      </c>
      <c r="AC547" s="495">
        <f t="shared" si="405"/>
        <v>0</v>
      </c>
      <c r="AD547" s="495">
        <f t="shared" si="405"/>
        <v>0</v>
      </c>
      <c r="AE547" s="495">
        <f t="shared" si="405"/>
        <v>0</v>
      </c>
      <c r="AF547" s="495">
        <f t="shared" si="405"/>
        <v>0</v>
      </c>
      <c r="AG547" s="495">
        <f t="shared" si="405"/>
        <v>0</v>
      </c>
      <c r="AH547" s="495">
        <f t="shared" si="405"/>
        <v>0</v>
      </c>
    </row>
    <row r="548" spans="2:34" hidden="1" outlineLevel="1">
      <c r="B548" s="496" t="s">
        <v>845</v>
      </c>
      <c r="C548" s="496" t="s">
        <v>845</v>
      </c>
      <c r="D548" s="495">
        <f t="shared" ref="D548:S548" si="406">SUM(D$100,-D$255)</f>
        <v>-5350000</v>
      </c>
      <c r="E548" s="495">
        <f t="shared" si="406"/>
        <v>0</v>
      </c>
      <c r="F548" s="495">
        <f t="shared" si="406"/>
        <v>0</v>
      </c>
      <c r="G548" s="495">
        <f t="shared" si="406"/>
        <v>-6786352100</v>
      </c>
      <c r="H548" s="495">
        <f t="shared" si="406"/>
        <v>24437028229</v>
      </c>
      <c r="I548" s="495">
        <f t="shared" si="406"/>
        <v>-17849180254</v>
      </c>
      <c r="J548" s="495">
        <f t="shared" si="406"/>
        <v>-18969785380</v>
      </c>
      <c r="K548" s="495">
        <f t="shared" si="406"/>
        <v>-18766671086</v>
      </c>
      <c r="L548" s="495">
        <f t="shared" si="406"/>
        <v>-537317932</v>
      </c>
      <c r="M548" s="495">
        <f t="shared" si="406"/>
        <v>-1333881862</v>
      </c>
      <c r="N548" s="495">
        <f t="shared" si="406"/>
        <v>-1603685942</v>
      </c>
      <c r="O548" s="495">
        <f t="shared" si="406"/>
        <v>-9874644839</v>
      </c>
      <c r="P548" s="495">
        <f t="shared" si="406"/>
        <v>-9051312050</v>
      </c>
      <c r="Q548" s="495">
        <f t="shared" si="406"/>
        <v>-9231312050</v>
      </c>
      <c r="R548" s="495">
        <f t="shared" si="406"/>
        <v>-18499621464</v>
      </c>
      <c r="S548" s="495">
        <f t="shared" si="406"/>
        <v>-24839159009</v>
      </c>
      <c r="T548" s="495">
        <f t="shared" ref="T548:AH548" si="407">SUM(T$100,-T$255)</f>
        <v>-2010981953</v>
      </c>
      <c r="U548" s="495">
        <f t="shared" si="407"/>
        <v>-16682790531</v>
      </c>
      <c r="V548" s="495">
        <f t="shared" si="407"/>
        <v>-19878650712</v>
      </c>
      <c r="W548" s="495">
        <f t="shared" si="407"/>
        <v>-20265256396</v>
      </c>
      <c r="X548" s="495">
        <f t="shared" si="407"/>
        <v>-583591422</v>
      </c>
      <c r="Y548" s="495">
        <f t="shared" si="407"/>
        <v>-583591422</v>
      </c>
      <c r="Z548" s="495">
        <f t="shared" si="407"/>
        <v>-1320545763</v>
      </c>
      <c r="AA548" s="495">
        <f t="shared" si="407"/>
        <v>-1452538692</v>
      </c>
      <c r="AB548" s="495">
        <f t="shared" si="407"/>
        <v>-93391885</v>
      </c>
      <c r="AC548" s="495">
        <f t="shared" si="407"/>
        <v>-115405834</v>
      </c>
      <c r="AD548" s="495">
        <f t="shared" si="407"/>
        <v>-319493307</v>
      </c>
      <c r="AE548" s="495">
        <f t="shared" si="407"/>
        <v>-351947691</v>
      </c>
      <c r="AF548" s="495">
        <f t="shared" si="407"/>
        <v>50748871</v>
      </c>
      <c r="AG548" s="495">
        <f t="shared" si="407"/>
        <v>101555640</v>
      </c>
      <c r="AH548" s="495">
        <f t="shared" si="407"/>
        <v>86021132</v>
      </c>
    </row>
    <row r="549" spans="2:34" hidden="1" outlineLevel="1">
      <c r="B549" s="496" t="s">
        <v>846</v>
      </c>
      <c r="C549" s="496" t="s">
        <v>846</v>
      </c>
      <c r="D549" s="495">
        <f t="shared" ref="D549:S549" si="408">D550-D551</f>
        <v>51761206012</v>
      </c>
      <c r="E549" s="495">
        <f t="shared" si="408"/>
        <v>92658716375</v>
      </c>
      <c r="F549" s="495">
        <f t="shared" si="408"/>
        <v>0</v>
      </c>
      <c r="G549" s="495">
        <f t="shared" si="408"/>
        <v>-203467645468</v>
      </c>
      <c r="H549" s="495">
        <f t="shared" si="408"/>
        <v>-183121251464</v>
      </c>
      <c r="I549" s="495">
        <f t="shared" si="408"/>
        <v>285425533582</v>
      </c>
      <c r="J549" s="495">
        <f t="shared" si="408"/>
        <v>-19070788682</v>
      </c>
      <c r="K549" s="495">
        <f t="shared" si="408"/>
        <v>-6163070573</v>
      </c>
      <c r="L549" s="495">
        <f t="shared" si="408"/>
        <v>42929394577</v>
      </c>
      <c r="M549" s="495">
        <f t="shared" si="408"/>
        <v>-58468195368</v>
      </c>
      <c r="N549" s="495">
        <f t="shared" si="408"/>
        <v>-26519111833</v>
      </c>
      <c r="O549" s="495">
        <f t="shared" si="408"/>
        <v>-70859157602</v>
      </c>
      <c r="P549" s="495">
        <f t="shared" si="408"/>
        <v>-123029210718</v>
      </c>
      <c r="Q549" s="495">
        <f t="shared" si="408"/>
        <v>-56486436280</v>
      </c>
      <c r="R549" s="495">
        <f t="shared" si="408"/>
        <v>591738583143</v>
      </c>
      <c r="S549" s="495">
        <f t="shared" si="408"/>
        <v>321557808143</v>
      </c>
      <c r="T549" s="495">
        <f t="shared" ref="T549:AA549" si="409">T550-T551</f>
        <v>170935376919</v>
      </c>
      <c r="U549" s="495">
        <f t="shared" si="409"/>
        <v>140063260993</v>
      </c>
      <c r="V549" s="495">
        <f t="shared" si="409"/>
        <v>-247534450548</v>
      </c>
      <c r="W549" s="495">
        <f t="shared" si="409"/>
        <v>-318663694385</v>
      </c>
      <c r="X549" s="495">
        <f t="shared" si="409"/>
        <v>-385979800691</v>
      </c>
      <c r="Y549" s="495">
        <f t="shared" si="409"/>
        <v>-555599374665</v>
      </c>
      <c r="Z549" s="495">
        <f t="shared" si="409"/>
        <v>-653683438531</v>
      </c>
      <c r="AA549" s="495">
        <f t="shared" si="409"/>
        <v>-790995784664</v>
      </c>
      <c r="AB549" s="495">
        <f t="shared" ref="AB549:AC549" si="410">AB550-AB551</f>
        <v>42700246985</v>
      </c>
      <c r="AC549" s="495">
        <f t="shared" si="410"/>
        <v>27091889961</v>
      </c>
      <c r="AD549" s="495">
        <f t="shared" ref="AD549:AE549" si="411">AD550-AD551</f>
        <v>-94728188112</v>
      </c>
      <c r="AE549" s="495">
        <f t="shared" si="411"/>
        <v>128710946102</v>
      </c>
      <c r="AF549" s="495">
        <f t="shared" ref="AF549:AG549" si="412">AF550-AF551</f>
        <v>-802896444199</v>
      </c>
      <c r="AG549" s="495">
        <f t="shared" si="412"/>
        <v>-1044809488369</v>
      </c>
      <c r="AH549" s="495">
        <f t="shared" ref="AH549" si="413">AH550-AH551</f>
        <v>-1219332785724</v>
      </c>
    </row>
    <row r="550" spans="2:34" hidden="1" outlineLevel="1">
      <c r="B550" s="34" t="s">
        <v>858</v>
      </c>
      <c r="C550" s="34" t="s">
        <v>858</v>
      </c>
      <c r="D550" s="495">
        <f t="shared" ref="D550:S550" si="414">SUM(D$107,D$111,D$115,D$196,D$198,D$119,D$123)</f>
        <v>345240087338</v>
      </c>
      <c r="E550" s="495">
        <f t="shared" si="414"/>
        <v>161597040682</v>
      </c>
      <c r="F550" s="495">
        <f t="shared" si="414"/>
        <v>0</v>
      </c>
      <c r="G550" s="495">
        <f t="shared" si="414"/>
        <v>365348571111</v>
      </c>
      <c r="H550" s="495">
        <f t="shared" si="414"/>
        <v>512098420584</v>
      </c>
      <c r="I550" s="495">
        <f t="shared" si="414"/>
        <v>450765912617</v>
      </c>
      <c r="J550" s="495">
        <f t="shared" si="414"/>
        <v>450534882003</v>
      </c>
      <c r="K550" s="495">
        <f t="shared" si="414"/>
        <v>668798374365</v>
      </c>
      <c r="L550" s="495">
        <f t="shared" si="414"/>
        <v>238134824631</v>
      </c>
      <c r="M550" s="495">
        <f t="shared" si="414"/>
        <v>398360804224</v>
      </c>
      <c r="N550" s="495">
        <f t="shared" si="414"/>
        <v>602737348551</v>
      </c>
      <c r="O550" s="495">
        <f t="shared" si="414"/>
        <v>809796413548</v>
      </c>
      <c r="P550" s="495">
        <f t="shared" si="414"/>
        <v>179964009961</v>
      </c>
      <c r="Q550" s="495">
        <f t="shared" si="414"/>
        <v>451046803560</v>
      </c>
      <c r="R550" s="495">
        <f t="shared" si="414"/>
        <v>1320626182567</v>
      </c>
      <c r="S550" s="495">
        <f t="shared" si="414"/>
        <v>1158807432530</v>
      </c>
      <c r="T550" s="495">
        <f t="shared" ref="T550:AH550" si="415">SUM(T$107,T$111,T$115,T$196,T$198,T$119,T$123)</f>
        <v>287665471906</v>
      </c>
      <c r="U550" s="495">
        <f t="shared" si="415"/>
        <v>478165237914</v>
      </c>
      <c r="V550" s="495">
        <f t="shared" si="415"/>
        <v>457471801017</v>
      </c>
      <c r="W550" s="495">
        <f t="shared" si="415"/>
        <v>646929694932</v>
      </c>
      <c r="X550" s="495">
        <f t="shared" si="415"/>
        <v>221335645260</v>
      </c>
      <c r="Y550" s="495">
        <f t="shared" si="415"/>
        <v>411571673086</v>
      </c>
      <c r="Z550" s="495">
        <f t="shared" si="415"/>
        <v>587389499307</v>
      </c>
      <c r="AA550" s="495">
        <f t="shared" si="415"/>
        <v>797914810084</v>
      </c>
      <c r="AB550" s="495">
        <f t="shared" si="415"/>
        <v>429461100546</v>
      </c>
      <c r="AC550" s="495">
        <f t="shared" si="415"/>
        <v>638342434240</v>
      </c>
      <c r="AD550" s="495">
        <f t="shared" si="415"/>
        <v>731984736944</v>
      </c>
      <c r="AE550" s="495">
        <f t="shared" si="415"/>
        <v>1303121511567</v>
      </c>
      <c r="AF550" s="495">
        <f t="shared" si="415"/>
        <v>330162056475</v>
      </c>
      <c r="AG550" s="495">
        <f t="shared" si="415"/>
        <v>599699889539</v>
      </c>
      <c r="AH550" s="495">
        <f t="shared" si="415"/>
        <v>876777268487</v>
      </c>
    </row>
    <row r="551" spans="2:34" hidden="1" outlineLevel="1">
      <c r="B551" s="34" t="s">
        <v>859</v>
      </c>
      <c r="C551" s="34" t="s">
        <v>859</v>
      </c>
      <c r="D551" s="495">
        <f t="shared" ref="D551:S551" si="416">SUM(D$263,D$267,D$271,D$376,D$378,D$275,D$279)</f>
        <v>293478881326</v>
      </c>
      <c r="E551" s="495">
        <f t="shared" si="416"/>
        <v>68938324307</v>
      </c>
      <c r="F551" s="495">
        <f t="shared" si="416"/>
        <v>0</v>
      </c>
      <c r="G551" s="495">
        <f t="shared" si="416"/>
        <v>568816216579</v>
      </c>
      <c r="H551" s="495">
        <f t="shared" si="416"/>
        <v>695219672048</v>
      </c>
      <c r="I551" s="495">
        <f t="shared" si="416"/>
        <v>165340379035</v>
      </c>
      <c r="J551" s="495">
        <f t="shared" si="416"/>
        <v>469605670685</v>
      </c>
      <c r="K551" s="495">
        <f t="shared" si="416"/>
        <v>674961444938</v>
      </c>
      <c r="L551" s="495">
        <f t="shared" si="416"/>
        <v>195205430054</v>
      </c>
      <c r="M551" s="495">
        <f t="shared" si="416"/>
        <v>456828999592</v>
      </c>
      <c r="N551" s="495">
        <f t="shared" si="416"/>
        <v>629256460384</v>
      </c>
      <c r="O551" s="495">
        <f t="shared" si="416"/>
        <v>880655571150</v>
      </c>
      <c r="P551" s="495">
        <f t="shared" si="416"/>
        <v>302993220679</v>
      </c>
      <c r="Q551" s="495">
        <f t="shared" si="416"/>
        <v>507533239840</v>
      </c>
      <c r="R551" s="495">
        <f t="shared" si="416"/>
        <v>728887599424</v>
      </c>
      <c r="S551" s="495">
        <f t="shared" si="416"/>
        <v>837249624387</v>
      </c>
      <c r="T551" s="495">
        <f t="shared" ref="T551:AH551" si="417">SUM(T$263,T$267,T$271,T$376,T$378,T$275,T$279)</f>
        <v>116730094987</v>
      </c>
      <c r="U551" s="495">
        <f t="shared" si="417"/>
        <v>338101976921</v>
      </c>
      <c r="V551" s="495">
        <f t="shared" si="417"/>
        <v>705006251565</v>
      </c>
      <c r="W551" s="495">
        <f t="shared" si="417"/>
        <v>965593389317</v>
      </c>
      <c r="X551" s="495">
        <f t="shared" si="417"/>
        <v>607315445951</v>
      </c>
      <c r="Y551" s="495">
        <f t="shared" si="417"/>
        <v>967171047751</v>
      </c>
      <c r="Z551" s="495">
        <f t="shared" si="417"/>
        <v>1241072937838</v>
      </c>
      <c r="AA551" s="495">
        <f t="shared" si="417"/>
        <v>1588910594748</v>
      </c>
      <c r="AB551" s="495">
        <f t="shared" si="417"/>
        <v>386760853561</v>
      </c>
      <c r="AC551" s="495">
        <f t="shared" si="417"/>
        <v>611250544279</v>
      </c>
      <c r="AD551" s="495">
        <f t="shared" si="417"/>
        <v>826712925056</v>
      </c>
      <c r="AE551" s="495">
        <f t="shared" si="417"/>
        <v>1174410565465</v>
      </c>
      <c r="AF551" s="495">
        <f t="shared" si="417"/>
        <v>1133058500674</v>
      </c>
      <c r="AG551" s="495">
        <f t="shared" si="417"/>
        <v>1644509377908</v>
      </c>
      <c r="AH551" s="495">
        <f t="shared" si="417"/>
        <v>2096110054211</v>
      </c>
    </row>
    <row r="552" spans="2:34" hidden="1" outlineLevel="1">
      <c r="B552" s="496" t="s">
        <v>81</v>
      </c>
      <c r="C552" s="496" t="s">
        <v>81</v>
      </c>
      <c r="D552" s="495">
        <f t="shared" ref="D552:S552" si="418">D553-D554</f>
        <v>-44908465471</v>
      </c>
      <c r="E552" s="495">
        <f t="shared" si="418"/>
        <v>-91773163824</v>
      </c>
      <c r="F552" s="495">
        <f t="shared" si="418"/>
        <v>0</v>
      </c>
      <c r="G552" s="495">
        <f t="shared" si="418"/>
        <v>146387453796</v>
      </c>
      <c r="H552" s="495">
        <f t="shared" si="418"/>
        <v>94818148748</v>
      </c>
      <c r="I552" s="495">
        <f t="shared" si="418"/>
        <v>-191229097929</v>
      </c>
      <c r="J552" s="495">
        <f t="shared" si="418"/>
        <v>48646594059</v>
      </c>
      <c r="K552" s="495">
        <f t="shared" si="418"/>
        <v>71116426347</v>
      </c>
      <c r="L552" s="495">
        <f t="shared" si="418"/>
        <v>-50630162234</v>
      </c>
      <c r="M552" s="495">
        <f t="shared" si="418"/>
        <v>70486315066</v>
      </c>
      <c r="N552" s="495">
        <f t="shared" si="418"/>
        <v>6440013797</v>
      </c>
      <c r="O552" s="495">
        <f t="shared" si="418"/>
        <v>13930619320</v>
      </c>
      <c r="P552" s="495">
        <f t="shared" si="418"/>
        <v>65097354845</v>
      </c>
      <c r="Q552" s="495">
        <f t="shared" si="418"/>
        <v>37050755026</v>
      </c>
      <c r="R552" s="495">
        <f t="shared" si="418"/>
        <v>-718787533471</v>
      </c>
      <c r="S552" s="495">
        <f t="shared" si="418"/>
        <v>-392595399010</v>
      </c>
      <c r="T552" s="495">
        <f t="shared" ref="T552:AA552" si="419">T553-T554</f>
        <v>-242669304375</v>
      </c>
      <c r="U552" s="495">
        <f t="shared" si="419"/>
        <v>-233455861919</v>
      </c>
      <c r="V552" s="495">
        <f t="shared" si="419"/>
        <v>237730219570</v>
      </c>
      <c r="W552" s="495">
        <f t="shared" si="419"/>
        <v>280974159150</v>
      </c>
      <c r="X552" s="495">
        <f t="shared" si="419"/>
        <v>458920811631</v>
      </c>
      <c r="Y552" s="495">
        <f t="shared" si="419"/>
        <v>593073672371</v>
      </c>
      <c r="Z552" s="495">
        <f t="shared" si="419"/>
        <v>676289571626</v>
      </c>
      <c r="AA552" s="495">
        <f t="shared" si="419"/>
        <v>934979339391</v>
      </c>
      <c r="AB552" s="495">
        <f t="shared" ref="AB552:AC552" si="420">AB553-AB554</f>
        <v>37242002192</v>
      </c>
      <c r="AC552" s="495">
        <f t="shared" si="420"/>
        <v>17564546864</v>
      </c>
      <c r="AD552" s="495">
        <f t="shared" ref="AD552:AE552" si="421">AD553-AD554</f>
        <v>46524364908</v>
      </c>
      <c r="AE552" s="495">
        <f t="shared" si="421"/>
        <v>-174498027185</v>
      </c>
      <c r="AF552" s="495">
        <f t="shared" ref="AF552:AG552" si="422">AF553-AF554</f>
        <v>647266687778</v>
      </c>
      <c r="AG552" s="495">
        <f t="shared" si="422"/>
        <v>781230350487</v>
      </c>
      <c r="AH552" s="495">
        <f t="shared" ref="AH552" si="423">AH553-AH554</f>
        <v>900342964176</v>
      </c>
    </row>
    <row r="553" spans="2:34" hidden="1" outlineLevel="1">
      <c r="B553" s="34" t="s">
        <v>860</v>
      </c>
      <c r="C553" s="34" t="s">
        <v>860</v>
      </c>
      <c r="D553" s="495">
        <f t="shared" ref="D553:S553" si="424">SUM(D$128,D$135,D$197,D$199)</f>
        <v>480849366577</v>
      </c>
      <c r="E553" s="495">
        <f t="shared" si="424"/>
        <v>135040954633</v>
      </c>
      <c r="F553" s="495">
        <f t="shared" si="424"/>
        <v>0</v>
      </c>
      <c r="G553" s="495">
        <f t="shared" si="424"/>
        <v>872208399851</v>
      </c>
      <c r="H553" s="495">
        <f t="shared" si="424"/>
        <v>1050242019075</v>
      </c>
      <c r="I553" s="495">
        <f t="shared" si="424"/>
        <v>510677192577</v>
      </c>
      <c r="J553" s="495">
        <f t="shared" si="424"/>
        <v>637017271321</v>
      </c>
      <c r="K553" s="495">
        <f t="shared" si="424"/>
        <v>924349922721</v>
      </c>
      <c r="L553" s="495">
        <f t="shared" si="424"/>
        <v>296286612009</v>
      </c>
      <c r="M553" s="495">
        <f t="shared" si="424"/>
        <v>629007582085</v>
      </c>
      <c r="N553" s="495">
        <f t="shared" si="424"/>
        <v>859570071814</v>
      </c>
      <c r="O553" s="495">
        <f t="shared" si="424"/>
        <v>1242509257561</v>
      </c>
      <c r="P553" s="495">
        <f t="shared" si="424"/>
        <v>575599956436</v>
      </c>
      <c r="Q553" s="495">
        <f t="shared" si="424"/>
        <v>868617134859</v>
      </c>
      <c r="R553" s="495">
        <f t="shared" si="424"/>
        <v>1210646232359</v>
      </c>
      <c r="S553" s="495">
        <f t="shared" si="424"/>
        <v>1548931032423</v>
      </c>
      <c r="T553" s="495">
        <f t="shared" ref="T553:AH553" si="425">SUM(T$128,T$135,T$197,T$199)</f>
        <v>850937898190</v>
      </c>
      <c r="U553" s="495">
        <f t="shared" si="425"/>
        <v>1357895930473</v>
      </c>
      <c r="V553" s="495">
        <f t="shared" si="425"/>
        <v>1966115914476</v>
      </c>
      <c r="W553" s="495">
        <f t="shared" si="425"/>
        <v>2462898152940</v>
      </c>
      <c r="X553" s="495">
        <f t="shared" si="425"/>
        <v>1115115000608</v>
      </c>
      <c r="Y553" s="495">
        <f t="shared" si="425"/>
        <v>1712372022924</v>
      </c>
      <c r="Z553" s="495">
        <f t="shared" si="425"/>
        <v>2260892319463</v>
      </c>
      <c r="AA553" s="495">
        <f t="shared" si="425"/>
        <v>3033769211092</v>
      </c>
      <c r="AB553" s="495">
        <f t="shared" si="425"/>
        <v>1155226731242</v>
      </c>
      <c r="AC553" s="495">
        <f t="shared" si="425"/>
        <v>1931814193900</v>
      </c>
      <c r="AD553" s="495">
        <f t="shared" si="425"/>
        <v>2476866887533</v>
      </c>
      <c r="AE553" s="495">
        <f t="shared" si="425"/>
        <v>3546371314803</v>
      </c>
      <c r="AF553" s="495">
        <f t="shared" si="425"/>
        <v>1766824882416</v>
      </c>
      <c r="AG553" s="495">
        <f t="shared" si="425"/>
        <v>3021973948335</v>
      </c>
      <c r="AH553" s="495">
        <f t="shared" si="425"/>
        <v>4122352056390</v>
      </c>
    </row>
    <row r="554" spans="2:34" hidden="1" outlineLevel="1">
      <c r="B554" s="34" t="s">
        <v>861</v>
      </c>
      <c r="C554" s="34" t="s">
        <v>861</v>
      </c>
      <c r="D554" s="495">
        <f t="shared" ref="D554:S554" si="426">SUM(D$284,D$291,D$377,D$379)</f>
        <v>525757832048</v>
      </c>
      <c r="E554" s="495">
        <f t="shared" si="426"/>
        <v>226814118457</v>
      </c>
      <c r="F554" s="495">
        <f t="shared" si="426"/>
        <v>0</v>
      </c>
      <c r="G554" s="495">
        <f t="shared" si="426"/>
        <v>725820946055</v>
      </c>
      <c r="H554" s="495">
        <f t="shared" si="426"/>
        <v>955423870327</v>
      </c>
      <c r="I554" s="495">
        <f t="shared" si="426"/>
        <v>701906290506</v>
      </c>
      <c r="J554" s="495">
        <f t="shared" si="426"/>
        <v>588370677262</v>
      </c>
      <c r="K554" s="495">
        <f t="shared" si="426"/>
        <v>853233496374</v>
      </c>
      <c r="L554" s="495">
        <f t="shared" si="426"/>
        <v>346916774243</v>
      </c>
      <c r="M554" s="495">
        <f t="shared" si="426"/>
        <v>558521267019</v>
      </c>
      <c r="N554" s="495">
        <f t="shared" si="426"/>
        <v>853130058017</v>
      </c>
      <c r="O554" s="495">
        <f t="shared" si="426"/>
        <v>1228578638241</v>
      </c>
      <c r="P554" s="495">
        <f t="shared" si="426"/>
        <v>510502601591</v>
      </c>
      <c r="Q554" s="495">
        <f t="shared" si="426"/>
        <v>831566379833</v>
      </c>
      <c r="R554" s="495">
        <f t="shared" si="426"/>
        <v>1929433765830</v>
      </c>
      <c r="S554" s="495">
        <f t="shared" si="426"/>
        <v>1941526431433</v>
      </c>
      <c r="T554" s="495">
        <f t="shared" ref="T554:AH554" si="427">SUM(T$284,T$291,T$377,T$379)</f>
        <v>1093607202565</v>
      </c>
      <c r="U554" s="495">
        <f t="shared" si="427"/>
        <v>1591351792392</v>
      </c>
      <c r="V554" s="495">
        <f t="shared" si="427"/>
        <v>1728385694906</v>
      </c>
      <c r="W554" s="495">
        <f t="shared" si="427"/>
        <v>2181923993790</v>
      </c>
      <c r="X554" s="495">
        <f t="shared" si="427"/>
        <v>656194188977</v>
      </c>
      <c r="Y554" s="495">
        <f t="shared" si="427"/>
        <v>1119298350553</v>
      </c>
      <c r="Z554" s="495">
        <f t="shared" si="427"/>
        <v>1584602747837</v>
      </c>
      <c r="AA554" s="495">
        <f t="shared" si="427"/>
        <v>2098789871701</v>
      </c>
      <c r="AB554" s="495">
        <f t="shared" si="427"/>
        <v>1117984729050</v>
      </c>
      <c r="AC554" s="495">
        <f t="shared" si="427"/>
        <v>1914249647036</v>
      </c>
      <c r="AD554" s="495">
        <f t="shared" si="427"/>
        <v>2430342522625</v>
      </c>
      <c r="AE554" s="495">
        <f t="shared" si="427"/>
        <v>3720869341988</v>
      </c>
      <c r="AF554" s="495">
        <f t="shared" si="427"/>
        <v>1119558194638</v>
      </c>
      <c r="AG554" s="495">
        <f t="shared" si="427"/>
        <v>2240743597848</v>
      </c>
      <c r="AH554" s="495">
        <f t="shared" si="427"/>
        <v>3222009092214</v>
      </c>
    </row>
    <row r="555" spans="2:34" hidden="1" outlineLevel="1">
      <c r="B555" s="496" t="s">
        <v>847</v>
      </c>
      <c r="C555" s="496" t="s">
        <v>847</v>
      </c>
      <c r="D555" s="495">
        <f t="shared" ref="D555:S555" si="428">SUM(D$103,-D$259)</f>
        <v>4326801213</v>
      </c>
      <c r="E555" s="495">
        <f t="shared" si="428"/>
        <v>2670366165</v>
      </c>
      <c r="F555" s="495">
        <f t="shared" si="428"/>
        <v>0</v>
      </c>
      <c r="G555" s="495">
        <f t="shared" si="428"/>
        <v>-669442411</v>
      </c>
      <c r="H555" s="495">
        <f t="shared" si="428"/>
        <v>-4576420566</v>
      </c>
      <c r="I555" s="495">
        <f t="shared" si="428"/>
        <v>19861437346</v>
      </c>
      <c r="J555" s="495">
        <f t="shared" si="428"/>
        <v>5830334630</v>
      </c>
      <c r="K555" s="495">
        <f t="shared" si="428"/>
        <v>8290817978</v>
      </c>
      <c r="L555" s="495">
        <f t="shared" si="428"/>
        <v>1457040023</v>
      </c>
      <c r="M555" s="495">
        <f t="shared" si="428"/>
        <v>-1717983363</v>
      </c>
      <c r="N555" s="495">
        <f t="shared" si="428"/>
        <v>4286771045</v>
      </c>
      <c r="O555" s="495">
        <f t="shared" si="428"/>
        <v>9823240943</v>
      </c>
      <c r="P555" s="495">
        <f t="shared" si="428"/>
        <v>-13662545548</v>
      </c>
      <c r="Q555" s="495">
        <f t="shared" si="428"/>
        <v>-8773479128</v>
      </c>
      <c r="R555" s="495">
        <f t="shared" si="428"/>
        <v>5131766626</v>
      </c>
      <c r="S555" s="495">
        <f t="shared" si="428"/>
        <v>-1729795307</v>
      </c>
      <c r="T555" s="495">
        <f t="shared" ref="T555:AH555" si="429">SUM(T$103,-T$259)</f>
        <v>5613335299</v>
      </c>
      <c r="U555" s="495">
        <f t="shared" si="429"/>
        <v>-4504865411</v>
      </c>
      <c r="V555" s="495">
        <f t="shared" si="429"/>
        <v>-12840266175</v>
      </c>
      <c r="W555" s="495">
        <f t="shared" si="429"/>
        <v>-14921996670</v>
      </c>
      <c r="X555" s="495">
        <f t="shared" si="429"/>
        <v>-15563384765</v>
      </c>
      <c r="Y555" s="495">
        <f t="shared" si="429"/>
        <v>-45721293426</v>
      </c>
      <c r="Z555" s="495">
        <f t="shared" si="429"/>
        <v>-43648745222</v>
      </c>
      <c r="AA555" s="495">
        <f t="shared" si="429"/>
        <v>-53723474745</v>
      </c>
      <c r="AB555" s="495">
        <f t="shared" si="429"/>
        <v>-1910646387</v>
      </c>
      <c r="AC555" s="495">
        <f t="shared" si="429"/>
        <v>2735832964</v>
      </c>
      <c r="AD555" s="495">
        <f t="shared" si="429"/>
        <v>6949543782</v>
      </c>
      <c r="AE555" s="495">
        <f t="shared" si="429"/>
        <v>36668517729</v>
      </c>
      <c r="AF555" s="495">
        <f t="shared" si="429"/>
        <v>-5491680534</v>
      </c>
      <c r="AG555" s="495">
        <f t="shared" si="429"/>
        <v>6308981867</v>
      </c>
      <c r="AH555" s="495">
        <f t="shared" si="429"/>
        <v>7209063257</v>
      </c>
    </row>
    <row r="556" spans="2:34" hidden="1" outlineLevel="1">
      <c r="B556" s="496" t="s">
        <v>848</v>
      </c>
      <c r="C556" s="496" t="s">
        <v>848</v>
      </c>
      <c r="D556" s="495">
        <f t="shared" ref="D556:S556" si="430">D557-D558</f>
        <v>1890984602</v>
      </c>
      <c r="E556" s="495">
        <f t="shared" si="430"/>
        <v>0</v>
      </c>
      <c r="F556" s="495">
        <f t="shared" si="430"/>
        <v>0</v>
      </c>
      <c r="G556" s="495">
        <f t="shared" si="430"/>
        <v>0</v>
      </c>
      <c r="H556" s="495">
        <f t="shared" si="430"/>
        <v>0</v>
      </c>
      <c r="I556" s="495">
        <f t="shared" si="430"/>
        <v>0</v>
      </c>
      <c r="J556" s="495">
        <f t="shared" si="430"/>
        <v>0</v>
      </c>
      <c r="K556" s="495">
        <f t="shared" si="430"/>
        <v>0</v>
      </c>
      <c r="L556" s="495">
        <f t="shared" si="430"/>
        <v>0</v>
      </c>
      <c r="M556" s="495">
        <f t="shared" si="430"/>
        <v>98797857</v>
      </c>
      <c r="N556" s="495">
        <f t="shared" si="430"/>
        <v>98797857</v>
      </c>
      <c r="O556" s="495">
        <f t="shared" si="430"/>
        <v>227744148</v>
      </c>
      <c r="P556" s="495">
        <f t="shared" si="430"/>
        <v>0</v>
      </c>
      <c r="Q556" s="495">
        <f t="shared" si="430"/>
        <v>0</v>
      </c>
      <c r="R556" s="495">
        <f t="shared" si="430"/>
        <v>0</v>
      </c>
      <c r="S556" s="495">
        <f t="shared" si="430"/>
        <v>0</v>
      </c>
      <c r="T556" s="495">
        <f t="shared" ref="T556:AA556" si="431">T557-T558</f>
        <v>0</v>
      </c>
      <c r="U556" s="495">
        <f t="shared" si="431"/>
        <v>0</v>
      </c>
      <c r="V556" s="495">
        <f t="shared" si="431"/>
        <v>431038251</v>
      </c>
      <c r="W556" s="495">
        <f t="shared" si="431"/>
        <v>431038251</v>
      </c>
      <c r="X556" s="495">
        <f t="shared" si="431"/>
        <v>0</v>
      </c>
      <c r="Y556" s="495">
        <f t="shared" si="431"/>
        <v>0</v>
      </c>
      <c r="Z556" s="495">
        <f t="shared" si="431"/>
        <v>1022639892</v>
      </c>
      <c r="AA556" s="495">
        <f t="shared" si="431"/>
        <v>1022639892</v>
      </c>
      <c r="AB556" s="495">
        <f t="shared" ref="AB556:AC556" si="432">AB557-AB558</f>
        <v>451290000</v>
      </c>
      <c r="AC556" s="495">
        <f t="shared" si="432"/>
        <v>908225000</v>
      </c>
      <c r="AD556" s="495">
        <f t="shared" ref="AD556:AE556" si="433">AD557-AD558</f>
        <v>1219898368</v>
      </c>
      <c r="AE556" s="495">
        <f t="shared" si="433"/>
        <v>2671546741</v>
      </c>
      <c r="AF556" s="495">
        <f t="shared" ref="AF556:AG556" si="434">AF557-AF558</f>
        <v>604345159</v>
      </c>
      <c r="AG556" s="495">
        <f t="shared" si="434"/>
        <v>2150326522</v>
      </c>
      <c r="AH556" s="495">
        <f t="shared" ref="AH556" si="435">AH557-AH558</f>
        <v>2983824019</v>
      </c>
    </row>
    <row r="557" spans="2:34" hidden="1" outlineLevel="1">
      <c r="B557" s="34" t="s">
        <v>849</v>
      </c>
      <c r="C557" s="34" t="s">
        <v>849</v>
      </c>
      <c r="D557" s="495">
        <f t="shared" ref="D557:S557" si="436">SUM(D$81,D$88,D$95)</f>
        <v>1965226669</v>
      </c>
      <c r="E557" s="495">
        <f t="shared" si="436"/>
        <v>0</v>
      </c>
      <c r="F557" s="495">
        <f t="shared" si="436"/>
        <v>0</v>
      </c>
      <c r="G557" s="495">
        <f t="shared" si="436"/>
        <v>0</v>
      </c>
      <c r="H557" s="495">
        <f t="shared" si="436"/>
        <v>0</v>
      </c>
      <c r="I557" s="495">
        <f t="shared" si="436"/>
        <v>0</v>
      </c>
      <c r="J557" s="495">
        <f t="shared" si="436"/>
        <v>0</v>
      </c>
      <c r="K557" s="495">
        <f t="shared" si="436"/>
        <v>0</v>
      </c>
      <c r="L557" s="495">
        <f t="shared" si="436"/>
        <v>0</v>
      </c>
      <c r="M557" s="495">
        <f t="shared" si="436"/>
        <v>98797857</v>
      </c>
      <c r="N557" s="495">
        <f t="shared" si="436"/>
        <v>98797857</v>
      </c>
      <c r="O557" s="495">
        <f t="shared" si="436"/>
        <v>227744148</v>
      </c>
      <c r="P557" s="495">
        <f t="shared" si="436"/>
        <v>0</v>
      </c>
      <c r="Q557" s="495">
        <f t="shared" si="436"/>
        <v>0</v>
      </c>
      <c r="R557" s="495">
        <f t="shared" si="436"/>
        <v>0</v>
      </c>
      <c r="S557" s="495">
        <f t="shared" si="436"/>
        <v>0</v>
      </c>
      <c r="T557" s="495">
        <f t="shared" ref="T557:AH557" si="437">SUM(T$81,T$88,T$95)</f>
        <v>0</v>
      </c>
      <c r="U557" s="495">
        <f t="shared" si="437"/>
        <v>0</v>
      </c>
      <c r="V557" s="495">
        <f t="shared" si="437"/>
        <v>431038251</v>
      </c>
      <c r="W557" s="495">
        <f t="shared" si="437"/>
        <v>431038251</v>
      </c>
      <c r="X557" s="495">
        <f t="shared" si="437"/>
        <v>0</v>
      </c>
      <c r="Y557" s="495">
        <f t="shared" si="437"/>
        <v>0</v>
      </c>
      <c r="Z557" s="495">
        <f t="shared" si="437"/>
        <v>1022639892</v>
      </c>
      <c r="AA557" s="495">
        <f t="shared" si="437"/>
        <v>1022639892</v>
      </c>
      <c r="AB557" s="495">
        <f t="shared" si="437"/>
        <v>451290000</v>
      </c>
      <c r="AC557" s="495">
        <f t="shared" si="437"/>
        <v>908225000</v>
      </c>
      <c r="AD557" s="495">
        <f t="shared" si="437"/>
        <v>1219898368</v>
      </c>
      <c r="AE557" s="495">
        <f t="shared" si="437"/>
        <v>2671546741</v>
      </c>
      <c r="AF557" s="495">
        <f t="shared" si="437"/>
        <v>843815159</v>
      </c>
      <c r="AG557" s="495">
        <f t="shared" si="437"/>
        <v>2150326522</v>
      </c>
      <c r="AH557" s="495">
        <f t="shared" si="437"/>
        <v>2983824019</v>
      </c>
    </row>
    <row r="558" spans="2:34" hidden="1" outlineLevel="1">
      <c r="B558" s="34" t="s">
        <v>850</v>
      </c>
      <c r="C558" s="34" t="s">
        <v>850</v>
      </c>
      <c r="D558" s="495">
        <f t="shared" ref="D558:S558" si="438">SUM(D$236,D$243,D$250)</f>
        <v>74242067</v>
      </c>
      <c r="E558" s="495">
        <f t="shared" si="438"/>
        <v>0</v>
      </c>
      <c r="F558" s="495">
        <f t="shared" si="438"/>
        <v>0</v>
      </c>
      <c r="G558" s="495">
        <f t="shared" si="438"/>
        <v>0</v>
      </c>
      <c r="H558" s="495">
        <f t="shared" si="438"/>
        <v>0</v>
      </c>
      <c r="I558" s="495">
        <f t="shared" si="438"/>
        <v>0</v>
      </c>
      <c r="J558" s="495">
        <f t="shared" si="438"/>
        <v>0</v>
      </c>
      <c r="K558" s="495">
        <f t="shared" si="438"/>
        <v>0</v>
      </c>
      <c r="L558" s="495">
        <f t="shared" si="438"/>
        <v>0</v>
      </c>
      <c r="M558" s="495">
        <f t="shared" si="438"/>
        <v>0</v>
      </c>
      <c r="N558" s="495">
        <f t="shared" si="438"/>
        <v>0</v>
      </c>
      <c r="O558" s="495">
        <f t="shared" si="438"/>
        <v>0</v>
      </c>
      <c r="P558" s="495">
        <f t="shared" si="438"/>
        <v>0</v>
      </c>
      <c r="Q558" s="495">
        <f t="shared" si="438"/>
        <v>0</v>
      </c>
      <c r="R558" s="495">
        <f t="shared" si="438"/>
        <v>0</v>
      </c>
      <c r="S558" s="495">
        <f t="shared" si="438"/>
        <v>0</v>
      </c>
      <c r="T558" s="495">
        <f t="shared" ref="T558:AH558" si="439">SUM(T$236,T$243,T$250)</f>
        <v>0</v>
      </c>
      <c r="U558" s="495">
        <f t="shared" si="439"/>
        <v>0</v>
      </c>
      <c r="V558" s="495">
        <f t="shared" si="439"/>
        <v>0</v>
      </c>
      <c r="W558" s="495">
        <f t="shared" si="439"/>
        <v>0</v>
      </c>
      <c r="X558" s="495">
        <f t="shared" si="439"/>
        <v>0</v>
      </c>
      <c r="Y558" s="495">
        <f t="shared" si="439"/>
        <v>0</v>
      </c>
      <c r="Z558" s="495">
        <f t="shared" si="439"/>
        <v>0</v>
      </c>
      <c r="AA558" s="495">
        <f t="shared" si="439"/>
        <v>0</v>
      </c>
      <c r="AB558" s="495">
        <f t="shared" si="439"/>
        <v>0</v>
      </c>
      <c r="AC558" s="495">
        <f t="shared" si="439"/>
        <v>0</v>
      </c>
      <c r="AD558" s="495">
        <f t="shared" si="439"/>
        <v>0</v>
      </c>
      <c r="AE558" s="495">
        <f t="shared" si="439"/>
        <v>0</v>
      </c>
      <c r="AF558" s="495">
        <f t="shared" si="439"/>
        <v>239470000</v>
      </c>
      <c r="AG558" s="495">
        <f t="shared" si="439"/>
        <v>0</v>
      </c>
      <c r="AH558" s="495">
        <f t="shared" si="439"/>
        <v>0</v>
      </c>
    </row>
    <row r="559" spans="2:34" hidden="1" outlineLevel="1">
      <c r="B559" s="496" t="s">
        <v>851</v>
      </c>
      <c r="C559" s="496" t="s">
        <v>851</v>
      </c>
      <c r="D559" s="495">
        <f t="shared" ref="D559:S559" si="440">D560-D561</f>
        <v>8138341763</v>
      </c>
      <c r="E559" s="495">
        <f t="shared" si="440"/>
        <v>2258496535</v>
      </c>
      <c r="F559" s="495">
        <f t="shared" si="440"/>
        <v>0</v>
      </c>
      <c r="G559" s="495">
        <f t="shared" si="440"/>
        <v>-22469886183</v>
      </c>
      <c r="H559" s="495">
        <f t="shared" si="440"/>
        <v>-15523071708</v>
      </c>
      <c r="I559" s="495">
        <f t="shared" si="440"/>
        <v>6747280610</v>
      </c>
      <c r="J559" s="495">
        <f t="shared" si="440"/>
        <v>-14727392997</v>
      </c>
      <c r="K559" s="495">
        <f t="shared" si="440"/>
        <v>-19505129593</v>
      </c>
      <c r="L559" s="495">
        <f t="shared" si="440"/>
        <v>2288633810</v>
      </c>
      <c r="M559" s="495">
        <f t="shared" si="440"/>
        <v>-31629110181</v>
      </c>
      <c r="N559" s="495">
        <f t="shared" si="440"/>
        <v>-7441776533</v>
      </c>
      <c r="O559" s="495">
        <f t="shared" si="440"/>
        <v>22324009527</v>
      </c>
      <c r="P559" s="495">
        <f t="shared" si="440"/>
        <v>-7982325418</v>
      </c>
      <c r="Q559" s="495">
        <f t="shared" si="440"/>
        <v>1595132810</v>
      </c>
      <c r="R559" s="495">
        <f t="shared" si="440"/>
        <v>38181324169</v>
      </c>
      <c r="S559" s="495">
        <f t="shared" si="440"/>
        <v>6929867926</v>
      </c>
      <c r="T559" s="495">
        <f t="shared" ref="T559:AA559" si="441">T560-T561</f>
        <v>-8881700091</v>
      </c>
      <c r="U559" s="495">
        <f t="shared" si="441"/>
        <v>-3049995484</v>
      </c>
      <c r="V559" s="495">
        <f t="shared" si="441"/>
        <v>-65323237667</v>
      </c>
      <c r="W559" s="495">
        <f t="shared" si="441"/>
        <v>-21484583670</v>
      </c>
      <c r="X559" s="495">
        <f t="shared" si="441"/>
        <v>-42155207226</v>
      </c>
      <c r="Y559" s="495">
        <f t="shared" si="441"/>
        <v>-17748609796</v>
      </c>
      <c r="Z559" s="495">
        <f t="shared" si="441"/>
        <v>-8383501726</v>
      </c>
      <c r="AA559" s="495">
        <f t="shared" si="441"/>
        <v>-40150073329</v>
      </c>
      <c r="AB559" s="495">
        <f t="shared" ref="AB559:AC559" si="442">AB560-AB561</f>
        <v>-8684444545</v>
      </c>
      <c r="AC559" s="495">
        <f t="shared" si="442"/>
        <v>-48361359299</v>
      </c>
      <c r="AD559" s="495">
        <f t="shared" ref="AD559:AE559" si="443">AD560-AD561</f>
        <v>-52767440909</v>
      </c>
      <c r="AE559" s="495">
        <f t="shared" si="443"/>
        <v>-61815605233</v>
      </c>
      <c r="AF559" s="495">
        <f t="shared" ref="AF559:AG559" si="444">AF560-AF561</f>
        <v>-26766284083</v>
      </c>
      <c r="AG559" s="495">
        <f t="shared" si="444"/>
        <v>-18505025926</v>
      </c>
      <c r="AH559" s="495">
        <f t="shared" ref="AH559" si="445">AH560-AH561</f>
        <v>-94297570269</v>
      </c>
    </row>
    <row r="560" spans="2:34" hidden="1" outlineLevel="1">
      <c r="B560" s="34" t="s">
        <v>97</v>
      </c>
      <c r="C560" s="34" t="s">
        <v>97</v>
      </c>
      <c r="D560" s="495">
        <f t="shared" ref="D560:S560" si="446">SUM(D$172)</f>
        <v>15569029854</v>
      </c>
      <c r="E560" s="495">
        <f t="shared" si="446"/>
        <v>3301984776</v>
      </c>
      <c r="F560" s="495">
        <f t="shared" si="446"/>
        <v>0</v>
      </c>
      <c r="G560" s="495">
        <f t="shared" si="446"/>
        <v>383145939</v>
      </c>
      <c r="H560" s="495">
        <f t="shared" si="446"/>
        <v>1975352543</v>
      </c>
      <c r="I560" s="495">
        <f t="shared" si="446"/>
        <v>9143307604</v>
      </c>
      <c r="J560" s="495">
        <f t="shared" si="446"/>
        <v>3356039852</v>
      </c>
      <c r="K560" s="495">
        <f t="shared" si="446"/>
        <v>5110065787</v>
      </c>
      <c r="L560" s="495">
        <f t="shared" si="446"/>
        <v>4611527641</v>
      </c>
      <c r="M560" s="495">
        <f t="shared" si="446"/>
        <v>3780276790</v>
      </c>
      <c r="N560" s="495">
        <f t="shared" si="446"/>
        <v>15529513093</v>
      </c>
      <c r="O560" s="495">
        <f t="shared" si="446"/>
        <v>43256765353</v>
      </c>
      <c r="P560" s="495">
        <f t="shared" si="446"/>
        <v>9493976388</v>
      </c>
      <c r="Q560" s="495">
        <f t="shared" si="446"/>
        <v>18965490372</v>
      </c>
      <c r="R560" s="495">
        <f t="shared" si="446"/>
        <v>82937857425</v>
      </c>
      <c r="S560" s="495">
        <f t="shared" si="446"/>
        <v>79976127993</v>
      </c>
      <c r="T560" s="495">
        <f t="shared" ref="T560:AH560" si="447">SUM(T$172)</f>
        <v>77319905702</v>
      </c>
      <c r="U560" s="495">
        <f t="shared" si="447"/>
        <v>136229795369</v>
      </c>
      <c r="V560" s="495">
        <f t="shared" si="447"/>
        <v>200848244591</v>
      </c>
      <c r="W560" s="495">
        <f t="shared" si="447"/>
        <v>231437859710</v>
      </c>
      <c r="X560" s="495">
        <f t="shared" si="447"/>
        <v>55935026991</v>
      </c>
      <c r="Y560" s="495">
        <f t="shared" si="447"/>
        <v>88845321508</v>
      </c>
      <c r="Z560" s="495">
        <f t="shared" si="447"/>
        <v>126024066897</v>
      </c>
      <c r="AA560" s="495">
        <f t="shared" si="447"/>
        <v>206337533371</v>
      </c>
      <c r="AB560" s="495">
        <f t="shared" si="447"/>
        <v>101611024130</v>
      </c>
      <c r="AC560" s="495">
        <f t="shared" si="447"/>
        <v>214453161468</v>
      </c>
      <c r="AD560" s="495">
        <f t="shared" si="447"/>
        <v>305421490468</v>
      </c>
      <c r="AE560" s="495">
        <f t="shared" si="447"/>
        <v>418938441093</v>
      </c>
      <c r="AF560" s="495">
        <f t="shared" si="447"/>
        <v>134962937604</v>
      </c>
      <c r="AG560" s="495">
        <f t="shared" si="447"/>
        <v>442628323551</v>
      </c>
      <c r="AH560" s="495">
        <f t="shared" si="447"/>
        <v>632494166668</v>
      </c>
    </row>
    <row r="561" spans="1:34" hidden="1" outlineLevel="1">
      <c r="B561" s="34" t="s">
        <v>98</v>
      </c>
      <c r="C561" s="34" t="s">
        <v>98</v>
      </c>
      <c r="D561" s="495">
        <f t="shared" ref="D561:S561" si="448">SUM(D$321)</f>
        <v>7430688091</v>
      </c>
      <c r="E561" s="495">
        <f t="shared" si="448"/>
        <v>1043488241</v>
      </c>
      <c r="F561" s="495">
        <f t="shared" si="448"/>
        <v>0</v>
      </c>
      <c r="G561" s="495">
        <f t="shared" si="448"/>
        <v>22853032122</v>
      </c>
      <c r="H561" s="495">
        <f t="shared" si="448"/>
        <v>17498424251</v>
      </c>
      <c r="I561" s="495">
        <f t="shared" si="448"/>
        <v>2396026994</v>
      </c>
      <c r="J561" s="495">
        <f t="shared" si="448"/>
        <v>18083432849</v>
      </c>
      <c r="K561" s="495">
        <f t="shared" si="448"/>
        <v>24615195380</v>
      </c>
      <c r="L561" s="495">
        <f t="shared" si="448"/>
        <v>2322893831</v>
      </c>
      <c r="M561" s="495">
        <f t="shared" si="448"/>
        <v>35409386971</v>
      </c>
      <c r="N561" s="495">
        <f t="shared" si="448"/>
        <v>22971289626</v>
      </c>
      <c r="O561" s="495">
        <f t="shared" si="448"/>
        <v>20932755826</v>
      </c>
      <c r="P561" s="495">
        <f t="shared" si="448"/>
        <v>17476301806</v>
      </c>
      <c r="Q561" s="495">
        <f t="shared" si="448"/>
        <v>17370357562</v>
      </c>
      <c r="R561" s="495">
        <f t="shared" si="448"/>
        <v>44756533256</v>
      </c>
      <c r="S561" s="495">
        <f t="shared" si="448"/>
        <v>73046260067</v>
      </c>
      <c r="T561" s="495">
        <f t="shared" ref="T561:AH561" si="449">SUM(T$321)</f>
        <v>86201605793</v>
      </c>
      <c r="U561" s="495">
        <f t="shared" si="449"/>
        <v>139279790853</v>
      </c>
      <c r="V561" s="495">
        <f t="shared" si="449"/>
        <v>266171482258</v>
      </c>
      <c r="W561" s="495">
        <f t="shared" si="449"/>
        <v>252922443380</v>
      </c>
      <c r="X561" s="495">
        <f t="shared" si="449"/>
        <v>98090234217</v>
      </c>
      <c r="Y561" s="495">
        <f t="shared" si="449"/>
        <v>106593931304</v>
      </c>
      <c r="Z561" s="495">
        <f t="shared" si="449"/>
        <v>134407568623</v>
      </c>
      <c r="AA561" s="495">
        <f t="shared" si="449"/>
        <v>246487606700</v>
      </c>
      <c r="AB561" s="495">
        <f t="shared" si="449"/>
        <v>110295468675</v>
      </c>
      <c r="AC561" s="495">
        <f t="shared" si="449"/>
        <v>262814520767</v>
      </c>
      <c r="AD561" s="495">
        <f t="shared" si="449"/>
        <v>358188931377</v>
      </c>
      <c r="AE561" s="495">
        <f t="shared" si="449"/>
        <v>480754046326</v>
      </c>
      <c r="AF561" s="495">
        <f t="shared" si="449"/>
        <v>161729221687</v>
      </c>
      <c r="AG561" s="495">
        <f t="shared" si="449"/>
        <v>461133349477</v>
      </c>
      <c r="AH561" s="495">
        <f t="shared" si="449"/>
        <v>726791736937</v>
      </c>
    </row>
    <row r="562" spans="1:34" collapsed="1">
      <c r="A562" s="496" t="s">
        <v>840</v>
      </c>
      <c r="D562" s="497">
        <f t="shared" ref="D562:S562" si="450">SUM(D526,D533,D544,D547,D548,D549,D552,D555,D556,D559)</f>
        <v>24712555690</v>
      </c>
      <c r="E562" s="497">
        <f t="shared" si="450"/>
        <v>-29648367538</v>
      </c>
      <c r="F562" s="497">
        <f t="shared" si="450"/>
        <v>0</v>
      </c>
      <c r="G562" s="497">
        <f t="shared" si="450"/>
        <v>-60816785614</v>
      </c>
      <c r="H562" s="497">
        <f t="shared" si="450"/>
        <v>-33846550351</v>
      </c>
      <c r="I562" s="497">
        <f t="shared" si="450"/>
        <v>-68523293738</v>
      </c>
      <c r="J562" s="497">
        <f t="shared" si="450"/>
        <v>-99077276881</v>
      </c>
      <c r="K562" s="497">
        <f t="shared" si="450"/>
        <v>-121966343338</v>
      </c>
      <c r="L562" s="497">
        <f t="shared" si="450"/>
        <v>-24394663521</v>
      </c>
      <c r="M562" s="497">
        <f t="shared" si="450"/>
        <v>-36530494056</v>
      </c>
      <c r="N562" s="497">
        <f t="shared" si="450"/>
        <v>-28563523292</v>
      </c>
      <c r="O562" s="497">
        <f t="shared" si="450"/>
        <v>-41870206307</v>
      </c>
      <c r="P562" s="497">
        <f t="shared" si="450"/>
        <v>-851906495</v>
      </c>
      <c r="Q562" s="497">
        <f t="shared" si="450"/>
        <v>-4779774368</v>
      </c>
      <c r="R562" s="497">
        <f t="shared" si="450"/>
        <v>-56946934191</v>
      </c>
      <c r="S562" s="497">
        <f t="shared" si="450"/>
        <v>-108059307812</v>
      </c>
      <c r="T562" s="497">
        <f t="shared" ref="T562:AA562" si="451">SUM(T526,T533,T544,T547,T548,T549,T552,T555,T556,T559)</f>
        <v>-47596711838</v>
      </c>
      <c r="U562" s="497">
        <f t="shared" si="451"/>
        <v>-75907620061</v>
      </c>
      <c r="V562" s="497">
        <f t="shared" si="451"/>
        <v>-88282229928</v>
      </c>
      <c r="W562" s="497">
        <f t="shared" si="451"/>
        <v>-84157422439</v>
      </c>
      <c r="X562" s="497">
        <f t="shared" si="451"/>
        <v>28384200728</v>
      </c>
      <c r="Y562" s="497">
        <f t="shared" si="451"/>
        <v>74668623853</v>
      </c>
      <c r="Z562" s="497">
        <f t="shared" si="451"/>
        <v>80949074961</v>
      </c>
      <c r="AA562" s="497">
        <f t="shared" si="451"/>
        <v>81488747707</v>
      </c>
      <c r="AB562" s="497">
        <f t="shared" ref="AB562:AC562" si="452">SUM(AB526,AB533,AB544,AB547,AB548,AB549,AB552,AB555,AB556,AB559)</f>
        <v>12868636521</v>
      </c>
      <c r="AC562" s="497">
        <f t="shared" si="452"/>
        <v>7790693158</v>
      </c>
      <c r="AD562" s="497">
        <f t="shared" ref="AD562:AE562" si="453">SUM(AD526,AD533,AD544,AD547,AD548,AD549,AD552,AD555,AD556,AD559)</f>
        <v>7348101078</v>
      </c>
      <c r="AE562" s="497">
        <f t="shared" si="453"/>
        <v>-21779837427</v>
      </c>
      <c r="AF562" s="497">
        <f t="shared" ref="AF562:AG562" si="454">SUM(AF526,AF533,AF544,AF547,AF548,AF549,AF552,AF555,AF556,AF559)</f>
        <v>70616981591</v>
      </c>
      <c r="AG562" s="497">
        <f t="shared" si="454"/>
        <v>121101624756</v>
      </c>
      <c r="AH562" s="497">
        <f t="shared" ref="AH562" si="455">SUM(AH526,AH533,AH544,AH547,AH548,AH549,AH552,AH555,AH556,AH559)</f>
        <v>113857136946</v>
      </c>
    </row>
    <row r="563" spans="1:34" hidden="1" outlineLevel="1">
      <c r="B563" s="34" t="s">
        <v>863</v>
      </c>
      <c r="C563" s="34" t="s">
        <v>863</v>
      </c>
      <c r="D563" s="495">
        <f t="shared" ref="D563:AH563" si="456">SUM(D$39,D$70,D$71,D$72,D$179,D$182,D$183,D$188,D$189,D$190,D$200,D$201,-D$203,-D$206,-D$209,-D$213)</f>
        <v>12447045170</v>
      </c>
      <c r="E563" s="495">
        <f t="shared" si="456"/>
        <v>4594192759</v>
      </c>
      <c r="F563" s="495">
        <f t="shared" si="456"/>
        <v>0</v>
      </c>
      <c r="G563" s="495">
        <f t="shared" si="456"/>
        <v>14286291078</v>
      </c>
      <c r="H563" s="495">
        <f t="shared" si="456"/>
        <v>19806002732</v>
      </c>
      <c r="I563" s="495">
        <f t="shared" si="456"/>
        <v>6659269389</v>
      </c>
      <c r="J563" s="495">
        <f t="shared" si="456"/>
        <v>12553937995</v>
      </c>
      <c r="K563" s="495">
        <f t="shared" si="456"/>
        <v>20355371316</v>
      </c>
      <c r="L563" s="495">
        <f t="shared" si="456"/>
        <v>8008674450</v>
      </c>
      <c r="M563" s="495">
        <f t="shared" si="456"/>
        <v>16918825933</v>
      </c>
      <c r="N563" s="495">
        <f t="shared" si="456"/>
        <v>27491031868</v>
      </c>
      <c r="O563" s="495">
        <f t="shared" si="456"/>
        <v>38477933746</v>
      </c>
      <c r="P563" s="495">
        <f t="shared" si="456"/>
        <v>10333638337</v>
      </c>
      <c r="Q563" s="495">
        <f t="shared" si="456"/>
        <v>22875181560</v>
      </c>
      <c r="R563" s="495">
        <f t="shared" si="456"/>
        <v>35714985834</v>
      </c>
      <c r="S563" s="495">
        <f t="shared" si="456"/>
        <v>46997605650</v>
      </c>
      <c r="T563" s="495">
        <f t="shared" si="456"/>
        <v>13247110387</v>
      </c>
      <c r="U563" s="495">
        <f t="shared" si="456"/>
        <v>28011032934</v>
      </c>
      <c r="V563" s="495">
        <f t="shared" si="456"/>
        <v>43423828386</v>
      </c>
      <c r="W563" s="495">
        <f t="shared" ref="W563" si="457">SUM(W$39,W$70,W$71,W$72,W$179,W$182,W$183,W$188,W$189,W$190,W$200,W$201,-W$203,-W$206,-W$209,-W$213)</f>
        <v>58108146505</v>
      </c>
      <c r="X563" s="495">
        <f t="shared" si="456"/>
        <v>16166896131</v>
      </c>
      <c r="Y563" s="495">
        <f t="shared" si="456"/>
        <v>39981071464</v>
      </c>
      <c r="Z563" s="495">
        <f t="shared" si="456"/>
        <v>60676291917</v>
      </c>
      <c r="AA563" s="495">
        <f t="shared" si="456"/>
        <v>78054086466</v>
      </c>
      <c r="AB563" s="495">
        <f t="shared" si="456"/>
        <v>19886785381</v>
      </c>
      <c r="AC563" s="495">
        <f t="shared" si="456"/>
        <v>40695046035</v>
      </c>
      <c r="AD563" s="495">
        <f t="shared" si="456"/>
        <v>59830017568</v>
      </c>
      <c r="AE563" s="495">
        <f t="shared" si="456"/>
        <v>84133350292</v>
      </c>
      <c r="AF563" s="495">
        <f t="shared" si="456"/>
        <v>22224678939</v>
      </c>
      <c r="AG563" s="495">
        <f t="shared" si="456"/>
        <v>47945986589</v>
      </c>
      <c r="AH563" s="495">
        <f t="shared" si="456"/>
        <v>74736075637</v>
      </c>
    </row>
    <row r="564" spans="1:34" hidden="1" outlineLevel="1">
      <c r="B564" s="34" t="s">
        <v>864</v>
      </c>
      <c r="C564" s="34" t="s">
        <v>864</v>
      </c>
      <c r="D564" s="495">
        <f t="shared" ref="D564:AH564" si="458">SUM(D$223,D$224,D$225,D$226,D$227,D$362,D$368,D$369,D$370,D$380,D$381,-D$383,D$386,-D$389,-D$393)</f>
        <v>35027092171</v>
      </c>
      <c r="E564" s="495">
        <f t="shared" si="458"/>
        <v>8161632183</v>
      </c>
      <c r="F564" s="495">
        <f t="shared" si="458"/>
        <v>0</v>
      </c>
      <c r="G564" s="495">
        <f t="shared" si="458"/>
        <v>31352614555</v>
      </c>
      <c r="H564" s="495">
        <f t="shared" si="458"/>
        <v>39252869354</v>
      </c>
      <c r="I564" s="495">
        <f t="shared" si="458"/>
        <v>9898252035</v>
      </c>
      <c r="J564" s="495">
        <f t="shared" si="458"/>
        <v>18158148526</v>
      </c>
      <c r="K564" s="495">
        <f t="shared" si="458"/>
        <v>26858454308</v>
      </c>
      <c r="L564" s="495">
        <f t="shared" si="458"/>
        <v>8761196755</v>
      </c>
      <c r="M564" s="495">
        <f t="shared" si="458"/>
        <v>17873618166</v>
      </c>
      <c r="N564" s="495">
        <f t="shared" si="458"/>
        <v>26824062381</v>
      </c>
      <c r="O564" s="495">
        <f t="shared" si="458"/>
        <v>37364094916</v>
      </c>
      <c r="P564" s="495">
        <f t="shared" si="458"/>
        <v>9613078848</v>
      </c>
      <c r="Q564" s="495">
        <f t="shared" si="458"/>
        <v>22726131464</v>
      </c>
      <c r="R564" s="495">
        <f t="shared" si="458"/>
        <v>36112468063</v>
      </c>
      <c r="S564" s="495">
        <f t="shared" si="458"/>
        <v>48643361804</v>
      </c>
      <c r="T564" s="495">
        <f t="shared" si="458"/>
        <v>15156890036</v>
      </c>
      <c r="U564" s="495">
        <f t="shared" si="458"/>
        <v>30000856851</v>
      </c>
      <c r="V564" s="495">
        <f t="shared" si="458"/>
        <v>81212251708</v>
      </c>
      <c r="W564" s="495">
        <f t="shared" ref="W564" si="459">SUM(W$223,W$224,W$225,W$226,W$227,W$362,W$368,W$369,W$370,W$380,W$381,-W$383,W$386,-W$389,-W$393)</f>
        <v>94058157408</v>
      </c>
      <c r="X564" s="495">
        <f t="shared" si="458"/>
        <v>12322728655</v>
      </c>
      <c r="Y564" s="495">
        <f t="shared" si="458"/>
        <v>25740833405</v>
      </c>
      <c r="Z564" s="495">
        <f t="shared" si="458"/>
        <v>38816481617</v>
      </c>
      <c r="AA564" s="495">
        <f t="shared" si="458"/>
        <v>55914905387</v>
      </c>
      <c r="AB564" s="495">
        <f t="shared" si="458"/>
        <v>16352534627</v>
      </c>
      <c r="AC564" s="495">
        <f t="shared" si="458"/>
        <v>34014728260</v>
      </c>
      <c r="AD564" s="495">
        <f t="shared" si="458"/>
        <v>51717428475</v>
      </c>
      <c r="AE564" s="495">
        <f t="shared" si="458"/>
        <v>69359242816</v>
      </c>
      <c r="AF564" s="495">
        <f t="shared" si="458"/>
        <v>15794533306</v>
      </c>
      <c r="AG564" s="495">
        <f t="shared" si="458"/>
        <v>34739605139</v>
      </c>
      <c r="AH564" s="495">
        <f t="shared" si="458"/>
        <v>49865045498</v>
      </c>
    </row>
    <row r="565" spans="1:34" collapsed="1">
      <c r="A565" s="496" t="s">
        <v>862</v>
      </c>
      <c r="D565" s="495">
        <f t="shared" ref="D565:V565" si="460">D563-D564</f>
        <v>-22580047001</v>
      </c>
      <c r="E565" s="495">
        <f t="shared" si="460"/>
        <v>-3567439424</v>
      </c>
      <c r="F565" s="495">
        <f t="shared" si="460"/>
        <v>0</v>
      </c>
      <c r="G565" s="495">
        <f t="shared" si="460"/>
        <v>-17066323477</v>
      </c>
      <c r="H565" s="495">
        <f t="shared" si="460"/>
        <v>-19446866622</v>
      </c>
      <c r="I565" s="495">
        <f t="shared" si="460"/>
        <v>-3238982646</v>
      </c>
      <c r="J565" s="495">
        <f t="shared" si="460"/>
        <v>-5604210531</v>
      </c>
      <c r="K565" s="495">
        <f t="shared" si="460"/>
        <v>-6503082992</v>
      </c>
      <c r="L565" s="495">
        <f t="shared" si="460"/>
        <v>-752522305</v>
      </c>
      <c r="M565" s="495">
        <f t="shared" si="460"/>
        <v>-954792233</v>
      </c>
      <c r="N565" s="495">
        <f t="shared" si="460"/>
        <v>666969487</v>
      </c>
      <c r="O565" s="495">
        <f t="shared" si="460"/>
        <v>1113838830</v>
      </c>
      <c r="P565" s="495">
        <f t="shared" si="460"/>
        <v>720559489</v>
      </c>
      <c r="Q565" s="495">
        <f t="shared" si="460"/>
        <v>149050096</v>
      </c>
      <c r="R565" s="495">
        <f t="shared" si="460"/>
        <v>-397482229</v>
      </c>
      <c r="S565" s="495">
        <f t="shared" si="460"/>
        <v>-1645756154</v>
      </c>
      <c r="T565" s="495">
        <f t="shared" si="460"/>
        <v>-1909779649</v>
      </c>
      <c r="U565" s="495">
        <f t="shared" si="460"/>
        <v>-1989823917</v>
      </c>
      <c r="V565" s="495">
        <f t="shared" si="460"/>
        <v>-37788423322</v>
      </c>
      <c r="W565" s="495">
        <f t="shared" ref="W565" si="461">W563-W564</f>
        <v>-35950010903</v>
      </c>
      <c r="X565" s="495">
        <f t="shared" ref="X565:AA565" si="462">X563-X564</f>
        <v>3844167476</v>
      </c>
      <c r="Y565" s="495">
        <f t="shared" si="462"/>
        <v>14240238059</v>
      </c>
      <c r="Z565" s="495">
        <f t="shared" si="462"/>
        <v>21859810300</v>
      </c>
      <c r="AA565" s="495">
        <f t="shared" si="462"/>
        <v>22139181079</v>
      </c>
      <c r="AB565" s="495">
        <f t="shared" ref="AB565:AC565" si="463">AB563-AB564</f>
        <v>3534250754</v>
      </c>
      <c r="AC565" s="495">
        <f t="shared" si="463"/>
        <v>6680317775</v>
      </c>
      <c r="AD565" s="495">
        <f t="shared" ref="AD565:AE565" si="464">AD563-AD564</f>
        <v>8112589093</v>
      </c>
      <c r="AE565" s="495">
        <f t="shared" si="464"/>
        <v>14774107476</v>
      </c>
      <c r="AF565" s="495">
        <f t="shared" ref="AF565:AG565" si="465">AF563-AF564</f>
        <v>6430145633</v>
      </c>
      <c r="AG565" s="495">
        <f t="shared" si="465"/>
        <v>13206381450</v>
      </c>
      <c r="AH565" s="495">
        <f t="shared" ref="AH565" si="466">AH563-AH564</f>
        <v>24871030139</v>
      </c>
    </row>
    <row r="566" spans="1:34" collapsed="1">
      <c r="A566" s="496" t="s">
        <v>865</v>
      </c>
      <c r="D566" s="495">
        <f t="shared" ref="D566:S566" si="467">SUM(D$328,D$335)</f>
        <v>16925575394</v>
      </c>
      <c r="E566" s="495">
        <f t="shared" si="467"/>
        <v>4086270894</v>
      </c>
      <c r="F566" s="495">
        <f t="shared" si="467"/>
        <v>0</v>
      </c>
      <c r="G566" s="495">
        <f t="shared" si="467"/>
        <v>12090949504</v>
      </c>
      <c r="H566" s="495">
        <f t="shared" si="467"/>
        <v>18763979301</v>
      </c>
      <c r="I566" s="495">
        <f t="shared" si="467"/>
        <v>4333692497</v>
      </c>
      <c r="J566" s="495">
        <f t="shared" si="467"/>
        <v>8433169595</v>
      </c>
      <c r="K566" s="495">
        <f t="shared" si="467"/>
        <v>14262150516</v>
      </c>
      <c r="L566" s="495">
        <f t="shared" si="467"/>
        <v>4783445856</v>
      </c>
      <c r="M566" s="495">
        <f t="shared" si="467"/>
        <v>8895879341</v>
      </c>
      <c r="N566" s="495">
        <f t="shared" si="467"/>
        <v>13070131420</v>
      </c>
      <c r="O566" s="495">
        <f t="shared" si="467"/>
        <v>17529546208</v>
      </c>
      <c r="P566" s="495">
        <f t="shared" si="467"/>
        <v>4409382142</v>
      </c>
      <c r="Q566" s="495">
        <f t="shared" si="467"/>
        <v>8721408273</v>
      </c>
      <c r="R566" s="495">
        <f t="shared" si="467"/>
        <v>12458372098</v>
      </c>
      <c r="S566" s="495">
        <f t="shared" si="467"/>
        <v>16847235373</v>
      </c>
      <c r="T566" s="495">
        <f t="shared" ref="T566:AH566" si="468">SUM(T$328,T$335)</f>
        <v>4622411732</v>
      </c>
      <c r="U566" s="495">
        <f t="shared" si="468"/>
        <v>8745849829</v>
      </c>
      <c r="V566" s="495">
        <f t="shared" si="468"/>
        <v>12903700641</v>
      </c>
      <c r="W566" s="495">
        <f t="shared" si="468"/>
        <v>17936016107</v>
      </c>
      <c r="X566" s="495">
        <f t="shared" si="468"/>
        <v>4758721351</v>
      </c>
      <c r="Y566" s="495">
        <f t="shared" si="468"/>
        <v>8960432361</v>
      </c>
      <c r="Z566" s="495">
        <f t="shared" si="468"/>
        <v>13154909547</v>
      </c>
      <c r="AA566" s="495">
        <f t="shared" si="468"/>
        <v>17994571783</v>
      </c>
      <c r="AB566" s="495">
        <f t="shared" si="468"/>
        <v>4608889325</v>
      </c>
      <c r="AC566" s="495">
        <f t="shared" si="468"/>
        <v>16967364862</v>
      </c>
      <c r="AD566" s="495">
        <f t="shared" si="468"/>
        <v>21310266995</v>
      </c>
      <c r="AE566" s="495">
        <f t="shared" si="468"/>
        <v>26271176750</v>
      </c>
      <c r="AF566" s="495">
        <f t="shared" si="468"/>
        <v>5366079735</v>
      </c>
      <c r="AG566" s="495">
        <f t="shared" si="468"/>
        <v>19774414850</v>
      </c>
      <c r="AH566" s="495">
        <f t="shared" si="468"/>
        <v>24409281212</v>
      </c>
    </row>
    <row r="567" spans="1:34" outlineLevel="1">
      <c r="B567" s="34" t="s">
        <v>872</v>
      </c>
      <c r="C567" s="34" t="s">
        <v>872</v>
      </c>
      <c r="D567" s="495">
        <f t="shared" ref="D567:S567" si="469">SUM(D568:D571)</f>
        <v>5786918616</v>
      </c>
      <c r="E567" s="495">
        <f t="shared" si="469"/>
        <v>3635000</v>
      </c>
      <c r="F567" s="495">
        <f t="shared" si="469"/>
        <v>0</v>
      </c>
      <c r="G567" s="495">
        <f t="shared" si="469"/>
        <v>375558720</v>
      </c>
      <c r="H567" s="495">
        <f t="shared" si="469"/>
        <v>375558720</v>
      </c>
      <c r="I567" s="495">
        <f t="shared" si="469"/>
        <v>15027541</v>
      </c>
      <c r="J567" s="495">
        <f t="shared" si="469"/>
        <v>17046223</v>
      </c>
      <c r="K567" s="495">
        <f t="shared" si="469"/>
        <v>17047441</v>
      </c>
      <c r="L567" s="495">
        <f t="shared" si="469"/>
        <v>1785956</v>
      </c>
      <c r="M567" s="495">
        <f t="shared" si="469"/>
        <v>1785956</v>
      </c>
      <c r="N567" s="495">
        <f t="shared" si="469"/>
        <v>6102566140</v>
      </c>
      <c r="O567" s="495">
        <f t="shared" si="469"/>
        <v>7963765335</v>
      </c>
      <c r="P567" s="495">
        <f t="shared" si="469"/>
        <v>700508145</v>
      </c>
      <c r="Q567" s="495">
        <f t="shared" si="469"/>
        <v>2631967888</v>
      </c>
      <c r="R567" s="495">
        <f t="shared" si="469"/>
        <v>2631967888</v>
      </c>
      <c r="S567" s="495">
        <f t="shared" si="469"/>
        <v>2631967888</v>
      </c>
      <c r="T567" s="495">
        <f t="shared" ref="T567:AA567" si="470">SUM(T568:T571)</f>
        <v>28199655</v>
      </c>
      <c r="U567" s="495">
        <f t="shared" si="470"/>
        <v>28203099</v>
      </c>
      <c r="V567" s="495">
        <f t="shared" si="470"/>
        <v>155309384</v>
      </c>
      <c r="W567" s="495">
        <f t="shared" si="470"/>
        <v>208560571</v>
      </c>
      <c r="X567" s="495">
        <f t="shared" si="470"/>
        <v>155397719</v>
      </c>
      <c r="Y567" s="495">
        <f t="shared" si="470"/>
        <v>162806953</v>
      </c>
      <c r="Z567" s="495">
        <f t="shared" si="470"/>
        <v>724854410</v>
      </c>
      <c r="AA567" s="495">
        <f t="shared" si="470"/>
        <v>724854410</v>
      </c>
      <c r="AB567" s="495">
        <f t="shared" ref="AB567:AC567" si="471">SUM(AB568:AB571)</f>
        <v>0</v>
      </c>
      <c r="AC567" s="495">
        <f t="shared" si="471"/>
        <v>941700000</v>
      </c>
      <c r="AD567" s="495">
        <f t="shared" ref="AD567:AE567" si="472">SUM(AD568:AD571)</f>
        <v>441668775</v>
      </c>
      <c r="AE567" s="495">
        <f t="shared" si="472"/>
        <v>2598763913</v>
      </c>
      <c r="AF567" s="495">
        <f t="shared" ref="AF567:AG567" si="473">SUM(AF568:AF571)</f>
        <v>978527311</v>
      </c>
      <c r="AG567" s="495">
        <f t="shared" si="473"/>
        <v>1117742391</v>
      </c>
      <c r="AH567" s="495">
        <f t="shared" ref="AH567" si="474">SUM(AH568:AH571)</f>
        <v>1695666013</v>
      </c>
    </row>
    <row r="568" spans="1:34" outlineLevel="1">
      <c r="B568" s="34" t="s">
        <v>19</v>
      </c>
      <c r="C568" s="34" t="s">
        <v>19</v>
      </c>
      <c r="D568" s="495">
        <f t="shared" ref="D568:S568" si="475">SUM(D$168)</f>
        <v>1643283774</v>
      </c>
      <c r="E568" s="495">
        <f t="shared" si="475"/>
        <v>0</v>
      </c>
      <c r="F568" s="495">
        <f t="shared" si="475"/>
        <v>0</v>
      </c>
      <c r="G568" s="495">
        <f t="shared" si="475"/>
        <v>0</v>
      </c>
      <c r="H568" s="495">
        <f t="shared" si="475"/>
        <v>0</v>
      </c>
      <c r="I568" s="495">
        <f t="shared" si="475"/>
        <v>0</v>
      </c>
      <c r="J568" s="495">
        <f t="shared" si="475"/>
        <v>0</v>
      </c>
      <c r="K568" s="495">
        <f t="shared" si="475"/>
        <v>0</v>
      </c>
      <c r="L568" s="495">
        <f t="shared" si="475"/>
        <v>0</v>
      </c>
      <c r="M568" s="495">
        <f t="shared" si="475"/>
        <v>0</v>
      </c>
      <c r="N568" s="495">
        <f t="shared" si="475"/>
        <v>0</v>
      </c>
      <c r="O568" s="495">
        <f t="shared" si="475"/>
        <v>0</v>
      </c>
      <c r="P568" s="495">
        <f t="shared" si="475"/>
        <v>0</v>
      </c>
      <c r="Q568" s="495">
        <f t="shared" si="475"/>
        <v>1850605743</v>
      </c>
      <c r="R568" s="495">
        <f t="shared" si="475"/>
        <v>1850605743</v>
      </c>
      <c r="S568" s="495">
        <f t="shared" si="475"/>
        <v>1850605743</v>
      </c>
      <c r="T568" s="495">
        <f t="shared" ref="T568:AH568" si="476">SUM(T$168)</f>
        <v>0</v>
      </c>
      <c r="U568" s="495">
        <f t="shared" si="476"/>
        <v>0</v>
      </c>
      <c r="V568" s="495">
        <f t="shared" si="476"/>
        <v>0</v>
      </c>
      <c r="W568" s="495">
        <f t="shared" si="476"/>
        <v>2896470</v>
      </c>
      <c r="X568" s="495">
        <f t="shared" si="476"/>
        <v>0</v>
      </c>
      <c r="Y568" s="495">
        <f t="shared" si="476"/>
        <v>0</v>
      </c>
      <c r="Z568" s="495">
        <f t="shared" si="476"/>
        <v>0</v>
      </c>
      <c r="AA568" s="495">
        <f t="shared" si="476"/>
        <v>0</v>
      </c>
      <c r="AB568" s="495">
        <f t="shared" si="476"/>
        <v>0</v>
      </c>
      <c r="AC568" s="495">
        <f t="shared" si="476"/>
        <v>0</v>
      </c>
      <c r="AD568" s="495">
        <f t="shared" si="476"/>
        <v>0</v>
      </c>
      <c r="AE568" s="495">
        <f t="shared" si="476"/>
        <v>0</v>
      </c>
      <c r="AF568" s="495">
        <f t="shared" si="476"/>
        <v>0</v>
      </c>
      <c r="AG568" s="495">
        <f t="shared" si="476"/>
        <v>0</v>
      </c>
      <c r="AH568" s="495">
        <f t="shared" si="476"/>
        <v>107140000</v>
      </c>
    </row>
    <row r="569" spans="1:34" outlineLevel="1">
      <c r="B569" s="34" t="s">
        <v>20</v>
      </c>
      <c r="C569" s="34" t="s">
        <v>20</v>
      </c>
      <c r="D569" s="495">
        <f t="shared" ref="D569:S569" si="477">SUM(D$170)</f>
        <v>4143634842</v>
      </c>
      <c r="E569" s="495">
        <f t="shared" si="477"/>
        <v>3635000</v>
      </c>
      <c r="F569" s="495">
        <f t="shared" si="477"/>
        <v>0</v>
      </c>
      <c r="G569" s="495">
        <f t="shared" si="477"/>
        <v>375558720</v>
      </c>
      <c r="H569" s="495">
        <f t="shared" si="477"/>
        <v>375558720</v>
      </c>
      <c r="I569" s="495">
        <f t="shared" si="477"/>
        <v>0</v>
      </c>
      <c r="J569" s="495">
        <f t="shared" si="477"/>
        <v>0</v>
      </c>
      <c r="K569" s="495">
        <f t="shared" si="477"/>
        <v>0</v>
      </c>
      <c r="L569" s="495">
        <f t="shared" si="477"/>
        <v>0</v>
      </c>
      <c r="M569" s="495">
        <f t="shared" si="477"/>
        <v>0</v>
      </c>
      <c r="N569" s="495">
        <f t="shared" si="477"/>
        <v>5385960915</v>
      </c>
      <c r="O569" s="495">
        <f t="shared" si="477"/>
        <v>5385960915</v>
      </c>
      <c r="P569" s="495">
        <f t="shared" si="477"/>
        <v>700508145</v>
      </c>
      <c r="Q569" s="495">
        <f t="shared" si="477"/>
        <v>781362145</v>
      </c>
      <c r="R569" s="495">
        <f t="shared" si="477"/>
        <v>781362145</v>
      </c>
      <c r="S569" s="495">
        <f t="shared" si="477"/>
        <v>781362145</v>
      </c>
      <c r="T569" s="495">
        <f t="shared" ref="T569:AH569" si="478">SUM(T$170)</f>
        <v>28199655</v>
      </c>
      <c r="U569" s="495">
        <f t="shared" si="478"/>
        <v>28203099</v>
      </c>
      <c r="V569" s="495">
        <f t="shared" si="478"/>
        <v>116347864</v>
      </c>
      <c r="W569" s="495">
        <f t="shared" si="478"/>
        <v>116347864</v>
      </c>
      <c r="X569" s="495">
        <f t="shared" si="478"/>
        <v>134225551</v>
      </c>
      <c r="Y569" s="495">
        <f t="shared" si="478"/>
        <v>141634785</v>
      </c>
      <c r="Z569" s="495">
        <f t="shared" si="478"/>
        <v>159100785</v>
      </c>
      <c r="AA569" s="495">
        <f t="shared" si="478"/>
        <v>159100785</v>
      </c>
      <c r="AB569" s="495">
        <f t="shared" si="478"/>
        <v>0</v>
      </c>
      <c r="AC569" s="495">
        <f t="shared" si="478"/>
        <v>0</v>
      </c>
      <c r="AD569" s="495">
        <f t="shared" si="478"/>
        <v>263651220</v>
      </c>
      <c r="AE569" s="495">
        <f t="shared" si="478"/>
        <v>2435671713</v>
      </c>
      <c r="AF569" s="495">
        <f t="shared" si="478"/>
        <v>673355700</v>
      </c>
      <c r="AG569" s="495">
        <f t="shared" si="478"/>
        <v>673355700</v>
      </c>
      <c r="AH569" s="495">
        <f t="shared" si="478"/>
        <v>0</v>
      </c>
    </row>
    <row r="570" spans="1:34" outlineLevel="1">
      <c r="B570" s="34" t="s">
        <v>21</v>
      </c>
      <c r="C570" s="34" t="s">
        <v>21</v>
      </c>
      <c r="D570" s="495">
        <f t="shared" ref="D570:S570" si="479">SUM(D$195)</f>
        <v>0</v>
      </c>
      <c r="E570" s="495">
        <f t="shared" si="479"/>
        <v>0</v>
      </c>
      <c r="F570" s="495">
        <f t="shared" si="479"/>
        <v>0</v>
      </c>
      <c r="G570" s="495">
        <f t="shared" si="479"/>
        <v>0</v>
      </c>
      <c r="H570" s="495">
        <f t="shared" si="479"/>
        <v>0</v>
      </c>
      <c r="I570" s="495">
        <f t="shared" si="479"/>
        <v>15027541</v>
      </c>
      <c r="J570" s="495">
        <f t="shared" si="479"/>
        <v>17046223</v>
      </c>
      <c r="K570" s="495">
        <f t="shared" si="479"/>
        <v>17047441</v>
      </c>
      <c r="L570" s="495">
        <f t="shared" si="479"/>
        <v>1785956</v>
      </c>
      <c r="M570" s="495">
        <f t="shared" si="479"/>
        <v>1785956</v>
      </c>
      <c r="N570" s="495">
        <f t="shared" si="479"/>
        <v>716605225</v>
      </c>
      <c r="O570" s="495">
        <f t="shared" si="479"/>
        <v>2577804420</v>
      </c>
      <c r="P570" s="495">
        <f t="shared" si="479"/>
        <v>0</v>
      </c>
      <c r="Q570" s="495">
        <f t="shared" si="479"/>
        <v>0</v>
      </c>
      <c r="R570" s="495">
        <f t="shared" si="479"/>
        <v>0</v>
      </c>
      <c r="S570" s="495">
        <f t="shared" si="479"/>
        <v>0</v>
      </c>
      <c r="T570" s="495">
        <f t="shared" ref="T570:AH570" si="480">SUM(T$195)</f>
        <v>0</v>
      </c>
      <c r="U570" s="495">
        <f t="shared" si="480"/>
        <v>0</v>
      </c>
      <c r="V570" s="495">
        <f t="shared" si="480"/>
        <v>38961520</v>
      </c>
      <c r="W570" s="495">
        <f t="shared" si="480"/>
        <v>89316237</v>
      </c>
      <c r="X570" s="495">
        <f t="shared" si="480"/>
        <v>21172168</v>
      </c>
      <c r="Y570" s="495">
        <f t="shared" si="480"/>
        <v>21172168</v>
      </c>
      <c r="Z570" s="495">
        <f t="shared" si="480"/>
        <v>565753625</v>
      </c>
      <c r="AA570" s="495">
        <f t="shared" si="480"/>
        <v>565753625</v>
      </c>
      <c r="AB570" s="495">
        <f t="shared" si="480"/>
        <v>0</v>
      </c>
      <c r="AC570" s="495">
        <f t="shared" si="480"/>
        <v>0</v>
      </c>
      <c r="AD570" s="495">
        <f t="shared" si="480"/>
        <v>63391555</v>
      </c>
      <c r="AE570" s="495">
        <f t="shared" si="480"/>
        <v>0</v>
      </c>
      <c r="AF570" s="495">
        <f t="shared" si="480"/>
        <v>103005711</v>
      </c>
      <c r="AG570" s="495">
        <f t="shared" si="480"/>
        <v>103005711</v>
      </c>
      <c r="AH570" s="495">
        <f t="shared" si="480"/>
        <v>103005711</v>
      </c>
    </row>
    <row r="571" spans="1:34" outlineLevel="1">
      <c r="B571" s="34" t="s">
        <v>4</v>
      </c>
      <c r="C571" s="34" t="s">
        <v>4</v>
      </c>
      <c r="D571" s="495">
        <f t="shared" ref="D571:S571" si="481">SUM(D$169,D$171)</f>
        <v>0</v>
      </c>
      <c r="E571" s="495">
        <f t="shared" si="481"/>
        <v>0</v>
      </c>
      <c r="F571" s="495">
        <f t="shared" si="481"/>
        <v>0</v>
      </c>
      <c r="G571" s="495">
        <f t="shared" si="481"/>
        <v>0</v>
      </c>
      <c r="H571" s="495">
        <f t="shared" si="481"/>
        <v>0</v>
      </c>
      <c r="I571" s="495">
        <f t="shared" si="481"/>
        <v>0</v>
      </c>
      <c r="J571" s="495">
        <f t="shared" si="481"/>
        <v>0</v>
      </c>
      <c r="K571" s="495">
        <f t="shared" si="481"/>
        <v>0</v>
      </c>
      <c r="L571" s="495">
        <f t="shared" si="481"/>
        <v>0</v>
      </c>
      <c r="M571" s="495">
        <f t="shared" si="481"/>
        <v>0</v>
      </c>
      <c r="N571" s="495">
        <f t="shared" si="481"/>
        <v>0</v>
      </c>
      <c r="O571" s="495">
        <f t="shared" si="481"/>
        <v>0</v>
      </c>
      <c r="P571" s="495">
        <f t="shared" si="481"/>
        <v>0</v>
      </c>
      <c r="Q571" s="495">
        <f t="shared" si="481"/>
        <v>0</v>
      </c>
      <c r="R571" s="495">
        <f t="shared" si="481"/>
        <v>0</v>
      </c>
      <c r="S571" s="495">
        <f t="shared" si="481"/>
        <v>0</v>
      </c>
      <c r="T571" s="495">
        <f t="shared" ref="T571:AF571" si="482">SUM(T$169,T$171)</f>
        <v>0</v>
      </c>
      <c r="U571" s="495">
        <f t="shared" si="482"/>
        <v>0</v>
      </c>
      <c r="V571" s="495">
        <f t="shared" si="482"/>
        <v>0</v>
      </c>
      <c r="W571" s="495">
        <f t="shared" si="482"/>
        <v>0</v>
      </c>
      <c r="X571" s="495">
        <f t="shared" si="482"/>
        <v>0</v>
      </c>
      <c r="Y571" s="495">
        <f t="shared" si="482"/>
        <v>0</v>
      </c>
      <c r="Z571" s="495">
        <f t="shared" si="482"/>
        <v>0</v>
      </c>
      <c r="AA571" s="495">
        <f t="shared" si="482"/>
        <v>0</v>
      </c>
      <c r="AB571" s="495">
        <f t="shared" si="482"/>
        <v>0</v>
      </c>
      <c r="AC571" s="495">
        <f t="shared" si="482"/>
        <v>941700000</v>
      </c>
      <c r="AD571" s="495">
        <f t="shared" si="482"/>
        <v>114626000</v>
      </c>
      <c r="AE571" s="495">
        <f t="shared" si="482"/>
        <v>163092200</v>
      </c>
      <c r="AF571" s="495">
        <f t="shared" si="482"/>
        <v>202165900</v>
      </c>
      <c r="AG571" s="495">
        <f>SUM(AG$169,AG$171)</f>
        <v>341380980</v>
      </c>
      <c r="AH571" s="495">
        <f>SUM(AH$169,AH$171)</f>
        <v>1485520302</v>
      </c>
    </row>
    <row r="572" spans="1:34" outlineLevel="1">
      <c r="B572" s="34" t="s">
        <v>478</v>
      </c>
      <c r="C572" s="34" t="s">
        <v>478</v>
      </c>
      <c r="D572" s="495">
        <f t="shared" ref="D572:R572" si="483">SUM(D573:D576)</f>
        <v>2674445789</v>
      </c>
      <c r="E572" s="495">
        <f t="shared" si="483"/>
        <v>16851521277</v>
      </c>
      <c r="F572" s="495">
        <f t="shared" si="483"/>
        <v>0</v>
      </c>
      <c r="G572" s="495">
        <f t="shared" si="483"/>
        <v>6225581487</v>
      </c>
      <c r="H572" s="495">
        <f t="shared" si="483"/>
        <v>7527781571</v>
      </c>
      <c r="I572" s="495">
        <f t="shared" si="483"/>
        <v>51797270</v>
      </c>
      <c r="J572" s="495">
        <f t="shared" si="483"/>
        <v>93621379</v>
      </c>
      <c r="K572" s="495">
        <f t="shared" si="483"/>
        <v>16215830013</v>
      </c>
      <c r="L572" s="495">
        <f t="shared" si="483"/>
        <v>2365419293</v>
      </c>
      <c r="M572" s="495">
        <f t="shared" si="483"/>
        <v>2669928875</v>
      </c>
      <c r="N572" s="495">
        <f t="shared" si="483"/>
        <v>2394054692</v>
      </c>
      <c r="O572" s="495">
        <f t="shared" si="483"/>
        <v>4005208394</v>
      </c>
      <c r="P572" s="495">
        <f t="shared" si="483"/>
        <v>1465496858</v>
      </c>
      <c r="Q572" s="495">
        <f t="shared" si="483"/>
        <v>1511469558</v>
      </c>
      <c r="R572" s="495">
        <f t="shared" si="483"/>
        <v>2790232469</v>
      </c>
      <c r="S572" s="495">
        <f>SUM(S573:S576)</f>
        <v>4459744046</v>
      </c>
      <c r="T572" s="495">
        <f t="shared" ref="T572:AA572" si="484">SUM(T573:T576)</f>
        <v>209498254</v>
      </c>
      <c r="U572" s="495">
        <f t="shared" si="484"/>
        <v>263117370</v>
      </c>
      <c r="V572" s="495">
        <f t="shared" si="484"/>
        <v>840761908</v>
      </c>
      <c r="W572" s="495">
        <f t="shared" si="484"/>
        <v>810966813</v>
      </c>
      <c r="X572" s="495">
        <f t="shared" si="484"/>
        <v>202720072</v>
      </c>
      <c r="Y572" s="495">
        <f t="shared" si="484"/>
        <v>820643639</v>
      </c>
      <c r="Z572" s="495">
        <f t="shared" si="484"/>
        <v>1004045699</v>
      </c>
      <c r="AA572" s="495">
        <f t="shared" si="484"/>
        <v>2960757901</v>
      </c>
      <c r="AB572" s="495">
        <f t="shared" ref="AB572:AC572" si="485">SUM(AB573:AB576)</f>
        <v>13026569635</v>
      </c>
      <c r="AC572" s="495">
        <f t="shared" si="485"/>
        <v>13325022410</v>
      </c>
      <c r="AD572" s="495">
        <f t="shared" ref="AD572:AE572" si="486">SUM(AD573:AD576)</f>
        <v>14204698408</v>
      </c>
      <c r="AE572" s="495">
        <f t="shared" si="486"/>
        <v>16068861485</v>
      </c>
      <c r="AF572" s="495">
        <f t="shared" ref="AF572:AG572" si="487">SUM(AF573:AF576)</f>
        <v>4750155736</v>
      </c>
      <c r="AG572" s="495">
        <f t="shared" si="487"/>
        <v>4786898951</v>
      </c>
      <c r="AH572" s="495">
        <f t="shared" ref="AH572" si="488">SUM(AH573:AH576)</f>
        <v>13088269621</v>
      </c>
    </row>
    <row r="573" spans="1:34" outlineLevel="1">
      <c r="B573" s="34" t="s">
        <v>479</v>
      </c>
      <c r="C573" s="34" t="s">
        <v>479</v>
      </c>
      <c r="D573" s="495">
        <f t="shared" ref="D573:S573" si="489">SUM(D$317)</f>
        <v>0</v>
      </c>
      <c r="E573" s="495">
        <f t="shared" si="489"/>
        <v>0</v>
      </c>
      <c r="F573" s="495">
        <f t="shared" si="489"/>
        <v>0</v>
      </c>
      <c r="G573" s="495">
        <f t="shared" si="489"/>
        <v>3681796088</v>
      </c>
      <c r="H573" s="495">
        <f t="shared" si="489"/>
        <v>3681796088</v>
      </c>
      <c r="I573" s="495">
        <f t="shared" si="489"/>
        <v>0</v>
      </c>
      <c r="J573" s="495">
        <f t="shared" si="489"/>
        <v>0</v>
      </c>
      <c r="K573" s="495">
        <f t="shared" si="489"/>
        <v>0</v>
      </c>
      <c r="L573" s="495">
        <f t="shared" si="489"/>
        <v>0</v>
      </c>
      <c r="M573" s="495">
        <f t="shared" si="489"/>
        <v>0</v>
      </c>
      <c r="N573" s="495">
        <f t="shared" si="489"/>
        <v>0</v>
      </c>
      <c r="O573" s="495">
        <f t="shared" si="489"/>
        <v>0</v>
      </c>
      <c r="P573" s="495">
        <f t="shared" si="489"/>
        <v>0</v>
      </c>
      <c r="Q573" s="495">
        <f t="shared" si="489"/>
        <v>0</v>
      </c>
      <c r="R573" s="495">
        <f t="shared" si="489"/>
        <v>0</v>
      </c>
      <c r="S573" s="495">
        <f t="shared" si="489"/>
        <v>0</v>
      </c>
      <c r="T573" s="495">
        <f t="shared" ref="T573:AH573" si="490">SUM(T$317)</f>
        <v>179561449</v>
      </c>
      <c r="U573" s="495">
        <f t="shared" si="490"/>
        <v>191561449</v>
      </c>
      <c r="V573" s="495">
        <f t="shared" si="490"/>
        <v>284708480</v>
      </c>
      <c r="W573" s="495">
        <f t="shared" si="490"/>
        <v>284708480</v>
      </c>
      <c r="X573" s="495">
        <f t="shared" si="490"/>
        <v>80050568</v>
      </c>
      <c r="Y573" s="495">
        <f t="shared" si="490"/>
        <v>562501798</v>
      </c>
      <c r="Z573" s="495">
        <f t="shared" si="490"/>
        <v>667009728</v>
      </c>
      <c r="AA573" s="495">
        <f t="shared" si="490"/>
        <v>667009728</v>
      </c>
      <c r="AB573" s="495">
        <f t="shared" si="490"/>
        <v>0</v>
      </c>
      <c r="AC573" s="495">
        <f t="shared" si="490"/>
        <v>0</v>
      </c>
      <c r="AD573" s="495">
        <f t="shared" si="490"/>
        <v>0</v>
      </c>
      <c r="AE573" s="495">
        <f t="shared" si="490"/>
        <v>0</v>
      </c>
      <c r="AF573" s="495">
        <f t="shared" si="490"/>
        <v>0</v>
      </c>
      <c r="AG573" s="495">
        <f t="shared" si="490"/>
        <v>0</v>
      </c>
      <c r="AH573" s="495">
        <f t="shared" si="490"/>
        <v>0</v>
      </c>
    </row>
    <row r="574" spans="1:34" outlineLevel="1">
      <c r="B574" s="34" t="s">
        <v>22</v>
      </c>
      <c r="C574" s="34" t="s">
        <v>22</v>
      </c>
      <c r="D574" s="495">
        <f t="shared" ref="D574:S574" si="491">SUM(D$319)</f>
        <v>2478719244</v>
      </c>
      <c r="E574" s="495">
        <f t="shared" si="491"/>
        <v>16635230194</v>
      </c>
      <c r="F574" s="495">
        <f t="shared" si="491"/>
        <v>0</v>
      </c>
      <c r="G574" s="495">
        <f t="shared" si="491"/>
        <v>2417946300</v>
      </c>
      <c r="H574" s="495">
        <f t="shared" si="491"/>
        <v>3667999907</v>
      </c>
      <c r="I574" s="495">
        <f t="shared" si="491"/>
        <v>41416615</v>
      </c>
      <c r="J574" s="495">
        <f t="shared" si="491"/>
        <v>72194741</v>
      </c>
      <c r="K574" s="495">
        <f t="shared" si="491"/>
        <v>16183906001</v>
      </c>
      <c r="L574" s="495">
        <f t="shared" si="491"/>
        <v>2067142860</v>
      </c>
      <c r="M574" s="495">
        <f t="shared" si="491"/>
        <v>2401152326</v>
      </c>
      <c r="N574" s="495">
        <f t="shared" si="491"/>
        <v>2130637826</v>
      </c>
      <c r="O574" s="495">
        <f t="shared" si="491"/>
        <v>3721999871</v>
      </c>
      <c r="P574" s="495">
        <f t="shared" si="491"/>
        <v>0</v>
      </c>
      <c r="Q574" s="495">
        <f t="shared" si="491"/>
        <v>0</v>
      </c>
      <c r="R574" s="495">
        <f t="shared" si="491"/>
        <v>0</v>
      </c>
      <c r="S574" s="495">
        <f t="shared" si="491"/>
        <v>0</v>
      </c>
      <c r="T574" s="495">
        <f t="shared" ref="T574:AH574" si="492">SUM(T$319)</f>
        <v>0</v>
      </c>
      <c r="U574" s="495">
        <f t="shared" si="492"/>
        <v>0</v>
      </c>
      <c r="V574" s="495">
        <f t="shared" si="492"/>
        <v>0</v>
      </c>
      <c r="W574" s="495">
        <f t="shared" si="492"/>
        <v>0</v>
      </c>
      <c r="X574" s="495">
        <f t="shared" si="492"/>
        <v>0</v>
      </c>
      <c r="Y574" s="495">
        <f t="shared" si="492"/>
        <v>0</v>
      </c>
      <c r="Z574" s="495">
        <f t="shared" si="492"/>
        <v>0</v>
      </c>
      <c r="AA574" s="495">
        <f t="shared" si="492"/>
        <v>0</v>
      </c>
      <c r="AB574" s="495">
        <f t="shared" si="492"/>
        <v>3152050915</v>
      </c>
      <c r="AC574" s="495">
        <f t="shared" si="492"/>
        <v>3137522422</v>
      </c>
      <c r="AD574" s="495">
        <f t="shared" si="492"/>
        <v>3747181105</v>
      </c>
      <c r="AE574" s="495">
        <f t="shared" si="492"/>
        <v>4728450651</v>
      </c>
      <c r="AF574" s="495">
        <f t="shared" si="492"/>
        <v>2299101429</v>
      </c>
      <c r="AG574" s="495">
        <f t="shared" si="492"/>
        <v>1498764823</v>
      </c>
      <c r="AH574" s="495">
        <f t="shared" si="492"/>
        <v>5414080443</v>
      </c>
    </row>
    <row r="575" spans="1:34" outlineLevel="1">
      <c r="B575" s="34" t="s">
        <v>873</v>
      </c>
      <c r="C575" s="34" t="s">
        <v>873</v>
      </c>
      <c r="D575" s="495">
        <f t="shared" ref="D575:S575" si="493">SUM(D$375)</f>
        <v>195726545</v>
      </c>
      <c r="E575" s="495">
        <f t="shared" si="493"/>
        <v>216291083</v>
      </c>
      <c r="F575" s="495">
        <f t="shared" si="493"/>
        <v>0</v>
      </c>
      <c r="G575" s="495">
        <f t="shared" si="493"/>
        <v>125839099</v>
      </c>
      <c r="H575" s="495">
        <f t="shared" si="493"/>
        <v>177985576</v>
      </c>
      <c r="I575" s="495">
        <f t="shared" si="493"/>
        <v>10380655</v>
      </c>
      <c r="J575" s="495">
        <f t="shared" si="493"/>
        <v>21426638</v>
      </c>
      <c r="K575" s="495">
        <f t="shared" si="493"/>
        <v>31924012</v>
      </c>
      <c r="L575" s="495">
        <f t="shared" si="493"/>
        <v>298276433</v>
      </c>
      <c r="M575" s="495">
        <f t="shared" si="493"/>
        <v>268776549</v>
      </c>
      <c r="N575" s="495">
        <f t="shared" si="493"/>
        <v>263416866</v>
      </c>
      <c r="O575" s="495">
        <f t="shared" si="493"/>
        <v>283208523</v>
      </c>
      <c r="P575" s="495">
        <f t="shared" si="493"/>
        <v>1465496858</v>
      </c>
      <c r="Q575" s="495">
        <f t="shared" si="493"/>
        <v>1511469558</v>
      </c>
      <c r="R575" s="495">
        <f t="shared" si="493"/>
        <v>2790232469</v>
      </c>
      <c r="S575" s="495">
        <f t="shared" si="493"/>
        <v>4459744046</v>
      </c>
      <c r="T575" s="495">
        <f t="shared" ref="T575:AH575" si="494">SUM(T$375)</f>
        <v>29936805</v>
      </c>
      <c r="U575" s="495">
        <f t="shared" si="494"/>
        <v>71555921</v>
      </c>
      <c r="V575" s="495">
        <f t="shared" si="494"/>
        <v>556053428</v>
      </c>
      <c r="W575" s="495">
        <f t="shared" si="494"/>
        <v>526258333</v>
      </c>
      <c r="X575" s="495">
        <f t="shared" si="494"/>
        <v>122669504</v>
      </c>
      <c r="Y575" s="495">
        <f t="shared" si="494"/>
        <v>258141841</v>
      </c>
      <c r="Z575" s="495">
        <f t="shared" si="494"/>
        <v>337035971</v>
      </c>
      <c r="AA575" s="495">
        <f t="shared" si="494"/>
        <v>2293748173</v>
      </c>
      <c r="AB575" s="495">
        <f t="shared" si="494"/>
        <v>9874518720</v>
      </c>
      <c r="AC575" s="495">
        <f t="shared" si="494"/>
        <v>10187499988</v>
      </c>
      <c r="AD575" s="495">
        <f t="shared" si="494"/>
        <v>10457517303</v>
      </c>
      <c r="AE575" s="495">
        <f t="shared" si="494"/>
        <v>11233270834</v>
      </c>
      <c r="AF575" s="495">
        <f t="shared" si="494"/>
        <v>2451054307</v>
      </c>
      <c r="AG575" s="495">
        <f t="shared" si="494"/>
        <v>2555771821</v>
      </c>
      <c r="AH575" s="495">
        <f t="shared" si="494"/>
        <v>7237568738</v>
      </c>
    </row>
    <row r="576" spans="1:34" outlineLevel="1">
      <c r="B576" s="34" t="s">
        <v>4</v>
      </c>
      <c r="C576" s="34" t="s">
        <v>4</v>
      </c>
      <c r="D576" s="495">
        <f t="shared" ref="D576:S576" si="495">SUM(D$318,D$320)</f>
        <v>0</v>
      </c>
      <c r="E576" s="495">
        <f t="shared" si="495"/>
        <v>0</v>
      </c>
      <c r="F576" s="495">
        <f t="shared" si="495"/>
        <v>0</v>
      </c>
      <c r="G576" s="495">
        <f t="shared" si="495"/>
        <v>0</v>
      </c>
      <c r="H576" s="495">
        <f t="shared" si="495"/>
        <v>0</v>
      </c>
      <c r="I576" s="495">
        <f t="shared" si="495"/>
        <v>0</v>
      </c>
      <c r="J576" s="495">
        <f t="shared" si="495"/>
        <v>0</v>
      </c>
      <c r="K576" s="495">
        <f t="shared" si="495"/>
        <v>0</v>
      </c>
      <c r="L576" s="495">
        <f t="shared" si="495"/>
        <v>0</v>
      </c>
      <c r="M576" s="495">
        <f t="shared" si="495"/>
        <v>0</v>
      </c>
      <c r="N576" s="495">
        <f t="shared" si="495"/>
        <v>0</v>
      </c>
      <c r="O576" s="495">
        <f t="shared" si="495"/>
        <v>0</v>
      </c>
      <c r="P576" s="495">
        <f t="shared" si="495"/>
        <v>0</v>
      </c>
      <c r="Q576" s="495">
        <f t="shared" si="495"/>
        <v>0</v>
      </c>
      <c r="R576" s="495">
        <f t="shared" si="495"/>
        <v>0</v>
      </c>
      <c r="S576" s="495">
        <f t="shared" si="495"/>
        <v>0</v>
      </c>
      <c r="T576" s="495">
        <f t="shared" ref="T576:AH576" si="496">SUM(T$318,T$320)</f>
        <v>0</v>
      </c>
      <c r="U576" s="495">
        <f t="shared" si="496"/>
        <v>0</v>
      </c>
      <c r="V576" s="495">
        <f t="shared" si="496"/>
        <v>0</v>
      </c>
      <c r="W576" s="495">
        <f t="shared" si="496"/>
        <v>0</v>
      </c>
      <c r="X576" s="495">
        <f t="shared" si="496"/>
        <v>0</v>
      </c>
      <c r="Y576" s="495">
        <f t="shared" si="496"/>
        <v>0</v>
      </c>
      <c r="Z576" s="495">
        <f t="shared" si="496"/>
        <v>0</v>
      </c>
      <c r="AA576" s="495">
        <f t="shared" si="496"/>
        <v>0</v>
      </c>
      <c r="AB576" s="495">
        <f t="shared" si="496"/>
        <v>0</v>
      </c>
      <c r="AC576" s="495">
        <f t="shared" si="496"/>
        <v>0</v>
      </c>
      <c r="AD576" s="495">
        <f t="shared" si="496"/>
        <v>0</v>
      </c>
      <c r="AE576" s="495">
        <f t="shared" si="496"/>
        <v>107140000</v>
      </c>
      <c r="AF576" s="495">
        <f t="shared" si="496"/>
        <v>0</v>
      </c>
      <c r="AG576" s="495">
        <f t="shared" si="496"/>
        <v>732362307</v>
      </c>
      <c r="AH576" s="495">
        <f t="shared" si="496"/>
        <v>436620440</v>
      </c>
    </row>
    <row r="577" spans="1:37">
      <c r="A577" s="496" t="s">
        <v>871</v>
      </c>
      <c r="D577" s="497">
        <f t="shared" ref="D577:S577" si="497">D567-D572</f>
        <v>3112472827</v>
      </c>
      <c r="E577" s="497">
        <f t="shared" si="497"/>
        <v>-16847886277</v>
      </c>
      <c r="F577" s="497">
        <f t="shared" si="497"/>
        <v>0</v>
      </c>
      <c r="G577" s="497">
        <f t="shared" si="497"/>
        <v>-5850022767</v>
      </c>
      <c r="H577" s="497">
        <f t="shared" si="497"/>
        <v>-7152222851</v>
      </c>
      <c r="I577" s="497">
        <f t="shared" si="497"/>
        <v>-36769729</v>
      </c>
      <c r="J577" s="497">
        <f t="shared" si="497"/>
        <v>-76575156</v>
      </c>
      <c r="K577" s="497">
        <f t="shared" si="497"/>
        <v>-16198782572</v>
      </c>
      <c r="L577" s="497">
        <f t="shared" si="497"/>
        <v>-2363633337</v>
      </c>
      <c r="M577" s="497">
        <f t="shared" si="497"/>
        <v>-2668142919</v>
      </c>
      <c r="N577" s="497">
        <f t="shared" si="497"/>
        <v>3708511448</v>
      </c>
      <c r="O577" s="497">
        <f t="shared" si="497"/>
        <v>3958556941</v>
      </c>
      <c r="P577" s="497">
        <f t="shared" si="497"/>
        <v>-764988713</v>
      </c>
      <c r="Q577" s="497">
        <f t="shared" si="497"/>
        <v>1120498330</v>
      </c>
      <c r="R577" s="497">
        <f t="shared" si="497"/>
        <v>-158264581</v>
      </c>
      <c r="S577" s="497">
        <f t="shared" si="497"/>
        <v>-1827776158</v>
      </c>
      <c r="T577" s="497">
        <f t="shared" ref="T577:AA577" si="498">T567-T572</f>
        <v>-181298599</v>
      </c>
      <c r="U577" s="497">
        <f t="shared" si="498"/>
        <v>-234914271</v>
      </c>
      <c r="V577" s="497">
        <f t="shared" si="498"/>
        <v>-685452524</v>
      </c>
      <c r="W577" s="497">
        <f t="shared" si="498"/>
        <v>-602406242</v>
      </c>
      <c r="X577" s="497">
        <f t="shared" si="498"/>
        <v>-47322353</v>
      </c>
      <c r="Y577" s="497">
        <f t="shared" si="498"/>
        <v>-657836686</v>
      </c>
      <c r="Z577" s="497">
        <f t="shared" si="498"/>
        <v>-279191289</v>
      </c>
      <c r="AA577" s="497">
        <f t="shared" si="498"/>
        <v>-2235903491</v>
      </c>
      <c r="AB577" s="497">
        <f t="shared" ref="AB577:AC577" si="499">AB567-AB572</f>
        <v>-13026569635</v>
      </c>
      <c r="AC577" s="497">
        <f t="shared" si="499"/>
        <v>-12383322410</v>
      </c>
      <c r="AD577" s="497">
        <f t="shared" ref="AD577:AE577" si="500">AD567-AD572</f>
        <v>-13763029633</v>
      </c>
      <c r="AE577" s="497">
        <f t="shared" si="500"/>
        <v>-13470097572</v>
      </c>
      <c r="AF577" s="497">
        <f t="shared" ref="AF577" si="501">AF567-AF572</f>
        <v>-3771628425</v>
      </c>
      <c r="AG577" s="497">
        <f>AG567-AG572</f>
        <v>-3669156560</v>
      </c>
      <c r="AH577" s="497">
        <f>AH567-AH572</f>
        <v>-11392603608</v>
      </c>
    </row>
    <row r="578" spans="1:37">
      <c r="A578" s="496"/>
      <c r="D578" s="497"/>
      <c r="E578" s="497"/>
      <c r="F578" s="497"/>
      <c r="G578" s="497"/>
      <c r="H578" s="497"/>
      <c r="I578" s="497"/>
      <c r="J578" s="497"/>
      <c r="K578" s="497"/>
      <c r="L578" s="497"/>
      <c r="M578" s="497"/>
      <c r="N578" s="497"/>
      <c r="O578" s="497"/>
      <c r="P578" s="497"/>
      <c r="Q578" s="497"/>
      <c r="R578" s="497"/>
      <c r="S578" s="497"/>
      <c r="T578" s="497"/>
      <c r="U578" s="497"/>
      <c r="V578" s="497"/>
      <c r="W578" s="497"/>
      <c r="X578" s="497"/>
      <c r="Y578" s="497"/>
      <c r="Z578" s="497"/>
      <c r="AA578" s="497"/>
      <c r="AB578" s="497"/>
      <c r="AC578" s="497"/>
      <c r="AD578" s="497"/>
      <c r="AE578" s="497"/>
      <c r="AF578" s="497"/>
      <c r="AG578" s="497"/>
      <c r="AH578" s="497"/>
    </row>
    <row r="580" spans="1:37" s="494" customFormat="1">
      <c r="A580" s="490" t="s">
        <v>2171</v>
      </c>
      <c r="B580" s="491"/>
      <c r="C580" s="491"/>
      <c r="D580" s="492"/>
      <c r="E580" s="492"/>
      <c r="F580" s="493"/>
      <c r="G580" s="493"/>
      <c r="H580" s="493"/>
      <c r="I580" s="493"/>
      <c r="J580" s="493"/>
      <c r="K580" s="493"/>
      <c r="L580" s="493"/>
      <c r="M580" s="493"/>
      <c r="N580" s="493"/>
      <c r="O580" s="493"/>
      <c r="P580" s="493"/>
      <c r="Q580" s="493"/>
      <c r="R580" s="493"/>
      <c r="S580" s="493"/>
      <c r="T580" s="493"/>
      <c r="U580" s="493"/>
      <c r="V580" s="493"/>
      <c r="W580" s="493"/>
      <c r="X580" s="493"/>
      <c r="Y580" s="493"/>
      <c r="Z580" s="493"/>
      <c r="AA580" s="493"/>
      <c r="AB580" s="493"/>
      <c r="AC580" s="493"/>
      <c r="AD580" s="493"/>
      <c r="AE580" s="493"/>
      <c r="AF580" s="493"/>
      <c r="AG580" s="493"/>
      <c r="AH580" s="493"/>
    </row>
    <row r="581" spans="1:37">
      <c r="D581" s="58"/>
      <c r="E581" s="58"/>
      <c r="F581" s="58"/>
      <c r="G581" s="58"/>
      <c r="H581" s="58"/>
      <c r="J581" s="58"/>
      <c r="K581" s="58"/>
    </row>
    <row r="582" spans="1:37">
      <c r="A582" s="496" t="s">
        <v>2172</v>
      </c>
      <c r="D582" s="1266">
        <f t="shared" ref="D582:AE582" si="502">D583-D587</f>
        <v>271818730827</v>
      </c>
      <c r="E582" s="1266">
        <f t="shared" si="502"/>
        <v>46156618884</v>
      </c>
      <c r="F582" s="1266">
        <f t="shared" si="502"/>
        <v>0</v>
      </c>
      <c r="G582" s="1266">
        <f t="shared" si="502"/>
        <v>149127609421</v>
      </c>
      <c r="H582" s="1266">
        <f t="shared" si="502"/>
        <v>193014590182</v>
      </c>
      <c r="I582" s="1266">
        <f t="shared" si="502"/>
        <v>51109438156</v>
      </c>
      <c r="J582" s="1266">
        <f t="shared" si="502"/>
        <v>96027692010</v>
      </c>
      <c r="K582" s="1266">
        <f t="shared" si="502"/>
        <v>134750673555</v>
      </c>
      <c r="L582" s="1266">
        <f t="shared" si="502"/>
        <v>42833940009</v>
      </c>
      <c r="M582" s="1266">
        <f t="shared" si="502"/>
        <v>82191650521</v>
      </c>
      <c r="N582" s="1266">
        <f t="shared" si="502"/>
        <v>127738166308</v>
      </c>
      <c r="O582" s="1266">
        <f t="shared" si="502"/>
        <v>169867675167</v>
      </c>
      <c r="P582" s="1266">
        <f t="shared" si="502"/>
        <v>48944101435</v>
      </c>
      <c r="Q582" s="1266">
        <f t="shared" si="502"/>
        <v>115585559740</v>
      </c>
      <c r="R582" s="1266">
        <f t="shared" si="502"/>
        <v>172537340049</v>
      </c>
      <c r="S582" s="1266">
        <f t="shared" si="502"/>
        <v>213498776718</v>
      </c>
      <c r="T582" s="1266">
        <f t="shared" si="502"/>
        <v>40278608613</v>
      </c>
      <c r="U582" s="1266">
        <f t="shared" si="502"/>
        <v>81888859825</v>
      </c>
      <c r="V582" s="1266">
        <f t="shared" si="502"/>
        <v>121851928591</v>
      </c>
      <c r="W582" s="1266">
        <f t="shared" si="502"/>
        <v>154053389774</v>
      </c>
      <c r="X582" s="1266">
        <f t="shared" si="502"/>
        <v>32929427640</v>
      </c>
      <c r="Y582" s="1266">
        <f t="shared" si="502"/>
        <v>74453853588</v>
      </c>
      <c r="Z582" s="1266">
        <f t="shared" si="502"/>
        <v>115185610074</v>
      </c>
      <c r="AA582" s="1266">
        <f t="shared" si="502"/>
        <v>160612296469</v>
      </c>
      <c r="AB582" s="1266">
        <f t="shared" si="502"/>
        <v>60289080721</v>
      </c>
      <c r="AC582" s="1266">
        <f t="shared" si="502"/>
        <v>109063161071</v>
      </c>
      <c r="AD582" s="1266">
        <f t="shared" si="502"/>
        <v>138830949281</v>
      </c>
      <c r="AE582" s="1266">
        <f t="shared" si="502"/>
        <v>169001338835</v>
      </c>
      <c r="AF582" s="1266">
        <f t="shared" ref="AF582:AG582" si="503">AF583-AF587</f>
        <v>32307317977</v>
      </c>
      <c r="AG582" s="1266">
        <f t="shared" si="503"/>
        <v>58528174641</v>
      </c>
      <c r="AH582" s="1266">
        <f t="shared" ref="AH582" si="504">AH583-AH587</f>
        <v>86955620404</v>
      </c>
      <c r="AJ582" s="1489"/>
      <c r="AK582" s="1489"/>
    </row>
    <row r="583" spans="1:37">
      <c r="B583" s="34" t="s">
        <v>2173</v>
      </c>
      <c r="C583" s="34" t="s">
        <v>2173</v>
      </c>
      <c r="D583" s="1266">
        <f t="shared" ref="D583:AE583" si="505">SUM(D584:D586)</f>
        <v>334028603752</v>
      </c>
      <c r="E583" s="1266">
        <f t="shared" si="505"/>
        <v>60803942416</v>
      </c>
      <c r="F583" s="1266">
        <f t="shared" si="505"/>
        <v>0</v>
      </c>
      <c r="G583" s="1266">
        <f t="shared" si="505"/>
        <v>193143054415</v>
      </c>
      <c r="H583" s="1266">
        <f t="shared" si="505"/>
        <v>250966533779</v>
      </c>
      <c r="I583" s="1266">
        <f t="shared" si="505"/>
        <v>68807432632</v>
      </c>
      <c r="J583" s="1266">
        <f t="shared" si="505"/>
        <v>129027130562</v>
      </c>
      <c r="K583" s="1266">
        <f t="shared" si="505"/>
        <v>183291849778</v>
      </c>
      <c r="L583" s="1266">
        <f t="shared" si="505"/>
        <v>58524246378</v>
      </c>
      <c r="M583" s="1266">
        <f t="shared" si="505"/>
        <v>112721485583</v>
      </c>
      <c r="N583" s="1266">
        <f t="shared" si="505"/>
        <v>173881480439</v>
      </c>
      <c r="O583" s="1266">
        <f t="shared" si="505"/>
        <v>232936318027</v>
      </c>
      <c r="P583" s="1266">
        <f t="shared" si="505"/>
        <v>65929100295</v>
      </c>
      <c r="Q583" s="1266">
        <f t="shared" si="505"/>
        <v>154526846732</v>
      </c>
      <c r="R583" s="1266">
        <f t="shared" si="505"/>
        <v>235881337839</v>
      </c>
      <c r="S583" s="1266">
        <f t="shared" si="505"/>
        <v>298258827302</v>
      </c>
      <c r="T583" s="1266">
        <f t="shared" si="505"/>
        <v>66168416250</v>
      </c>
      <c r="U583" s="1266">
        <f t="shared" si="505"/>
        <v>132465776708</v>
      </c>
      <c r="V583" s="1266">
        <f t="shared" si="505"/>
        <v>196530821514</v>
      </c>
      <c r="W583" s="1266">
        <f t="shared" si="505"/>
        <v>251658161435</v>
      </c>
      <c r="X583" s="1266">
        <f t="shared" si="505"/>
        <v>54780711513</v>
      </c>
      <c r="Y583" s="1266">
        <f t="shared" si="505"/>
        <v>120572662262</v>
      </c>
      <c r="Z583" s="1266">
        <f t="shared" si="505"/>
        <v>185784869716</v>
      </c>
      <c r="AA583" s="1266">
        <f t="shared" si="505"/>
        <v>259755960731</v>
      </c>
      <c r="AB583" s="1266">
        <f t="shared" si="505"/>
        <v>92404290827</v>
      </c>
      <c r="AC583" s="1266">
        <f t="shared" si="505"/>
        <v>170960210548</v>
      </c>
      <c r="AD583" s="1266">
        <f t="shared" si="505"/>
        <v>229894373131</v>
      </c>
      <c r="AE583" s="1266">
        <f t="shared" si="505"/>
        <v>290765589044</v>
      </c>
      <c r="AF583" s="1266">
        <f t="shared" ref="AF583:AG583" si="506">SUM(AF584:AF586)</f>
        <v>61666336751</v>
      </c>
      <c r="AG583" s="1266">
        <f t="shared" si="506"/>
        <v>120387304127</v>
      </c>
      <c r="AH583" s="1266">
        <f t="shared" ref="AH583" si="507">SUM(AH584:AH586)</f>
        <v>177586362239</v>
      </c>
    </row>
    <row r="584" spans="1:37">
      <c r="B584" s="34" t="s">
        <v>2174</v>
      </c>
      <c r="C584" s="34" t="s">
        <v>2174</v>
      </c>
      <c r="D584" s="1267">
        <f t="shared" ref="D584:AA584" si="508">D19</f>
        <v>333998682604</v>
      </c>
      <c r="E584" s="1267">
        <f t="shared" si="508"/>
        <v>60789660487</v>
      </c>
      <c r="F584" s="1267">
        <f t="shared" si="508"/>
        <v>0</v>
      </c>
      <c r="G584" s="1267">
        <f t="shared" si="508"/>
        <v>193093527508</v>
      </c>
      <c r="H584" s="1267">
        <f t="shared" si="508"/>
        <v>250902953769</v>
      </c>
      <c r="I584" s="1267">
        <f t="shared" si="508"/>
        <v>68795418295</v>
      </c>
      <c r="J584" s="1267">
        <f t="shared" si="508"/>
        <v>129007347485</v>
      </c>
      <c r="K584" s="1267">
        <f t="shared" si="508"/>
        <v>183262698546</v>
      </c>
      <c r="L584" s="1267">
        <f t="shared" si="508"/>
        <v>58514979278</v>
      </c>
      <c r="M584" s="1267">
        <f t="shared" si="508"/>
        <v>112704448785</v>
      </c>
      <c r="N584" s="1267">
        <f t="shared" si="508"/>
        <v>173858078841</v>
      </c>
      <c r="O584" s="1267">
        <f t="shared" si="508"/>
        <v>232910594031</v>
      </c>
      <c r="P584" s="1267">
        <f t="shared" si="508"/>
        <v>65926719142</v>
      </c>
      <c r="Q584" s="1267">
        <f t="shared" si="508"/>
        <v>154519404719</v>
      </c>
      <c r="R584" s="1267">
        <f t="shared" si="508"/>
        <v>235870391444</v>
      </c>
      <c r="S584" s="1267">
        <f t="shared" si="508"/>
        <v>298245107059</v>
      </c>
      <c r="T584" s="1267">
        <f t="shared" si="508"/>
        <v>66165809804</v>
      </c>
      <c r="U584" s="1267">
        <f t="shared" si="508"/>
        <v>132460279041</v>
      </c>
      <c r="V584" s="1267">
        <f t="shared" si="508"/>
        <v>196522422961</v>
      </c>
      <c r="W584" s="1267">
        <f t="shared" si="508"/>
        <v>251648497235</v>
      </c>
      <c r="X584" s="1267">
        <f t="shared" si="508"/>
        <v>54780711432</v>
      </c>
      <c r="Y584" s="1267">
        <f t="shared" si="508"/>
        <v>120572662181</v>
      </c>
      <c r="Z584" s="1267">
        <f t="shared" si="508"/>
        <v>185784869635</v>
      </c>
      <c r="AA584" s="1267">
        <f t="shared" si="508"/>
        <v>259755960650</v>
      </c>
      <c r="AB584" s="1267">
        <f t="shared" ref="AB584:AC584" si="509">AB19</f>
        <v>92404290827</v>
      </c>
      <c r="AC584" s="1267">
        <f t="shared" si="509"/>
        <v>170960210548</v>
      </c>
      <c r="AD584" s="1267">
        <f t="shared" ref="AD584:AE584" si="510">AD19</f>
        <v>229894373131</v>
      </c>
      <c r="AE584" s="1267">
        <f t="shared" si="510"/>
        <v>290765589044</v>
      </c>
      <c r="AF584" s="1267">
        <f t="shared" ref="AF584:AG584" si="511">AF19</f>
        <v>61666336751</v>
      </c>
      <c r="AG584" s="1267">
        <f t="shared" si="511"/>
        <v>120387304127</v>
      </c>
      <c r="AH584" s="1267">
        <f t="shared" ref="AH584" si="512">AH19</f>
        <v>177586362239</v>
      </c>
      <c r="AJ584" s="1489"/>
    </row>
    <row r="585" spans="1:37" ht="11.25" customHeight="1">
      <c r="B585" s="34" t="s">
        <v>2175</v>
      </c>
      <c r="C585" s="34" t="s">
        <v>2175</v>
      </c>
      <c r="D585" s="1267">
        <f t="shared" ref="D585:AA585" si="513">D70</f>
        <v>0</v>
      </c>
      <c r="E585" s="1267">
        <f t="shared" si="513"/>
        <v>0</v>
      </c>
      <c r="F585" s="1267">
        <f t="shared" si="513"/>
        <v>0</v>
      </c>
      <c r="G585" s="1267">
        <f t="shared" si="513"/>
        <v>0</v>
      </c>
      <c r="H585" s="1267">
        <f t="shared" si="513"/>
        <v>0</v>
      </c>
      <c r="I585" s="1267">
        <f t="shared" si="513"/>
        <v>0</v>
      </c>
      <c r="J585" s="1267">
        <f t="shared" si="513"/>
        <v>0</v>
      </c>
      <c r="K585" s="1267">
        <f t="shared" si="513"/>
        <v>0</v>
      </c>
      <c r="L585" s="1267">
        <f t="shared" si="513"/>
        <v>0</v>
      </c>
      <c r="M585" s="1267">
        <f t="shared" si="513"/>
        <v>0</v>
      </c>
      <c r="N585" s="1267">
        <f t="shared" si="513"/>
        <v>0</v>
      </c>
      <c r="O585" s="1267">
        <f t="shared" si="513"/>
        <v>0</v>
      </c>
      <c r="P585" s="1267">
        <f t="shared" si="513"/>
        <v>0</v>
      </c>
      <c r="Q585" s="1267">
        <f t="shared" si="513"/>
        <v>0</v>
      </c>
      <c r="R585" s="1267">
        <f t="shared" si="513"/>
        <v>0</v>
      </c>
      <c r="S585" s="1267">
        <f t="shared" si="513"/>
        <v>0</v>
      </c>
      <c r="T585" s="1267">
        <f t="shared" si="513"/>
        <v>0</v>
      </c>
      <c r="U585" s="1267">
        <f t="shared" si="513"/>
        <v>0</v>
      </c>
      <c r="V585" s="1267">
        <f t="shared" si="513"/>
        <v>0</v>
      </c>
      <c r="W585" s="1267">
        <f t="shared" si="513"/>
        <v>0</v>
      </c>
      <c r="X585" s="1267">
        <f t="shared" si="513"/>
        <v>0</v>
      </c>
      <c r="Y585" s="1267">
        <f t="shared" si="513"/>
        <v>0</v>
      </c>
      <c r="Z585" s="1267">
        <f t="shared" si="513"/>
        <v>0</v>
      </c>
      <c r="AA585" s="1267">
        <f t="shared" si="513"/>
        <v>0</v>
      </c>
      <c r="AB585" s="1267">
        <f t="shared" ref="AB585:AC585" si="514">AB70</f>
        <v>0</v>
      </c>
      <c r="AC585" s="1267">
        <f t="shared" si="514"/>
        <v>0</v>
      </c>
      <c r="AD585" s="1267">
        <f t="shared" ref="AD585:AE585" si="515">AD70</f>
        <v>0</v>
      </c>
      <c r="AE585" s="1267">
        <f t="shared" si="515"/>
        <v>0</v>
      </c>
      <c r="AF585" s="1267">
        <f t="shared" ref="AF585:AG585" si="516">AF70</f>
        <v>0</v>
      </c>
      <c r="AG585" s="1267">
        <f t="shared" si="516"/>
        <v>0</v>
      </c>
      <c r="AH585" s="1267">
        <f t="shared" ref="AH585" si="517">AH70</f>
        <v>0</v>
      </c>
    </row>
    <row r="586" spans="1:37">
      <c r="B586" s="34" t="s">
        <v>2179</v>
      </c>
      <c r="C586" s="34" t="s">
        <v>2179</v>
      </c>
      <c r="D586" s="1267">
        <f t="shared" ref="D586:AE586" si="518">D153</f>
        <v>29921148</v>
      </c>
      <c r="E586" s="1267">
        <f t="shared" si="518"/>
        <v>14281929</v>
      </c>
      <c r="F586" s="1267">
        <f t="shared" si="518"/>
        <v>0</v>
      </c>
      <c r="G586" s="1267">
        <f t="shared" si="518"/>
        <v>49526907</v>
      </c>
      <c r="H586" s="1267">
        <f t="shared" si="518"/>
        <v>63580010</v>
      </c>
      <c r="I586" s="1267">
        <f t="shared" si="518"/>
        <v>12014337</v>
      </c>
      <c r="J586" s="1267">
        <f t="shared" si="518"/>
        <v>19783077</v>
      </c>
      <c r="K586" s="1267">
        <f t="shared" si="518"/>
        <v>29151232</v>
      </c>
      <c r="L586" s="1267">
        <f t="shared" si="518"/>
        <v>9267100</v>
      </c>
      <c r="M586" s="1267">
        <f t="shared" si="518"/>
        <v>17036798</v>
      </c>
      <c r="N586" s="1267">
        <f t="shared" si="518"/>
        <v>23401598</v>
      </c>
      <c r="O586" s="1267">
        <f t="shared" si="518"/>
        <v>25723996</v>
      </c>
      <c r="P586" s="1267">
        <f t="shared" si="518"/>
        <v>2381153</v>
      </c>
      <c r="Q586" s="1267">
        <f t="shared" si="518"/>
        <v>7442013</v>
      </c>
      <c r="R586" s="1267">
        <f t="shared" si="518"/>
        <v>10946395</v>
      </c>
      <c r="S586" s="1267">
        <f t="shared" si="518"/>
        <v>13720243</v>
      </c>
      <c r="T586" s="1267">
        <f t="shared" si="518"/>
        <v>2606446</v>
      </c>
      <c r="U586" s="1267">
        <f t="shared" si="518"/>
        <v>5497667</v>
      </c>
      <c r="V586" s="1267">
        <f t="shared" si="518"/>
        <v>8398553</v>
      </c>
      <c r="W586" s="1267">
        <f t="shared" si="518"/>
        <v>9664200</v>
      </c>
      <c r="X586" s="1267">
        <f t="shared" si="518"/>
        <v>81</v>
      </c>
      <c r="Y586" s="1267">
        <f t="shared" si="518"/>
        <v>81</v>
      </c>
      <c r="Z586" s="1267">
        <f t="shared" si="518"/>
        <v>81</v>
      </c>
      <c r="AA586" s="1267">
        <f t="shared" si="518"/>
        <v>81</v>
      </c>
      <c r="AB586" s="1267">
        <f t="shared" si="518"/>
        <v>0</v>
      </c>
      <c r="AC586" s="1267">
        <f t="shared" si="518"/>
        <v>0</v>
      </c>
      <c r="AD586" s="1267">
        <f t="shared" si="518"/>
        <v>0</v>
      </c>
      <c r="AE586" s="1267">
        <f t="shared" si="518"/>
        <v>0</v>
      </c>
      <c r="AF586" s="1267">
        <f t="shared" ref="AF586:AG586" si="519">AF153</f>
        <v>0</v>
      </c>
      <c r="AG586" s="1267">
        <f t="shared" si="519"/>
        <v>0</v>
      </c>
      <c r="AH586" s="1267">
        <f t="shared" ref="AH586" si="520">AH153</f>
        <v>0</v>
      </c>
    </row>
    <row r="587" spans="1:37">
      <c r="B587" s="34" t="s">
        <v>2181</v>
      </c>
      <c r="C587" s="34" t="s">
        <v>2466</v>
      </c>
      <c r="D587" s="1266">
        <f t="shared" ref="D587:AD587" si="521">D218</f>
        <v>62209872925</v>
      </c>
      <c r="E587" s="1266">
        <f t="shared" si="521"/>
        <v>14647323532</v>
      </c>
      <c r="F587" s="1266">
        <f t="shared" si="521"/>
        <v>0</v>
      </c>
      <c r="G587" s="1266">
        <f t="shared" si="521"/>
        <v>44015444994</v>
      </c>
      <c r="H587" s="1266">
        <f t="shared" si="521"/>
        <v>57951943597</v>
      </c>
      <c r="I587" s="1266">
        <f t="shared" si="521"/>
        <v>17697994476</v>
      </c>
      <c r="J587" s="1266">
        <f t="shared" si="521"/>
        <v>32999438552</v>
      </c>
      <c r="K587" s="1266">
        <f t="shared" si="521"/>
        <v>48541176223</v>
      </c>
      <c r="L587" s="1266">
        <f t="shared" si="521"/>
        <v>15690306369</v>
      </c>
      <c r="M587" s="1266">
        <f t="shared" si="521"/>
        <v>30529835062</v>
      </c>
      <c r="N587" s="1266">
        <f t="shared" si="521"/>
        <v>46143314131</v>
      </c>
      <c r="O587" s="1266">
        <f t="shared" si="521"/>
        <v>63068642860</v>
      </c>
      <c r="P587" s="1266">
        <f t="shared" si="521"/>
        <v>16984998860</v>
      </c>
      <c r="Q587" s="1266">
        <f t="shared" si="521"/>
        <v>38941286992</v>
      </c>
      <c r="R587" s="1266">
        <f t="shared" si="521"/>
        <v>63343997790</v>
      </c>
      <c r="S587" s="1266">
        <f t="shared" si="521"/>
        <v>84760050584</v>
      </c>
      <c r="T587" s="1266">
        <f t="shared" si="521"/>
        <v>25889807637</v>
      </c>
      <c r="U587" s="1266">
        <f t="shared" si="521"/>
        <v>50576916883</v>
      </c>
      <c r="V587" s="1266">
        <f t="shared" si="521"/>
        <v>74678892923</v>
      </c>
      <c r="W587" s="1266">
        <f t="shared" si="521"/>
        <v>97604771661</v>
      </c>
      <c r="X587" s="1266">
        <f t="shared" si="521"/>
        <v>21851283873</v>
      </c>
      <c r="Y587" s="1266">
        <f t="shared" si="521"/>
        <v>46118808674</v>
      </c>
      <c r="Z587" s="1266">
        <f t="shared" si="521"/>
        <v>70599259642</v>
      </c>
      <c r="AA587" s="1266">
        <f t="shared" si="521"/>
        <v>99143664262</v>
      </c>
      <c r="AB587" s="1266">
        <f t="shared" si="521"/>
        <v>32115210106</v>
      </c>
      <c r="AC587" s="1266">
        <f t="shared" si="521"/>
        <v>61897049477</v>
      </c>
      <c r="AD587" s="1266">
        <f t="shared" si="521"/>
        <v>91063423850</v>
      </c>
      <c r="AE587" s="1266">
        <f t="shared" ref="AE587:AG588" si="522">AE218</f>
        <v>121764250209</v>
      </c>
      <c r="AF587" s="1266">
        <f t="shared" si="522"/>
        <v>29359018774</v>
      </c>
      <c r="AG587" s="1266">
        <f t="shared" si="522"/>
        <v>61859129486</v>
      </c>
      <c r="AH587" s="1266">
        <f t="shared" ref="AH587" si="523">AH218</f>
        <v>90630741835</v>
      </c>
      <c r="AJ587" s="3" t="s">
        <v>2467</v>
      </c>
    </row>
    <row r="588" spans="1:37">
      <c r="B588" s="34" t="s">
        <v>2182</v>
      </c>
      <c r="C588" s="34" t="s">
        <v>2182</v>
      </c>
      <c r="D588" s="1267">
        <f t="shared" ref="D588:AD588" si="524">D219</f>
        <v>27747322350</v>
      </c>
      <c r="E588" s="1267">
        <f t="shared" si="524"/>
        <v>6513487918</v>
      </c>
      <c r="F588" s="1267">
        <f t="shared" si="524"/>
        <v>0</v>
      </c>
      <c r="G588" s="1267">
        <f t="shared" si="524"/>
        <v>19091218659</v>
      </c>
      <c r="H588" s="1267">
        <f t="shared" si="524"/>
        <v>25003020466</v>
      </c>
      <c r="I588" s="1267">
        <f t="shared" si="524"/>
        <v>7812477898</v>
      </c>
      <c r="J588" s="1267">
        <f t="shared" si="524"/>
        <v>14866067786</v>
      </c>
      <c r="K588" s="1267">
        <f t="shared" si="524"/>
        <v>21719649107</v>
      </c>
      <c r="L588" s="1267">
        <f t="shared" si="524"/>
        <v>6944166589</v>
      </c>
      <c r="M588" s="1267">
        <f t="shared" si="524"/>
        <v>12682910883</v>
      </c>
      <c r="N588" s="1267">
        <f t="shared" si="524"/>
        <v>19355747378</v>
      </c>
      <c r="O588" s="1267">
        <f t="shared" si="524"/>
        <v>26777393731</v>
      </c>
      <c r="P588" s="1267">
        <f t="shared" si="524"/>
        <v>7384809253</v>
      </c>
      <c r="Q588" s="1267">
        <f t="shared" si="524"/>
        <v>16237788266</v>
      </c>
      <c r="R588" s="1267">
        <f t="shared" si="524"/>
        <v>27263657062</v>
      </c>
      <c r="S588" s="1267">
        <f t="shared" si="524"/>
        <v>36787555971</v>
      </c>
      <c r="T588" s="1267">
        <f t="shared" si="524"/>
        <v>10742733880</v>
      </c>
      <c r="U588" s="1267">
        <f t="shared" si="524"/>
        <v>20598245403</v>
      </c>
      <c r="V588" s="1267">
        <f t="shared" si="524"/>
        <v>30703211058</v>
      </c>
      <c r="W588" s="1267">
        <f t="shared" si="524"/>
        <v>41039454079</v>
      </c>
      <c r="X588" s="1267">
        <f t="shared" si="524"/>
        <v>9605893064</v>
      </c>
      <c r="Y588" s="1267">
        <f t="shared" si="524"/>
        <v>20483036717</v>
      </c>
      <c r="Z588" s="1267">
        <f t="shared" si="524"/>
        <v>31921789913</v>
      </c>
      <c r="AA588" s="1267">
        <f t="shared" si="524"/>
        <v>44301136112</v>
      </c>
      <c r="AB588" s="1267">
        <f t="shared" si="524"/>
        <v>16143202035</v>
      </c>
      <c r="AC588" s="1267">
        <f t="shared" si="524"/>
        <v>28869506203</v>
      </c>
      <c r="AD588" s="1267">
        <f t="shared" si="524"/>
        <v>40822556112</v>
      </c>
      <c r="AE588" s="1267">
        <f t="shared" si="522"/>
        <v>56586526075</v>
      </c>
      <c r="AF588" s="1267">
        <f t="shared" si="522"/>
        <v>13572194067</v>
      </c>
      <c r="AG588" s="1267">
        <f t="shared" si="522"/>
        <v>27135259041</v>
      </c>
      <c r="AH588" s="1267">
        <f t="shared" ref="AH588" si="525">AH219</f>
        <v>41248399451</v>
      </c>
    </row>
    <row r="589" spans="1:37">
      <c r="B589" s="34" t="s">
        <v>2183</v>
      </c>
      <c r="C589" s="34" t="s">
        <v>2183</v>
      </c>
      <c r="D589" s="1267">
        <f t="shared" ref="D589:AE589" si="526">D222</f>
        <v>0</v>
      </c>
      <c r="E589" s="1267">
        <f t="shared" si="526"/>
        <v>0</v>
      </c>
      <c r="F589" s="1267">
        <f t="shared" si="526"/>
        <v>0</v>
      </c>
      <c r="G589" s="1267">
        <f t="shared" si="526"/>
        <v>0</v>
      </c>
      <c r="H589" s="1267">
        <f t="shared" si="526"/>
        <v>0</v>
      </c>
      <c r="I589" s="1267">
        <f t="shared" si="526"/>
        <v>0</v>
      </c>
      <c r="J589" s="1267">
        <f t="shared" si="526"/>
        <v>0</v>
      </c>
      <c r="K589" s="1267">
        <f t="shared" si="526"/>
        <v>0</v>
      </c>
      <c r="L589" s="1267">
        <f t="shared" si="526"/>
        <v>0</v>
      </c>
      <c r="M589" s="1267">
        <f t="shared" si="526"/>
        <v>0</v>
      </c>
      <c r="N589" s="1267">
        <f t="shared" si="526"/>
        <v>0</v>
      </c>
      <c r="O589" s="1267">
        <f t="shared" si="526"/>
        <v>0</v>
      </c>
      <c r="P589" s="1267">
        <f t="shared" si="526"/>
        <v>0</v>
      </c>
      <c r="Q589" s="1267">
        <f t="shared" si="526"/>
        <v>0</v>
      </c>
      <c r="R589" s="1267">
        <f t="shared" si="526"/>
        <v>0</v>
      </c>
      <c r="S589" s="1267">
        <f t="shared" si="526"/>
        <v>0</v>
      </c>
      <c r="T589" s="1267">
        <f t="shared" si="526"/>
        <v>0</v>
      </c>
      <c r="U589" s="1267">
        <f t="shared" si="526"/>
        <v>0</v>
      </c>
      <c r="V589" s="1267">
        <f t="shared" si="526"/>
        <v>0</v>
      </c>
      <c r="W589" s="1267">
        <f t="shared" si="526"/>
        <v>0</v>
      </c>
      <c r="X589" s="1267">
        <f t="shared" si="526"/>
        <v>0</v>
      </c>
      <c r="Y589" s="1267">
        <f t="shared" si="526"/>
        <v>0</v>
      </c>
      <c r="Z589" s="1267">
        <f t="shared" si="526"/>
        <v>0</v>
      </c>
      <c r="AA589" s="1267">
        <f t="shared" si="526"/>
        <v>0</v>
      </c>
      <c r="AB589" s="1267">
        <f t="shared" si="526"/>
        <v>0</v>
      </c>
      <c r="AC589" s="1267">
        <f t="shared" si="526"/>
        <v>0</v>
      </c>
      <c r="AD589" s="1267">
        <f t="shared" si="526"/>
        <v>0</v>
      </c>
      <c r="AE589" s="1267">
        <f t="shared" si="526"/>
        <v>0</v>
      </c>
      <c r="AF589" s="1267">
        <f t="shared" ref="AF589:AG589" si="527">AF222</f>
        <v>0</v>
      </c>
      <c r="AG589" s="1267">
        <f t="shared" si="527"/>
        <v>0</v>
      </c>
      <c r="AH589" s="1267">
        <f t="shared" ref="AH589" si="528">AH222</f>
        <v>0</v>
      </c>
    </row>
    <row r="590" spans="1:37">
      <c r="B590" s="34" t="s">
        <v>2184</v>
      </c>
      <c r="C590" s="34" t="s">
        <v>2184</v>
      </c>
      <c r="D590" s="1267">
        <f t="shared" ref="D590:AE590" si="529">D226</f>
        <v>0</v>
      </c>
      <c r="E590" s="1267">
        <f t="shared" si="529"/>
        <v>0</v>
      </c>
      <c r="F590" s="1267">
        <f t="shared" si="529"/>
        <v>0</v>
      </c>
      <c r="G590" s="1267">
        <f t="shared" si="529"/>
        <v>0</v>
      </c>
      <c r="H590" s="1267">
        <f t="shared" si="529"/>
        <v>0</v>
      </c>
      <c r="I590" s="1267">
        <f t="shared" si="529"/>
        <v>0</v>
      </c>
      <c r="J590" s="1267">
        <f t="shared" si="529"/>
        <v>56000</v>
      </c>
      <c r="K590" s="1267">
        <f t="shared" si="529"/>
        <v>224000</v>
      </c>
      <c r="L590" s="1267">
        <f t="shared" si="529"/>
        <v>104000</v>
      </c>
      <c r="M590" s="1267">
        <f t="shared" si="529"/>
        <v>368000</v>
      </c>
      <c r="N590" s="1267">
        <f t="shared" si="529"/>
        <v>456000</v>
      </c>
      <c r="O590" s="1267">
        <f t="shared" si="529"/>
        <v>536000</v>
      </c>
      <c r="P590" s="1267">
        <f t="shared" si="529"/>
        <v>56000</v>
      </c>
      <c r="Q590" s="1267">
        <f t="shared" si="529"/>
        <v>184000</v>
      </c>
      <c r="R590" s="1267">
        <f t="shared" si="529"/>
        <v>280000</v>
      </c>
      <c r="S590" s="1267">
        <f t="shared" si="529"/>
        <v>344000</v>
      </c>
      <c r="T590" s="1267">
        <f t="shared" si="529"/>
        <v>160000</v>
      </c>
      <c r="U590" s="1267">
        <f t="shared" si="529"/>
        <v>552000</v>
      </c>
      <c r="V590" s="1267">
        <f t="shared" si="529"/>
        <v>664000</v>
      </c>
      <c r="W590" s="1267">
        <f t="shared" si="529"/>
        <v>888000</v>
      </c>
      <c r="X590" s="1267">
        <f t="shared" si="529"/>
        <v>144000</v>
      </c>
      <c r="Y590" s="1267">
        <f t="shared" si="529"/>
        <v>368000</v>
      </c>
      <c r="Z590" s="1267">
        <f t="shared" si="529"/>
        <v>512000</v>
      </c>
      <c r="AA590" s="1267">
        <f t="shared" si="529"/>
        <v>696000</v>
      </c>
      <c r="AB590" s="1267">
        <f t="shared" si="529"/>
        <v>128000</v>
      </c>
      <c r="AC590" s="1267">
        <f t="shared" si="529"/>
        <v>336000</v>
      </c>
      <c r="AD590" s="1267">
        <f t="shared" si="529"/>
        <v>480000</v>
      </c>
      <c r="AE590" s="1267">
        <f t="shared" si="529"/>
        <v>648000</v>
      </c>
      <c r="AF590" s="1267">
        <f t="shared" ref="AF590:AG590" si="530">AF226</f>
        <v>80000</v>
      </c>
      <c r="AG590" s="1267">
        <f t="shared" si="530"/>
        <v>272000</v>
      </c>
      <c r="AH590" s="1267">
        <f t="shared" ref="AH590" si="531">AH226</f>
        <v>344000</v>
      </c>
    </row>
    <row r="591" spans="1:37">
      <c r="B591" s="34" t="s">
        <v>2185</v>
      </c>
      <c r="C591" s="34" t="s">
        <v>2185</v>
      </c>
      <c r="D591" s="1267">
        <f t="shared" ref="D591:AE591" si="532">D304</f>
        <v>12365715</v>
      </c>
      <c r="E591" s="1267">
        <f t="shared" si="532"/>
        <v>7170617</v>
      </c>
      <c r="F591" s="1267">
        <f t="shared" si="532"/>
        <v>0</v>
      </c>
      <c r="G591" s="1267">
        <f t="shared" si="532"/>
        <v>22794028</v>
      </c>
      <c r="H591" s="1267">
        <f t="shared" si="532"/>
        <v>29374761</v>
      </c>
      <c r="I591" s="1267">
        <f t="shared" si="532"/>
        <v>5558582</v>
      </c>
      <c r="J591" s="1267">
        <f t="shared" si="532"/>
        <v>9667139</v>
      </c>
      <c r="K591" s="1267">
        <f t="shared" si="532"/>
        <v>13875390</v>
      </c>
      <c r="L591" s="1267">
        <f t="shared" si="532"/>
        <v>4307521</v>
      </c>
      <c r="M591" s="1267">
        <f t="shared" si="532"/>
        <v>7936779</v>
      </c>
      <c r="N591" s="1267">
        <f t="shared" si="532"/>
        <v>10859526</v>
      </c>
      <c r="O591" s="1267">
        <f t="shared" si="532"/>
        <v>12196485</v>
      </c>
      <c r="P591" s="1267">
        <f t="shared" si="532"/>
        <v>1574933</v>
      </c>
      <c r="Q591" s="1267">
        <f t="shared" si="532"/>
        <v>5071237</v>
      </c>
      <c r="R591" s="1267">
        <f t="shared" si="532"/>
        <v>8105454</v>
      </c>
      <c r="S591" s="1267">
        <f t="shared" si="532"/>
        <v>10669675</v>
      </c>
      <c r="T591" s="1267">
        <f t="shared" si="532"/>
        <v>2647339</v>
      </c>
      <c r="U591" s="1267">
        <f t="shared" si="532"/>
        <v>5744913</v>
      </c>
      <c r="V591" s="1267">
        <f t="shared" si="532"/>
        <v>8981280</v>
      </c>
      <c r="W591" s="1267">
        <f t="shared" si="532"/>
        <v>10067492</v>
      </c>
      <c r="X591" s="1267">
        <f t="shared" si="532"/>
        <v>46</v>
      </c>
      <c r="Y591" s="1267">
        <f t="shared" si="532"/>
        <v>46</v>
      </c>
      <c r="Z591" s="1267">
        <f t="shared" si="532"/>
        <v>46</v>
      </c>
      <c r="AA591" s="1267">
        <f t="shared" si="532"/>
        <v>46</v>
      </c>
      <c r="AB591" s="1267">
        <f t="shared" si="532"/>
        <v>0</v>
      </c>
      <c r="AC591" s="1267">
        <f t="shared" si="532"/>
        <v>0</v>
      </c>
      <c r="AD591" s="1267">
        <f t="shared" si="532"/>
        <v>0</v>
      </c>
      <c r="AE591" s="1267">
        <f t="shared" si="532"/>
        <v>0</v>
      </c>
      <c r="AF591" s="1267">
        <f t="shared" ref="AF591:AG591" si="533">AF304</f>
        <v>0</v>
      </c>
      <c r="AG591" s="1267">
        <f t="shared" si="533"/>
        <v>0</v>
      </c>
      <c r="AH591" s="1267">
        <f t="shared" ref="AH591" si="534">AH304</f>
        <v>0</v>
      </c>
    </row>
    <row r="593" spans="1:34">
      <c r="A593" s="496" t="s">
        <v>2195</v>
      </c>
      <c r="D593" s="1266">
        <f t="shared" ref="D593:Z593" si="535">D594+D599</f>
        <v>120538988187</v>
      </c>
      <c r="E593" s="1266">
        <f t="shared" si="535"/>
        <v>22872564462</v>
      </c>
      <c r="F593" s="1266">
        <f t="shared" si="535"/>
        <v>0</v>
      </c>
      <c r="G593" s="1266">
        <f t="shared" si="535"/>
        <v>67892986227</v>
      </c>
      <c r="H593" s="1266">
        <f t="shared" si="535"/>
        <v>90058112380</v>
      </c>
      <c r="I593" s="1266">
        <f t="shared" si="535"/>
        <v>23151009839</v>
      </c>
      <c r="J593" s="1266">
        <f t="shared" si="535"/>
        <v>43938325292</v>
      </c>
      <c r="K593" s="1266">
        <f t="shared" si="535"/>
        <v>64521910139</v>
      </c>
      <c r="L593" s="1266">
        <f t="shared" si="535"/>
        <v>20371407191</v>
      </c>
      <c r="M593" s="1266">
        <f t="shared" si="535"/>
        <v>41795026327</v>
      </c>
      <c r="N593" s="1266">
        <f t="shared" si="535"/>
        <v>63202490909</v>
      </c>
      <c r="O593" s="1266">
        <f t="shared" si="535"/>
        <v>83056379491</v>
      </c>
      <c r="P593" s="1266">
        <f t="shared" si="535"/>
        <v>21518639351</v>
      </c>
      <c r="Q593" s="1266">
        <f t="shared" si="535"/>
        <v>50839169040</v>
      </c>
      <c r="R593" s="1266">
        <f t="shared" si="535"/>
        <v>76053156638</v>
      </c>
      <c r="S593" s="1266">
        <f t="shared" si="535"/>
        <v>101027298427</v>
      </c>
      <c r="T593" s="1266">
        <f t="shared" si="535"/>
        <v>23715263247</v>
      </c>
      <c r="U593" s="1266">
        <f t="shared" si="535"/>
        <v>51470133936</v>
      </c>
      <c r="V593" s="1266">
        <f t="shared" si="535"/>
        <v>78451581255</v>
      </c>
      <c r="W593" s="1266">
        <f t="shared" si="535"/>
        <v>103154124399</v>
      </c>
      <c r="X593" s="1266">
        <f t="shared" si="535"/>
        <v>27858889819</v>
      </c>
      <c r="Y593" s="1266">
        <f t="shared" si="535"/>
        <v>57150624617</v>
      </c>
      <c r="Z593" s="1266">
        <f t="shared" si="535"/>
        <v>88517339466</v>
      </c>
      <c r="AA593" s="1266">
        <f t="shared" ref="AA593:AF593" si="536">AA594+AA599</f>
        <v>119969167595</v>
      </c>
      <c r="AB593" s="1266">
        <f t="shared" si="536"/>
        <v>34050181958</v>
      </c>
      <c r="AC593" s="1266">
        <f t="shared" si="536"/>
        <v>70020678780</v>
      </c>
      <c r="AD593" s="1266">
        <f t="shared" si="536"/>
        <v>101650074552</v>
      </c>
      <c r="AE593" s="1266">
        <f t="shared" si="536"/>
        <v>128502129752</v>
      </c>
      <c r="AF593" s="1266">
        <f t="shared" si="536"/>
        <v>30695205087</v>
      </c>
      <c r="AG593" s="1266">
        <f t="shared" ref="AG593:AH593" si="537">AG594+AG599</f>
        <v>67474993896</v>
      </c>
      <c r="AH593" s="1266">
        <f t="shared" si="537"/>
        <v>101825081441</v>
      </c>
    </row>
    <row r="594" spans="1:34">
      <c r="B594" s="496" t="s">
        <v>2196</v>
      </c>
      <c r="C594" s="496" t="s">
        <v>2196</v>
      </c>
      <c r="D594" s="1266">
        <f t="shared" ref="D594:Z594" si="538">SUM(D595:D598)</f>
        <v>47959603981</v>
      </c>
      <c r="E594" s="1266">
        <f t="shared" si="538"/>
        <v>7554501887</v>
      </c>
      <c r="F594" s="1266">
        <f t="shared" si="538"/>
        <v>0</v>
      </c>
      <c r="G594" s="1266">
        <f t="shared" si="538"/>
        <v>23461702443</v>
      </c>
      <c r="H594" s="1266">
        <f t="shared" si="538"/>
        <v>30567361953</v>
      </c>
      <c r="I594" s="1266">
        <f t="shared" si="538"/>
        <v>8427488808</v>
      </c>
      <c r="J594" s="1266">
        <f t="shared" si="538"/>
        <v>15312941249</v>
      </c>
      <c r="K594" s="1266">
        <f t="shared" si="538"/>
        <v>22383776432</v>
      </c>
      <c r="L594" s="1266">
        <f t="shared" si="538"/>
        <v>6858230955</v>
      </c>
      <c r="M594" s="1266">
        <f t="shared" si="538"/>
        <v>14378294605</v>
      </c>
      <c r="N594" s="1266">
        <f t="shared" si="538"/>
        <v>21017313616</v>
      </c>
      <c r="O594" s="1266">
        <f t="shared" si="538"/>
        <v>27956365226</v>
      </c>
      <c r="P594" s="1266">
        <f t="shared" si="538"/>
        <v>7780499188</v>
      </c>
      <c r="Q594" s="1266">
        <f t="shared" si="538"/>
        <v>20957646938</v>
      </c>
      <c r="R594" s="1266">
        <f t="shared" si="538"/>
        <v>32549612041</v>
      </c>
      <c r="S594" s="1266">
        <f t="shared" si="538"/>
        <v>44124608774</v>
      </c>
      <c r="T594" s="1266">
        <f t="shared" si="538"/>
        <v>10445422130</v>
      </c>
      <c r="U594" s="1266">
        <f t="shared" si="538"/>
        <v>22985547526</v>
      </c>
      <c r="V594" s="1266">
        <f t="shared" si="538"/>
        <v>34189392566</v>
      </c>
      <c r="W594" s="1266">
        <f t="shared" si="538"/>
        <v>45615365588</v>
      </c>
      <c r="X594" s="1266">
        <f t="shared" si="538"/>
        <v>11135738452</v>
      </c>
      <c r="Y594" s="1266">
        <f t="shared" si="538"/>
        <v>24622736348</v>
      </c>
      <c r="Z594" s="1266">
        <f t="shared" si="538"/>
        <v>37330099944</v>
      </c>
      <c r="AA594" s="1266">
        <f t="shared" ref="AA594:AF594" si="539">SUM(AA595:AA598)</f>
        <v>49620777359</v>
      </c>
      <c r="AB594" s="1266">
        <f t="shared" si="539"/>
        <v>12811449099</v>
      </c>
      <c r="AC594" s="1266">
        <f t="shared" si="539"/>
        <v>27927229477</v>
      </c>
      <c r="AD594" s="1266">
        <f t="shared" si="539"/>
        <v>39914946603</v>
      </c>
      <c r="AE594" s="1266">
        <f t="shared" si="539"/>
        <v>49772469058</v>
      </c>
      <c r="AF594" s="1266">
        <f t="shared" si="539"/>
        <v>10067067109</v>
      </c>
      <c r="AG594" s="1266">
        <f t="shared" ref="AG594:AH594" si="540">SUM(AG595:AG598)</f>
        <v>22559371370</v>
      </c>
      <c r="AH594" s="1266">
        <f t="shared" si="540"/>
        <v>34134768974</v>
      </c>
    </row>
    <row r="595" spans="1:34">
      <c r="B595" s="34" t="s">
        <v>2197</v>
      </c>
      <c r="C595" s="34" t="s">
        <v>2197</v>
      </c>
      <c r="D595" s="1267">
        <f t="shared" ref="D595:AE595" si="541">D35</f>
        <v>41799478379</v>
      </c>
      <c r="E595" s="1267">
        <f t="shared" si="541"/>
        <v>5180740899</v>
      </c>
      <c r="F595" s="1267">
        <f t="shared" si="541"/>
        <v>0</v>
      </c>
      <c r="G595" s="1267">
        <f t="shared" si="541"/>
        <v>16402562193</v>
      </c>
      <c r="H595" s="1267">
        <f t="shared" si="541"/>
        <v>20802581835</v>
      </c>
      <c r="I595" s="1267">
        <f t="shared" si="541"/>
        <v>5112279309</v>
      </c>
      <c r="J595" s="1267">
        <f t="shared" si="541"/>
        <v>9266650509</v>
      </c>
      <c r="K595" s="1267">
        <f t="shared" si="541"/>
        <v>13457141271</v>
      </c>
      <c r="L595" s="1267">
        <f t="shared" si="541"/>
        <v>3598108036</v>
      </c>
      <c r="M595" s="1267">
        <f t="shared" si="541"/>
        <v>7206041881</v>
      </c>
      <c r="N595" s="1267">
        <f t="shared" si="541"/>
        <v>10970596314</v>
      </c>
      <c r="O595" s="1267">
        <f t="shared" si="541"/>
        <v>14443673131</v>
      </c>
      <c r="P595" s="1267">
        <f t="shared" si="541"/>
        <v>4510775202</v>
      </c>
      <c r="Q595" s="1267">
        <f t="shared" si="541"/>
        <v>12312220940</v>
      </c>
      <c r="R595" s="1267">
        <f t="shared" si="541"/>
        <v>19643143165</v>
      </c>
      <c r="S595" s="1267">
        <f t="shared" si="541"/>
        <v>27383685405</v>
      </c>
      <c r="T595" s="1267">
        <f t="shared" si="541"/>
        <v>6891163036</v>
      </c>
      <c r="U595" s="1267">
        <f t="shared" si="541"/>
        <v>14157487584</v>
      </c>
      <c r="V595" s="1267">
        <f t="shared" si="541"/>
        <v>21226211850</v>
      </c>
      <c r="W595" s="1267">
        <f t="shared" si="541"/>
        <v>27886770338</v>
      </c>
      <c r="X595" s="1267">
        <f t="shared" si="541"/>
        <v>6111760781</v>
      </c>
      <c r="Y595" s="1267">
        <f t="shared" si="541"/>
        <v>12327616169</v>
      </c>
      <c r="Z595" s="1267">
        <f t="shared" si="541"/>
        <v>19119099828</v>
      </c>
      <c r="AA595" s="1267">
        <f t="shared" si="541"/>
        <v>25577056458</v>
      </c>
      <c r="AB595" s="1267">
        <f t="shared" si="541"/>
        <v>6736864796</v>
      </c>
      <c r="AC595" s="1267">
        <f t="shared" si="541"/>
        <v>13322261590</v>
      </c>
      <c r="AD595" s="1267">
        <f t="shared" si="541"/>
        <v>19391495764</v>
      </c>
      <c r="AE595" s="1267">
        <f t="shared" si="541"/>
        <v>23290559802</v>
      </c>
      <c r="AF595" s="1267">
        <f t="shared" ref="AF595:AG595" si="542">AF35</f>
        <v>3494401758</v>
      </c>
      <c r="AG595" s="1267">
        <f t="shared" si="542"/>
        <v>7667274969</v>
      </c>
      <c r="AH595" s="1267">
        <f t="shared" ref="AH595" si="543">AH35</f>
        <v>11602260160</v>
      </c>
    </row>
    <row r="596" spans="1:34">
      <c r="B596" s="34" t="s">
        <v>2198</v>
      </c>
      <c r="C596" s="34" t="s">
        <v>2198</v>
      </c>
      <c r="D596" s="1267">
        <f t="shared" ref="D596:AE596" si="544">D53</f>
        <v>6160125602</v>
      </c>
      <c r="E596" s="1267">
        <f t="shared" si="544"/>
        <v>2373760988</v>
      </c>
      <c r="F596" s="1267">
        <f t="shared" si="544"/>
        <v>0</v>
      </c>
      <c r="G596" s="1267">
        <f t="shared" si="544"/>
        <v>7059140250</v>
      </c>
      <c r="H596" s="1267">
        <f t="shared" si="544"/>
        <v>9764780118</v>
      </c>
      <c r="I596" s="1267">
        <f t="shared" si="544"/>
        <v>3315209499</v>
      </c>
      <c r="J596" s="1267">
        <f t="shared" si="544"/>
        <v>6046290740</v>
      </c>
      <c r="K596" s="1267">
        <f t="shared" si="544"/>
        <v>8926635161</v>
      </c>
      <c r="L596" s="1267">
        <f t="shared" si="544"/>
        <v>3260122919</v>
      </c>
      <c r="M596" s="1267">
        <f t="shared" si="544"/>
        <v>7172252724</v>
      </c>
      <c r="N596" s="1267">
        <f t="shared" si="544"/>
        <v>10046717302</v>
      </c>
      <c r="O596" s="1267">
        <f t="shared" si="544"/>
        <v>13512692095</v>
      </c>
      <c r="P596" s="1267">
        <f t="shared" si="544"/>
        <v>3269723986</v>
      </c>
      <c r="Q596" s="1267">
        <f t="shared" si="544"/>
        <v>8645425998</v>
      </c>
      <c r="R596" s="1267">
        <f t="shared" si="544"/>
        <v>12906468876</v>
      </c>
      <c r="S596" s="1267">
        <f t="shared" si="544"/>
        <v>16740923369</v>
      </c>
      <c r="T596" s="1267">
        <f t="shared" si="544"/>
        <v>3554259094</v>
      </c>
      <c r="U596" s="1267">
        <f t="shared" si="544"/>
        <v>8828059942</v>
      </c>
      <c r="V596" s="1267">
        <f t="shared" si="544"/>
        <v>12963180716</v>
      </c>
      <c r="W596" s="1267">
        <f t="shared" si="544"/>
        <v>17728595250</v>
      </c>
      <c r="X596" s="1267">
        <f t="shared" si="544"/>
        <v>5023977671</v>
      </c>
      <c r="Y596" s="1267">
        <f t="shared" si="544"/>
        <v>12295120179</v>
      </c>
      <c r="Z596" s="1267">
        <f t="shared" si="544"/>
        <v>18211000116</v>
      </c>
      <c r="AA596" s="1267">
        <f t="shared" si="544"/>
        <v>24043720901</v>
      </c>
      <c r="AB596" s="1267">
        <f t="shared" si="544"/>
        <v>6074584303</v>
      </c>
      <c r="AC596" s="1267">
        <f t="shared" si="544"/>
        <v>14604967887</v>
      </c>
      <c r="AD596" s="1267">
        <f t="shared" si="544"/>
        <v>20523450839</v>
      </c>
      <c r="AE596" s="1267">
        <f t="shared" si="544"/>
        <v>26481909256</v>
      </c>
      <c r="AF596" s="1267">
        <f t="shared" ref="AF596:AG596" si="545">AF53</f>
        <v>6572665351</v>
      </c>
      <c r="AG596" s="1267">
        <f t="shared" si="545"/>
        <v>14892096401</v>
      </c>
      <c r="AH596" s="1267">
        <f t="shared" ref="AH596" si="546">AH53</f>
        <v>22532508814</v>
      </c>
    </row>
    <row r="597" spans="1:34">
      <c r="B597" s="1268" t="s">
        <v>2199</v>
      </c>
      <c r="C597" s="1268" t="s">
        <v>2199</v>
      </c>
      <c r="D597" s="1267">
        <f t="shared" ref="D597:AE597" si="547">-D223</f>
        <v>0</v>
      </c>
      <c r="E597" s="1267">
        <f t="shared" si="547"/>
        <v>0</v>
      </c>
      <c r="F597" s="1267">
        <f t="shared" si="547"/>
        <v>0</v>
      </c>
      <c r="G597" s="1267">
        <f t="shared" si="547"/>
        <v>0</v>
      </c>
      <c r="H597" s="1267">
        <f t="shared" si="547"/>
        <v>0</v>
      </c>
      <c r="I597" s="1267">
        <f t="shared" si="547"/>
        <v>0</v>
      </c>
      <c r="J597" s="1267">
        <f t="shared" si="547"/>
        <v>0</v>
      </c>
      <c r="K597" s="1267">
        <f t="shared" si="547"/>
        <v>0</v>
      </c>
      <c r="L597" s="1267">
        <f t="shared" si="547"/>
        <v>0</v>
      </c>
      <c r="M597" s="1267">
        <f t="shared" si="547"/>
        <v>0</v>
      </c>
      <c r="N597" s="1267">
        <f t="shared" si="547"/>
        <v>0</v>
      </c>
      <c r="O597" s="1267">
        <f t="shared" si="547"/>
        <v>0</v>
      </c>
      <c r="P597" s="1267">
        <f t="shared" si="547"/>
        <v>0</v>
      </c>
      <c r="Q597" s="1267">
        <f t="shared" si="547"/>
        <v>0</v>
      </c>
      <c r="R597" s="1267">
        <f t="shared" si="547"/>
        <v>0</v>
      </c>
      <c r="S597" s="1267">
        <f t="shared" si="547"/>
        <v>0</v>
      </c>
      <c r="T597" s="1267">
        <f t="shared" si="547"/>
        <v>0</v>
      </c>
      <c r="U597" s="1267">
        <f t="shared" si="547"/>
        <v>0</v>
      </c>
      <c r="V597" s="1267">
        <f t="shared" si="547"/>
        <v>0</v>
      </c>
      <c r="W597" s="1267">
        <f t="shared" si="547"/>
        <v>0</v>
      </c>
      <c r="X597" s="1267">
        <f t="shared" si="547"/>
        <v>0</v>
      </c>
      <c r="Y597" s="1267">
        <f t="shared" si="547"/>
        <v>0</v>
      </c>
      <c r="Z597" s="1267">
        <f t="shared" si="547"/>
        <v>0</v>
      </c>
      <c r="AA597" s="1267">
        <f t="shared" si="547"/>
        <v>0</v>
      </c>
      <c r="AB597" s="1267">
        <f t="shared" si="547"/>
        <v>0</v>
      </c>
      <c r="AC597" s="1267">
        <f t="shared" si="547"/>
        <v>0</v>
      </c>
      <c r="AD597" s="1267">
        <f t="shared" si="547"/>
        <v>0</v>
      </c>
      <c r="AE597" s="1267">
        <f t="shared" si="547"/>
        <v>0</v>
      </c>
      <c r="AF597" s="1267">
        <f t="shared" ref="AF597:AG597" si="548">-AF223</f>
        <v>0</v>
      </c>
      <c r="AG597" s="1267">
        <f t="shared" si="548"/>
        <v>0</v>
      </c>
      <c r="AH597" s="1267">
        <f t="shared" ref="AH597" si="549">-AH223</f>
        <v>0</v>
      </c>
    </row>
    <row r="598" spans="1:34">
      <c r="B598" s="1268" t="s">
        <v>2200</v>
      </c>
      <c r="C598" s="1268" t="s">
        <v>2200</v>
      </c>
      <c r="D598" s="1267">
        <f t="shared" ref="D598:AE598" si="550">-D224</f>
        <v>0</v>
      </c>
      <c r="E598" s="1267">
        <f t="shared" si="550"/>
        <v>0</v>
      </c>
      <c r="F598" s="1267">
        <f t="shared" si="550"/>
        <v>0</v>
      </c>
      <c r="G598" s="1267">
        <f t="shared" si="550"/>
        <v>0</v>
      </c>
      <c r="H598" s="1267">
        <f t="shared" si="550"/>
        <v>0</v>
      </c>
      <c r="I598" s="1267">
        <f t="shared" si="550"/>
        <v>0</v>
      </c>
      <c r="J598" s="1267">
        <f t="shared" si="550"/>
        <v>0</v>
      </c>
      <c r="K598" s="1267">
        <f t="shared" si="550"/>
        <v>0</v>
      </c>
      <c r="L598" s="1267">
        <f t="shared" si="550"/>
        <v>0</v>
      </c>
      <c r="M598" s="1267">
        <f t="shared" si="550"/>
        <v>0</v>
      </c>
      <c r="N598" s="1267">
        <f t="shared" si="550"/>
        <v>0</v>
      </c>
      <c r="O598" s="1267">
        <f t="shared" si="550"/>
        <v>0</v>
      </c>
      <c r="P598" s="1267">
        <f t="shared" si="550"/>
        <v>0</v>
      </c>
      <c r="Q598" s="1267">
        <f t="shared" si="550"/>
        <v>0</v>
      </c>
      <c r="R598" s="1267">
        <f t="shared" si="550"/>
        <v>0</v>
      </c>
      <c r="S598" s="1267">
        <f t="shared" si="550"/>
        <v>0</v>
      </c>
      <c r="T598" s="1267">
        <f t="shared" si="550"/>
        <v>0</v>
      </c>
      <c r="U598" s="1267">
        <f t="shared" si="550"/>
        <v>0</v>
      </c>
      <c r="V598" s="1267">
        <f t="shared" si="550"/>
        <v>0</v>
      </c>
      <c r="W598" s="1267">
        <f t="shared" si="550"/>
        <v>0</v>
      </c>
      <c r="X598" s="1267">
        <f t="shared" si="550"/>
        <v>0</v>
      </c>
      <c r="Y598" s="1267">
        <f t="shared" si="550"/>
        <v>0</v>
      </c>
      <c r="Z598" s="1267">
        <f t="shared" si="550"/>
        <v>0</v>
      </c>
      <c r="AA598" s="1267">
        <f t="shared" si="550"/>
        <v>0</v>
      </c>
      <c r="AB598" s="1267">
        <f t="shared" si="550"/>
        <v>0</v>
      </c>
      <c r="AC598" s="1267">
        <f t="shared" si="550"/>
        <v>0</v>
      </c>
      <c r="AD598" s="1267">
        <f t="shared" si="550"/>
        <v>0</v>
      </c>
      <c r="AE598" s="1267">
        <f t="shared" si="550"/>
        <v>0</v>
      </c>
      <c r="AF598" s="1267">
        <f t="shared" ref="AF598:AG598" si="551">-AF224</f>
        <v>0</v>
      </c>
      <c r="AG598" s="1267">
        <f t="shared" si="551"/>
        <v>0</v>
      </c>
      <c r="AH598" s="1267">
        <f t="shared" ref="AH598" si="552">-AH224</f>
        <v>0</v>
      </c>
    </row>
    <row r="599" spans="1:34">
      <c r="B599" s="496" t="s">
        <v>2201</v>
      </c>
      <c r="C599" s="496" t="s">
        <v>2201</v>
      </c>
      <c r="D599" s="1266">
        <f t="shared" ref="D599:Z599" si="553">SUM(D600:D605)</f>
        <v>72579384206</v>
      </c>
      <c r="E599" s="1266">
        <f t="shared" si="553"/>
        <v>15318062575</v>
      </c>
      <c r="F599" s="1266">
        <f t="shared" si="553"/>
        <v>0</v>
      </c>
      <c r="G599" s="1266">
        <f t="shared" si="553"/>
        <v>44431283784</v>
      </c>
      <c r="H599" s="1266">
        <f t="shared" si="553"/>
        <v>59490750427</v>
      </c>
      <c r="I599" s="1266">
        <f t="shared" si="553"/>
        <v>14723521031</v>
      </c>
      <c r="J599" s="1266">
        <f t="shared" si="553"/>
        <v>28625384043</v>
      </c>
      <c r="K599" s="1266">
        <f t="shared" si="553"/>
        <v>42138133707</v>
      </c>
      <c r="L599" s="1266">
        <f t="shared" si="553"/>
        <v>13513176236</v>
      </c>
      <c r="M599" s="1266">
        <f t="shared" si="553"/>
        <v>27416731722</v>
      </c>
      <c r="N599" s="1266">
        <f t="shared" si="553"/>
        <v>42185177293</v>
      </c>
      <c r="O599" s="1266">
        <f t="shared" si="553"/>
        <v>55100014265</v>
      </c>
      <c r="P599" s="1266">
        <f t="shared" si="553"/>
        <v>13738140163</v>
      </c>
      <c r="Q599" s="1266">
        <f t="shared" si="553"/>
        <v>29881522102</v>
      </c>
      <c r="R599" s="1266">
        <f t="shared" si="553"/>
        <v>43503544597</v>
      </c>
      <c r="S599" s="1266">
        <f t="shared" si="553"/>
        <v>56902689653</v>
      </c>
      <c r="T599" s="1266">
        <f t="shared" si="553"/>
        <v>13269841117</v>
      </c>
      <c r="U599" s="1266">
        <f t="shared" si="553"/>
        <v>28484586410</v>
      </c>
      <c r="V599" s="1266">
        <f t="shared" si="553"/>
        <v>44262188689</v>
      </c>
      <c r="W599" s="1266">
        <f t="shared" si="553"/>
        <v>57538758811</v>
      </c>
      <c r="X599" s="1266">
        <f t="shared" si="553"/>
        <v>16723151367</v>
      </c>
      <c r="Y599" s="1266">
        <f t="shared" si="553"/>
        <v>32527888269</v>
      </c>
      <c r="Z599" s="1266">
        <f t="shared" si="553"/>
        <v>51187239522</v>
      </c>
      <c r="AA599" s="1266">
        <f t="shared" ref="AA599:AF599" si="554">SUM(AA600:AA605)</f>
        <v>70348390236</v>
      </c>
      <c r="AB599" s="1266">
        <f t="shared" si="554"/>
        <v>21238732859</v>
      </c>
      <c r="AC599" s="1266">
        <f t="shared" si="554"/>
        <v>42093449303</v>
      </c>
      <c r="AD599" s="1266">
        <f t="shared" si="554"/>
        <v>61735127949</v>
      </c>
      <c r="AE599" s="1266">
        <f t="shared" si="554"/>
        <v>78729660694</v>
      </c>
      <c r="AF599" s="1266">
        <f t="shared" si="554"/>
        <v>20628137978</v>
      </c>
      <c r="AG599" s="1266">
        <f t="shared" ref="AG599:AH599" si="555">SUM(AG600:AG605)</f>
        <v>44915622526</v>
      </c>
      <c r="AH599" s="1266">
        <f t="shared" si="555"/>
        <v>67690312467</v>
      </c>
    </row>
    <row r="600" spans="1:34">
      <c r="B600" s="34" t="s">
        <v>2202</v>
      </c>
      <c r="C600" s="34" t="s">
        <v>2202</v>
      </c>
      <c r="D600" s="1267">
        <f t="shared" ref="D600:AE600" si="556">D32</f>
        <v>72579384206</v>
      </c>
      <c r="E600" s="1267">
        <f t="shared" si="556"/>
        <v>15318062575</v>
      </c>
      <c r="F600" s="1267">
        <f t="shared" si="556"/>
        <v>0</v>
      </c>
      <c r="G600" s="1267">
        <f t="shared" si="556"/>
        <v>44431283784</v>
      </c>
      <c r="H600" s="1267">
        <f t="shared" si="556"/>
        <v>59490750427</v>
      </c>
      <c r="I600" s="1267">
        <f t="shared" si="556"/>
        <v>14723521031</v>
      </c>
      <c r="J600" s="1267">
        <f t="shared" si="556"/>
        <v>28625384043</v>
      </c>
      <c r="K600" s="1267">
        <f t="shared" si="556"/>
        <v>42138133707</v>
      </c>
      <c r="L600" s="1267">
        <f t="shared" si="556"/>
        <v>13513176236</v>
      </c>
      <c r="M600" s="1267">
        <f t="shared" si="556"/>
        <v>27416731722</v>
      </c>
      <c r="N600" s="1267">
        <f t="shared" si="556"/>
        <v>42185177293</v>
      </c>
      <c r="O600" s="1267">
        <f t="shared" si="556"/>
        <v>55100014265</v>
      </c>
      <c r="P600" s="1267">
        <f t="shared" si="556"/>
        <v>13738140163</v>
      </c>
      <c r="Q600" s="1267">
        <f t="shared" si="556"/>
        <v>29881522102</v>
      </c>
      <c r="R600" s="1267">
        <f t="shared" si="556"/>
        <v>43503544597</v>
      </c>
      <c r="S600" s="1267">
        <f t="shared" si="556"/>
        <v>56902689653</v>
      </c>
      <c r="T600" s="1267">
        <f t="shared" si="556"/>
        <v>13269841117</v>
      </c>
      <c r="U600" s="1267">
        <f t="shared" si="556"/>
        <v>28484586410</v>
      </c>
      <c r="V600" s="1267">
        <f t="shared" si="556"/>
        <v>44262188689</v>
      </c>
      <c r="W600" s="1267">
        <f t="shared" si="556"/>
        <v>57538758811</v>
      </c>
      <c r="X600" s="1267">
        <f t="shared" si="556"/>
        <v>16723151367</v>
      </c>
      <c r="Y600" s="1267">
        <f t="shared" si="556"/>
        <v>32527888269</v>
      </c>
      <c r="Z600" s="1267">
        <f t="shared" si="556"/>
        <v>51187239522</v>
      </c>
      <c r="AA600" s="1267">
        <f t="shared" si="556"/>
        <v>70348390236</v>
      </c>
      <c r="AB600" s="1267">
        <f t="shared" si="556"/>
        <v>21238732859</v>
      </c>
      <c r="AC600" s="1267">
        <f t="shared" si="556"/>
        <v>42093449303</v>
      </c>
      <c r="AD600" s="1267">
        <f t="shared" si="556"/>
        <v>61735127949</v>
      </c>
      <c r="AE600" s="1267">
        <f t="shared" si="556"/>
        <v>78729660694</v>
      </c>
      <c r="AF600" s="1267">
        <f t="shared" ref="AF600:AG600" si="557">AF32</f>
        <v>20628137978</v>
      </c>
      <c r="AG600" s="1267">
        <f t="shared" si="557"/>
        <v>44915622526</v>
      </c>
      <c r="AH600" s="1267">
        <f t="shared" ref="AH600" si="558">AH32</f>
        <v>67690312467</v>
      </c>
    </row>
    <row r="601" spans="1:34">
      <c r="B601" s="34" t="s">
        <v>2203</v>
      </c>
      <c r="C601" s="34" t="s">
        <v>2203</v>
      </c>
      <c r="D601" s="1267">
        <f t="shared" ref="D601:AE601" si="559">D39</f>
        <v>0</v>
      </c>
      <c r="E601" s="1267">
        <f t="shared" si="559"/>
        <v>0</v>
      </c>
      <c r="F601" s="1267">
        <f t="shared" si="559"/>
        <v>0</v>
      </c>
      <c r="G601" s="1267">
        <f t="shared" si="559"/>
        <v>0</v>
      </c>
      <c r="H601" s="1267">
        <f t="shared" si="559"/>
        <v>0</v>
      </c>
      <c r="I601" s="1267">
        <f t="shared" si="559"/>
        <v>0</v>
      </c>
      <c r="J601" s="1267">
        <f t="shared" si="559"/>
        <v>0</v>
      </c>
      <c r="K601" s="1267">
        <f t="shared" si="559"/>
        <v>0</v>
      </c>
      <c r="L601" s="1267">
        <f t="shared" si="559"/>
        <v>0</v>
      </c>
      <c r="M601" s="1267">
        <f t="shared" si="559"/>
        <v>0</v>
      </c>
      <c r="N601" s="1267">
        <f t="shared" si="559"/>
        <v>0</v>
      </c>
      <c r="O601" s="1267">
        <f t="shared" si="559"/>
        <v>0</v>
      </c>
      <c r="P601" s="1267">
        <f t="shared" si="559"/>
        <v>0</v>
      </c>
      <c r="Q601" s="1267">
        <f t="shared" si="559"/>
        <v>0</v>
      </c>
      <c r="R601" s="1267">
        <f t="shared" si="559"/>
        <v>0</v>
      </c>
      <c r="S601" s="1267">
        <f t="shared" si="559"/>
        <v>0</v>
      </c>
      <c r="T601" s="1267">
        <f t="shared" si="559"/>
        <v>0</v>
      </c>
      <c r="U601" s="1267">
        <f t="shared" si="559"/>
        <v>0</v>
      </c>
      <c r="V601" s="1267">
        <f t="shared" si="559"/>
        <v>0</v>
      </c>
      <c r="W601" s="1267">
        <f t="shared" si="559"/>
        <v>0</v>
      </c>
      <c r="X601" s="1267">
        <f t="shared" si="559"/>
        <v>0</v>
      </c>
      <c r="Y601" s="1267">
        <f t="shared" si="559"/>
        <v>0</v>
      </c>
      <c r="Z601" s="1267">
        <f t="shared" si="559"/>
        <v>0</v>
      </c>
      <c r="AA601" s="1267">
        <f t="shared" si="559"/>
        <v>0</v>
      </c>
      <c r="AB601" s="1267">
        <f t="shared" si="559"/>
        <v>0</v>
      </c>
      <c r="AC601" s="1267">
        <f t="shared" si="559"/>
        <v>0</v>
      </c>
      <c r="AD601" s="1267">
        <f t="shared" si="559"/>
        <v>0</v>
      </c>
      <c r="AE601" s="1267">
        <f t="shared" si="559"/>
        <v>0</v>
      </c>
      <c r="AF601" s="1267">
        <f t="shared" ref="AF601:AG601" si="560">AF39</f>
        <v>0</v>
      </c>
      <c r="AG601" s="1267">
        <f t="shared" si="560"/>
        <v>0</v>
      </c>
      <c r="AH601" s="1267">
        <f t="shared" ref="AH601" si="561">AH39</f>
        <v>0</v>
      </c>
    </row>
    <row r="602" spans="1:34">
      <c r="B602" s="34" t="s">
        <v>2204</v>
      </c>
      <c r="C602" s="34" t="s">
        <v>2204</v>
      </c>
      <c r="D602" s="1267">
        <f t="shared" ref="D602:AE602" si="562">D49</f>
        <v>0</v>
      </c>
      <c r="E602" s="1267">
        <f t="shared" si="562"/>
        <v>0</v>
      </c>
      <c r="F602" s="1267">
        <f t="shared" si="562"/>
        <v>0</v>
      </c>
      <c r="G602" s="1267">
        <f t="shared" si="562"/>
        <v>0</v>
      </c>
      <c r="H602" s="1267">
        <f t="shared" si="562"/>
        <v>0</v>
      </c>
      <c r="I602" s="1267">
        <f t="shared" si="562"/>
        <v>0</v>
      </c>
      <c r="J602" s="1267">
        <f t="shared" si="562"/>
        <v>0</v>
      </c>
      <c r="K602" s="1267">
        <f t="shared" si="562"/>
        <v>0</v>
      </c>
      <c r="L602" s="1267">
        <f t="shared" si="562"/>
        <v>0</v>
      </c>
      <c r="M602" s="1267">
        <f t="shared" si="562"/>
        <v>0</v>
      </c>
      <c r="N602" s="1267">
        <f t="shared" si="562"/>
        <v>0</v>
      </c>
      <c r="O602" s="1267">
        <f t="shared" si="562"/>
        <v>0</v>
      </c>
      <c r="P602" s="1267">
        <f t="shared" si="562"/>
        <v>0</v>
      </c>
      <c r="Q602" s="1267">
        <f t="shared" si="562"/>
        <v>0</v>
      </c>
      <c r="R602" s="1267">
        <f t="shared" si="562"/>
        <v>0</v>
      </c>
      <c r="S602" s="1267">
        <f t="shared" si="562"/>
        <v>0</v>
      </c>
      <c r="T602" s="1267">
        <f t="shared" si="562"/>
        <v>0</v>
      </c>
      <c r="U602" s="1267">
        <f t="shared" si="562"/>
        <v>0</v>
      </c>
      <c r="V602" s="1267">
        <f t="shared" si="562"/>
        <v>0</v>
      </c>
      <c r="W602" s="1267">
        <f t="shared" si="562"/>
        <v>0</v>
      </c>
      <c r="X602" s="1267">
        <f t="shared" si="562"/>
        <v>0</v>
      </c>
      <c r="Y602" s="1267">
        <f t="shared" si="562"/>
        <v>0</v>
      </c>
      <c r="Z602" s="1267">
        <f t="shared" si="562"/>
        <v>0</v>
      </c>
      <c r="AA602" s="1267">
        <f t="shared" si="562"/>
        <v>0</v>
      </c>
      <c r="AB602" s="1267">
        <f t="shared" si="562"/>
        <v>0</v>
      </c>
      <c r="AC602" s="1267">
        <f t="shared" si="562"/>
        <v>0</v>
      </c>
      <c r="AD602" s="1267">
        <f t="shared" si="562"/>
        <v>0</v>
      </c>
      <c r="AE602" s="1267">
        <f t="shared" si="562"/>
        <v>0</v>
      </c>
      <c r="AF602" s="1267">
        <f t="shared" ref="AF602:AG602" si="563">AF49</f>
        <v>0</v>
      </c>
      <c r="AG602" s="1267">
        <f t="shared" si="563"/>
        <v>0</v>
      </c>
      <c r="AH602" s="1267">
        <f t="shared" ref="AH602" si="564">AH49</f>
        <v>0</v>
      </c>
    </row>
    <row r="603" spans="1:34">
      <c r="B603" s="34" t="s">
        <v>2205</v>
      </c>
      <c r="C603" s="34" t="s">
        <v>2205</v>
      </c>
      <c r="D603" s="1267">
        <f t="shared" ref="D603:AE603" si="565">D179</f>
        <v>0</v>
      </c>
      <c r="E603" s="1267">
        <f t="shared" si="565"/>
        <v>0</v>
      </c>
      <c r="F603" s="1267">
        <f t="shared" si="565"/>
        <v>0</v>
      </c>
      <c r="G603" s="1267">
        <f t="shared" si="565"/>
        <v>0</v>
      </c>
      <c r="H603" s="1267">
        <f t="shared" si="565"/>
        <v>0</v>
      </c>
      <c r="I603" s="1267">
        <f t="shared" si="565"/>
        <v>0</v>
      </c>
      <c r="J603" s="1267">
        <f t="shared" si="565"/>
        <v>0</v>
      </c>
      <c r="K603" s="1267">
        <f t="shared" si="565"/>
        <v>0</v>
      </c>
      <c r="L603" s="1267">
        <f t="shared" si="565"/>
        <v>0</v>
      </c>
      <c r="M603" s="1267">
        <f t="shared" si="565"/>
        <v>0</v>
      </c>
      <c r="N603" s="1267">
        <f t="shared" si="565"/>
        <v>0</v>
      </c>
      <c r="O603" s="1267">
        <f t="shared" si="565"/>
        <v>0</v>
      </c>
      <c r="P603" s="1267">
        <f t="shared" si="565"/>
        <v>0</v>
      </c>
      <c r="Q603" s="1267">
        <f t="shared" si="565"/>
        <v>0</v>
      </c>
      <c r="R603" s="1267">
        <f t="shared" si="565"/>
        <v>0</v>
      </c>
      <c r="S603" s="1267">
        <f t="shared" si="565"/>
        <v>0</v>
      </c>
      <c r="T603" s="1267">
        <f t="shared" si="565"/>
        <v>0</v>
      </c>
      <c r="U603" s="1267">
        <f t="shared" si="565"/>
        <v>0</v>
      </c>
      <c r="V603" s="1267">
        <f t="shared" si="565"/>
        <v>0</v>
      </c>
      <c r="W603" s="1267">
        <f t="shared" si="565"/>
        <v>0</v>
      </c>
      <c r="X603" s="1267">
        <f t="shared" si="565"/>
        <v>0</v>
      </c>
      <c r="Y603" s="1267">
        <f t="shared" si="565"/>
        <v>0</v>
      </c>
      <c r="Z603" s="1267">
        <f t="shared" si="565"/>
        <v>0</v>
      </c>
      <c r="AA603" s="1267">
        <f t="shared" si="565"/>
        <v>0</v>
      </c>
      <c r="AB603" s="1267">
        <f t="shared" si="565"/>
        <v>0</v>
      </c>
      <c r="AC603" s="1267">
        <f t="shared" si="565"/>
        <v>0</v>
      </c>
      <c r="AD603" s="1267">
        <f t="shared" si="565"/>
        <v>0</v>
      </c>
      <c r="AE603" s="1267">
        <f t="shared" si="565"/>
        <v>0</v>
      </c>
      <c r="AF603" s="1267">
        <f t="shared" ref="AF603:AG603" si="566">AF179</f>
        <v>0</v>
      </c>
      <c r="AG603" s="1267">
        <f t="shared" si="566"/>
        <v>0</v>
      </c>
      <c r="AH603" s="1267">
        <f t="shared" ref="AH603" si="567">AH179</f>
        <v>0</v>
      </c>
    </row>
    <row r="604" spans="1:34">
      <c r="B604" s="34" t="s">
        <v>2206</v>
      </c>
      <c r="C604" s="34" t="s">
        <v>2206</v>
      </c>
      <c r="D604" s="1267">
        <f t="shared" ref="D604:AE604" si="568">D182</f>
        <v>0</v>
      </c>
      <c r="E604" s="1267">
        <f t="shared" si="568"/>
        <v>0</v>
      </c>
      <c r="F604" s="1267">
        <f t="shared" si="568"/>
        <v>0</v>
      </c>
      <c r="G604" s="1267">
        <f t="shared" si="568"/>
        <v>0</v>
      </c>
      <c r="H604" s="1267">
        <f t="shared" si="568"/>
        <v>0</v>
      </c>
      <c r="I604" s="1267">
        <f t="shared" si="568"/>
        <v>0</v>
      </c>
      <c r="J604" s="1267">
        <f t="shared" si="568"/>
        <v>0</v>
      </c>
      <c r="K604" s="1267">
        <f t="shared" si="568"/>
        <v>0</v>
      </c>
      <c r="L604" s="1267">
        <f t="shared" si="568"/>
        <v>0</v>
      </c>
      <c r="M604" s="1267">
        <f t="shared" si="568"/>
        <v>0</v>
      </c>
      <c r="N604" s="1267">
        <f t="shared" si="568"/>
        <v>0</v>
      </c>
      <c r="O604" s="1267">
        <f t="shared" si="568"/>
        <v>0</v>
      </c>
      <c r="P604" s="1267">
        <f t="shared" si="568"/>
        <v>0</v>
      </c>
      <c r="Q604" s="1267">
        <f t="shared" si="568"/>
        <v>0</v>
      </c>
      <c r="R604" s="1267">
        <f t="shared" si="568"/>
        <v>0</v>
      </c>
      <c r="S604" s="1267">
        <f t="shared" si="568"/>
        <v>0</v>
      </c>
      <c r="T604" s="1267">
        <f t="shared" si="568"/>
        <v>0</v>
      </c>
      <c r="U604" s="1267">
        <f t="shared" si="568"/>
        <v>0</v>
      </c>
      <c r="V604" s="1267">
        <f t="shared" si="568"/>
        <v>0</v>
      </c>
      <c r="W604" s="1267">
        <f t="shared" si="568"/>
        <v>0</v>
      </c>
      <c r="X604" s="1267">
        <f t="shared" si="568"/>
        <v>0</v>
      </c>
      <c r="Y604" s="1267">
        <f t="shared" si="568"/>
        <v>0</v>
      </c>
      <c r="Z604" s="1267">
        <f t="shared" si="568"/>
        <v>0</v>
      </c>
      <c r="AA604" s="1267">
        <f t="shared" si="568"/>
        <v>0</v>
      </c>
      <c r="AB604" s="1267">
        <f t="shared" si="568"/>
        <v>0</v>
      </c>
      <c r="AC604" s="1267">
        <f t="shared" si="568"/>
        <v>0</v>
      </c>
      <c r="AD604" s="1267">
        <f t="shared" si="568"/>
        <v>0</v>
      </c>
      <c r="AE604" s="1267">
        <f t="shared" si="568"/>
        <v>0</v>
      </c>
      <c r="AF604" s="1267">
        <f t="shared" ref="AF604:AG604" si="569">AF182</f>
        <v>0</v>
      </c>
      <c r="AG604" s="1267">
        <f t="shared" si="569"/>
        <v>0</v>
      </c>
      <c r="AH604" s="1267">
        <f t="shared" ref="AH604" si="570">AH182</f>
        <v>0</v>
      </c>
    </row>
    <row r="605" spans="1:34">
      <c r="B605" s="34" t="s">
        <v>2207</v>
      </c>
      <c r="C605" s="34" t="s">
        <v>2207</v>
      </c>
      <c r="D605" s="1267">
        <f t="shared" ref="D605:AE605" si="571">-D313</f>
        <v>0</v>
      </c>
      <c r="E605" s="1267">
        <f t="shared" si="571"/>
        <v>0</v>
      </c>
      <c r="F605" s="1267">
        <f t="shared" si="571"/>
        <v>0</v>
      </c>
      <c r="G605" s="1267">
        <f t="shared" si="571"/>
        <v>0</v>
      </c>
      <c r="H605" s="1267">
        <f t="shared" si="571"/>
        <v>0</v>
      </c>
      <c r="I605" s="1267">
        <f t="shared" si="571"/>
        <v>0</v>
      </c>
      <c r="J605" s="1267">
        <f t="shared" si="571"/>
        <v>0</v>
      </c>
      <c r="K605" s="1267">
        <f t="shared" si="571"/>
        <v>0</v>
      </c>
      <c r="L605" s="1267">
        <f t="shared" si="571"/>
        <v>0</v>
      </c>
      <c r="M605" s="1267">
        <f t="shared" si="571"/>
        <v>0</v>
      </c>
      <c r="N605" s="1267">
        <f t="shared" si="571"/>
        <v>0</v>
      </c>
      <c r="O605" s="1267">
        <f t="shared" si="571"/>
        <v>0</v>
      </c>
      <c r="P605" s="1267">
        <f t="shared" si="571"/>
        <v>0</v>
      </c>
      <c r="Q605" s="1267">
        <f t="shared" si="571"/>
        <v>0</v>
      </c>
      <c r="R605" s="1267">
        <f t="shared" si="571"/>
        <v>0</v>
      </c>
      <c r="S605" s="1267">
        <f t="shared" si="571"/>
        <v>0</v>
      </c>
      <c r="T605" s="1267">
        <f t="shared" si="571"/>
        <v>0</v>
      </c>
      <c r="U605" s="1267">
        <f t="shared" si="571"/>
        <v>0</v>
      </c>
      <c r="V605" s="1267">
        <f t="shared" si="571"/>
        <v>0</v>
      </c>
      <c r="W605" s="1267">
        <f t="shared" si="571"/>
        <v>0</v>
      </c>
      <c r="X605" s="1267">
        <f t="shared" si="571"/>
        <v>0</v>
      </c>
      <c r="Y605" s="1267">
        <f t="shared" si="571"/>
        <v>0</v>
      </c>
      <c r="Z605" s="1267">
        <f t="shared" si="571"/>
        <v>0</v>
      </c>
      <c r="AA605" s="1267">
        <f t="shared" si="571"/>
        <v>0</v>
      </c>
      <c r="AB605" s="1267">
        <f t="shared" si="571"/>
        <v>0</v>
      </c>
      <c r="AC605" s="1267">
        <f t="shared" si="571"/>
        <v>0</v>
      </c>
      <c r="AD605" s="1267">
        <f t="shared" si="571"/>
        <v>0</v>
      </c>
      <c r="AE605" s="1267">
        <f t="shared" si="571"/>
        <v>0</v>
      </c>
      <c r="AF605" s="1267">
        <f t="shared" ref="AF605:AG605" si="572">-AF313</f>
        <v>0</v>
      </c>
      <c r="AG605" s="1267">
        <f t="shared" si="572"/>
        <v>0</v>
      </c>
      <c r="AH605" s="1267">
        <f t="shared" ref="AH605" si="573">-AH313</f>
        <v>0</v>
      </c>
    </row>
    <row r="606" spans="1:34">
      <c r="D606" s="58"/>
      <c r="E606" s="58"/>
      <c r="F606" s="58"/>
      <c r="G606" s="58"/>
      <c r="H606" s="58"/>
      <c r="J606" s="58"/>
      <c r="K606" s="58"/>
    </row>
    <row r="607" spans="1:34">
      <c r="A607" s="496" t="s">
        <v>2188</v>
      </c>
      <c r="D607" s="1266">
        <f t="shared" ref="D607:Z607" si="574">SUM(D608:D613)</f>
        <v>58006476130</v>
      </c>
      <c r="E607" s="1266">
        <f t="shared" si="574"/>
        <v>15798282739</v>
      </c>
      <c r="F607" s="1266">
        <f t="shared" si="574"/>
        <v>0</v>
      </c>
      <c r="G607" s="1266">
        <f t="shared" si="574"/>
        <v>42159995139</v>
      </c>
      <c r="H607" s="1266">
        <f t="shared" si="574"/>
        <v>50864304060</v>
      </c>
      <c r="I607" s="1266">
        <f t="shared" si="574"/>
        <v>18179135978</v>
      </c>
      <c r="J607" s="1266">
        <f t="shared" si="574"/>
        <v>28616387275</v>
      </c>
      <c r="K607" s="1266">
        <f t="shared" si="574"/>
        <v>40281586871</v>
      </c>
      <c r="L607" s="1266">
        <f t="shared" si="574"/>
        <v>16161747459</v>
      </c>
      <c r="M607" s="1266">
        <f t="shared" si="574"/>
        <v>35751379858</v>
      </c>
      <c r="N607" s="1266">
        <f t="shared" si="574"/>
        <v>49993248057</v>
      </c>
      <c r="O607" s="1266">
        <f t="shared" si="574"/>
        <v>69769222471</v>
      </c>
      <c r="P607" s="1266">
        <f t="shared" si="574"/>
        <v>25584730282</v>
      </c>
      <c r="Q607" s="1266">
        <f t="shared" si="574"/>
        <v>47880956308</v>
      </c>
      <c r="R607" s="1266">
        <f t="shared" si="574"/>
        <v>69165814710</v>
      </c>
      <c r="S607" s="1266">
        <f t="shared" si="574"/>
        <v>86794531058</v>
      </c>
      <c r="T607" s="1266">
        <f t="shared" si="574"/>
        <v>33022301088</v>
      </c>
      <c r="U607" s="1266">
        <f t="shared" si="574"/>
        <v>61476172617</v>
      </c>
      <c r="V607" s="1266">
        <f t="shared" si="574"/>
        <v>95252012530</v>
      </c>
      <c r="W607" s="1266">
        <f t="shared" si="574"/>
        <v>140613028480</v>
      </c>
      <c r="X607" s="1266">
        <f t="shared" si="574"/>
        <v>31506983308</v>
      </c>
      <c r="Y607" s="1266">
        <f t="shared" si="574"/>
        <v>66628431342</v>
      </c>
      <c r="Z607" s="1266">
        <f t="shared" si="574"/>
        <v>119973125935</v>
      </c>
      <c r="AA607" s="1266">
        <f t="shared" ref="AA607:AF607" si="575">SUM(AA608:AA613)</f>
        <v>174161716135</v>
      </c>
      <c r="AB607" s="1266">
        <f t="shared" si="575"/>
        <v>46283687829</v>
      </c>
      <c r="AC607" s="1266">
        <f t="shared" si="575"/>
        <v>97402387601</v>
      </c>
      <c r="AD607" s="1266">
        <f t="shared" si="575"/>
        <v>151057058476</v>
      </c>
      <c r="AE607" s="1266">
        <f t="shared" si="575"/>
        <v>203568619304</v>
      </c>
      <c r="AF607" s="1266">
        <f t="shared" si="575"/>
        <v>54054193125</v>
      </c>
      <c r="AG607" s="1266">
        <f t="shared" ref="AG607:AH607" si="576">SUM(AG608:AG613)</f>
        <v>145244560678</v>
      </c>
      <c r="AH607" s="1266">
        <f t="shared" si="576"/>
        <v>225584378882</v>
      </c>
    </row>
    <row r="608" spans="1:34">
      <c r="B608" s="34" t="s">
        <v>2189</v>
      </c>
      <c r="C608" s="34" t="s">
        <v>2189</v>
      </c>
      <c r="D608" s="1267">
        <f t="shared" ref="D608:AE608" si="577">D28</f>
        <v>44679151805</v>
      </c>
      <c r="E608" s="1267">
        <f t="shared" si="577"/>
        <v>10133139752</v>
      </c>
      <c r="F608" s="1267">
        <f t="shared" si="577"/>
        <v>0</v>
      </c>
      <c r="G608" s="1267">
        <f t="shared" si="577"/>
        <v>29551512216</v>
      </c>
      <c r="H608" s="1267">
        <f t="shared" si="577"/>
        <v>36340026553</v>
      </c>
      <c r="I608" s="1267">
        <f t="shared" si="577"/>
        <v>8846574174</v>
      </c>
      <c r="J608" s="1267">
        <f t="shared" si="577"/>
        <v>14277598373</v>
      </c>
      <c r="K608" s="1267">
        <f t="shared" si="577"/>
        <v>22680860420</v>
      </c>
      <c r="L608" s="1267">
        <f t="shared" si="577"/>
        <v>6271045326</v>
      </c>
      <c r="M608" s="1267">
        <f t="shared" si="577"/>
        <v>18096390229</v>
      </c>
      <c r="N608" s="1267">
        <f t="shared" si="577"/>
        <v>25600839250</v>
      </c>
      <c r="O608" s="1267">
        <f t="shared" si="577"/>
        <v>40431269812</v>
      </c>
      <c r="P608" s="1267">
        <f t="shared" si="577"/>
        <v>14993639550</v>
      </c>
      <c r="Q608" s="1267">
        <f t="shared" si="577"/>
        <v>30494651218</v>
      </c>
      <c r="R608" s="1267">
        <f t="shared" si="577"/>
        <v>46102679164</v>
      </c>
      <c r="S608" s="1267">
        <f t="shared" si="577"/>
        <v>58101968616</v>
      </c>
      <c r="T608" s="1267">
        <f t="shared" si="577"/>
        <v>21517752199</v>
      </c>
      <c r="U608" s="1267">
        <f t="shared" si="577"/>
        <v>37012870470</v>
      </c>
      <c r="V608" s="1267">
        <f t="shared" si="577"/>
        <v>58891328959</v>
      </c>
      <c r="W608" s="1267">
        <f t="shared" si="577"/>
        <v>82236884109</v>
      </c>
      <c r="X608" s="1267">
        <f t="shared" si="577"/>
        <v>19640194091</v>
      </c>
      <c r="Y608" s="1267">
        <f t="shared" si="577"/>
        <v>35439731244</v>
      </c>
      <c r="Z608" s="1267">
        <f t="shared" si="577"/>
        <v>63008099936</v>
      </c>
      <c r="AA608" s="1267">
        <f t="shared" si="577"/>
        <v>98878581587</v>
      </c>
      <c r="AB608" s="1267">
        <f t="shared" si="577"/>
        <v>18410768310</v>
      </c>
      <c r="AC608" s="1267">
        <f t="shared" si="577"/>
        <v>35757726751</v>
      </c>
      <c r="AD608" s="1267">
        <f t="shared" si="577"/>
        <v>51028563378</v>
      </c>
      <c r="AE608" s="1267">
        <f t="shared" si="577"/>
        <v>76435634115</v>
      </c>
      <c r="AF608" s="1267">
        <f t="shared" ref="AF608:AG608" si="578">AF28</f>
        <v>11604901279</v>
      </c>
      <c r="AG608" s="1267">
        <f t="shared" si="578"/>
        <v>39477327067</v>
      </c>
      <c r="AH608" s="1267">
        <f t="shared" ref="AH608" si="579">AH28</f>
        <v>60123376132</v>
      </c>
    </row>
    <row r="609" spans="1:35">
      <c r="B609" s="34" t="s">
        <v>2190</v>
      </c>
      <c r="C609" s="34" t="s">
        <v>2190</v>
      </c>
      <c r="D609" s="1267">
        <f t="shared" ref="D609:AE609" si="580">D31</f>
        <v>531000000</v>
      </c>
      <c r="E609" s="1267">
        <f t="shared" si="580"/>
        <v>41000000</v>
      </c>
      <c r="F609" s="1267">
        <f t="shared" si="580"/>
        <v>0</v>
      </c>
      <c r="G609" s="1267">
        <f t="shared" si="580"/>
        <v>86000000</v>
      </c>
      <c r="H609" s="1267">
        <f t="shared" si="580"/>
        <v>90000000</v>
      </c>
      <c r="I609" s="1267">
        <f t="shared" si="580"/>
        <v>2000000</v>
      </c>
      <c r="J609" s="1267">
        <f t="shared" si="580"/>
        <v>15000000</v>
      </c>
      <c r="K609" s="1267">
        <f t="shared" si="580"/>
        <v>18000000</v>
      </c>
      <c r="L609" s="1267">
        <f t="shared" si="580"/>
        <v>2000000</v>
      </c>
      <c r="M609" s="1267">
        <f t="shared" si="580"/>
        <v>2000000</v>
      </c>
      <c r="N609" s="1267">
        <f t="shared" si="580"/>
        <v>2000000</v>
      </c>
      <c r="O609" s="1267">
        <f t="shared" si="580"/>
        <v>12000000</v>
      </c>
      <c r="P609" s="1267">
        <f t="shared" si="580"/>
        <v>0</v>
      </c>
      <c r="Q609" s="1267">
        <f t="shared" si="580"/>
        <v>0</v>
      </c>
      <c r="R609" s="1267">
        <f t="shared" si="580"/>
        <v>0</v>
      </c>
      <c r="S609" s="1267">
        <f t="shared" si="580"/>
        <v>0</v>
      </c>
      <c r="T609" s="1267">
        <f t="shared" si="580"/>
        <v>0</v>
      </c>
      <c r="U609" s="1267">
        <f t="shared" si="580"/>
        <v>0</v>
      </c>
      <c r="V609" s="1267">
        <f t="shared" si="580"/>
        <v>0</v>
      </c>
      <c r="W609" s="1267">
        <f t="shared" si="580"/>
        <v>0</v>
      </c>
      <c r="X609" s="1267">
        <f t="shared" si="580"/>
        <v>0</v>
      </c>
      <c r="Y609" s="1267">
        <f t="shared" si="580"/>
        <v>0</v>
      </c>
      <c r="Z609" s="1267">
        <f t="shared" si="580"/>
        <v>0</v>
      </c>
      <c r="AA609" s="1267">
        <f t="shared" si="580"/>
        <v>0</v>
      </c>
      <c r="AB609" s="1267">
        <f t="shared" si="580"/>
        <v>0</v>
      </c>
      <c r="AC609" s="1267">
        <f t="shared" si="580"/>
        <v>0</v>
      </c>
      <c r="AD609" s="1267">
        <f t="shared" si="580"/>
        <v>0</v>
      </c>
      <c r="AE609" s="1267">
        <f t="shared" si="580"/>
        <v>0</v>
      </c>
      <c r="AF609" s="1267">
        <f t="shared" ref="AF609:AG609" si="581">AF31</f>
        <v>0</v>
      </c>
      <c r="AG609" s="1267">
        <f t="shared" si="581"/>
        <v>0</v>
      </c>
      <c r="AH609" s="1267">
        <f t="shared" ref="AH609" si="582">AH31</f>
        <v>0</v>
      </c>
    </row>
    <row r="610" spans="1:35">
      <c r="B610" s="34" t="s">
        <v>2191</v>
      </c>
      <c r="C610" s="34" t="s">
        <v>2191</v>
      </c>
      <c r="D610" s="1267">
        <f t="shared" ref="D610:AE610" si="583">D43</f>
        <v>0</v>
      </c>
      <c r="E610" s="1267">
        <f t="shared" si="583"/>
        <v>0</v>
      </c>
      <c r="F610" s="1267">
        <f t="shared" si="583"/>
        <v>0</v>
      </c>
      <c r="G610" s="1267">
        <f t="shared" si="583"/>
        <v>0</v>
      </c>
      <c r="H610" s="1267">
        <f t="shared" si="583"/>
        <v>0</v>
      </c>
      <c r="I610" s="1267">
        <f t="shared" si="583"/>
        <v>0</v>
      </c>
      <c r="J610" s="1267">
        <f t="shared" si="583"/>
        <v>0</v>
      </c>
      <c r="K610" s="1267">
        <f t="shared" si="583"/>
        <v>0</v>
      </c>
      <c r="L610" s="1267">
        <f t="shared" si="583"/>
        <v>0</v>
      </c>
      <c r="M610" s="1267">
        <f t="shared" si="583"/>
        <v>0</v>
      </c>
      <c r="N610" s="1267">
        <f t="shared" si="583"/>
        <v>0</v>
      </c>
      <c r="O610" s="1267">
        <f t="shared" si="583"/>
        <v>0</v>
      </c>
      <c r="P610" s="1267">
        <f t="shared" si="583"/>
        <v>0</v>
      </c>
      <c r="Q610" s="1267">
        <f t="shared" si="583"/>
        <v>0</v>
      </c>
      <c r="R610" s="1267">
        <f t="shared" si="583"/>
        <v>0</v>
      </c>
      <c r="S610" s="1267">
        <f t="shared" si="583"/>
        <v>0</v>
      </c>
      <c r="T610" s="1267">
        <f t="shared" si="583"/>
        <v>0</v>
      </c>
      <c r="U610" s="1267">
        <f t="shared" si="583"/>
        <v>0</v>
      </c>
      <c r="V610" s="1267">
        <f t="shared" si="583"/>
        <v>0</v>
      </c>
      <c r="W610" s="1267">
        <f t="shared" si="583"/>
        <v>0</v>
      </c>
      <c r="X610" s="1267">
        <f t="shared" si="583"/>
        <v>0</v>
      </c>
      <c r="Y610" s="1267">
        <f t="shared" si="583"/>
        <v>0</v>
      </c>
      <c r="Z610" s="1267">
        <f t="shared" si="583"/>
        <v>0</v>
      </c>
      <c r="AA610" s="1267">
        <f t="shared" si="583"/>
        <v>0</v>
      </c>
      <c r="AB610" s="1267">
        <f t="shared" si="583"/>
        <v>0</v>
      </c>
      <c r="AC610" s="1267">
        <f t="shared" si="583"/>
        <v>0</v>
      </c>
      <c r="AD610" s="1267">
        <f t="shared" si="583"/>
        <v>0</v>
      </c>
      <c r="AE610" s="1267">
        <f t="shared" si="583"/>
        <v>0</v>
      </c>
      <c r="AF610" s="1267">
        <f t="shared" ref="AF610:AG610" si="584">AF43</f>
        <v>0</v>
      </c>
      <c r="AG610" s="1267">
        <f t="shared" si="584"/>
        <v>0</v>
      </c>
      <c r="AH610" s="1267">
        <f t="shared" ref="AH610" si="585">AH43</f>
        <v>0</v>
      </c>
    </row>
    <row r="611" spans="1:35">
      <c r="B611" s="34" t="s">
        <v>2192</v>
      </c>
      <c r="C611" s="34" t="s">
        <v>2192</v>
      </c>
      <c r="D611" s="1267">
        <f t="shared" ref="D611:AE611" si="586">D44</f>
        <v>12796324325</v>
      </c>
      <c r="E611" s="1267">
        <f t="shared" si="586"/>
        <v>5624142987</v>
      </c>
      <c r="F611" s="1267">
        <f t="shared" si="586"/>
        <v>0</v>
      </c>
      <c r="G611" s="1267">
        <f t="shared" si="586"/>
        <v>12522482923</v>
      </c>
      <c r="H611" s="1267">
        <f t="shared" si="586"/>
        <v>14434277507</v>
      </c>
      <c r="I611" s="1267">
        <f t="shared" si="586"/>
        <v>9105740674</v>
      </c>
      <c r="J611" s="1267">
        <f t="shared" si="586"/>
        <v>13684047525</v>
      </c>
      <c r="K611" s="1267">
        <f t="shared" si="586"/>
        <v>16184651041</v>
      </c>
      <c r="L611" s="1267">
        <f t="shared" si="586"/>
        <v>9133474679</v>
      </c>
      <c r="M611" s="1267">
        <f t="shared" si="586"/>
        <v>16141122919</v>
      </c>
      <c r="N611" s="1267">
        <f t="shared" si="586"/>
        <v>22166471695</v>
      </c>
      <c r="O611" s="1267">
        <f t="shared" si="586"/>
        <v>25476348246</v>
      </c>
      <c r="P611" s="1267">
        <f t="shared" si="586"/>
        <v>7541023741</v>
      </c>
      <c r="Q611" s="1267">
        <f t="shared" si="586"/>
        <v>11316835413</v>
      </c>
      <c r="R611" s="1267">
        <f t="shared" si="586"/>
        <v>14316508140</v>
      </c>
      <c r="S611" s="1267">
        <f t="shared" si="586"/>
        <v>17690864165</v>
      </c>
      <c r="T611" s="1267">
        <f t="shared" si="586"/>
        <v>7734995412</v>
      </c>
      <c r="U611" s="1267">
        <f t="shared" si="586"/>
        <v>15164615808</v>
      </c>
      <c r="V611" s="1267">
        <f t="shared" si="586"/>
        <v>21065141763</v>
      </c>
      <c r="W611" s="1267">
        <f t="shared" si="586"/>
        <v>35330675480</v>
      </c>
      <c r="X611" s="1267">
        <f t="shared" si="586"/>
        <v>5407037711</v>
      </c>
      <c r="Y611" s="1267">
        <f t="shared" si="586"/>
        <v>16360875666</v>
      </c>
      <c r="Z611" s="1267">
        <f t="shared" si="586"/>
        <v>33024630211</v>
      </c>
      <c r="AA611" s="1267">
        <f t="shared" si="586"/>
        <v>42753015490</v>
      </c>
      <c r="AB611" s="1267">
        <f t="shared" si="586"/>
        <v>11707302000</v>
      </c>
      <c r="AC611" s="1267">
        <f t="shared" si="586"/>
        <v>29365690936</v>
      </c>
      <c r="AD611" s="1267">
        <f t="shared" si="586"/>
        <v>49330357918</v>
      </c>
      <c r="AE611" s="1267">
        <f t="shared" si="586"/>
        <v>59590007121</v>
      </c>
      <c r="AF611" s="1267">
        <f t="shared" ref="AF611:AG611" si="587">AF44</f>
        <v>24766447551</v>
      </c>
      <c r="AG611" s="1267">
        <f t="shared" si="587"/>
        <v>66918662704</v>
      </c>
      <c r="AH611" s="1267">
        <f t="shared" ref="AH611" si="588">AH44</f>
        <v>104580447935</v>
      </c>
    </row>
    <row r="612" spans="1:35">
      <c r="B612" s="496" t="s">
        <v>2193</v>
      </c>
      <c r="C612" s="496" t="s">
        <v>2193</v>
      </c>
      <c r="D612" s="1267">
        <f t="shared" ref="D612:AE612" si="589">D161</f>
        <v>0</v>
      </c>
      <c r="E612" s="1267">
        <f t="shared" si="589"/>
        <v>0</v>
      </c>
      <c r="F612" s="1267">
        <f t="shared" si="589"/>
        <v>0</v>
      </c>
      <c r="G612" s="1267">
        <f t="shared" si="589"/>
        <v>0</v>
      </c>
      <c r="H612" s="1267">
        <f t="shared" si="589"/>
        <v>0</v>
      </c>
      <c r="I612" s="1267">
        <f t="shared" si="589"/>
        <v>0</v>
      </c>
      <c r="J612" s="1267">
        <f t="shared" si="589"/>
        <v>0</v>
      </c>
      <c r="K612" s="1267">
        <f t="shared" si="589"/>
        <v>0</v>
      </c>
      <c r="L612" s="1267">
        <f t="shared" si="589"/>
        <v>0</v>
      </c>
      <c r="M612" s="1267">
        <f t="shared" si="589"/>
        <v>0</v>
      </c>
      <c r="N612" s="1267">
        <f t="shared" si="589"/>
        <v>0</v>
      </c>
      <c r="O612" s="1267">
        <f t="shared" si="589"/>
        <v>0</v>
      </c>
      <c r="P612" s="1267">
        <f t="shared" si="589"/>
        <v>0</v>
      </c>
      <c r="Q612" s="1267">
        <f t="shared" si="589"/>
        <v>0</v>
      </c>
      <c r="R612" s="1267">
        <f t="shared" si="589"/>
        <v>0</v>
      </c>
      <c r="S612" s="1267">
        <f t="shared" si="589"/>
        <v>0</v>
      </c>
      <c r="T612" s="1267">
        <f t="shared" si="589"/>
        <v>0</v>
      </c>
      <c r="U612" s="1267">
        <f t="shared" si="589"/>
        <v>0</v>
      </c>
      <c r="V612" s="1267">
        <f t="shared" si="589"/>
        <v>0</v>
      </c>
      <c r="W612" s="1267">
        <f t="shared" si="589"/>
        <v>0</v>
      </c>
      <c r="X612" s="1267">
        <f t="shared" si="589"/>
        <v>0</v>
      </c>
      <c r="Y612" s="1267">
        <f t="shared" si="589"/>
        <v>0</v>
      </c>
      <c r="Z612" s="1267">
        <f t="shared" si="589"/>
        <v>0</v>
      </c>
      <c r="AA612" s="1267">
        <f t="shared" si="589"/>
        <v>0</v>
      </c>
      <c r="AB612" s="1267">
        <f t="shared" si="589"/>
        <v>0</v>
      </c>
      <c r="AC612" s="1267">
        <f t="shared" si="589"/>
        <v>0</v>
      </c>
      <c r="AD612" s="1267">
        <f t="shared" si="589"/>
        <v>0</v>
      </c>
      <c r="AE612" s="1267">
        <f t="shared" si="589"/>
        <v>0</v>
      </c>
      <c r="AF612" s="1267">
        <f t="shared" ref="AF612:AG612" si="590">AF161</f>
        <v>0</v>
      </c>
      <c r="AG612" s="1267">
        <f t="shared" si="590"/>
        <v>0</v>
      </c>
      <c r="AH612" s="1267">
        <f t="shared" ref="AH612" si="591">AH161</f>
        <v>0</v>
      </c>
    </row>
    <row r="613" spans="1:35">
      <c r="B613" s="34" t="s">
        <v>2194</v>
      </c>
      <c r="C613" s="34" t="s">
        <v>2194</v>
      </c>
      <c r="D613" s="1267">
        <f t="shared" ref="D613:AE613" si="592">D65</f>
        <v>0</v>
      </c>
      <c r="E613" s="1267">
        <f t="shared" si="592"/>
        <v>0</v>
      </c>
      <c r="F613" s="1267">
        <f t="shared" si="592"/>
        <v>0</v>
      </c>
      <c r="G613" s="1267">
        <f t="shared" si="592"/>
        <v>0</v>
      </c>
      <c r="H613" s="1267">
        <f t="shared" si="592"/>
        <v>0</v>
      </c>
      <c r="I613" s="1267">
        <f t="shared" si="592"/>
        <v>224821130</v>
      </c>
      <c r="J613" s="1267">
        <f t="shared" si="592"/>
        <v>639741377</v>
      </c>
      <c r="K613" s="1267">
        <f t="shared" si="592"/>
        <v>1398075410</v>
      </c>
      <c r="L613" s="1267">
        <f t="shared" si="592"/>
        <v>755227454</v>
      </c>
      <c r="M613" s="1267">
        <f t="shared" si="592"/>
        <v>1511866710</v>
      </c>
      <c r="N613" s="1267">
        <f t="shared" si="592"/>
        <v>2223937112</v>
      </c>
      <c r="O613" s="1267">
        <f t="shared" si="592"/>
        <v>3849604413</v>
      </c>
      <c r="P613" s="1267">
        <f t="shared" si="592"/>
        <v>3050066991</v>
      </c>
      <c r="Q613" s="1267">
        <f t="shared" si="592"/>
        <v>6069469677</v>
      </c>
      <c r="R613" s="1267">
        <f t="shared" si="592"/>
        <v>8746627406</v>
      </c>
      <c r="S613" s="1267">
        <f t="shared" si="592"/>
        <v>11001698277</v>
      </c>
      <c r="T613" s="1267">
        <f t="shared" si="592"/>
        <v>3769553477</v>
      </c>
      <c r="U613" s="1267">
        <f t="shared" si="592"/>
        <v>9298686339</v>
      </c>
      <c r="V613" s="1267">
        <f t="shared" si="592"/>
        <v>15295541808</v>
      </c>
      <c r="W613" s="1267">
        <f t="shared" si="592"/>
        <v>23045468891</v>
      </c>
      <c r="X613" s="1267">
        <f t="shared" si="592"/>
        <v>6459751506</v>
      </c>
      <c r="Y613" s="1267">
        <f t="shared" si="592"/>
        <v>14827824432</v>
      </c>
      <c r="Z613" s="1267">
        <f t="shared" si="592"/>
        <v>23940395788</v>
      </c>
      <c r="AA613" s="1267">
        <f t="shared" si="592"/>
        <v>32530119058</v>
      </c>
      <c r="AB613" s="1267">
        <f t="shared" si="592"/>
        <v>16165617519</v>
      </c>
      <c r="AC613" s="1267">
        <f t="shared" si="592"/>
        <v>32278969914</v>
      </c>
      <c r="AD613" s="1267">
        <f t="shared" si="592"/>
        <v>50698137180</v>
      </c>
      <c r="AE613" s="1267">
        <f t="shared" si="592"/>
        <v>67542978068</v>
      </c>
      <c r="AF613" s="1267">
        <f t="shared" ref="AF613:AG613" si="593">AF65</f>
        <v>17682844295</v>
      </c>
      <c r="AG613" s="1267">
        <f t="shared" si="593"/>
        <v>38848570907</v>
      </c>
      <c r="AH613" s="1267">
        <f t="shared" ref="AH613" si="594">AH65</f>
        <v>60880554815</v>
      </c>
    </row>
    <row r="614" spans="1:35">
      <c r="D614" s="1267"/>
      <c r="E614" s="1267"/>
      <c r="F614" s="1267"/>
      <c r="G614" s="1267"/>
      <c r="H614" s="1267"/>
      <c r="I614" s="1267"/>
      <c r="J614" s="1267"/>
      <c r="K614" s="1267"/>
      <c r="L614" s="1267"/>
      <c r="M614" s="1267"/>
      <c r="N614" s="1267"/>
      <c r="O614" s="1267"/>
      <c r="P614" s="1267"/>
      <c r="Q614" s="1267"/>
      <c r="R614" s="1267"/>
      <c r="S614" s="1267"/>
      <c r="T614" s="1267"/>
      <c r="U614" s="1267"/>
      <c r="V614" s="1267"/>
      <c r="W614" s="1267"/>
      <c r="X614" s="1267"/>
      <c r="Y614" s="1267"/>
      <c r="Z614" s="1267"/>
      <c r="AA614" s="1267"/>
      <c r="AB614" s="1267"/>
      <c r="AC614" s="1267"/>
      <c r="AD614" s="1267"/>
      <c r="AE614" s="1267"/>
      <c r="AF614" s="1267"/>
      <c r="AG614" s="1267"/>
      <c r="AH614" s="1267"/>
    </row>
    <row r="615" spans="1:35">
      <c r="A615" s="496" t="s">
        <v>2208</v>
      </c>
      <c r="D615" s="1266">
        <f t="shared" ref="D615:Z615" si="595">D616+D617+D619+D620+D621+D622+D623+D624+D625</f>
        <v>157028664393</v>
      </c>
      <c r="E615" s="1266">
        <f t="shared" si="595"/>
        <v>38244977272</v>
      </c>
      <c r="F615" s="1266">
        <f t="shared" si="595"/>
        <v>0</v>
      </c>
      <c r="G615" s="1266">
        <f t="shared" si="595"/>
        <v>124828903713</v>
      </c>
      <c r="H615" s="1266">
        <f t="shared" si="595"/>
        <v>217474200259</v>
      </c>
      <c r="I615" s="1266">
        <f t="shared" si="595"/>
        <v>20180274258</v>
      </c>
      <c r="J615" s="1266">
        <f t="shared" si="595"/>
        <v>39064381469</v>
      </c>
      <c r="K615" s="1266">
        <f t="shared" si="595"/>
        <v>63640562622</v>
      </c>
      <c r="L615" s="1266">
        <f t="shared" si="595"/>
        <v>41026898887</v>
      </c>
      <c r="M615" s="1266">
        <f t="shared" si="595"/>
        <v>110273368989</v>
      </c>
      <c r="N615" s="1266">
        <f t="shared" si="595"/>
        <v>174334206675</v>
      </c>
      <c r="O615" s="1266">
        <f t="shared" si="595"/>
        <v>243466444260</v>
      </c>
      <c r="P615" s="1266">
        <f t="shared" si="595"/>
        <v>114227122055</v>
      </c>
      <c r="Q615" s="1266">
        <f t="shared" si="595"/>
        <v>193299138202</v>
      </c>
      <c r="R615" s="1266">
        <f t="shared" si="595"/>
        <v>209527394420</v>
      </c>
      <c r="S615" s="1266">
        <f t="shared" si="595"/>
        <v>223045699390</v>
      </c>
      <c r="T615" s="1266">
        <f t="shared" si="595"/>
        <v>64587794927</v>
      </c>
      <c r="U615" s="1266">
        <f t="shared" si="595"/>
        <v>96902914907</v>
      </c>
      <c r="V615" s="1266">
        <f t="shared" si="595"/>
        <v>147962321321</v>
      </c>
      <c r="W615" s="1266">
        <f t="shared" si="595"/>
        <v>212445367952</v>
      </c>
      <c r="X615" s="1266">
        <f t="shared" si="595"/>
        <v>157206169413</v>
      </c>
      <c r="Y615" s="1266">
        <f t="shared" si="595"/>
        <v>280969128470</v>
      </c>
      <c r="Z615" s="1266">
        <f t="shared" si="595"/>
        <v>366327021919</v>
      </c>
      <c r="AA615" s="1266">
        <f t="shared" ref="AA615:AF615" si="596">AA616+AA617+AA619+AA620+AA621+AA622+AA623+AA624+AA625</f>
        <v>452375800091</v>
      </c>
      <c r="AB615" s="1266">
        <f t="shared" si="596"/>
        <v>170185369024</v>
      </c>
      <c r="AC615" s="1266">
        <f t="shared" si="596"/>
        <v>281636158015</v>
      </c>
      <c r="AD615" s="1266">
        <f t="shared" si="596"/>
        <v>395162915884</v>
      </c>
      <c r="AE615" s="1266">
        <f t="shared" si="596"/>
        <v>503939226165</v>
      </c>
      <c r="AF615" s="1266">
        <f t="shared" si="596"/>
        <v>282592008870</v>
      </c>
      <c r="AG615" s="1266">
        <f t="shared" ref="AG615:AH615" si="597">AG616+AG617+AG619+AG620+AG621+AG622+AG623+AG624+AG625</f>
        <v>475044804644</v>
      </c>
      <c r="AH615" s="1266">
        <f t="shared" si="597"/>
        <v>583579862822</v>
      </c>
      <c r="AI615" s="1489"/>
    </row>
    <row r="616" spans="1:35">
      <c r="B616" s="34" t="s">
        <v>2209</v>
      </c>
      <c r="C616" s="34" t="s">
        <v>2209</v>
      </c>
      <c r="D616" s="1267">
        <f t="shared" ref="D616:AE616" si="598">D73-D228</f>
        <v>28373176061</v>
      </c>
      <c r="E616" s="1267">
        <f t="shared" si="598"/>
        <v>51949835008</v>
      </c>
      <c r="F616" s="1267">
        <f t="shared" si="598"/>
        <v>0</v>
      </c>
      <c r="G616" s="1267">
        <f t="shared" si="598"/>
        <v>-219695152451</v>
      </c>
      <c r="H616" s="1267">
        <f t="shared" si="598"/>
        <v>-168565228196</v>
      </c>
      <c r="I616" s="1267">
        <f t="shared" si="598"/>
        <v>95230350119</v>
      </c>
      <c r="J616" s="1267">
        <f t="shared" si="598"/>
        <v>-181826108778</v>
      </c>
      <c r="K616" s="1267">
        <f t="shared" si="598"/>
        <v>-259946555963</v>
      </c>
      <c r="L616" s="1267">
        <f t="shared" si="598"/>
        <v>10033499690</v>
      </c>
      <c r="M616" s="1267">
        <f t="shared" si="598"/>
        <v>-113137293225</v>
      </c>
      <c r="N616" s="1267">
        <f t="shared" si="598"/>
        <v>-100894354392</v>
      </c>
      <c r="O616" s="1267">
        <f t="shared" si="598"/>
        <v>-183965889132</v>
      </c>
      <c r="P616" s="1267">
        <f t="shared" si="598"/>
        <v>-95058700515</v>
      </c>
      <c r="Q616" s="1267">
        <f t="shared" si="598"/>
        <v>-135098369811</v>
      </c>
      <c r="R616" s="1267">
        <f t="shared" si="598"/>
        <v>501905419718</v>
      </c>
      <c r="S616" s="1267">
        <f t="shared" si="598"/>
        <v>142928329355</v>
      </c>
      <c r="T616" s="1267">
        <f t="shared" si="598"/>
        <v>182598525475</v>
      </c>
      <c r="U616" s="1267">
        <f t="shared" si="598"/>
        <v>120766932195</v>
      </c>
      <c r="V616" s="1267">
        <f t="shared" si="598"/>
        <v>-336783261458</v>
      </c>
      <c r="W616" s="1267">
        <f t="shared" si="598"/>
        <v>-461131152248</v>
      </c>
      <c r="X616" s="1267">
        <f t="shared" si="598"/>
        <v>-428307743678</v>
      </c>
      <c r="Y616" s="1267">
        <f t="shared" si="598"/>
        <v>-596735323609</v>
      </c>
      <c r="Z616" s="1267">
        <f t="shared" si="598"/>
        <v>-723427330982</v>
      </c>
      <c r="AA616" s="1267">
        <f t="shared" si="598"/>
        <v>-988177684939</v>
      </c>
      <c r="AB616" s="1267">
        <f t="shared" si="598"/>
        <v>-85946382030</v>
      </c>
      <c r="AC616" s="1267">
        <f t="shared" si="598"/>
        <v>-84866840936</v>
      </c>
      <c r="AD616" s="1267">
        <f t="shared" si="598"/>
        <v>-132809840663</v>
      </c>
      <c r="AE616" s="1267">
        <f t="shared" si="598"/>
        <v>38003954398</v>
      </c>
      <c r="AF616" s="1267">
        <f t="shared" ref="AF616:AG616" si="599">AF73-AF228</f>
        <v>-584234997380</v>
      </c>
      <c r="AG616" s="1267">
        <f t="shared" si="599"/>
        <v>-715949676593</v>
      </c>
      <c r="AH616" s="1267">
        <f t="shared" ref="AH616" si="600">AH73-AH228</f>
        <v>-819026537165</v>
      </c>
    </row>
    <row r="617" spans="1:35">
      <c r="B617" s="34" t="s">
        <v>2210</v>
      </c>
      <c r="C617" s="34" t="s">
        <v>2210</v>
      </c>
      <c r="D617" s="1267">
        <f t="shared" ref="D617:AE617" si="601">D127-D283</f>
        <v>-45062678305</v>
      </c>
      <c r="E617" s="1267">
        <f t="shared" si="601"/>
        <v>-92052948441</v>
      </c>
      <c r="F617" s="1267">
        <f t="shared" si="601"/>
        <v>0</v>
      </c>
      <c r="G617" s="1267">
        <f t="shared" si="601"/>
        <v>146001399567</v>
      </c>
      <c r="H617" s="1267">
        <f t="shared" si="601"/>
        <v>94432261626</v>
      </c>
      <c r="I617" s="1267">
        <f t="shared" si="601"/>
        <v>-191194522808</v>
      </c>
      <c r="J617" s="1267">
        <f t="shared" si="601"/>
        <v>48962627766</v>
      </c>
      <c r="K617" s="1267">
        <f t="shared" si="601"/>
        <v>71002198636</v>
      </c>
      <c r="L617" s="1267">
        <f t="shared" si="601"/>
        <v>-50745890051</v>
      </c>
      <c r="M617" s="1267">
        <f t="shared" si="601"/>
        <v>70899274173</v>
      </c>
      <c r="N617" s="1267">
        <f t="shared" si="601"/>
        <v>6435770838</v>
      </c>
      <c r="O617" s="1267">
        <f t="shared" si="601"/>
        <v>13608049328</v>
      </c>
      <c r="P617" s="1267">
        <f t="shared" si="601"/>
        <v>65614032668</v>
      </c>
      <c r="Q617" s="1267">
        <f t="shared" si="601"/>
        <v>37562561593</v>
      </c>
      <c r="R617" s="1267">
        <f t="shared" si="601"/>
        <v>-717913424582</v>
      </c>
      <c r="S617" s="1267">
        <f t="shared" si="601"/>
        <v>-391863564009</v>
      </c>
      <c r="T617" s="1267">
        <f t="shared" si="601"/>
        <v>-243134192981</v>
      </c>
      <c r="U617" s="1267">
        <f t="shared" si="601"/>
        <v>-233976578380</v>
      </c>
      <c r="V617" s="1267">
        <f t="shared" si="601"/>
        <v>237450165226</v>
      </c>
      <c r="W617" s="1267">
        <f t="shared" si="601"/>
        <v>279416184916</v>
      </c>
      <c r="X617" s="1267">
        <f t="shared" si="601"/>
        <v>459426325351</v>
      </c>
      <c r="Y617" s="1267">
        <f t="shared" si="601"/>
        <v>593957546043</v>
      </c>
      <c r="Z617" s="1267">
        <f t="shared" si="601"/>
        <v>676393470151</v>
      </c>
      <c r="AA617" s="1267">
        <f t="shared" si="601"/>
        <v>928184532625</v>
      </c>
      <c r="AB617" s="1267">
        <f t="shared" si="601"/>
        <v>47399503979</v>
      </c>
      <c r="AC617" s="1267">
        <f t="shared" si="601"/>
        <v>33654933639</v>
      </c>
      <c r="AD617" s="1267">
        <f t="shared" si="601"/>
        <v>67878113982</v>
      </c>
      <c r="AE617" s="1267">
        <f t="shared" si="601"/>
        <v>-155522128265</v>
      </c>
      <c r="AF617" s="1267">
        <f t="shared" ref="AF617:AG617" si="602">AF127-AF283</f>
        <v>647530820238</v>
      </c>
      <c r="AG617" s="1267">
        <f t="shared" si="602"/>
        <v>767236114884</v>
      </c>
      <c r="AH617" s="1267">
        <f t="shared" ref="AH617" si="603">AH127-AH283</f>
        <v>886318747856</v>
      </c>
    </row>
    <row r="618" spans="1:35">
      <c r="B618" s="34" t="s">
        <v>2211</v>
      </c>
      <c r="C618" s="34" t="s">
        <v>2211</v>
      </c>
      <c r="D618" s="1269">
        <f t="shared" ref="D618:AE618" si="604">D167-D316</f>
        <v>3308199372</v>
      </c>
      <c r="E618" s="1269">
        <f t="shared" si="604"/>
        <v>-16631595194</v>
      </c>
      <c r="F618" s="1269">
        <f t="shared" si="604"/>
        <v>0</v>
      </c>
      <c r="G618" s="1269">
        <f t="shared" si="604"/>
        <v>-5724183668</v>
      </c>
      <c r="H618" s="1269">
        <f t="shared" si="604"/>
        <v>-6974237275</v>
      </c>
      <c r="I618" s="1269">
        <f t="shared" si="604"/>
        <v>-41416615</v>
      </c>
      <c r="J618" s="1269">
        <f t="shared" si="604"/>
        <v>-72194741</v>
      </c>
      <c r="K618" s="1269">
        <f t="shared" si="604"/>
        <v>-16183906001</v>
      </c>
      <c r="L618" s="1269">
        <f t="shared" si="604"/>
        <v>-2067142860</v>
      </c>
      <c r="M618" s="1269">
        <f t="shared" si="604"/>
        <v>-2401152326</v>
      </c>
      <c r="N618" s="1269">
        <f t="shared" si="604"/>
        <v>3255323089</v>
      </c>
      <c r="O618" s="1269">
        <f t="shared" si="604"/>
        <v>1663961044</v>
      </c>
      <c r="P618" s="1269">
        <f t="shared" si="604"/>
        <v>700508145</v>
      </c>
      <c r="Q618" s="1269">
        <f t="shared" si="604"/>
        <v>2631967888</v>
      </c>
      <c r="R618" s="1269">
        <f t="shared" si="604"/>
        <v>2631967888</v>
      </c>
      <c r="S618" s="1269">
        <f t="shared" si="604"/>
        <v>2631967888</v>
      </c>
      <c r="T618" s="1269">
        <f t="shared" si="604"/>
        <v>-151361794</v>
      </c>
      <c r="U618" s="1269">
        <f t="shared" si="604"/>
        <v>-163358350</v>
      </c>
      <c r="V618" s="1269">
        <f t="shared" si="604"/>
        <v>-168360616</v>
      </c>
      <c r="W618" s="1269">
        <f t="shared" si="604"/>
        <v>-165464146</v>
      </c>
      <c r="X618" s="1269">
        <f t="shared" si="604"/>
        <v>54174983</v>
      </c>
      <c r="Y618" s="1269">
        <f t="shared" si="604"/>
        <v>-420867013</v>
      </c>
      <c r="Z618" s="1269">
        <f t="shared" si="604"/>
        <v>-507908943</v>
      </c>
      <c r="AA618" s="1269">
        <f t="shared" si="604"/>
        <v>-507908943</v>
      </c>
      <c r="AB618" s="1269">
        <f t="shared" si="604"/>
        <v>-3152050915</v>
      </c>
      <c r="AC618" s="1269">
        <f t="shared" si="604"/>
        <v>-2195822422</v>
      </c>
      <c r="AD618" s="1269">
        <f t="shared" si="604"/>
        <v>-3368903885</v>
      </c>
      <c r="AE618" s="1269">
        <f t="shared" si="604"/>
        <v>-2236826738</v>
      </c>
      <c r="AF618" s="1269">
        <f t="shared" ref="AF618:AG618" si="605">AF167-AF316</f>
        <v>-1423579829</v>
      </c>
      <c r="AG618" s="1269">
        <f t="shared" si="605"/>
        <v>-1216390450</v>
      </c>
      <c r="AH618" s="1269">
        <f t="shared" ref="AH618" si="606">AH167-AH316</f>
        <v>-4258040581</v>
      </c>
    </row>
    <row r="619" spans="1:35">
      <c r="B619" s="34" t="s">
        <v>2212</v>
      </c>
      <c r="C619" s="34" t="s">
        <v>2212</v>
      </c>
      <c r="D619" s="1267">
        <f t="shared" ref="D619:AE619" si="607">D172-D321</f>
        <v>8138341763</v>
      </c>
      <c r="E619" s="1267">
        <f t="shared" si="607"/>
        <v>2258496535</v>
      </c>
      <c r="F619" s="1267">
        <f t="shared" si="607"/>
        <v>0</v>
      </c>
      <c r="G619" s="1267">
        <f t="shared" si="607"/>
        <v>-22469886183</v>
      </c>
      <c r="H619" s="1267">
        <f t="shared" si="607"/>
        <v>-15523071708</v>
      </c>
      <c r="I619" s="1267">
        <f t="shared" si="607"/>
        <v>6747280610</v>
      </c>
      <c r="J619" s="1267">
        <f t="shared" si="607"/>
        <v>-14727392997</v>
      </c>
      <c r="K619" s="1267">
        <f t="shared" si="607"/>
        <v>-19505129593</v>
      </c>
      <c r="L619" s="1267">
        <f t="shared" si="607"/>
        <v>2288633810</v>
      </c>
      <c r="M619" s="1267">
        <f t="shared" si="607"/>
        <v>-31629110181</v>
      </c>
      <c r="N619" s="1267">
        <f t="shared" si="607"/>
        <v>-7441776533</v>
      </c>
      <c r="O619" s="1267">
        <f t="shared" si="607"/>
        <v>22324009527</v>
      </c>
      <c r="P619" s="1267">
        <f t="shared" si="607"/>
        <v>-7982325418</v>
      </c>
      <c r="Q619" s="1267">
        <f t="shared" si="607"/>
        <v>1595132810</v>
      </c>
      <c r="R619" s="1267">
        <f t="shared" si="607"/>
        <v>38181324169</v>
      </c>
      <c r="S619" s="1267">
        <f t="shared" si="607"/>
        <v>6929867926</v>
      </c>
      <c r="T619" s="1267">
        <f t="shared" si="607"/>
        <v>-8881700091</v>
      </c>
      <c r="U619" s="1267">
        <f t="shared" si="607"/>
        <v>-3049995484</v>
      </c>
      <c r="V619" s="1267">
        <f t="shared" si="607"/>
        <v>-65323237667</v>
      </c>
      <c r="W619" s="1267">
        <f t="shared" si="607"/>
        <v>-21484583670</v>
      </c>
      <c r="X619" s="1267">
        <f t="shared" si="607"/>
        <v>-42155207226</v>
      </c>
      <c r="Y619" s="1267">
        <f t="shared" si="607"/>
        <v>-17748609796</v>
      </c>
      <c r="Z619" s="1267">
        <f t="shared" si="607"/>
        <v>-8383501726</v>
      </c>
      <c r="AA619" s="1267">
        <f t="shared" si="607"/>
        <v>-40150073329</v>
      </c>
      <c r="AB619" s="1267">
        <f t="shared" si="607"/>
        <v>-8684444545</v>
      </c>
      <c r="AC619" s="1267">
        <f t="shared" si="607"/>
        <v>-48361359299</v>
      </c>
      <c r="AD619" s="1267">
        <f t="shared" si="607"/>
        <v>-52767440909</v>
      </c>
      <c r="AE619" s="1267">
        <f t="shared" si="607"/>
        <v>-61815605233</v>
      </c>
      <c r="AF619" s="1267">
        <f t="shared" ref="AF619:AG619" si="608">AF172-AF321</f>
        <v>-26766284083</v>
      </c>
      <c r="AG619" s="1267">
        <f t="shared" si="608"/>
        <v>-18505025926</v>
      </c>
      <c r="AH619" s="1267">
        <f t="shared" ref="AH619" si="609">AH172-AH321</f>
        <v>-94297570269</v>
      </c>
    </row>
    <row r="620" spans="1:35">
      <c r="B620" s="34" t="s">
        <v>2213</v>
      </c>
      <c r="C620" s="34" t="s">
        <v>2213</v>
      </c>
      <c r="D620" s="1267">
        <f t="shared" ref="D620:AE620" si="610">SUM(D176,D177)</f>
        <v>44225674889</v>
      </c>
      <c r="E620" s="1267">
        <f t="shared" si="610"/>
        <v>2005446639</v>
      </c>
      <c r="F620" s="1267">
        <f t="shared" si="610"/>
        <v>0</v>
      </c>
      <c r="G620" s="1267">
        <f t="shared" si="610"/>
        <v>6241473323</v>
      </c>
      <c r="H620" s="1267">
        <f t="shared" si="610"/>
        <v>17679818283</v>
      </c>
      <c r="I620" s="1267">
        <f t="shared" si="610"/>
        <v>39600729122</v>
      </c>
      <c r="J620" s="1267">
        <f t="shared" si="610"/>
        <v>41860844869</v>
      </c>
      <c r="K620" s="1267">
        <f t="shared" si="610"/>
        <v>43637153385</v>
      </c>
      <c r="L620" s="1267">
        <f t="shared" si="610"/>
        <v>15480189599</v>
      </c>
      <c r="M620" s="1267">
        <f t="shared" si="610"/>
        <v>44831805127</v>
      </c>
      <c r="N620" s="1267">
        <f t="shared" si="610"/>
        <v>46040724621</v>
      </c>
      <c r="O620" s="1267">
        <f t="shared" si="610"/>
        <v>67498511123</v>
      </c>
      <c r="P620" s="1267">
        <f t="shared" si="610"/>
        <v>45799064701</v>
      </c>
      <c r="Q620" s="1267">
        <f t="shared" si="610"/>
        <v>56265859074</v>
      </c>
      <c r="R620" s="1267">
        <f t="shared" si="610"/>
        <v>57906385426</v>
      </c>
      <c r="S620" s="1267">
        <f t="shared" si="610"/>
        <v>59938972582</v>
      </c>
      <c r="T620" s="1267">
        <f t="shared" si="610"/>
        <v>50407715901</v>
      </c>
      <c r="U620" s="1267">
        <f t="shared" si="610"/>
        <v>55082144026</v>
      </c>
      <c r="V620" s="1267">
        <f t="shared" si="610"/>
        <v>60219682866</v>
      </c>
      <c r="W620" s="1267">
        <f t="shared" si="610"/>
        <v>63833916464</v>
      </c>
      <c r="X620" s="1267">
        <f t="shared" si="610"/>
        <v>64558963539</v>
      </c>
      <c r="Y620" s="1267">
        <f t="shared" si="610"/>
        <v>74536321683</v>
      </c>
      <c r="Z620" s="1267">
        <f t="shared" si="610"/>
        <v>87327729588</v>
      </c>
      <c r="AA620" s="1267">
        <f t="shared" si="610"/>
        <v>103778390869</v>
      </c>
      <c r="AB620" s="1267">
        <f t="shared" si="610"/>
        <v>74863533752</v>
      </c>
      <c r="AC620" s="1267">
        <f t="shared" si="610"/>
        <v>95872497914</v>
      </c>
      <c r="AD620" s="1267">
        <f t="shared" si="610"/>
        <v>116172906148</v>
      </c>
      <c r="AE620" s="1267">
        <f t="shared" si="610"/>
        <v>149859049648</v>
      </c>
      <c r="AF620" s="1267">
        <f t="shared" ref="AF620:AG620" si="611">SUM(AF176,AF177)</f>
        <v>108473346391</v>
      </c>
      <c r="AG620" s="1267">
        <f t="shared" si="611"/>
        <v>148951651071</v>
      </c>
      <c r="AH620" s="1267">
        <f t="shared" ref="AH620" si="612">SUM(AH176,AH177)</f>
        <v>173014779697</v>
      </c>
    </row>
    <row r="621" spans="1:35">
      <c r="B621" s="34" t="s">
        <v>2214</v>
      </c>
      <c r="C621" s="34" t="s">
        <v>2214</v>
      </c>
      <c r="D621" s="1267">
        <f t="shared" ref="D621:AE621" si="613">SUM(D188,D189,-D368,-D369)</f>
        <v>0</v>
      </c>
      <c r="E621" s="1267">
        <f t="shared" si="613"/>
        <v>0</v>
      </c>
      <c r="F621" s="1267">
        <f t="shared" si="613"/>
        <v>0</v>
      </c>
      <c r="G621" s="1267">
        <f t="shared" si="613"/>
        <v>0</v>
      </c>
      <c r="H621" s="1267">
        <f t="shared" si="613"/>
        <v>0</v>
      </c>
      <c r="I621" s="1267">
        <f t="shared" si="613"/>
        <v>0</v>
      </c>
      <c r="J621" s="1267">
        <f t="shared" si="613"/>
        <v>0</v>
      </c>
      <c r="K621" s="1267">
        <f t="shared" si="613"/>
        <v>0</v>
      </c>
      <c r="L621" s="1267">
        <f t="shared" si="613"/>
        <v>0</v>
      </c>
      <c r="M621" s="1267">
        <f t="shared" si="613"/>
        <v>0</v>
      </c>
      <c r="N621" s="1267">
        <f t="shared" si="613"/>
        <v>0</v>
      </c>
      <c r="O621" s="1267">
        <f t="shared" si="613"/>
        <v>0</v>
      </c>
      <c r="P621" s="1267">
        <f t="shared" si="613"/>
        <v>0</v>
      </c>
      <c r="Q621" s="1267">
        <f t="shared" si="613"/>
        <v>0</v>
      </c>
      <c r="R621" s="1267">
        <f t="shared" si="613"/>
        <v>0</v>
      </c>
      <c r="S621" s="1267">
        <f t="shared" si="613"/>
        <v>0</v>
      </c>
      <c r="T621" s="1267">
        <f t="shared" si="613"/>
        <v>0</v>
      </c>
      <c r="U621" s="1267">
        <f t="shared" si="613"/>
        <v>-3027560</v>
      </c>
      <c r="V621" s="1267">
        <f t="shared" si="613"/>
        <v>-66807160</v>
      </c>
      <c r="W621" s="1267">
        <f t="shared" si="613"/>
        <v>-153590990</v>
      </c>
      <c r="X621" s="1267">
        <f t="shared" si="613"/>
        <v>-71185620</v>
      </c>
      <c r="Y621" s="1267">
        <f t="shared" si="613"/>
        <v>-67468090</v>
      </c>
      <c r="Z621" s="1267">
        <f t="shared" si="613"/>
        <v>153810500</v>
      </c>
      <c r="AA621" s="1267">
        <f t="shared" si="613"/>
        <v>100109110</v>
      </c>
      <c r="AB621" s="1267">
        <f t="shared" si="613"/>
        <v>-67823300</v>
      </c>
      <c r="AC621" s="1267">
        <f t="shared" si="613"/>
        <v>-156399190</v>
      </c>
      <c r="AD621" s="1267">
        <f t="shared" si="613"/>
        <v>-201079530</v>
      </c>
      <c r="AE621" s="1267">
        <f t="shared" si="613"/>
        <v>-34374060</v>
      </c>
      <c r="AF621" s="1267">
        <f t="shared" ref="AF621:AG621" si="614">SUM(AF188,AF189,-AF368,-AF369)</f>
        <v>206180560</v>
      </c>
      <c r="AG621" s="1267">
        <f t="shared" si="614"/>
        <v>772162090</v>
      </c>
      <c r="AH621" s="1267">
        <f t="shared" ref="AH621" si="615">SUM(AH188,AH189,-AH368,-AH369)</f>
        <v>1285971310</v>
      </c>
    </row>
    <row r="622" spans="1:35">
      <c r="B622" s="34" t="s">
        <v>2215</v>
      </c>
      <c r="C622" s="34" t="s">
        <v>2215</v>
      </c>
      <c r="D622" s="1267">
        <f t="shared" ref="D622:AE622" si="616">SUM(D201,-D381)</f>
        <v>0</v>
      </c>
      <c r="E622" s="1267">
        <f t="shared" si="616"/>
        <v>0</v>
      </c>
      <c r="F622" s="1267">
        <f t="shared" si="616"/>
        <v>0</v>
      </c>
      <c r="G622" s="1267">
        <f t="shared" si="616"/>
        <v>0</v>
      </c>
      <c r="H622" s="1267">
        <f t="shared" si="616"/>
        <v>0</v>
      </c>
      <c r="I622" s="1267">
        <f t="shared" si="616"/>
        <v>0</v>
      </c>
      <c r="J622" s="1267">
        <f t="shared" si="616"/>
        <v>0</v>
      </c>
      <c r="K622" s="1267">
        <f t="shared" si="616"/>
        <v>0</v>
      </c>
      <c r="L622" s="1267">
        <f t="shared" si="616"/>
        <v>0</v>
      </c>
      <c r="M622" s="1267">
        <f t="shared" si="616"/>
        <v>0</v>
      </c>
      <c r="N622" s="1267">
        <f t="shared" si="616"/>
        <v>0</v>
      </c>
      <c r="O622" s="1267">
        <f t="shared" si="616"/>
        <v>0</v>
      </c>
      <c r="P622" s="1267">
        <f t="shared" si="616"/>
        <v>0</v>
      </c>
      <c r="Q622" s="1267">
        <f t="shared" si="616"/>
        <v>0</v>
      </c>
      <c r="R622" s="1267">
        <f t="shared" si="616"/>
        <v>0</v>
      </c>
      <c r="S622" s="1267">
        <f t="shared" si="616"/>
        <v>0</v>
      </c>
      <c r="T622" s="1267">
        <f t="shared" si="616"/>
        <v>0</v>
      </c>
      <c r="U622" s="1267">
        <f t="shared" si="616"/>
        <v>0</v>
      </c>
      <c r="V622" s="1267">
        <f t="shared" si="616"/>
        <v>0</v>
      </c>
      <c r="W622" s="1267">
        <f t="shared" si="616"/>
        <v>0</v>
      </c>
      <c r="X622" s="1267">
        <f t="shared" si="616"/>
        <v>0</v>
      </c>
      <c r="Y622" s="1267">
        <f t="shared" si="616"/>
        <v>0</v>
      </c>
      <c r="Z622" s="1267">
        <f t="shared" si="616"/>
        <v>0</v>
      </c>
      <c r="AA622" s="1267">
        <f t="shared" si="616"/>
        <v>0</v>
      </c>
      <c r="AB622" s="1267">
        <f t="shared" si="616"/>
        <v>0</v>
      </c>
      <c r="AC622" s="1267">
        <f t="shared" si="616"/>
        <v>0</v>
      </c>
      <c r="AD622" s="1267">
        <f t="shared" si="616"/>
        <v>0</v>
      </c>
      <c r="AE622" s="1267">
        <f t="shared" si="616"/>
        <v>0</v>
      </c>
      <c r="AF622" s="1267">
        <f t="shared" ref="AF622:AG622" si="617">SUM(AF201,-AF381)</f>
        <v>0</v>
      </c>
      <c r="AG622" s="1267">
        <f t="shared" si="617"/>
        <v>0</v>
      </c>
      <c r="AH622" s="1267">
        <f t="shared" ref="AH622" si="618">SUM(AH201,-AH381)</f>
        <v>0</v>
      </c>
    </row>
    <row r="623" spans="1:35">
      <c r="B623" s="496" t="s">
        <v>2216</v>
      </c>
      <c r="C623" s="496" t="s">
        <v>2216</v>
      </c>
      <c r="D623" s="1267">
        <f t="shared" ref="D623:AE623" si="619">SUM(D160,-D307)</f>
        <v>0</v>
      </c>
      <c r="E623" s="1267">
        <f t="shared" si="619"/>
        <v>0</v>
      </c>
      <c r="F623" s="1267">
        <f t="shared" si="619"/>
        <v>0</v>
      </c>
      <c r="G623" s="1267">
        <f t="shared" si="619"/>
        <v>0</v>
      </c>
      <c r="H623" s="1267">
        <f t="shared" si="619"/>
        <v>0</v>
      </c>
      <c r="I623" s="1267">
        <f t="shared" si="619"/>
        <v>0</v>
      </c>
      <c r="J623" s="1267">
        <f t="shared" si="619"/>
        <v>0</v>
      </c>
      <c r="K623" s="1267">
        <f t="shared" si="619"/>
        <v>0</v>
      </c>
      <c r="L623" s="1267">
        <f t="shared" si="619"/>
        <v>0</v>
      </c>
      <c r="M623" s="1267">
        <f t="shared" si="619"/>
        <v>-309753</v>
      </c>
      <c r="N623" s="1267">
        <f t="shared" si="619"/>
        <v>-309753</v>
      </c>
      <c r="O623" s="1267">
        <f t="shared" si="619"/>
        <v>-309753</v>
      </c>
      <c r="P623" s="1267">
        <f t="shared" si="619"/>
        <v>0</v>
      </c>
      <c r="Q623" s="1267">
        <f t="shared" si="619"/>
        <v>-766290</v>
      </c>
      <c r="R623" s="1267">
        <f t="shared" si="619"/>
        <v>-766290</v>
      </c>
      <c r="S623" s="1267">
        <f t="shared" si="619"/>
        <v>-892737</v>
      </c>
      <c r="T623" s="1267">
        <f t="shared" si="619"/>
        <v>-337810</v>
      </c>
      <c r="U623" s="1267">
        <f t="shared" si="619"/>
        <v>346544</v>
      </c>
      <c r="V623" s="1267">
        <f t="shared" si="619"/>
        <v>596070</v>
      </c>
      <c r="W623" s="1267">
        <f t="shared" si="619"/>
        <v>5523980</v>
      </c>
      <c r="X623" s="1267">
        <f t="shared" si="619"/>
        <v>1230316</v>
      </c>
      <c r="Y623" s="1267">
        <f t="shared" si="619"/>
        <v>1405121</v>
      </c>
      <c r="Z623" s="1267">
        <f t="shared" si="619"/>
        <v>5067123</v>
      </c>
      <c r="AA623" s="1267">
        <f t="shared" si="619"/>
        <v>5067123</v>
      </c>
      <c r="AB623" s="1267">
        <f t="shared" si="619"/>
        <v>0</v>
      </c>
      <c r="AC623" s="1267">
        <f t="shared" si="619"/>
        <v>0</v>
      </c>
      <c r="AD623" s="1267">
        <f t="shared" si="619"/>
        <v>0</v>
      </c>
      <c r="AE623" s="1267">
        <f t="shared" si="619"/>
        <v>0</v>
      </c>
      <c r="AF623" s="1267">
        <f t="shared" ref="AF623:AG623" si="620">SUM(AF160,-AF307)</f>
        <v>-2103625</v>
      </c>
      <c r="AG623" s="1267">
        <f t="shared" si="620"/>
        <v>-379707</v>
      </c>
      <c r="AH623" s="1267">
        <f t="shared" ref="AH623" si="621">SUM(AH160,-AH307)</f>
        <v>1712487</v>
      </c>
    </row>
    <row r="624" spans="1:35">
      <c r="B624" s="34" t="s">
        <v>2217</v>
      </c>
      <c r="C624" s="34" t="s">
        <v>2217</v>
      </c>
      <c r="D624" s="1267">
        <f t="shared" ref="D624:AE624" si="622">SUM(D196,D197,D198,D199,-D376,-D377,-D378,-D379)</f>
        <v>33263716171</v>
      </c>
      <c r="E624" s="1267">
        <f t="shared" si="622"/>
        <v>8196249360</v>
      </c>
      <c r="F624" s="1267">
        <f t="shared" si="622"/>
        <v>0</v>
      </c>
      <c r="G624" s="1267">
        <f t="shared" si="622"/>
        <v>35346853453</v>
      </c>
      <c r="H624" s="1267">
        <f t="shared" si="622"/>
        <v>55809487927</v>
      </c>
      <c r="I624" s="1267">
        <f t="shared" si="622"/>
        <v>20693598341</v>
      </c>
      <c r="J624" s="1267">
        <f t="shared" si="622"/>
        <v>48513597128</v>
      </c>
      <c r="K624" s="1267">
        <f t="shared" si="622"/>
        <v>86483143582</v>
      </c>
      <c r="L624" s="1267">
        <f t="shared" si="622"/>
        <v>14029093030</v>
      </c>
      <c r="M624" s="1267">
        <f t="shared" si="622"/>
        <v>37336635177</v>
      </c>
      <c r="N624" s="1267">
        <f t="shared" si="622"/>
        <v>73336836795</v>
      </c>
      <c r="O624" s="1267">
        <f t="shared" si="622"/>
        <v>106163623970</v>
      </c>
      <c r="P624" s="1267">
        <f t="shared" si="622"/>
        <v>36575086770</v>
      </c>
      <c r="Q624" s="1267">
        <f t="shared" si="622"/>
        <v>91160901040</v>
      </c>
      <c r="R624" s="1267">
        <f t="shared" si="622"/>
        <v>120879746504</v>
      </c>
      <c r="S624" s="1267">
        <f t="shared" si="622"/>
        <v>133946058916</v>
      </c>
      <c r="T624" s="1267">
        <f t="shared" si="622"/>
        <v>21820655759</v>
      </c>
      <c r="U624" s="1267">
        <f t="shared" si="622"/>
        <v>40352021608</v>
      </c>
      <c r="V624" s="1267">
        <f t="shared" si="622"/>
        <v>76374103971</v>
      </c>
      <c r="W624" s="1267">
        <f t="shared" si="622"/>
        <v>119042128563</v>
      </c>
      <c r="X624" s="1267">
        <f t="shared" si="622"/>
        <v>39420826281</v>
      </c>
      <c r="Y624" s="1267">
        <f t="shared" si="622"/>
        <v>95195011215</v>
      </c>
      <c r="Z624" s="1267">
        <f t="shared" si="622"/>
        <v>136366437518</v>
      </c>
      <c r="AA624" s="1267">
        <f t="shared" si="622"/>
        <v>181631973350</v>
      </c>
      <c r="AB624" s="1267">
        <f t="shared" si="622"/>
        <v>60099959117</v>
      </c>
      <c r="AC624" s="1267">
        <f t="shared" si="622"/>
        <v>107363959754</v>
      </c>
      <c r="AD624" s="1267">
        <f t="shared" si="622"/>
        <v>125047268668</v>
      </c>
      <c r="AE624" s="1267">
        <f t="shared" si="622"/>
        <v>157553941673</v>
      </c>
      <c r="AF624" s="1267">
        <f t="shared" ref="AF624:AG624" si="623">SUM(AF196,AF197,AF198,AF199,-AF376,-AF377,-AF378,-AF379)</f>
        <v>34087442816</v>
      </c>
      <c r="AG624" s="1267">
        <f t="shared" si="623"/>
        <v>88320212391</v>
      </c>
      <c r="AH624" s="1267">
        <f t="shared" ref="AH624" si="624">SUM(AH196,AH197,AH198,AH199,-AH376,-AH377,-AH378,-AH379)</f>
        <v>140862496524</v>
      </c>
    </row>
    <row r="625" spans="1:34">
      <c r="B625" s="496" t="s">
        <v>2218</v>
      </c>
      <c r="C625" s="496" t="s">
        <v>2218</v>
      </c>
      <c r="D625" s="1266">
        <f t="shared" ref="D625:Z625" si="625">D626-D627</f>
        <v>88090433814</v>
      </c>
      <c r="E625" s="1266">
        <f t="shared" si="625"/>
        <v>65887898171</v>
      </c>
      <c r="F625" s="1266">
        <f t="shared" si="625"/>
        <v>0</v>
      </c>
      <c r="G625" s="1266">
        <f t="shared" si="625"/>
        <v>179404216004</v>
      </c>
      <c r="H625" s="1266">
        <f t="shared" si="625"/>
        <v>233640932327</v>
      </c>
      <c r="I625" s="1266">
        <f t="shared" si="625"/>
        <v>49102838874</v>
      </c>
      <c r="J625" s="1266">
        <f t="shared" si="625"/>
        <v>96280813481</v>
      </c>
      <c r="K625" s="1266">
        <f t="shared" si="625"/>
        <v>141969752575</v>
      </c>
      <c r="L625" s="1266">
        <f t="shared" si="625"/>
        <v>49941372809</v>
      </c>
      <c r="M625" s="1266">
        <f t="shared" si="625"/>
        <v>101972367671</v>
      </c>
      <c r="N625" s="1266">
        <f t="shared" si="625"/>
        <v>156857315099</v>
      </c>
      <c r="O625" s="1266">
        <f t="shared" si="625"/>
        <v>217838449197</v>
      </c>
      <c r="P625" s="1266">
        <f t="shared" si="625"/>
        <v>69279963849</v>
      </c>
      <c r="Q625" s="1266">
        <f t="shared" si="625"/>
        <v>141813819786</v>
      </c>
      <c r="R625" s="1266">
        <f t="shared" si="625"/>
        <v>208568709475</v>
      </c>
      <c r="S625" s="1266">
        <f t="shared" si="625"/>
        <v>271166927357</v>
      </c>
      <c r="T625" s="1266">
        <f t="shared" si="625"/>
        <v>61777128674</v>
      </c>
      <c r="U625" s="1266">
        <f t="shared" si="625"/>
        <v>117731071958</v>
      </c>
      <c r="V625" s="1266">
        <f t="shared" si="625"/>
        <v>176091079473</v>
      </c>
      <c r="W625" s="1266">
        <f t="shared" si="625"/>
        <v>232916940937</v>
      </c>
      <c r="X625" s="1266">
        <f t="shared" si="625"/>
        <v>64332960450</v>
      </c>
      <c r="Y625" s="1266">
        <f t="shared" si="625"/>
        <v>131830245903</v>
      </c>
      <c r="Z625" s="1266">
        <f t="shared" si="625"/>
        <v>197891339747</v>
      </c>
      <c r="AA625" s="1266">
        <f t="shared" ref="AA625:AF625" si="626">AA626-AA627</f>
        <v>267003485282</v>
      </c>
      <c r="AB625" s="1266">
        <f t="shared" si="626"/>
        <v>82521022051</v>
      </c>
      <c r="AC625" s="1266">
        <f t="shared" si="626"/>
        <v>178129366133</v>
      </c>
      <c r="AD625" s="1266">
        <f t="shared" si="626"/>
        <v>271842988188</v>
      </c>
      <c r="AE625" s="1266">
        <f t="shared" si="626"/>
        <v>375894388004</v>
      </c>
      <c r="AF625" s="1266">
        <f t="shared" si="626"/>
        <v>103297603953</v>
      </c>
      <c r="AG625" s="1266">
        <f t="shared" ref="AG625:AH625" si="627">AG626-AG627</f>
        <v>204219746434</v>
      </c>
      <c r="AH625" s="1266">
        <f t="shared" si="627"/>
        <v>295420262382</v>
      </c>
    </row>
    <row r="626" spans="1:34">
      <c r="B626" s="34" t="s">
        <v>2219</v>
      </c>
      <c r="C626" s="34" t="s">
        <v>2219</v>
      </c>
      <c r="D626" s="1267">
        <f t="shared" ref="D626:AE626" si="628">SUM(D149,D150,D151,D152,D154,D156,D157,D158,D159,D162,D164,D165,D166)</f>
        <v>459667096349</v>
      </c>
      <c r="E626" s="1267">
        <f t="shared" si="628"/>
        <v>129893124696</v>
      </c>
      <c r="F626" s="1267">
        <f t="shared" si="628"/>
        <v>0</v>
      </c>
      <c r="G626" s="1267">
        <f t="shared" si="628"/>
        <v>379979997700</v>
      </c>
      <c r="H626" s="1267">
        <f t="shared" si="628"/>
        <v>494316396701</v>
      </c>
      <c r="I626" s="1267">
        <f t="shared" si="628"/>
        <v>111460174293</v>
      </c>
      <c r="J626" s="1267">
        <f t="shared" si="628"/>
        <v>215750431966</v>
      </c>
      <c r="K626" s="1267">
        <f t="shared" si="628"/>
        <v>321391262323</v>
      </c>
      <c r="L626" s="1267">
        <f t="shared" si="628"/>
        <v>109809192880</v>
      </c>
      <c r="M626" s="1267">
        <f t="shared" si="628"/>
        <v>226687086717</v>
      </c>
      <c r="N626" s="1267">
        <f t="shared" si="628"/>
        <v>344559847389</v>
      </c>
      <c r="O626" s="1267">
        <f t="shared" si="628"/>
        <v>463041818574</v>
      </c>
      <c r="P626" s="1267">
        <f t="shared" si="628"/>
        <v>119579262121</v>
      </c>
      <c r="Q626" s="1267">
        <f t="shared" si="628"/>
        <v>241039131516</v>
      </c>
      <c r="R626" s="1267">
        <f t="shared" si="628"/>
        <v>354023622852</v>
      </c>
      <c r="S626" s="1267">
        <f t="shared" si="628"/>
        <v>464012542311</v>
      </c>
      <c r="T626" s="1267">
        <f t="shared" si="628"/>
        <v>108978511602</v>
      </c>
      <c r="U626" s="1267">
        <f t="shared" si="628"/>
        <v>214765684164</v>
      </c>
      <c r="V626" s="1267">
        <f t="shared" si="628"/>
        <v>319498774747</v>
      </c>
      <c r="W626" s="1267">
        <f t="shared" si="628"/>
        <v>423700459470</v>
      </c>
      <c r="X626" s="1267">
        <f t="shared" si="628"/>
        <v>110102782233</v>
      </c>
      <c r="Y626" s="1267">
        <f t="shared" si="628"/>
        <v>227038053786</v>
      </c>
      <c r="Z626" s="1267">
        <f t="shared" si="628"/>
        <v>344937881930</v>
      </c>
      <c r="AA626" s="1267">
        <f t="shared" si="628"/>
        <v>471563140908</v>
      </c>
      <c r="AB626" s="1267">
        <f t="shared" si="628"/>
        <v>144813411702</v>
      </c>
      <c r="AC626" s="1267">
        <f t="shared" si="628"/>
        <v>308430396405</v>
      </c>
      <c r="AD626" s="1267">
        <f t="shared" si="628"/>
        <v>475652100599</v>
      </c>
      <c r="AE626" s="1267">
        <f t="shared" si="628"/>
        <v>659993081658</v>
      </c>
      <c r="AF626" s="1267">
        <f t="shared" ref="AF626:AG626" si="629">SUM(AF149,AF150,AF151,AF152,AF154,AF156,AF157,AF158,AF159,AF162,AF164,AF165,AF166)</f>
        <v>192869416780</v>
      </c>
      <c r="AG626" s="1267">
        <f t="shared" si="629"/>
        <v>389300058632</v>
      </c>
      <c r="AH626" s="1267">
        <f t="shared" ref="AH626" si="630">SUM(AH149,AH150,AH151,AH152,AH154,AH156,AH157,AH158,AH159,AH162,AH164,AH165,AH166)</f>
        <v>571604922596</v>
      </c>
    </row>
    <row r="627" spans="1:34">
      <c r="B627" s="34" t="s">
        <v>2220</v>
      </c>
      <c r="C627" s="34" t="s">
        <v>2220</v>
      </c>
      <c r="D627" s="1267">
        <f t="shared" ref="D627:AE627" si="631">SUM(D300,D306,D308,D309,D310,D311,D312,D314,D315)</f>
        <v>371576662535</v>
      </c>
      <c r="E627" s="1267">
        <f t="shared" si="631"/>
        <v>64005226525</v>
      </c>
      <c r="F627" s="1267">
        <f t="shared" si="631"/>
        <v>0</v>
      </c>
      <c r="G627" s="1267">
        <f t="shared" si="631"/>
        <v>200575781696</v>
      </c>
      <c r="H627" s="1267">
        <f t="shared" si="631"/>
        <v>260675464374</v>
      </c>
      <c r="I627" s="1267">
        <f t="shared" si="631"/>
        <v>62357335419</v>
      </c>
      <c r="J627" s="1267">
        <f t="shared" si="631"/>
        <v>119469618485</v>
      </c>
      <c r="K627" s="1267">
        <f t="shared" si="631"/>
        <v>179421509748</v>
      </c>
      <c r="L627" s="1267">
        <f t="shared" si="631"/>
        <v>59867820071</v>
      </c>
      <c r="M627" s="1267">
        <f t="shared" si="631"/>
        <v>124714719046</v>
      </c>
      <c r="N627" s="1267">
        <f t="shared" si="631"/>
        <v>187702532290</v>
      </c>
      <c r="O627" s="1267">
        <f t="shared" si="631"/>
        <v>245203369377</v>
      </c>
      <c r="P627" s="1267">
        <f t="shared" si="631"/>
        <v>50299298272</v>
      </c>
      <c r="Q627" s="1267">
        <f t="shared" si="631"/>
        <v>99225311730</v>
      </c>
      <c r="R627" s="1267">
        <f t="shared" si="631"/>
        <v>145454913377</v>
      </c>
      <c r="S627" s="1267">
        <f t="shared" si="631"/>
        <v>192845614954</v>
      </c>
      <c r="T627" s="1267">
        <f t="shared" si="631"/>
        <v>47201382928</v>
      </c>
      <c r="U627" s="1267">
        <f t="shared" si="631"/>
        <v>97034612206</v>
      </c>
      <c r="V627" s="1267">
        <f t="shared" si="631"/>
        <v>143407695274</v>
      </c>
      <c r="W627" s="1267">
        <f t="shared" si="631"/>
        <v>190783518533</v>
      </c>
      <c r="X627" s="1267">
        <f t="shared" si="631"/>
        <v>45769821783</v>
      </c>
      <c r="Y627" s="1267">
        <f t="shared" si="631"/>
        <v>95207807883</v>
      </c>
      <c r="Z627" s="1267">
        <f t="shared" si="631"/>
        <v>147046542183</v>
      </c>
      <c r="AA627" s="1267">
        <f t="shared" si="631"/>
        <v>204559655626</v>
      </c>
      <c r="AB627" s="1267">
        <f t="shared" si="631"/>
        <v>62292389651</v>
      </c>
      <c r="AC627" s="1267">
        <f t="shared" si="631"/>
        <v>130301030272</v>
      </c>
      <c r="AD627" s="1267">
        <f t="shared" si="631"/>
        <v>203809112411</v>
      </c>
      <c r="AE627" s="1267">
        <f t="shared" si="631"/>
        <v>284098693654</v>
      </c>
      <c r="AF627" s="1267">
        <f t="shared" ref="AF627:AG627" si="632">SUM(AF300,AF306,AF308,AF309,AF310,AF311,AF312,AF314,AF315)</f>
        <v>89571812827</v>
      </c>
      <c r="AG627" s="1267">
        <f t="shared" si="632"/>
        <v>185080312198</v>
      </c>
      <c r="AH627" s="1267">
        <f t="shared" ref="AH627" si="633">SUM(AH300,AH306,AH308,AH309,AH310,AH311,AH312,AH314,AH315)</f>
        <v>276184660214</v>
      </c>
    </row>
    <row r="628" spans="1:34">
      <c r="D628" s="1267"/>
      <c r="E628" s="1267"/>
      <c r="F628" s="1267"/>
      <c r="G628" s="1267"/>
      <c r="H628" s="1267"/>
      <c r="I628" s="1267"/>
      <c r="J628" s="1267"/>
      <c r="K628" s="1267"/>
      <c r="L628" s="1267"/>
      <c r="M628" s="1267"/>
      <c r="N628" s="1267"/>
      <c r="O628" s="1267"/>
      <c r="P628" s="1267"/>
      <c r="Q628" s="1267"/>
      <c r="R628" s="1267"/>
      <c r="S628" s="1267"/>
      <c r="T628" s="1267"/>
      <c r="U628" s="1267"/>
      <c r="V628" s="1267"/>
      <c r="W628" s="1267"/>
      <c r="X628" s="1267"/>
      <c r="Y628" s="1267"/>
      <c r="Z628" s="1267"/>
      <c r="AA628" s="1267"/>
      <c r="AB628" s="1267"/>
      <c r="AC628" s="1267"/>
      <c r="AD628" s="1267"/>
      <c r="AE628" s="1267"/>
      <c r="AF628" s="1267"/>
      <c r="AG628" s="1267"/>
      <c r="AH628" s="1267"/>
    </row>
    <row r="629" spans="1:34">
      <c r="A629" s="496" t="s">
        <v>2468</v>
      </c>
      <c r="D629" s="1266">
        <f t="shared" ref="D629:AD629" si="634">D630+D635</f>
        <v>133645637879</v>
      </c>
      <c r="E629" s="1266">
        <f t="shared" si="634"/>
        <v>30176895807</v>
      </c>
      <c r="F629" s="1266">
        <f t="shared" si="634"/>
        <v>0</v>
      </c>
      <c r="G629" s="1266">
        <f t="shared" si="634"/>
        <v>88078474239</v>
      </c>
      <c r="H629" s="1266">
        <f t="shared" si="634"/>
        <v>115377171003</v>
      </c>
      <c r="I629" s="1266">
        <f t="shared" si="634"/>
        <v>28199755807</v>
      </c>
      <c r="J629" s="1266">
        <f t="shared" si="634"/>
        <v>56199801536</v>
      </c>
      <c r="K629" s="1266">
        <f t="shared" si="634"/>
        <v>83917790405</v>
      </c>
      <c r="L629" s="1266">
        <f t="shared" si="634"/>
        <v>26085838421</v>
      </c>
      <c r="M629" s="1266">
        <f t="shared" si="634"/>
        <v>54405193433</v>
      </c>
      <c r="N629" s="1266">
        <f t="shared" si="634"/>
        <v>83100161692</v>
      </c>
      <c r="O629" s="1266">
        <f t="shared" si="634"/>
        <v>112143669381</v>
      </c>
      <c r="P629" s="1266">
        <f t="shared" si="634"/>
        <v>27447393999</v>
      </c>
      <c r="Q629" s="1266">
        <f t="shared" si="634"/>
        <v>61205981109</v>
      </c>
      <c r="R629" s="1266">
        <f t="shared" si="634"/>
        <v>94534139981</v>
      </c>
      <c r="S629" s="1266">
        <f t="shared" si="634"/>
        <v>126183729770</v>
      </c>
      <c r="T629" s="1266">
        <f t="shared" si="634"/>
        <v>31470150983</v>
      </c>
      <c r="U629" s="1266">
        <f t="shared" si="634"/>
        <v>64405526111</v>
      </c>
      <c r="V629" s="1266">
        <f t="shared" si="634"/>
        <v>99877645651</v>
      </c>
      <c r="W629" s="1266">
        <f t="shared" si="634"/>
        <v>134863550054</v>
      </c>
      <c r="X629" s="1266">
        <f t="shared" si="634"/>
        <v>34007453822</v>
      </c>
      <c r="Y629" s="1266">
        <f t="shared" si="634"/>
        <v>70621099276</v>
      </c>
      <c r="Z629" s="1266">
        <f t="shared" si="634"/>
        <v>110664346080</v>
      </c>
      <c r="AA629" s="1266">
        <f t="shared" si="634"/>
        <v>154157237365</v>
      </c>
      <c r="AB629" s="1266">
        <f t="shared" si="634"/>
        <v>47747833878</v>
      </c>
      <c r="AC629" s="1266">
        <f t="shared" si="634"/>
        <v>99653636638</v>
      </c>
      <c r="AD629" s="1266">
        <f t="shared" si="634"/>
        <v>150038791005</v>
      </c>
      <c r="AE629" s="1266">
        <f>AE630+AE635</f>
        <v>196264566586</v>
      </c>
      <c r="AF629" s="1266">
        <f>AF630+AF635</f>
        <v>46130782238</v>
      </c>
      <c r="AG629" s="1266">
        <f>AG630+AG635</f>
        <v>95788400616</v>
      </c>
      <c r="AH629" s="1266">
        <f>AH630+AH635</f>
        <v>141884608656</v>
      </c>
    </row>
    <row r="630" spans="1:34">
      <c r="A630" s="34" t="s">
        <v>2464</v>
      </c>
      <c r="D630" s="1266">
        <f t="shared" ref="D630:AD630" si="635">D631+D632-D633-D634</f>
        <v>125592665756</v>
      </c>
      <c r="E630" s="1266">
        <f t="shared" si="635"/>
        <v>28603996267</v>
      </c>
      <c r="F630" s="1266">
        <f t="shared" si="635"/>
        <v>0</v>
      </c>
      <c r="G630" s="1266">
        <f t="shared" si="635"/>
        <v>83298065020</v>
      </c>
      <c r="H630" s="1266">
        <f t="shared" si="635"/>
        <v>109050076600</v>
      </c>
      <c r="I630" s="1266">
        <f t="shared" si="635"/>
        <v>26978714928</v>
      </c>
      <c r="J630" s="1266">
        <f t="shared" si="635"/>
        <v>54104414259</v>
      </c>
      <c r="K630" s="1266">
        <f t="shared" si="635"/>
        <v>80338019154</v>
      </c>
      <c r="L630" s="1266">
        <f t="shared" si="635"/>
        <v>25019534425</v>
      </c>
      <c r="M630" s="1266">
        <f t="shared" si="635"/>
        <v>52184323780</v>
      </c>
      <c r="N630" s="1266">
        <f t="shared" si="635"/>
        <v>79422644653</v>
      </c>
      <c r="O630" s="1266">
        <f t="shared" si="635"/>
        <v>106136268781</v>
      </c>
      <c r="P630" s="1266">
        <f t="shared" si="635"/>
        <v>25945772905</v>
      </c>
      <c r="Q630" s="1266">
        <f t="shared" si="635"/>
        <v>57866608377</v>
      </c>
      <c r="R630" s="1266">
        <f t="shared" si="635"/>
        <v>90111374557</v>
      </c>
      <c r="S630" s="1266">
        <f t="shared" si="635"/>
        <v>120809757768</v>
      </c>
      <c r="T630" s="1266">
        <f t="shared" si="635"/>
        <v>29948885029</v>
      </c>
      <c r="U630" s="1266">
        <f t="shared" si="635"/>
        <v>61610537676</v>
      </c>
      <c r="V630" s="1266">
        <f t="shared" si="635"/>
        <v>95963953848</v>
      </c>
      <c r="W630" s="1266">
        <f t="shared" si="635"/>
        <v>129650832004</v>
      </c>
      <c r="X630" s="1266">
        <f t="shared" si="635"/>
        <v>32850440855</v>
      </c>
      <c r="Y630" s="1266">
        <f t="shared" si="635"/>
        <v>68276822468</v>
      </c>
      <c r="Z630" s="1266">
        <f t="shared" si="635"/>
        <v>107082042001</v>
      </c>
      <c r="AA630" s="1266">
        <f t="shared" si="635"/>
        <v>149201344933</v>
      </c>
      <c r="AB630" s="1266">
        <f t="shared" si="635"/>
        <v>46411498962</v>
      </c>
      <c r="AC630" s="1266">
        <f t="shared" si="635"/>
        <v>96327305749</v>
      </c>
      <c r="AD630" s="1266">
        <f t="shared" si="635"/>
        <v>145422032726</v>
      </c>
      <c r="AE630" s="1266">
        <f>AE631+AE632-AE633-AE634</f>
        <v>189982753105</v>
      </c>
      <c r="AF630" s="1266">
        <f>AF631+AF632-AF633-AF634</f>
        <v>44706746781</v>
      </c>
      <c r="AG630" s="1266">
        <f>AG631+AG632-AG633-AG634</f>
        <v>92797065835</v>
      </c>
      <c r="AH630" s="1266">
        <f>AH631+AH632-AH633-AH634</f>
        <v>137026255262</v>
      </c>
    </row>
    <row r="631" spans="1:34">
      <c r="B631" s="34" t="s">
        <v>2176</v>
      </c>
      <c r="C631" s="34" t="s">
        <v>2176</v>
      </c>
      <c r="D631" s="1267">
        <f t="shared" ref="D631:AE631" si="636">D143</f>
        <v>87371813601</v>
      </c>
      <c r="E631" s="1267">
        <f t="shared" si="636"/>
        <v>21684569445</v>
      </c>
      <c r="F631" s="1267">
        <f t="shared" si="636"/>
        <v>0</v>
      </c>
      <c r="G631" s="1267">
        <f t="shared" si="636"/>
        <v>64648167249</v>
      </c>
      <c r="H631" s="1267">
        <f t="shared" si="636"/>
        <v>85786265784</v>
      </c>
      <c r="I631" s="1267">
        <f t="shared" si="636"/>
        <v>22537342001</v>
      </c>
      <c r="J631" s="1267">
        <f t="shared" si="636"/>
        <v>45068587147</v>
      </c>
      <c r="K631" s="1267">
        <f t="shared" si="636"/>
        <v>67506784939</v>
      </c>
      <c r="L631" s="1267">
        <f t="shared" si="636"/>
        <v>21946070520</v>
      </c>
      <c r="M631" s="1267">
        <f t="shared" si="636"/>
        <v>45707062195</v>
      </c>
      <c r="N631" s="1267">
        <f t="shared" si="636"/>
        <v>69237405910</v>
      </c>
      <c r="O631" s="1267">
        <f t="shared" si="636"/>
        <v>92286196919</v>
      </c>
      <c r="P631" s="1267">
        <f t="shared" si="636"/>
        <v>22505204706</v>
      </c>
      <c r="Q631" s="1267">
        <f t="shared" si="636"/>
        <v>50466320691</v>
      </c>
      <c r="R631" s="1267">
        <f t="shared" si="636"/>
        <v>78999668609</v>
      </c>
      <c r="S631" s="1267">
        <f t="shared" si="636"/>
        <v>106514459786</v>
      </c>
      <c r="T631" s="1267">
        <f t="shared" si="636"/>
        <v>26670946032</v>
      </c>
      <c r="U631" s="1267">
        <f t="shared" si="636"/>
        <v>55516884881</v>
      </c>
      <c r="V631" s="1267">
        <f t="shared" si="636"/>
        <v>86222231956</v>
      </c>
      <c r="W631" s="1267">
        <f t="shared" si="636"/>
        <v>116106137289</v>
      </c>
      <c r="X631" s="1267">
        <f t="shared" si="636"/>
        <v>29207183625</v>
      </c>
      <c r="Y631" s="1267">
        <f t="shared" si="636"/>
        <v>60934816265</v>
      </c>
      <c r="Z631" s="1267">
        <f t="shared" si="636"/>
        <v>95817545100</v>
      </c>
      <c r="AA631" s="1267">
        <f t="shared" si="636"/>
        <v>133489623074</v>
      </c>
      <c r="AB631" s="1267">
        <f t="shared" si="636"/>
        <v>41508445346</v>
      </c>
      <c r="AC631" s="1267">
        <f t="shared" si="636"/>
        <v>87293584490</v>
      </c>
      <c r="AD631" s="1267">
        <f t="shared" si="636"/>
        <v>132116418529</v>
      </c>
      <c r="AE631" s="1267">
        <f t="shared" si="636"/>
        <v>172283064236</v>
      </c>
      <c r="AF631" s="1267">
        <f t="shared" ref="AF631:AG631" si="637">AF143</f>
        <v>40225026182</v>
      </c>
      <c r="AG631" s="1267">
        <f t="shared" si="637"/>
        <v>83655825354</v>
      </c>
      <c r="AH631" s="1267">
        <f t="shared" ref="AH631" si="638">AH143</f>
        <v>123957485780</v>
      </c>
    </row>
    <row r="632" spans="1:34">
      <c r="B632" s="34" t="s">
        <v>2180</v>
      </c>
      <c r="C632" s="34" t="s">
        <v>2180</v>
      </c>
      <c r="D632" s="1267">
        <f t="shared" ref="D632:AE632" si="639">D178</f>
        <v>51640088243</v>
      </c>
      <c r="E632" s="1267">
        <f t="shared" si="639"/>
        <v>11014317769</v>
      </c>
      <c r="F632" s="1267">
        <f t="shared" si="639"/>
        <v>0</v>
      </c>
      <c r="G632" s="1267">
        <f t="shared" si="639"/>
        <v>30913867079</v>
      </c>
      <c r="H632" s="1267">
        <f t="shared" si="639"/>
        <v>39388213846</v>
      </c>
      <c r="I632" s="1267">
        <f t="shared" si="639"/>
        <v>8222075703</v>
      </c>
      <c r="J632" s="1267">
        <f t="shared" si="639"/>
        <v>17021299728</v>
      </c>
      <c r="K632" s="1267">
        <f t="shared" si="639"/>
        <v>24850334023</v>
      </c>
      <c r="L632" s="1267">
        <f t="shared" si="639"/>
        <v>7935777890</v>
      </c>
      <c r="M632" s="1267">
        <f t="shared" si="639"/>
        <v>16248904717</v>
      </c>
      <c r="N632" s="1267">
        <f t="shared" si="639"/>
        <v>24777042414</v>
      </c>
      <c r="O632" s="1267">
        <f t="shared" si="639"/>
        <v>33035764827</v>
      </c>
      <c r="P632" s="1267">
        <f t="shared" si="639"/>
        <v>7478878606</v>
      </c>
      <c r="Q632" s="1267">
        <f t="shared" si="639"/>
        <v>15403494595</v>
      </c>
      <c r="R632" s="1267">
        <f t="shared" si="639"/>
        <v>23105302265</v>
      </c>
      <c r="S632" s="1267">
        <f t="shared" si="639"/>
        <v>29926606254</v>
      </c>
      <c r="T632" s="1267">
        <f t="shared" si="639"/>
        <v>7158611459</v>
      </c>
      <c r="U632" s="1267">
        <f t="shared" si="639"/>
        <v>13873948893</v>
      </c>
      <c r="V632" s="1267">
        <f t="shared" si="639"/>
        <v>20742415247</v>
      </c>
      <c r="W632" s="1267">
        <f t="shared" si="639"/>
        <v>27591454450</v>
      </c>
      <c r="X632" s="1267">
        <f t="shared" si="639"/>
        <v>6511580048</v>
      </c>
      <c r="Y632" s="1267">
        <f t="shared" si="639"/>
        <v>13648635823</v>
      </c>
      <c r="Z632" s="1267">
        <f t="shared" si="639"/>
        <v>20942226661</v>
      </c>
      <c r="AA632" s="1267">
        <f t="shared" si="639"/>
        <v>28698473356</v>
      </c>
      <c r="AB632" s="1267">
        <f t="shared" si="639"/>
        <v>8845277527</v>
      </c>
      <c r="AC632" s="1267">
        <f t="shared" si="639"/>
        <v>18056760126</v>
      </c>
      <c r="AD632" s="1267">
        <f t="shared" si="639"/>
        <v>26913467089</v>
      </c>
      <c r="AE632" s="1267">
        <f t="shared" si="639"/>
        <v>35708858313</v>
      </c>
      <c r="AF632" s="1267">
        <f t="shared" ref="AF632:AG632" si="640">AF178</f>
        <v>9020672955</v>
      </c>
      <c r="AG632" s="1267">
        <f t="shared" si="640"/>
        <v>18452139984</v>
      </c>
      <c r="AH632" s="1267">
        <f t="shared" ref="AH632" si="641">AH178</f>
        <v>26841128586</v>
      </c>
    </row>
    <row r="633" spans="1:34">
      <c r="B633" s="34" t="s">
        <v>2186</v>
      </c>
      <c r="C633" s="34" t="s">
        <v>2186</v>
      </c>
      <c r="D633" s="1267">
        <f t="shared" ref="D633:AE633" si="642">D305</f>
        <v>13419236088</v>
      </c>
      <c r="E633" s="1267">
        <f t="shared" si="642"/>
        <v>4094890947</v>
      </c>
      <c r="F633" s="1267">
        <f t="shared" si="642"/>
        <v>0</v>
      </c>
      <c r="G633" s="1267">
        <f t="shared" si="642"/>
        <v>12263969308</v>
      </c>
      <c r="H633" s="1267">
        <f t="shared" si="642"/>
        <v>16124403030</v>
      </c>
      <c r="I633" s="1267">
        <f t="shared" si="642"/>
        <v>3780702776</v>
      </c>
      <c r="J633" s="1267">
        <f t="shared" si="642"/>
        <v>7985472616</v>
      </c>
      <c r="K633" s="1267">
        <f t="shared" si="642"/>
        <v>12019099808</v>
      </c>
      <c r="L633" s="1267">
        <f t="shared" si="642"/>
        <v>4862313985</v>
      </c>
      <c r="M633" s="1267">
        <f t="shared" si="642"/>
        <v>9771643132</v>
      </c>
      <c r="N633" s="1267">
        <f t="shared" si="642"/>
        <v>14591803671</v>
      </c>
      <c r="O633" s="1267">
        <f t="shared" si="642"/>
        <v>19185692965</v>
      </c>
      <c r="P633" s="1267">
        <f t="shared" si="642"/>
        <v>4038310407</v>
      </c>
      <c r="Q633" s="1267">
        <f t="shared" si="642"/>
        <v>8003206909</v>
      </c>
      <c r="R633" s="1267">
        <f t="shared" si="642"/>
        <v>11993596317</v>
      </c>
      <c r="S633" s="1267">
        <f t="shared" si="642"/>
        <v>15631308272</v>
      </c>
      <c r="T633" s="1267">
        <f t="shared" si="642"/>
        <v>3880672462</v>
      </c>
      <c r="U633" s="1267">
        <f t="shared" si="642"/>
        <v>7780296098</v>
      </c>
      <c r="V633" s="1267">
        <f t="shared" si="642"/>
        <v>11000693355</v>
      </c>
      <c r="W633" s="1267">
        <f t="shared" si="642"/>
        <v>14046759735</v>
      </c>
      <c r="X633" s="1267">
        <f t="shared" si="642"/>
        <v>2868322818</v>
      </c>
      <c r="Y633" s="1267">
        <f t="shared" si="642"/>
        <v>6306629620</v>
      </c>
      <c r="Z633" s="1267">
        <f t="shared" si="642"/>
        <v>9677729760</v>
      </c>
      <c r="AA633" s="1267">
        <f t="shared" si="642"/>
        <v>12986751497</v>
      </c>
      <c r="AB633" s="1267">
        <f t="shared" si="642"/>
        <v>3942223911</v>
      </c>
      <c r="AC633" s="1267">
        <f t="shared" si="642"/>
        <v>9023038867</v>
      </c>
      <c r="AD633" s="1267">
        <f t="shared" si="642"/>
        <v>13607852892</v>
      </c>
      <c r="AE633" s="1267">
        <f t="shared" si="642"/>
        <v>18009169444</v>
      </c>
      <c r="AF633" s="1267">
        <f t="shared" ref="AF633:AG633" si="643">AF305</f>
        <v>4538952356</v>
      </c>
      <c r="AG633" s="1267">
        <f t="shared" si="643"/>
        <v>9310899503</v>
      </c>
      <c r="AH633" s="1267">
        <f t="shared" ref="AH633" si="644">AH305</f>
        <v>13772359104</v>
      </c>
    </row>
    <row r="634" spans="1:34">
      <c r="B634" s="34" t="s">
        <v>2187</v>
      </c>
      <c r="C634" s="34" t="s">
        <v>2187</v>
      </c>
      <c r="D634" s="1267">
        <f t="shared" ref="D634:AE634" si="645">D361</f>
        <v>0</v>
      </c>
      <c r="E634" s="1267">
        <f t="shared" si="645"/>
        <v>0</v>
      </c>
      <c r="F634" s="1267">
        <f t="shared" si="645"/>
        <v>0</v>
      </c>
      <c r="G634" s="1267">
        <f t="shared" si="645"/>
        <v>0</v>
      </c>
      <c r="H634" s="1267">
        <f t="shared" si="645"/>
        <v>0</v>
      </c>
      <c r="I634" s="1267">
        <f t="shared" si="645"/>
        <v>0</v>
      </c>
      <c r="J634" s="1267">
        <f t="shared" si="645"/>
        <v>0</v>
      </c>
      <c r="K634" s="1267">
        <f t="shared" si="645"/>
        <v>0</v>
      </c>
      <c r="L634" s="1267">
        <f t="shared" si="645"/>
        <v>0</v>
      </c>
      <c r="M634" s="1267">
        <f t="shared" si="645"/>
        <v>0</v>
      </c>
      <c r="N634" s="1267">
        <f t="shared" si="645"/>
        <v>0</v>
      </c>
      <c r="O634" s="1267">
        <f t="shared" si="645"/>
        <v>0</v>
      </c>
      <c r="P634" s="1267">
        <f t="shared" si="645"/>
        <v>0</v>
      </c>
      <c r="Q634" s="1267">
        <f t="shared" si="645"/>
        <v>0</v>
      </c>
      <c r="R634" s="1267">
        <f t="shared" si="645"/>
        <v>0</v>
      </c>
      <c r="S634" s="1267">
        <f t="shared" si="645"/>
        <v>0</v>
      </c>
      <c r="T634" s="1267">
        <f t="shared" si="645"/>
        <v>0</v>
      </c>
      <c r="U634" s="1267">
        <f t="shared" si="645"/>
        <v>0</v>
      </c>
      <c r="V634" s="1267">
        <f t="shared" si="645"/>
        <v>0</v>
      </c>
      <c r="W634" s="1267">
        <f t="shared" si="645"/>
        <v>0</v>
      </c>
      <c r="X634" s="1267">
        <f t="shared" si="645"/>
        <v>0</v>
      </c>
      <c r="Y634" s="1267">
        <f t="shared" si="645"/>
        <v>0</v>
      </c>
      <c r="Z634" s="1267">
        <f t="shared" si="645"/>
        <v>0</v>
      </c>
      <c r="AA634" s="1267">
        <f t="shared" si="645"/>
        <v>0</v>
      </c>
      <c r="AB634" s="1267">
        <f t="shared" si="645"/>
        <v>0</v>
      </c>
      <c r="AC634" s="1267">
        <f t="shared" si="645"/>
        <v>0</v>
      </c>
      <c r="AD634" s="1267">
        <f t="shared" si="645"/>
        <v>0</v>
      </c>
      <c r="AE634" s="1267">
        <f t="shared" si="645"/>
        <v>0</v>
      </c>
      <c r="AF634" s="1267">
        <f t="shared" ref="AF634:AG634" si="646">AF361</f>
        <v>0</v>
      </c>
      <c r="AG634" s="1267">
        <f t="shared" si="646"/>
        <v>0</v>
      </c>
      <c r="AH634" s="1267">
        <f t="shared" ref="AH634" si="647">AH361</f>
        <v>0</v>
      </c>
    </row>
    <row r="635" spans="1:34">
      <c r="A635" s="34" t="s">
        <v>2465</v>
      </c>
      <c r="D635" s="1266">
        <f t="shared" ref="D635:AD635" si="648">D636+D637</f>
        <v>8052972123</v>
      </c>
      <c r="E635" s="1266">
        <f t="shared" si="648"/>
        <v>1572899540</v>
      </c>
      <c r="F635" s="1266">
        <f t="shared" si="648"/>
        <v>0</v>
      </c>
      <c r="G635" s="1266">
        <f t="shared" si="648"/>
        <v>4780409219</v>
      </c>
      <c r="H635" s="1266">
        <f t="shared" si="648"/>
        <v>6327094403</v>
      </c>
      <c r="I635" s="1266">
        <f t="shared" si="648"/>
        <v>1221040879</v>
      </c>
      <c r="J635" s="1266">
        <f t="shared" si="648"/>
        <v>2095387277</v>
      </c>
      <c r="K635" s="1266">
        <f t="shared" si="648"/>
        <v>3579771251</v>
      </c>
      <c r="L635" s="1266">
        <f t="shared" si="648"/>
        <v>1066303996</v>
      </c>
      <c r="M635" s="1266">
        <f t="shared" si="648"/>
        <v>2220869653</v>
      </c>
      <c r="N635" s="1266">
        <f t="shared" si="648"/>
        <v>3677517039</v>
      </c>
      <c r="O635" s="1266">
        <f t="shared" si="648"/>
        <v>6007400600</v>
      </c>
      <c r="P635" s="1266">
        <f t="shared" si="648"/>
        <v>1501621094</v>
      </c>
      <c r="Q635" s="1266">
        <f t="shared" si="648"/>
        <v>3339372732</v>
      </c>
      <c r="R635" s="1266">
        <f t="shared" si="648"/>
        <v>4422765424</v>
      </c>
      <c r="S635" s="1266">
        <f t="shared" si="648"/>
        <v>5373972002</v>
      </c>
      <c r="T635" s="1266">
        <f t="shared" si="648"/>
        <v>1521265954</v>
      </c>
      <c r="U635" s="1266">
        <f t="shared" si="648"/>
        <v>2794988435</v>
      </c>
      <c r="V635" s="1266">
        <f t="shared" si="648"/>
        <v>3913691803</v>
      </c>
      <c r="W635" s="1266">
        <f t="shared" si="648"/>
        <v>5212718050</v>
      </c>
      <c r="X635" s="1266">
        <f t="shared" si="648"/>
        <v>1157012967</v>
      </c>
      <c r="Y635" s="1266">
        <f t="shared" si="648"/>
        <v>2344276808</v>
      </c>
      <c r="Z635" s="1266">
        <f t="shared" si="648"/>
        <v>3582304079</v>
      </c>
      <c r="AA635" s="1266">
        <f t="shared" si="648"/>
        <v>4955892432</v>
      </c>
      <c r="AB635" s="1266">
        <f t="shared" si="648"/>
        <v>1336334916</v>
      </c>
      <c r="AC635" s="1266">
        <f t="shared" si="648"/>
        <v>3326330889</v>
      </c>
      <c r="AD635" s="1266">
        <f t="shared" si="648"/>
        <v>4616758279</v>
      </c>
      <c r="AE635" s="1266">
        <f>AE636+AE637</f>
        <v>6281813481</v>
      </c>
      <c r="AF635" s="1266">
        <f>AF636+AF637</f>
        <v>1424035457</v>
      </c>
      <c r="AG635" s="1266">
        <f>AG636+AG637</f>
        <v>2991334781</v>
      </c>
      <c r="AH635" s="1266">
        <f>AH636+AH637</f>
        <v>4858353394</v>
      </c>
    </row>
    <row r="636" spans="1:34">
      <c r="B636" s="34" t="s">
        <v>2177</v>
      </c>
      <c r="C636" s="34" t="s">
        <v>2177</v>
      </c>
      <c r="D636" s="1267">
        <f t="shared" ref="D636:AE636" si="649">D155</f>
        <v>6690635047</v>
      </c>
      <c r="E636" s="1267">
        <f t="shared" si="649"/>
        <v>1409286747</v>
      </c>
      <c r="F636" s="1267">
        <f t="shared" si="649"/>
        <v>0</v>
      </c>
      <c r="G636" s="1267">
        <f t="shared" si="649"/>
        <v>4363123034</v>
      </c>
      <c r="H636" s="1267">
        <f t="shared" si="649"/>
        <v>5790329449</v>
      </c>
      <c r="I636" s="1267">
        <f t="shared" si="649"/>
        <v>1072636442</v>
      </c>
      <c r="J636" s="1267">
        <f t="shared" si="649"/>
        <v>1813194211</v>
      </c>
      <c r="K636" s="1267">
        <f t="shared" si="649"/>
        <v>3172870056</v>
      </c>
      <c r="L636" s="1267">
        <f t="shared" si="649"/>
        <v>920743512</v>
      </c>
      <c r="M636" s="1267">
        <f t="shared" si="649"/>
        <v>1945369688</v>
      </c>
      <c r="N636" s="1267">
        <f t="shared" si="649"/>
        <v>3253536629</v>
      </c>
      <c r="O636" s="1267">
        <f t="shared" si="649"/>
        <v>5464252295</v>
      </c>
      <c r="P636" s="1267">
        <f t="shared" si="649"/>
        <v>1334611946</v>
      </c>
      <c r="Q636" s="1267">
        <f t="shared" si="649"/>
        <v>2986994642</v>
      </c>
      <c r="R636" s="1267">
        <f t="shared" si="649"/>
        <v>3882559227</v>
      </c>
      <c r="S636" s="1267">
        <f t="shared" si="649"/>
        <v>4682288127</v>
      </c>
      <c r="T636" s="1267">
        <f t="shared" si="649"/>
        <v>1376228445</v>
      </c>
      <c r="U636" s="1267">
        <f t="shared" si="649"/>
        <v>2502657859</v>
      </c>
      <c r="V636" s="1267">
        <f t="shared" si="649"/>
        <v>3494853173</v>
      </c>
      <c r="W636" s="1267">
        <f t="shared" si="649"/>
        <v>4647423275</v>
      </c>
      <c r="X636" s="1267">
        <f t="shared" si="649"/>
        <v>1038729766</v>
      </c>
      <c r="Y636" s="1267">
        <f t="shared" si="649"/>
        <v>2090684799</v>
      </c>
      <c r="Z636" s="1267">
        <f t="shared" si="649"/>
        <v>3187629773</v>
      </c>
      <c r="AA636" s="1267">
        <f t="shared" si="649"/>
        <v>4372840796</v>
      </c>
      <c r="AB636" s="1267">
        <f t="shared" si="649"/>
        <v>1033166372</v>
      </c>
      <c r="AC636" s="1267">
        <f t="shared" si="649"/>
        <v>2612522361</v>
      </c>
      <c r="AD636" s="1267">
        <f t="shared" si="649"/>
        <v>3556779809</v>
      </c>
      <c r="AE636" s="1267">
        <f t="shared" si="649"/>
        <v>4818907228</v>
      </c>
      <c r="AF636" s="1267">
        <f t="shared" ref="AF636:AG636" si="650">AF155</f>
        <v>1113750858</v>
      </c>
      <c r="AG636" s="1267">
        <f t="shared" si="650"/>
        <v>2359157265</v>
      </c>
      <c r="AH636" s="1267">
        <f t="shared" ref="AH636" si="651">AH155</f>
        <v>3835794335</v>
      </c>
    </row>
    <row r="637" spans="1:34">
      <c r="B637" s="34" t="s">
        <v>2178</v>
      </c>
      <c r="C637" s="34" t="s">
        <v>2178</v>
      </c>
      <c r="D637" s="1267">
        <f t="shared" ref="D637:AE637" si="652">D163</f>
        <v>1362337076</v>
      </c>
      <c r="E637" s="1267">
        <f t="shared" si="652"/>
        <v>163612793</v>
      </c>
      <c r="F637" s="1267">
        <f t="shared" si="652"/>
        <v>0</v>
      </c>
      <c r="G637" s="1267">
        <f t="shared" si="652"/>
        <v>417286185</v>
      </c>
      <c r="H637" s="1267">
        <f t="shared" si="652"/>
        <v>536764954</v>
      </c>
      <c r="I637" s="1267">
        <f t="shared" si="652"/>
        <v>148404437</v>
      </c>
      <c r="J637" s="1267">
        <f t="shared" si="652"/>
        <v>282193066</v>
      </c>
      <c r="K637" s="1267">
        <f t="shared" si="652"/>
        <v>406901195</v>
      </c>
      <c r="L637" s="1267">
        <f t="shared" si="652"/>
        <v>145560484</v>
      </c>
      <c r="M637" s="1267">
        <f t="shared" si="652"/>
        <v>275499965</v>
      </c>
      <c r="N637" s="1267">
        <f t="shared" si="652"/>
        <v>423980410</v>
      </c>
      <c r="O637" s="1267">
        <f t="shared" si="652"/>
        <v>543148305</v>
      </c>
      <c r="P637" s="1267">
        <f t="shared" si="652"/>
        <v>167009148</v>
      </c>
      <c r="Q637" s="1267">
        <f t="shared" si="652"/>
        <v>352378090</v>
      </c>
      <c r="R637" s="1267">
        <f t="shared" si="652"/>
        <v>540206197</v>
      </c>
      <c r="S637" s="1267">
        <f t="shared" si="652"/>
        <v>691683875</v>
      </c>
      <c r="T637" s="1267">
        <f t="shared" si="652"/>
        <v>145037509</v>
      </c>
      <c r="U637" s="1267">
        <f t="shared" si="652"/>
        <v>292330576</v>
      </c>
      <c r="V637" s="1267">
        <f t="shared" si="652"/>
        <v>418838630</v>
      </c>
      <c r="W637" s="1267">
        <f t="shared" si="652"/>
        <v>565294775</v>
      </c>
      <c r="X637" s="1267">
        <f t="shared" si="652"/>
        <v>118283201</v>
      </c>
      <c r="Y637" s="1267">
        <f t="shared" si="652"/>
        <v>253592009</v>
      </c>
      <c r="Z637" s="1267">
        <f t="shared" si="652"/>
        <v>394674306</v>
      </c>
      <c r="AA637" s="1267">
        <f t="shared" si="652"/>
        <v>583051636</v>
      </c>
      <c r="AB637" s="1267">
        <f t="shared" si="652"/>
        <v>303168544</v>
      </c>
      <c r="AC637" s="1267">
        <f t="shared" si="652"/>
        <v>713808528</v>
      </c>
      <c r="AD637" s="1267">
        <f t="shared" si="652"/>
        <v>1059978470</v>
      </c>
      <c r="AE637" s="1267">
        <f t="shared" si="652"/>
        <v>1462906253</v>
      </c>
      <c r="AF637" s="1267">
        <f t="shared" ref="AF637:AG637" si="653">AF163</f>
        <v>310284599</v>
      </c>
      <c r="AG637" s="1267">
        <f t="shared" si="653"/>
        <v>632177516</v>
      </c>
      <c r="AH637" s="1267">
        <f t="shared" ref="AH637" si="654">AH163</f>
        <v>1022559059</v>
      </c>
    </row>
    <row r="638" spans="1:34">
      <c r="D638" s="1267"/>
      <c r="E638" s="1267"/>
      <c r="F638" s="1267"/>
      <c r="G638" s="1267"/>
      <c r="H638" s="1267"/>
      <c r="I638" s="1267"/>
      <c r="J638" s="1267"/>
      <c r="K638" s="1267"/>
      <c r="L638" s="1267"/>
      <c r="M638" s="1267"/>
      <c r="N638" s="1267"/>
      <c r="O638" s="1267"/>
      <c r="P638" s="1267"/>
      <c r="Q638" s="1267"/>
      <c r="R638" s="1267"/>
      <c r="S638" s="1267"/>
      <c r="T638" s="1267"/>
      <c r="U638" s="1267"/>
      <c r="V638" s="1267"/>
      <c r="W638" s="1267"/>
      <c r="X638" s="1267"/>
      <c r="Y638" s="1267"/>
      <c r="Z638" s="1267"/>
      <c r="AA638" s="1267"/>
      <c r="AB638" s="1267"/>
      <c r="AC638" s="1267"/>
      <c r="AD638" s="1267"/>
      <c r="AE638" s="1267"/>
      <c r="AF638" s="1267"/>
      <c r="AG638" s="1267"/>
      <c r="AH638" s="1267"/>
    </row>
    <row r="639" spans="1:34">
      <c r="A639" s="34" t="s">
        <v>2221</v>
      </c>
      <c r="D639" s="1267">
        <f t="shared" ref="D639:AE639" si="655">D17</f>
        <v>2332019750193</v>
      </c>
      <c r="E639" s="1267">
        <f t="shared" si="655"/>
        <v>628466910850</v>
      </c>
      <c r="F639" s="1267">
        <f t="shared" si="655"/>
        <v>0</v>
      </c>
      <c r="G639" s="1267">
        <f t="shared" si="655"/>
        <v>2291759419004</v>
      </c>
      <c r="H639" s="1267">
        <f t="shared" si="655"/>
        <v>3004452811118</v>
      </c>
      <c r="I639" s="1267">
        <f t="shared" si="655"/>
        <v>1388914590908</v>
      </c>
      <c r="J639" s="1267">
        <f t="shared" si="655"/>
        <v>1805223437143</v>
      </c>
      <c r="K639" s="1267">
        <f t="shared" si="655"/>
        <v>2601283482728</v>
      </c>
      <c r="L639" s="1267">
        <f t="shared" si="655"/>
        <v>842499638701</v>
      </c>
      <c r="M639" s="1267">
        <f t="shared" si="655"/>
        <v>1664465122899</v>
      </c>
      <c r="N639" s="1267">
        <f t="shared" si="655"/>
        <v>2471691792927</v>
      </c>
      <c r="O639" s="1267">
        <f t="shared" si="655"/>
        <v>3449033976326</v>
      </c>
      <c r="P639" s="1267">
        <f t="shared" si="655"/>
        <v>1237840325146</v>
      </c>
      <c r="Q639" s="1267">
        <f t="shared" si="655"/>
        <v>2176496972248</v>
      </c>
      <c r="R639" s="1267">
        <f t="shared" si="655"/>
        <v>3852144329598</v>
      </c>
      <c r="S639" s="1267">
        <f t="shared" si="655"/>
        <v>4319077473952</v>
      </c>
      <c r="T639" s="1267">
        <f t="shared" si="655"/>
        <v>1659083315081</v>
      </c>
      <c r="U639" s="1267">
        <f t="shared" si="655"/>
        <v>2777881717290</v>
      </c>
      <c r="V639" s="1267">
        <f t="shared" si="655"/>
        <v>3807197970035</v>
      </c>
      <c r="W639" s="1267">
        <f t="shared" si="655"/>
        <v>4899563027076</v>
      </c>
      <c r="X639" s="1267">
        <f t="shared" si="655"/>
        <v>1862928857121</v>
      </c>
      <c r="Y639" s="1267">
        <f t="shared" si="655"/>
        <v>3171466409166</v>
      </c>
      <c r="Z639" s="1267">
        <f t="shared" si="655"/>
        <v>4432813966401</v>
      </c>
      <c r="AA639" s="1267">
        <f t="shared" si="655"/>
        <v>5976810300129</v>
      </c>
      <c r="AB639" s="1267">
        <f t="shared" si="655"/>
        <v>2326767545978</v>
      </c>
      <c r="AC639" s="1267">
        <f t="shared" si="655"/>
        <v>4063522847362</v>
      </c>
      <c r="AD639" s="1267">
        <f t="shared" si="655"/>
        <v>5372009606836</v>
      </c>
      <c r="AE639" s="1267">
        <f t="shared" si="655"/>
        <v>7838849105155</v>
      </c>
      <c r="AF639" s="1267">
        <f t="shared" ref="AF639:AG639" si="656">AF17</f>
        <v>3130835973161</v>
      </c>
      <c r="AG639" s="1267">
        <f t="shared" si="656"/>
        <v>5696158543881</v>
      </c>
      <c r="AH639" s="1267">
        <f t="shared" ref="AH639" si="657">AH17</f>
        <v>7963677303320</v>
      </c>
    </row>
    <row r="640" spans="1:34">
      <c r="A640" s="34" t="s">
        <v>2222</v>
      </c>
      <c r="D640" s="1267">
        <f t="shared" ref="D640:AE640" si="658">D217</f>
        <v>2063170567995</v>
      </c>
      <c r="E640" s="1267">
        <f t="shared" si="658"/>
        <v>603813603438</v>
      </c>
      <c r="F640" s="1267">
        <f t="shared" si="658"/>
        <v>0</v>
      </c>
      <c r="G640" s="1267">
        <f t="shared" si="658"/>
        <v>2159665762945</v>
      </c>
      <c r="H640" s="1267">
        <f t="shared" si="658"/>
        <v>2794952484516</v>
      </c>
      <c r="I640" s="1267">
        <f t="shared" si="658"/>
        <v>1344150400738</v>
      </c>
      <c r="J640" s="1267">
        <f t="shared" si="658"/>
        <v>1728960839137</v>
      </c>
      <c r="K640" s="1267">
        <f t="shared" si="658"/>
        <v>2509643612065</v>
      </c>
      <c r="L640" s="1267">
        <f t="shared" si="658"/>
        <v>792606195131</v>
      </c>
      <c r="M640" s="1267">
        <f t="shared" si="658"/>
        <v>1532430336007</v>
      </c>
      <c r="N640" s="1267">
        <f t="shared" si="658"/>
        <v>2253444609041</v>
      </c>
      <c r="O640" s="1267">
        <f t="shared" si="658"/>
        <v>3152714305328</v>
      </c>
      <c r="P640" s="1267">
        <f t="shared" si="658"/>
        <v>1105524224695</v>
      </c>
      <c r="Q640" s="1267">
        <f t="shared" si="658"/>
        <v>1920241262991</v>
      </c>
      <c r="R640" s="1267">
        <f t="shared" si="658"/>
        <v>3536487063814</v>
      </c>
      <c r="S640" s="1267">
        <f t="shared" si="658"/>
        <v>4004633986182</v>
      </c>
      <c r="T640" s="1267">
        <f t="shared" si="658"/>
        <v>1569273042043</v>
      </c>
      <c r="U640" s="1267">
        <f t="shared" si="658"/>
        <v>2623677286251</v>
      </c>
      <c r="V640" s="1267">
        <f t="shared" si="658"/>
        <v>3596480633116</v>
      </c>
      <c r="W640" s="1267">
        <f t="shared" si="658"/>
        <v>4599752359827</v>
      </c>
      <c r="X640" s="1267">
        <f t="shared" si="658"/>
        <v>1687607070446</v>
      </c>
      <c r="Y640" s="1267">
        <f t="shared" si="658"/>
        <v>2832528089162</v>
      </c>
      <c r="Z640" s="1267">
        <f t="shared" si="658"/>
        <v>3951238452003</v>
      </c>
      <c r="AA640" s="1267">
        <f t="shared" si="658"/>
        <v>5373354397770</v>
      </c>
      <c r="AB640" s="1267">
        <f t="shared" si="658"/>
        <v>2116060831196</v>
      </c>
      <c r="AC640" s="1267">
        <f t="shared" si="658"/>
        <v>3683460116253</v>
      </c>
      <c r="AD640" s="1267">
        <f t="shared" si="658"/>
        <v>4830580118212</v>
      </c>
      <c r="AE640" s="1267">
        <f t="shared" si="658"/>
        <v>7168204305636</v>
      </c>
      <c r="AF640" s="1267">
        <f t="shared" ref="AF640:AG640" si="659">AF217</f>
        <v>2822637749252</v>
      </c>
      <c r="AG640" s="1267">
        <f t="shared" si="659"/>
        <v>5147696291397</v>
      </c>
      <c r="AH640" s="1267">
        <f t="shared" ref="AH640" si="660">AH217</f>
        <v>7259005799637</v>
      </c>
    </row>
    <row r="641" spans="1:34">
      <c r="A641" s="34" t="s">
        <v>2223</v>
      </c>
      <c r="D641" s="1267">
        <f t="shared" ref="D641:AE641" si="661">D324</f>
        <v>487171925904</v>
      </c>
      <c r="E641" s="1267">
        <f t="shared" si="661"/>
        <v>116307371048</v>
      </c>
      <c r="F641" s="1267">
        <f t="shared" si="661"/>
        <v>0</v>
      </c>
      <c r="G641" s="1267">
        <f t="shared" si="661"/>
        <v>341979398743</v>
      </c>
      <c r="H641" s="1267">
        <f t="shared" si="661"/>
        <v>463608510179</v>
      </c>
      <c r="I641" s="1267">
        <f t="shared" si="661"/>
        <v>102659629489</v>
      </c>
      <c r="J641" s="1267">
        <f t="shared" si="661"/>
        <v>200026907516</v>
      </c>
      <c r="K641" s="1267">
        <f t="shared" si="661"/>
        <v>299578439091</v>
      </c>
      <c r="L641" s="1267">
        <f t="shared" si="661"/>
        <v>102212065014</v>
      </c>
      <c r="M641" s="1267">
        <f t="shared" si="661"/>
        <v>206597884484</v>
      </c>
      <c r="N641" s="1267">
        <f t="shared" si="661"/>
        <v>311273277917</v>
      </c>
      <c r="O641" s="1267">
        <f t="shared" si="661"/>
        <v>423335168187</v>
      </c>
      <c r="P641" s="1267">
        <f t="shared" si="661"/>
        <v>114960072121</v>
      </c>
      <c r="Q641" s="1267">
        <f t="shared" si="661"/>
        <v>236523071057</v>
      </c>
      <c r="R641" s="1267">
        <f t="shared" si="661"/>
        <v>341677068478</v>
      </c>
      <c r="S641" s="1267">
        <f t="shared" si="661"/>
        <v>480594840219</v>
      </c>
      <c r="T641" s="1267">
        <f t="shared" si="661"/>
        <v>116317193990</v>
      </c>
      <c r="U641" s="1267">
        <f t="shared" si="661"/>
        <v>229690392296</v>
      </c>
      <c r="V641" s="1267">
        <f t="shared" si="661"/>
        <v>338237784328</v>
      </c>
      <c r="W641" s="1267">
        <f t="shared" si="661"/>
        <v>465475217345</v>
      </c>
      <c r="X641" s="1267">
        <f t="shared" si="661"/>
        <v>124300558833</v>
      </c>
      <c r="Y641" s="1267">
        <f t="shared" si="661"/>
        <v>250170458663</v>
      </c>
      <c r="Z641" s="1267">
        <f t="shared" si="661"/>
        <v>379196207270</v>
      </c>
      <c r="AA641" s="1267">
        <f t="shared" si="661"/>
        <v>532466011878</v>
      </c>
      <c r="AB641" s="1267">
        <f t="shared" si="661"/>
        <v>154396951118</v>
      </c>
      <c r="AC641" s="1267">
        <f t="shared" si="661"/>
        <v>305194228825</v>
      </c>
      <c r="AD641" s="1267">
        <f t="shared" si="661"/>
        <v>440101807302</v>
      </c>
      <c r="AE641" s="1267">
        <f t="shared" si="661"/>
        <v>597147189221</v>
      </c>
      <c r="AF641" s="1267">
        <f t="shared" ref="AF641:AG641" si="662">AF324</f>
        <v>155820444743</v>
      </c>
      <c r="AG641" s="1267">
        <f t="shared" si="662"/>
        <v>337107615236</v>
      </c>
      <c r="AH641" s="1267">
        <f t="shared" ref="AH641" si="663">AH324</f>
        <v>496732846127</v>
      </c>
    </row>
    <row r="642" spans="1:34">
      <c r="D642" s="1267"/>
      <c r="E642" s="1267"/>
      <c r="F642" s="1267"/>
      <c r="G642" s="1267"/>
      <c r="H642" s="1267"/>
      <c r="I642" s="1267"/>
      <c r="J642" s="1267"/>
      <c r="K642" s="1267"/>
      <c r="L642" s="1267"/>
      <c r="M642" s="1267"/>
      <c r="N642" s="1267"/>
      <c r="O642" s="1267"/>
      <c r="P642" s="1267"/>
      <c r="Q642" s="1267"/>
      <c r="R642" s="1267"/>
      <c r="S642" s="1267"/>
      <c r="T642" s="1267"/>
      <c r="U642" s="1267"/>
      <c r="V642" s="1267"/>
      <c r="W642" s="1267"/>
      <c r="X642" s="1267"/>
      <c r="Y642" s="1267"/>
      <c r="Z642" s="1267"/>
      <c r="AA642" s="1267"/>
      <c r="AB642" s="1267"/>
      <c r="AC642" s="1267"/>
      <c r="AD642" s="1267"/>
      <c r="AE642" s="1267"/>
      <c r="AF642" s="1267"/>
      <c r="AG642" s="1267"/>
      <c r="AH642" s="1267"/>
    </row>
    <row r="643" spans="1:34">
      <c r="A643" s="34" t="s">
        <v>2224</v>
      </c>
      <c r="D643" s="128">
        <f t="shared" ref="D643:Z643" si="664">D644-D650</f>
        <v>3112472827</v>
      </c>
      <c r="E643" s="128">
        <f t="shared" si="664"/>
        <v>-16847886277</v>
      </c>
      <c r="F643" s="128">
        <f t="shared" si="664"/>
        <v>0</v>
      </c>
      <c r="G643" s="128">
        <f t="shared" si="664"/>
        <v>-5850022767</v>
      </c>
      <c r="H643" s="128">
        <f t="shared" si="664"/>
        <v>-7152222851</v>
      </c>
      <c r="I643" s="128">
        <f t="shared" si="664"/>
        <v>-36769729</v>
      </c>
      <c r="J643" s="128">
        <f t="shared" si="664"/>
        <v>-76575156</v>
      </c>
      <c r="K643" s="128">
        <f t="shared" si="664"/>
        <v>-16198782572</v>
      </c>
      <c r="L643" s="128">
        <f t="shared" si="664"/>
        <v>-2363633337</v>
      </c>
      <c r="M643" s="128">
        <f t="shared" si="664"/>
        <v>-2668142919</v>
      </c>
      <c r="N643" s="128">
        <f t="shared" si="664"/>
        <v>3708511448</v>
      </c>
      <c r="O643" s="128">
        <f t="shared" si="664"/>
        <v>3958556941</v>
      </c>
      <c r="P643" s="128">
        <f t="shared" si="664"/>
        <v>-764988713</v>
      </c>
      <c r="Q643" s="128">
        <f t="shared" si="664"/>
        <v>1120498330</v>
      </c>
      <c r="R643" s="128">
        <f t="shared" si="664"/>
        <v>-158264581</v>
      </c>
      <c r="S643" s="128">
        <f t="shared" si="664"/>
        <v>-1827776158</v>
      </c>
      <c r="T643" s="128">
        <f t="shared" si="664"/>
        <v>-181298599</v>
      </c>
      <c r="U643" s="128">
        <f t="shared" si="664"/>
        <v>-234914271</v>
      </c>
      <c r="V643" s="128">
        <f t="shared" si="664"/>
        <v>-685452524</v>
      </c>
      <c r="W643" s="128">
        <f t="shared" si="664"/>
        <v>-602406242</v>
      </c>
      <c r="X643" s="128">
        <f t="shared" si="664"/>
        <v>-47322353</v>
      </c>
      <c r="Y643" s="128">
        <f t="shared" si="664"/>
        <v>-657836686</v>
      </c>
      <c r="Z643" s="128">
        <f t="shared" si="664"/>
        <v>-279191289</v>
      </c>
      <c r="AA643" s="128">
        <f t="shared" ref="AA643:AF643" si="665">AA644-AA650</f>
        <v>-2235903491</v>
      </c>
      <c r="AB643" s="128">
        <f t="shared" si="665"/>
        <v>-13026569635</v>
      </c>
      <c r="AC643" s="128">
        <f t="shared" si="665"/>
        <v>-12383322410</v>
      </c>
      <c r="AD643" s="128">
        <f t="shared" si="665"/>
        <v>-13763029633</v>
      </c>
      <c r="AE643" s="128">
        <f t="shared" si="665"/>
        <v>-13470097572</v>
      </c>
      <c r="AF643" s="128">
        <f t="shared" si="665"/>
        <v>-3771628425</v>
      </c>
      <c r="AG643" s="128">
        <f t="shared" ref="AG643:AH643" si="666">AG644-AG650</f>
        <v>-3669156560</v>
      </c>
      <c r="AH643" s="128">
        <f t="shared" si="666"/>
        <v>-11392603608</v>
      </c>
    </row>
    <row r="644" spans="1:34">
      <c r="A644" s="34" t="s">
        <v>872</v>
      </c>
      <c r="D644" s="128">
        <f t="shared" ref="D644:Z644" si="667">D645+D646+D647+D648+D649</f>
        <v>5786918616</v>
      </c>
      <c r="E644" s="128">
        <f t="shared" si="667"/>
        <v>3635000</v>
      </c>
      <c r="F644" s="128">
        <f t="shared" si="667"/>
        <v>0</v>
      </c>
      <c r="G644" s="128">
        <f t="shared" si="667"/>
        <v>375558720</v>
      </c>
      <c r="H644" s="128">
        <f t="shared" si="667"/>
        <v>375558720</v>
      </c>
      <c r="I644" s="128">
        <f t="shared" si="667"/>
        <v>15027541</v>
      </c>
      <c r="J644" s="128">
        <f t="shared" si="667"/>
        <v>17046223</v>
      </c>
      <c r="K644" s="128">
        <f t="shared" si="667"/>
        <v>17047441</v>
      </c>
      <c r="L644" s="128">
        <f t="shared" si="667"/>
        <v>1785956</v>
      </c>
      <c r="M644" s="128">
        <f t="shared" si="667"/>
        <v>1785956</v>
      </c>
      <c r="N644" s="128">
        <f t="shared" si="667"/>
        <v>6102566140</v>
      </c>
      <c r="O644" s="128">
        <f t="shared" si="667"/>
        <v>7963765335</v>
      </c>
      <c r="P644" s="128">
        <f t="shared" si="667"/>
        <v>700508145</v>
      </c>
      <c r="Q644" s="128">
        <f t="shared" si="667"/>
        <v>2631967888</v>
      </c>
      <c r="R644" s="128">
        <f t="shared" si="667"/>
        <v>2631967888</v>
      </c>
      <c r="S644" s="128">
        <f t="shared" si="667"/>
        <v>2631967888</v>
      </c>
      <c r="T644" s="128">
        <f t="shared" si="667"/>
        <v>28199655</v>
      </c>
      <c r="U644" s="128">
        <f t="shared" si="667"/>
        <v>28203099</v>
      </c>
      <c r="V644" s="128">
        <f t="shared" si="667"/>
        <v>155309384</v>
      </c>
      <c r="W644" s="128">
        <f t="shared" si="667"/>
        <v>208560571</v>
      </c>
      <c r="X644" s="128">
        <f t="shared" si="667"/>
        <v>155397719</v>
      </c>
      <c r="Y644" s="128">
        <f t="shared" si="667"/>
        <v>162806953</v>
      </c>
      <c r="Z644" s="128">
        <f t="shared" si="667"/>
        <v>724854410</v>
      </c>
      <c r="AA644" s="128">
        <f t="shared" ref="AA644:AF644" si="668">AA645+AA646+AA647+AA648+AA649</f>
        <v>724854410</v>
      </c>
      <c r="AB644" s="128">
        <f t="shared" si="668"/>
        <v>0</v>
      </c>
      <c r="AC644" s="128">
        <f t="shared" si="668"/>
        <v>941700000</v>
      </c>
      <c r="AD644" s="128">
        <f t="shared" si="668"/>
        <v>441668775</v>
      </c>
      <c r="AE644" s="128">
        <f t="shared" si="668"/>
        <v>2598763913</v>
      </c>
      <c r="AF644" s="128">
        <f t="shared" si="668"/>
        <v>978527311</v>
      </c>
      <c r="AG644" s="128">
        <f>AG645+AG646+AG647+AG648+AG649</f>
        <v>1117742391</v>
      </c>
      <c r="AH644" s="128">
        <f>AH645+AH646+AH647+AH648+AH649</f>
        <v>1695666013</v>
      </c>
    </row>
    <row r="645" spans="1:34">
      <c r="A645" s="34" t="s">
        <v>19</v>
      </c>
      <c r="D645" s="162">
        <f t="shared" ref="D645:AE645" si="669">D168</f>
        <v>1643283774</v>
      </c>
      <c r="E645" s="162">
        <f t="shared" si="669"/>
        <v>0</v>
      </c>
      <c r="F645" s="162">
        <f t="shared" si="669"/>
        <v>0</v>
      </c>
      <c r="G645" s="162">
        <f t="shared" si="669"/>
        <v>0</v>
      </c>
      <c r="H645" s="162">
        <f t="shared" si="669"/>
        <v>0</v>
      </c>
      <c r="I645" s="162">
        <f t="shared" si="669"/>
        <v>0</v>
      </c>
      <c r="J645" s="162">
        <f t="shared" si="669"/>
        <v>0</v>
      </c>
      <c r="K645" s="162">
        <f t="shared" si="669"/>
        <v>0</v>
      </c>
      <c r="L645" s="162">
        <f t="shared" si="669"/>
        <v>0</v>
      </c>
      <c r="M645" s="162">
        <f t="shared" si="669"/>
        <v>0</v>
      </c>
      <c r="N645" s="162">
        <f t="shared" si="669"/>
        <v>0</v>
      </c>
      <c r="O645" s="162">
        <f t="shared" si="669"/>
        <v>0</v>
      </c>
      <c r="P645" s="162">
        <f t="shared" si="669"/>
        <v>0</v>
      </c>
      <c r="Q645" s="162">
        <f t="shared" si="669"/>
        <v>1850605743</v>
      </c>
      <c r="R645" s="162">
        <f t="shared" si="669"/>
        <v>1850605743</v>
      </c>
      <c r="S645" s="162">
        <f t="shared" si="669"/>
        <v>1850605743</v>
      </c>
      <c r="T645" s="162">
        <f t="shared" si="669"/>
        <v>0</v>
      </c>
      <c r="U645" s="162">
        <f t="shared" si="669"/>
        <v>0</v>
      </c>
      <c r="V645" s="162">
        <f t="shared" si="669"/>
        <v>0</v>
      </c>
      <c r="W645" s="162">
        <f t="shared" si="669"/>
        <v>2896470</v>
      </c>
      <c r="X645" s="162">
        <f t="shared" si="669"/>
        <v>0</v>
      </c>
      <c r="Y645" s="162">
        <f t="shared" si="669"/>
        <v>0</v>
      </c>
      <c r="Z645" s="162">
        <f t="shared" si="669"/>
        <v>0</v>
      </c>
      <c r="AA645" s="162">
        <f t="shared" si="669"/>
        <v>0</v>
      </c>
      <c r="AB645" s="162">
        <f t="shared" si="669"/>
        <v>0</v>
      </c>
      <c r="AC645" s="162">
        <f t="shared" si="669"/>
        <v>0</v>
      </c>
      <c r="AD645" s="162">
        <f t="shared" si="669"/>
        <v>0</v>
      </c>
      <c r="AE645" s="162">
        <f t="shared" si="669"/>
        <v>0</v>
      </c>
      <c r="AF645" s="162">
        <f t="shared" ref="AF645:AG645" si="670">AF168</f>
        <v>0</v>
      </c>
      <c r="AG645" s="162">
        <f t="shared" si="670"/>
        <v>0</v>
      </c>
      <c r="AH645" s="162">
        <f t="shared" ref="AH645" si="671">AH168</f>
        <v>107140000</v>
      </c>
    </row>
    <row r="646" spans="1:34">
      <c r="A646" s="34" t="s">
        <v>2225</v>
      </c>
      <c r="D646" s="162">
        <f t="shared" ref="D646:AE646" si="672">D169</f>
        <v>0</v>
      </c>
      <c r="E646" s="162">
        <f t="shared" si="672"/>
        <v>0</v>
      </c>
      <c r="F646" s="162">
        <f t="shared" si="672"/>
        <v>0</v>
      </c>
      <c r="G646" s="162">
        <f t="shared" si="672"/>
        <v>0</v>
      </c>
      <c r="H646" s="162">
        <f t="shared" si="672"/>
        <v>0</v>
      </c>
      <c r="I646" s="162">
        <f t="shared" si="672"/>
        <v>0</v>
      </c>
      <c r="J646" s="162">
        <f t="shared" si="672"/>
        <v>0</v>
      </c>
      <c r="K646" s="162">
        <f t="shared" si="672"/>
        <v>0</v>
      </c>
      <c r="L646" s="162">
        <f t="shared" si="672"/>
        <v>0</v>
      </c>
      <c r="M646" s="162">
        <f t="shared" si="672"/>
        <v>0</v>
      </c>
      <c r="N646" s="162">
        <f t="shared" si="672"/>
        <v>0</v>
      </c>
      <c r="O646" s="162">
        <f t="shared" si="672"/>
        <v>0</v>
      </c>
      <c r="P646" s="162">
        <f t="shared" si="672"/>
        <v>0</v>
      </c>
      <c r="Q646" s="162">
        <f t="shared" si="672"/>
        <v>0</v>
      </c>
      <c r="R646" s="162">
        <f t="shared" si="672"/>
        <v>0</v>
      </c>
      <c r="S646" s="162">
        <f t="shared" si="672"/>
        <v>0</v>
      </c>
      <c r="T646" s="162">
        <f t="shared" si="672"/>
        <v>0</v>
      </c>
      <c r="U646" s="162">
        <f t="shared" si="672"/>
        <v>0</v>
      </c>
      <c r="V646" s="162">
        <f t="shared" si="672"/>
        <v>0</v>
      </c>
      <c r="W646" s="162">
        <f t="shared" si="672"/>
        <v>0</v>
      </c>
      <c r="X646" s="162">
        <f t="shared" si="672"/>
        <v>0</v>
      </c>
      <c r="Y646" s="162">
        <f t="shared" si="672"/>
        <v>0</v>
      </c>
      <c r="Z646" s="162">
        <f t="shared" si="672"/>
        <v>0</v>
      </c>
      <c r="AA646" s="162">
        <f t="shared" si="672"/>
        <v>0</v>
      </c>
      <c r="AB646" s="162">
        <f t="shared" si="672"/>
        <v>0</v>
      </c>
      <c r="AC646" s="162">
        <f t="shared" si="672"/>
        <v>941700000</v>
      </c>
      <c r="AD646" s="162">
        <f t="shared" si="672"/>
        <v>114626000</v>
      </c>
      <c r="AE646" s="162">
        <f t="shared" si="672"/>
        <v>163092200</v>
      </c>
      <c r="AF646" s="162">
        <f t="shared" ref="AF646:AG646" si="673">AF169</f>
        <v>202165900</v>
      </c>
      <c r="AG646" s="162">
        <f t="shared" si="673"/>
        <v>341380980</v>
      </c>
      <c r="AH646" s="162">
        <f t="shared" ref="AH646" si="674">AH169</f>
        <v>1485520302</v>
      </c>
    </row>
    <row r="647" spans="1:34">
      <c r="A647" s="34" t="s">
        <v>20</v>
      </c>
      <c r="D647" s="162">
        <f t="shared" ref="D647:AE647" si="675">D170</f>
        <v>4143634842</v>
      </c>
      <c r="E647" s="162">
        <f t="shared" si="675"/>
        <v>3635000</v>
      </c>
      <c r="F647" s="162">
        <f t="shared" si="675"/>
        <v>0</v>
      </c>
      <c r="G647" s="162">
        <f t="shared" si="675"/>
        <v>375558720</v>
      </c>
      <c r="H647" s="162">
        <f t="shared" si="675"/>
        <v>375558720</v>
      </c>
      <c r="I647" s="162">
        <f t="shared" si="675"/>
        <v>0</v>
      </c>
      <c r="J647" s="162">
        <f t="shared" si="675"/>
        <v>0</v>
      </c>
      <c r="K647" s="162">
        <f t="shared" si="675"/>
        <v>0</v>
      </c>
      <c r="L647" s="162">
        <f t="shared" si="675"/>
        <v>0</v>
      </c>
      <c r="M647" s="162">
        <f t="shared" si="675"/>
        <v>0</v>
      </c>
      <c r="N647" s="162">
        <f t="shared" si="675"/>
        <v>5385960915</v>
      </c>
      <c r="O647" s="162">
        <f t="shared" si="675"/>
        <v>5385960915</v>
      </c>
      <c r="P647" s="162">
        <f t="shared" si="675"/>
        <v>700508145</v>
      </c>
      <c r="Q647" s="162">
        <f t="shared" si="675"/>
        <v>781362145</v>
      </c>
      <c r="R647" s="162">
        <f t="shared" si="675"/>
        <v>781362145</v>
      </c>
      <c r="S647" s="162">
        <f t="shared" si="675"/>
        <v>781362145</v>
      </c>
      <c r="T647" s="162">
        <f t="shared" si="675"/>
        <v>28199655</v>
      </c>
      <c r="U647" s="162">
        <f t="shared" si="675"/>
        <v>28203099</v>
      </c>
      <c r="V647" s="162">
        <f t="shared" si="675"/>
        <v>116347864</v>
      </c>
      <c r="W647" s="162">
        <f t="shared" si="675"/>
        <v>116347864</v>
      </c>
      <c r="X647" s="162">
        <f t="shared" si="675"/>
        <v>134225551</v>
      </c>
      <c r="Y647" s="162">
        <f t="shared" si="675"/>
        <v>141634785</v>
      </c>
      <c r="Z647" s="162">
        <f t="shared" si="675"/>
        <v>159100785</v>
      </c>
      <c r="AA647" s="162">
        <f t="shared" si="675"/>
        <v>159100785</v>
      </c>
      <c r="AB647" s="162">
        <f t="shared" si="675"/>
        <v>0</v>
      </c>
      <c r="AC647" s="162">
        <f t="shared" si="675"/>
        <v>0</v>
      </c>
      <c r="AD647" s="162">
        <f t="shared" si="675"/>
        <v>263651220</v>
      </c>
      <c r="AE647" s="162">
        <f t="shared" si="675"/>
        <v>2435671713</v>
      </c>
      <c r="AF647" s="162">
        <f t="shared" ref="AF647:AG647" si="676">AF170</f>
        <v>673355700</v>
      </c>
      <c r="AG647" s="162">
        <f t="shared" si="676"/>
        <v>673355700</v>
      </c>
      <c r="AH647" s="162">
        <f t="shared" ref="AH647" si="677">AH170</f>
        <v>0</v>
      </c>
    </row>
    <row r="648" spans="1:34">
      <c r="A648" s="34" t="s">
        <v>2226</v>
      </c>
      <c r="D648" s="162">
        <f t="shared" ref="D648:AE648" si="678">D171</f>
        <v>0</v>
      </c>
      <c r="E648" s="162">
        <f t="shared" si="678"/>
        <v>0</v>
      </c>
      <c r="F648" s="162">
        <f t="shared" si="678"/>
        <v>0</v>
      </c>
      <c r="G648" s="162">
        <f t="shared" si="678"/>
        <v>0</v>
      </c>
      <c r="H648" s="162">
        <f t="shared" si="678"/>
        <v>0</v>
      </c>
      <c r="I648" s="162">
        <f t="shared" si="678"/>
        <v>0</v>
      </c>
      <c r="J648" s="162">
        <f t="shared" si="678"/>
        <v>0</v>
      </c>
      <c r="K648" s="162">
        <f t="shared" si="678"/>
        <v>0</v>
      </c>
      <c r="L648" s="162">
        <f t="shared" si="678"/>
        <v>0</v>
      </c>
      <c r="M648" s="162">
        <f t="shared" si="678"/>
        <v>0</v>
      </c>
      <c r="N648" s="162">
        <f t="shared" si="678"/>
        <v>0</v>
      </c>
      <c r="O648" s="162">
        <f t="shared" si="678"/>
        <v>0</v>
      </c>
      <c r="P648" s="162">
        <f t="shared" si="678"/>
        <v>0</v>
      </c>
      <c r="Q648" s="162">
        <f t="shared" si="678"/>
        <v>0</v>
      </c>
      <c r="R648" s="162">
        <f t="shared" si="678"/>
        <v>0</v>
      </c>
      <c r="S648" s="162">
        <f t="shared" si="678"/>
        <v>0</v>
      </c>
      <c r="T648" s="162">
        <f t="shared" si="678"/>
        <v>0</v>
      </c>
      <c r="U648" s="162">
        <f t="shared" si="678"/>
        <v>0</v>
      </c>
      <c r="V648" s="162">
        <f t="shared" si="678"/>
        <v>0</v>
      </c>
      <c r="W648" s="162">
        <f t="shared" si="678"/>
        <v>0</v>
      </c>
      <c r="X648" s="162">
        <f t="shared" si="678"/>
        <v>0</v>
      </c>
      <c r="Y648" s="162">
        <f t="shared" si="678"/>
        <v>0</v>
      </c>
      <c r="Z648" s="162">
        <f t="shared" si="678"/>
        <v>0</v>
      </c>
      <c r="AA648" s="162">
        <f t="shared" si="678"/>
        <v>0</v>
      </c>
      <c r="AB648" s="162">
        <f t="shared" si="678"/>
        <v>0</v>
      </c>
      <c r="AC648" s="162">
        <f t="shared" si="678"/>
        <v>0</v>
      </c>
      <c r="AD648" s="162">
        <f t="shared" si="678"/>
        <v>0</v>
      </c>
      <c r="AE648" s="162">
        <f t="shared" si="678"/>
        <v>0</v>
      </c>
      <c r="AF648" s="162">
        <f t="shared" ref="AF648:AG648" si="679">AF171</f>
        <v>0</v>
      </c>
      <c r="AG648" s="162">
        <f t="shared" si="679"/>
        <v>0</v>
      </c>
      <c r="AH648" s="162">
        <f t="shared" ref="AH648" si="680">AH171</f>
        <v>0</v>
      </c>
    </row>
    <row r="649" spans="1:34">
      <c r="A649" s="34" t="s">
        <v>21</v>
      </c>
      <c r="D649" s="162">
        <f t="shared" ref="D649:AE649" si="681">D195</f>
        <v>0</v>
      </c>
      <c r="E649" s="162">
        <f t="shared" si="681"/>
        <v>0</v>
      </c>
      <c r="F649" s="162">
        <f t="shared" si="681"/>
        <v>0</v>
      </c>
      <c r="G649" s="162">
        <f t="shared" si="681"/>
        <v>0</v>
      </c>
      <c r="H649" s="162">
        <f t="shared" si="681"/>
        <v>0</v>
      </c>
      <c r="I649" s="162">
        <f t="shared" si="681"/>
        <v>15027541</v>
      </c>
      <c r="J649" s="162">
        <f t="shared" si="681"/>
        <v>17046223</v>
      </c>
      <c r="K649" s="162">
        <f t="shared" si="681"/>
        <v>17047441</v>
      </c>
      <c r="L649" s="162">
        <f t="shared" si="681"/>
        <v>1785956</v>
      </c>
      <c r="M649" s="162">
        <f t="shared" si="681"/>
        <v>1785956</v>
      </c>
      <c r="N649" s="162">
        <f t="shared" si="681"/>
        <v>716605225</v>
      </c>
      <c r="O649" s="162">
        <f t="shared" si="681"/>
        <v>2577804420</v>
      </c>
      <c r="P649" s="162">
        <f t="shared" si="681"/>
        <v>0</v>
      </c>
      <c r="Q649" s="162">
        <f t="shared" si="681"/>
        <v>0</v>
      </c>
      <c r="R649" s="162">
        <f t="shared" si="681"/>
        <v>0</v>
      </c>
      <c r="S649" s="162">
        <f t="shared" si="681"/>
        <v>0</v>
      </c>
      <c r="T649" s="162">
        <f t="shared" si="681"/>
        <v>0</v>
      </c>
      <c r="U649" s="162">
        <f t="shared" si="681"/>
        <v>0</v>
      </c>
      <c r="V649" s="162">
        <f t="shared" si="681"/>
        <v>38961520</v>
      </c>
      <c r="W649" s="162">
        <f t="shared" si="681"/>
        <v>89316237</v>
      </c>
      <c r="X649" s="162">
        <f t="shared" si="681"/>
        <v>21172168</v>
      </c>
      <c r="Y649" s="162">
        <f t="shared" si="681"/>
        <v>21172168</v>
      </c>
      <c r="Z649" s="162">
        <f t="shared" si="681"/>
        <v>565753625</v>
      </c>
      <c r="AA649" s="162">
        <f t="shared" si="681"/>
        <v>565753625</v>
      </c>
      <c r="AB649" s="162">
        <f t="shared" si="681"/>
        <v>0</v>
      </c>
      <c r="AC649" s="162">
        <f t="shared" si="681"/>
        <v>0</v>
      </c>
      <c r="AD649" s="162">
        <f t="shared" si="681"/>
        <v>63391555</v>
      </c>
      <c r="AE649" s="162">
        <f t="shared" si="681"/>
        <v>0</v>
      </c>
      <c r="AF649" s="162">
        <f t="shared" ref="AF649:AG649" si="682">AF195</f>
        <v>103005711</v>
      </c>
      <c r="AG649" s="162">
        <f t="shared" si="682"/>
        <v>103005711</v>
      </c>
      <c r="AH649" s="162">
        <f t="shared" ref="AH649" si="683">AH195</f>
        <v>103005711</v>
      </c>
    </row>
    <row r="650" spans="1:34">
      <c r="A650" s="34" t="s">
        <v>478</v>
      </c>
      <c r="D650" s="1270">
        <f t="shared" ref="D650:Z650" si="684">D651+D652+D653+D654+D655</f>
        <v>2674445789</v>
      </c>
      <c r="E650" s="1270">
        <f t="shared" si="684"/>
        <v>16851521277</v>
      </c>
      <c r="F650" s="1270">
        <f t="shared" si="684"/>
        <v>0</v>
      </c>
      <c r="G650" s="1270">
        <f t="shared" si="684"/>
        <v>6225581487</v>
      </c>
      <c r="H650" s="1270">
        <f t="shared" si="684"/>
        <v>7527781571</v>
      </c>
      <c r="I650" s="1270">
        <f t="shared" si="684"/>
        <v>51797270</v>
      </c>
      <c r="J650" s="1270">
        <f t="shared" si="684"/>
        <v>93621379</v>
      </c>
      <c r="K650" s="1270">
        <f t="shared" si="684"/>
        <v>16215830013</v>
      </c>
      <c r="L650" s="1270">
        <f t="shared" si="684"/>
        <v>2365419293</v>
      </c>
      <c r="M650" s="1270">
        <f t="shared" si="684"/>
        <v>2669928875</v>
      </c>
      <c r="N650" s="1270">
        <f t="shared" si="684"/>
        <v>2394054692</v>
      </c>
      <c r="O650" s="1270">
        <f t="shared" si="684"/>
        <v>4005208394</v>
      </c>
      <c r="P650" s="1270">
        <f t="shared" si="684"/>
        <v>1465496858</v>
      </c>
      <c r="Q650" s="1270">
        <f t="shared" si="684"/>
        <v>1511469558</v>
      </c>
      <c r="R650" s="1270">
        <f t="shared" si="684"/>
        <v>2790232469</v>
      </c>
      <c r="S650" s="1270">
        <f t="shared" si="684"/>
        <v>4459744046</v>
      </c>
      <c r="T650" s="1270">
        <f t="shared" si="684"/>
        <v>209498254</v>
      </c>
      <c r="U650" s="1270">
        <f t="shared" si="684"/>
        <v>263117370</v>
      </c>
      <c r="V650" s="1270">
        <f t="shared" si="684"/>
        <v>840761908</v>
      </c>
      <c r="W650" s="1270">
        <f t="shared" si="684"/>
        <v>810966813</v>
      </c>
      <c r="X650" s="1270">
        <f t="shared" si="684"/>
        <v>202720072</v>
      </c>
      <c r="Y650" s="1270">
        <f t="shared" si="684"/>
        <v>820643639</v>
      </c>
      <c r="Z650" s="1270">
        <f t="shared" si="684"/>
        <v>1004045699</v>
      </c>
      <c r="AA650" s="1270">
        <f t="shared" ref="AA650:AF650" si="685">AA651+AA652+AA653+AA654+AA655</f>
        <v>2960757901</v>
      </c>
      <c r="AB650" s="1270">
        <f t="shared" si="685"/>
        <v>13026569635</v>
      </c>
      <c r="AC650" s="1270">
        <f t="shared" si="685"/>
        <v>13325022410</v>
      </c>
      <c r="AD650" s="1270">
        <f t="shared" si="685"/>
        <v>14204698408</v>
      </c>
      <c r="AE650" s="1270">
        <f t="shared" si="685"/>
        <v>16068861485</v>
      </c>
      <c r="AF650" s="1270">
        <f t="shared" si="685"/>
        <v>4750155736</v>
      </c>
      <c r="AG650" s="1270">
        <f t="shared" ref="AG650:AH650" si="686">AG651+AG652+AG653+AG654+AG655</f>
        <v>4786898951</v>
      </c>
      <c r="AH650" s="1270">
        <f t="shared" si="686"/>
        <v>13088269621</v>
      </c>
    </row>
    <row r="651" spans="1:34">
      <c r="A651" s="34" t="s">
        <v>479</v>
      </c>
      <c r="D651" s="162">
        <f t="shared" ref="D651:AE651" si="687">D317</f>
        <v>0</v>
      </c>
      <c r="E651" s="162">
        <f t="shared" si="687"/>
        <v>0</v>
      </c>
      <c r="F651" s="162">
        <f t="shared" si="687"/>
        <v>0</v>
      </c>
      <c r="G651" s="162">
        <f t="shared" si="687"/>
        <v>3681796088</v>
      </c>
      <c r="H651" s="162">
        <f t="shared" si="687"/>
        <v>3681796088</v>
      </c>
      <c r="I651" s="162">
        <f t="shared" si="687"/>
        <v>0</v>
      </c>
      <c r="J651" s="162">
        <f t="shared" si="687"/>
        <v>0</v>
      </c>
      <c r="K651" s="162">
        <f t="shared" si="687"/>
        <v>0</v>
      </c>
      <c r="L651" s="162">
        <f t="shared" si="687"/>
        <v>0</v>
      </c>
      <c r="M651" s="162">
        <f t="shared" si="687"/>
        <v>0</v>
      </c>
      <c r="N651" s="162">
        <f t="shared" si="687"/>
        <v>0</v>
      </c>
      <c r="O651" s="162">
        <f t="shared" si="687"/>
        <v>0</v>
      </c>
      <c r="P651" s="162">
        <f t="shared" si="687"/>
        <v>0</v>
      </c>
      <c r="Q651" s="162">
        <f t="shared" si="687"/>
        <v>0</v>
      </c>
      <c r="R651" s="162">
        <f t="shared" si="687"/>
        <v>0</v>
      </c>
      <c r="S651" s="162">
        <f t="shared" si="687"/>
        <v>0</v>
      </c>
      <c r="T651" s="162">
        <f t="shared" si="687"/>
        <v>179561449</v>
      </c>
      <c r="U651" s="162">
        <f t="shared" si="687"/>
        <v>191561449</v>
      </c>
      <c r="V651" s="162">
        <f t="shared" si="687"/>
        <v>284708480</v>
      </c>
      <c r="W651" s="162">
        <f t="shared" si="687"/>
        <v>284708480</v>
      </c>
      <c r="X651" s="162">
        <f t="shared" si="687"/>
        <v>80050568</v>
      </c>
      <c r="Y651" s="162">
        <f t="shared" si="687"/>
        <v>562501798</v>
      </c>
      <c r="Z651" s="162">
        <f t="shared" si="687"/>
        <v>667009728</v>
      </c>
      <c r="AA651" s="162">
        <f t="shared" si="687"/>
        <v>667009728</v>
      </c>
      <c r="AB651" s="162">
        <f t="shared" si="687"/>
        <v>0</v>
      </c>
      <c r="AC651" s="162">
        <f t="shared" si="687"/>
        <v>0</v>
      </c>
      <c r="AD651" s="162">
        <f t="shared" si="687"/>
        <v>0</v>
      </c>
      <c r="AE651" s="162">
        <f t="shared" si="687"/>
        <v>0</v>
      </c>
      <c r="AF651" s="162">
        <f t="shared" ref="AF651:AG651" si="688">AF317</f>
        <v>0</v>
      </c>
      <c r="AG651" s="162">
        <f t="shared" si="688"/>
        <v>0</v>
      </c>
      <c r="AH651" s="162">
        <f t="shared" ref="AH651" si="689">AH317</f>
        <v>0</v>
      </c>
    </row>
    <row r="652" spans="1:34">
      <c r="A652" s="34" t="s">
        <v>2227</v>
      </c>
      <c r="D652" s="162">
        <f t="shared" ref="D652:AE652" si="690">D318</f>
        <v>0</v>
      </c>
      <c r="E652" s="162">
        <f t="shared" si="690"/>
        <v>0</v>
      </c>
      <c r="F652" s="162">
        <f t="shared" si="690"/>
        <v>0</v>
      </c>
      <c r="G652" s="162">
        <f t="shared" si="690"/>
        <v>0</v>
      </c>
      <c r="H652" s="162">
        <f t="shared" si="690"/>
        <v>0</v>
      </c>
      <c r="I652" s="162">
        <f t="shared" si="690"/>
        <v>0</v>
      </c>
      <c r="J652" s="162">
        <f t="shared" si="690"/>
        <v>0</v>
      </c>
      <c r="K652" s="162">
        <f t="shared" si="690"/>
        <v>0</v>
      </c>
      <c r="L652" s="162">
        <f t="shared" si="690"/>
        <v>0</v>
      </c>
      <c r="M652" s="162">
        <f t="shared" si="690"/>
        <v>0</v>
      </c>
      <c r="N652" s="162">
        <f t="shared" si="690"/>
        <v>0</v>
      </c>
      <c r="O652" s="162">
        <f t="shared" si="690"/>
        <v>0</v>
      </c>
      <c r="P652" s="162">
        <f t="shared" si="690"/>
        <v>0</v>
      </c>
      <c r="Q652" s="162">
        <f t="shared" si="690"/>
        <v>0</v>
      </c>
      <c r="R652" s="162">
        <f t="shared" si="690"/>
        <v>0</v>
      </c>
      <c r="S652" s="162">
        <f t="shared" si="690"/>
        <v>0</v>
      </c>
      <c r="T652" s="162">
        <f t="shared" si="690"/>
        <v>0</v>
      </c>
      <c r="U652" s="162">
        <f t="shared" si="690"/>
        <v>0</v>
      </c>
      <c r="V652" s="162">
        <f t="shared" si="690"/>
        <v>0</v>
      </c>
      <c r="W652" s="162">
        <f t="shared" si="690"/>
        <v>0</v>
      </c>
      <c r="X652" s="162">
        <f t="shared" si="690"/>
        <v>0</v>
      </c>
      <c r="Y652" s="162">
        <f t="shared" si="690"/>
        <v>0</v>
      </c>
      <c r="Z652" s="162">
        <f t="shared" si="690"/>
        <v>0</v>
      </c>
      <c r="AA652" s="162">
        <f t="shared" si="690"/>
        <v>0</v>
      </c>
      <c r="AB652" s="162">
        <f t="shared" si="690"/>
        <v>0</v>
      </c>
      <c r="AC652" s="162">
        <f t="shared" si="690"/>
        <v>0</v>
      </c>
      <c r="AD652" s="162">
        <f t="shared" si="690"/>
        <v>0</v>
      </c>
      <c r="AE652" s="162">
        <f t="shared" si="690"/>
        <v>107140000</v>
      </c>
      <c r="AF652" s="162">
        <f t="shared" ref="AF652:AG652" si="691">AF318</f>
        <v>0</v>
      </c>
      <c r="AG652" s="162">
        <f t="shared" si="691"/>
        <v>732362307</v>
      </c>
      <c r="AH652" s="162">
        <f t="shared" ref="AH652" si="692">AH318</f>
        <v>436620440</v>
      </c>
    </row>
    <row r="653" spans="1:34">
      <c r="A653" s="34" t="s">
        <v>22</v>
      </c>
      <c r="D653" s="162">
        <f t="shared" ref="D653:AE653" si="693">D319</f>
        <v>2478719244</v>
      </c>
      <c r="E653" s="162">
        <f t="shared" si="693"/>
        <v>16635230194</v>
      </c>
      <c r="F653" s="162">
        <f t="shared" si="693"/>
        <v>0</v>
      </c>
      <c r="G653" s="162">
        <f t="shared" si="693"/>
        <v>2417946300</v>
      </c>
      <c r="H653" s="162">
        <f t="shared" si="693"/>
        <v>3667999907</v>
      </c>
      <c r="I653" s="162">
        <f t="shared" si="693"/>
        <v>41416615</v>
      </c>
      <c r="J653" s="162">
        <f t="shared" si="693"/>
        <v>72194741</v>
      </c>
      <c r="K653" s="162">
        <f t="shared" si="693"/>
        <v>16183906001</v>
      </c>
      <c r="L653" s="162">
        <f t="shared" si="693"/>
        <v>2067142860</v>
      </c>
      <c r="M653" s="162">
        <f t="shared" si="693"/>
        <v>2401152326</v>
      </c>
      <c r="N653" s="162">
        <f t="shared" si="693"/>
        <v>2130637826</v>
      </c>
      <c r="O653" s="162">
        <f t="shared" si="693"/>
        <v>3721999871</v>
      </c>
      <c r="P653" s="162">
        <f t="shared" si="693"/>
        <v>0</v>
      </c>
      <c r="Q653" s="162">
        <f t="shared" si="693"/>
        <v>0</v>
      </c>
      <c r="R653" s="162">
        <f t="shared" si="693"/>
        <v>0</v>
      </c>
      <c r="S653" s="162">
        <f t="shared" si="693"/>
        <v>0</v>
      </c>
      <c r="T653" s="162">
        <f t="shared" si="693"/>
        <v>0</v>
      </c>
      <c r="U653" s="162">
        <f t="shared" si="693"/>
        <v>0</v>
      </c>
      <c r="V653" s="162">
        <f t="shared" si="693"/>
        <v>0</v>
      </c>
      <c r="W653" s="162">
        <f t="shared" si="693"/>
        <v>0</v>
      </c>
      <c r="X653" s="162">
        <f t="shared" si="693"/>
        <v>0</v>
      </c>
      <c r="Y653" s="162">
        <f t="shared" si="693"/>
        <v>0</v>
      </c>
      <c r="Z653" s="162">
        <f t="shared" si="693"/>
        <v>0</v>
      </c>
      <c r="AA653" s="162">
        <f t="shared" si="693"/>
        <v>0</v>
      </c>
      <c r="AB653" s="162">
        <f t="shared" si="693"/>
        <v>3152050915</v>
      </c>
      <c r="AC653" s="162">
        <f t="shared" si="693"/>
        <v>3137522422</v>
      </c>
      <c r="AD653" s="162">
        <f t="shared" si="693"/>
        <v>3747181105</v>
      </c>
      <c r="AE653" s="162">
        <f t="shared" si="693"/>
        <v>4728450651</v>
      </c>
      <c r="AF653" s="162">
        <f t="shared" ref="AF653:AG653" si="694">AF319</f>
        <v>2299101429</v>
      </c>
      <c r="AG653" s="162">
        <f t="shared" si="694"/>
        <v>1498764823</v>
      </c>
      <c r="AH653" s="162">
        <f t="shared" ref="AH653" si="695">AH319</f>
        <v>5414080443</v>
      </c>
    </row>
    <row r="654" spans="1:34">
      <c r="A654" s="34" t="s">
        <v>2228</v>
      </c>
      <c r="D654" s="162">
        <f t="shared" ref="D654:AE654" si="696">D320</f>
        <v>0</v>
      </c>
      <c r="E654" s="162">
        <f t="shared" si="696"/>
        <v>0</v>
      </c>
      <c r="F654" s="162">
        <f t="shared" si="696"/>
        <v>0</v>
      </c>
      <c r="G654" s="162">
        <f t="shared" si="696"/>
        <v>0</v>
      </c>
      <c r="H654" s="162">
        <f t="shared" si="696"/>
        <v>0</v>
      </c>
      <c r="I654" s="162">
        <f t="shared" si="696"/>
        <v>0</v>
      </c>
      <c r="J654" s="162">
        <f t="shared" si="696"/>
        <v>0</v>
      </c>
      <c r="K654" s="162">
        <f t="shared" si="696"/>
        <v>0</v>
      </c>
      <c r="L654" s="162">
        <f t="shared" si="696"/>
        <v>0</v>
      </c>
      <c r="M654" s="162">
        <f t="shared" si="696"/>
        <v>0</v>
      </c>
      <c r="N654" s="162">
        <f t="shared" si="696"/>
        <v>0</v>
      </c>
      <c r="O654" s="162">
        <f t="shared" si="696"/>
        <v>0</v>
      </c>
      <c r="P654" s="162">
        <f t="shared" si="696"/>
        <v>0</v>
      </c>
      <c r="Q654" s="162">
        <f t="shared" si="696"/>
        <v>0</v>
      </c>
      <c r="R654" s="162">
        <f t="shared" si="696"/>
        <v>0</v>
      </c>
      <c r="S654" s="162">
        <f t="shared" si="696"/>
        <v>0</v>
      </c>
      <c r="T654" s="162">
        <f t="shared" si="696"/>
        <v>0</v>
      </c>
      <c r="U654" s="162">
        <f t="shared" si="696"/>
        <v>0</v>
      </c>
      <c r="V654" s="162">
        <f t="shared" si="696"/>
        <v>0</v>
      </c>
      <c r="W654" s="162">
        <f t="shared" si="696"/>
        <v>0</v>
      </c>
      <c r="X654" s="162">
        <f t="shared" si="696"/>
        <v>0</v>
      </c>
      <c r="Y654" s="162">
        <f t="shared" si="696"/>
        <v>0</v>
      </c>
      <c r="Z654" s="162">
        <f t="shared" si="696"/>
        <v>0</v>
      </c>
      <c r="AA654" s="162">
        <f t="shared" si="696"/>
        <v>0</v>
      </c>
      <c r="AB654" s="162">
        <f t="shared" si="696"/>
        <v>0</v>
      </c>
      <c r="AC654" s="162">
        <f t="shared" si="696"/>
        <v>0</v>
      </c>
      <c r="AD654" s="162">
        <f t="shared" si="696"/>
        <v>0</v>
      </c>
      <c r="AE654" s="162">
        <f t="shared" si="696"/>
        <v>0</v>
      </c>
      <c r="AF654" s="162">
        <f t="shared" ref="AF654:AG654" si="697">AF320</f>
        <v>0</v>
      </c>
      <c r="AG654" s="162">
        <f t="shared" si="697"/>
        <v>0</v>
      </c>
      <c r="AH654" s="162">
        <f t="shared" ref="AH654" si="698">AH320</f>
        <v>0</v>
      </c>
    </row>
    <row r="655" spans="1:34">
      <c r="A655" s="34" t="s">
        <v>2229</v>
      </c>
      <c r="D655" s="162">
        <f t="shared" ref="D655:AE655" si="699">D375</f>
        <v>195726545</v>
      </c>
      <c r="E655" s="162">
        <f t="shared" si="699"/>
        <v>216291083</v>
      </c>
      <c r="F655" s="162">
        <f t="shared" si="699"/>
        <v>0</v>
      </c>
      <c r="G655" s="162">
        <f t="shared" si="699"/>
        <v>125839099</v>
      </c>
      <c r="H655" s="162">
        <f t="shared" si="699"/>
        <v>177985576</v>
      </c>
      <c r="I655" s="162">
        <f t="shared" si="699"/>
        <v>10380655</v>
      </c>
      <c r="J655" s="162">
        <f t="shared" si="699"/>
        <v>21426638</v>
      </c>
      <c r="K655" s="162">
        <f t="shared" si="699"/>
        <v>31924012</v>
      </c>
      <c r="L655" s="162">
        <f t="shared" si="699"/>
        <v>298276433</v>
      </c>
      <c r="M655" s="162">
        <f t="shared" si="699"/>
        <v>268776549</v>
      </c>
      <c r="N655" s="162">
        <f t="shared" si="699"/>
        <v>263416866</v>
      </c>
      <c r="O655" s="162">
        <f t="shared" si="699"/>
        <v>283208523</v>
      </c>
      <c r="P655" s="162">
        <f t="shared" si="699"/>
        <v>1465496858</v>
      </c>
      <c r="Q655" s="162">
        <f t="shared" si="699"/>
        <v>1511469558</v>
      </c>
      <c r="R655" s="162">
        <f t="shared" si="699"/>
        <v>2790232469</v>
      </c>
      <c r="S655" s="162">
        <f t="shared" si="699"/>
        <v>4459744046</v>
      </c>
      <c r="T655" s="162">
        <f t="shared" si="699"/>
        <v>29936805</v>
      </c>
      <c r="U655" s="162">
        <f t="shared" si="699"/>
        <v>71555921</v>
      </c>
      <c r="V655" s="162">
        <f t="shared" si="699"/>
        <v>556053428</v>
      </c>
      <c r="W655" s="162">
        <f t="shared" si="699"/>
        <v>526258333</v>
      </c>
      <c r="X655" s="162">
        <f t="shared" si="699"/>
        <v>122669504</v>
      </c>
      <c r="Y655" s="162">
        <f t="shared" si="699"/>
        <v>258141841</v>
      </c>
      <c r="Z655" s="162">
        <f t="shared" si="699"/>
        <v>337035971</v>
      </c>
      <c r="AA655" s="162">
        <f t="shared" si="699"/>
        <v>2293748173</v>
      </c>
      <c r="AB655" s="162">
        <f t="shared" si="699"/>
        <v>9874518720</v>
      </c>
      <c r="AC655" s="162">
        <f t="shared" si="699"/>
        <v>10187499988</v>
      </c>
      <c r="AD655" s="162">
        <f t="shared" si="699"/>
        <v>10457517303</v>
      </c>
      <c r="AE655" s="162">
        <f t="shared" si="699"/>
        <v>11233270834</v>
      </c>
      <c r="AF655" s="162">
        <f t="shared" ref="AF655:AG655" si="700">AF375</f>
        <v>2451054307</v>
      </c>
      <c r="AG655" s="162">
        <f t="shared" si="700"/>
        <v>2555771821</v>
      </c>
      <c r="AH655" s="162">
        <f t="shared" ref="AH655" si="701">AH375</f>
        <v>7237568738</v>
      </c>
    </row>
    <row r="656" spans="1:34">
      <c r="D656" s="1267"/>
      <c r="E656" s="1267"/>
      <c r="F656" s="1267"/>
      <c r="G656" s="1267"/>
      <c r="H656" s="1267"/>
      <c r="I656" s="1267"/>
      <c r="J656" s="1267"/>
      <c r="K656" s="1267"/>
      <c r="L656" s="1267"/>
      <c r="M656" s="1267"/>
      <c r="N656" s="1267"/>
      <c r="O656" s="1267"/>
      <c r="P656" s="1267"/>
      <c r="Q656" s="1267"/>
      <c r="R656" s="1267"/>
      <c r="S656" s="1267"/>
      <c r="T656" s="1267"/>
      <c r="U656" s="1267"/>
      <c r="V656" s="1267"/>
      <c r="W656" s="1267"/>
      <c r="X656" s="1267"/>
      <c r="Y656" s="1267"/>
      <c r="Z656" s="1267"/>
      <c r="AA656" s="1267"/>
      <c r="AB656" s="1267"/>
      <c r="AC656" s="1267"/>
      <c r="AD656" s="1267"/>
      <c r="AE656" s="1267"/>
      <c r="AF656" s="1267"/>
      <c r="AG656" s="1267"/>
      <c r="AH656" s="1267"/>
    </row>
    <row r="657" spans="1:34">
      <c r="A657" s="34" t="s">
        <v>2230</v>
      </c>
      <c r="D657" s="1267">
        <f t="shared" ref="D657:AE657" si="702">D397+D641-D643</f>
        <v>752908635275</v>
      </c>
      <c r="E657" s="1267">
        <f t="shared" si="702"/>
        <v>157808564737</v>
      </c>
      <c r="F657" s="1267">
        <f t="shared" si="702"/>
        <v>0</v>
      </c>
      <c r="G657" s="1267">
        <f t="shared" si="702"/>
        <v>479923077569</v>
      </c>
      <c r="H657" s="1267">
        <f t="shared" si="702"/>
        <v>680261059632</v>
      </c>
      <c r="I657" s="1267">
        <f t="shared" si="702"/>
        <v>147460589388</v>
      </c>
      <c r="J657" s="1267">
        <f t="shared" si="702"/>
        <v>276366080678</v>
      </c>
      <c r="K657" s="1267">
        <f t="shared" si="702"/>
        <v>407417092326</v>
      </c>
      <c r="L657" s="1267">
        <f t="shared" si="702"/>
        <v>154469141921</v>
      </c>
      <c r="M657" s="1267">
        <f t="shared" si="702"/>
        <v>341300814295</v>
      </c>
      <c r="N657" s="1267">
        <f t="shared" si="702"/>
        <v>525811950355</v>
      </c>
      <c r="O657" s="1267">
        <f t="shared" si="702"/>
        <v>715696282244</v>
      </c>
      <c r="P657" s="1267">
        <f t="shared" si="702"/>
        <v>248041161285</v>
      </c>
      <c r="Q657" s="1267">
        <f t="shared" si="702"/>
        <v>491658281984</v>
      </c>
      <c r="R657" s="1267">
        <f t="shared" si="702"/>
        <v>657492598843</v>
      </c>
      <c r="S657" s="1267">
        <f t="shared" si="702"/>
        <v>796866104147</v>
      </c>
      <c r="T657" s="1267">
        <f t="shared" si="702"/>
        <v>206308765627</v>
      </c>
      <c r="U657" s="1267">
        <f t="shared" si="702"/>
        <v>384129737606</v>
      </c>
      <c r="V657" s="1267">
        <f t="shared" si="702"/>
        <v>549640573771</v>
      </c>
      <c r="W657" s="1267">
        <f t="shared" si="702"/>
        <v>765888290836</v>
      </c>
      <c r="X657" s="1267">
        <f t="shared" si="702"/>
        <v>299669667861</v>
      </c>
      <c r="Y657" s="1267">
        <f t="shared" si="702"/>
        <v>589766615353</v>
      </c>
      <c r="Z657" s="1267">
        <f t="shared" si="702"/>
        <v>861050912957</v>
      </c>
      <c r="AA657" s="1267">
        <f t="shared" si="702"/>
        <v>1138157817728</v>
      </c>
      <c r="AB657" s="1267">
        <f t="shared" si="702"/>
        <v>378130235535</v>
      </c>
      <c r="AC657" s="1267">
        <f t="shared" si="702"/>
        <v>697640282344</v>
      </c>
      <c r="AD657" s="1267">
        <f t="shared" si="702"/>
        <v>995294325559</v>
      </c>
      <c r="AE657" s="1267">
        <f t="shared" si="702"/>
        <v>1281262086312</v>
      </c>
      <c r="AF657" s="1267">
        <f t="shared" ref="AF657" si="703">AF397+AF641-AF643</f>
        <v>467790297077</v>
      </c>
      <c r="AG657" s="1267">
        <f>AG397+AG641-AG643</f>
        <v>889239024280</v>
      </c>
      <c r="AH657" s="1267">
        <f>AH397+AH641-AH643</f>
        <v>1212796953418</v>
      </c>
    </row>
    <row r="658" spans="1:34">
      <c r="A658" s="496" t="s">
        <v>2231</v>
      </c>
      <c r="D658" s="1267">
        <f t="shared" ref="D658:Z658" si="704">D657-D659</f>
        <v>145515775738</v>
      </c>
      <c r="E658" s="1267">
        <f t="shared" si="704"/>
        <v>34736121380</v>
      </c>
      <c r="F658" s="1267">
        <f t="shared" si="704"/>
        <v>0</v>
      </c>
      <c r="G658" s="1267">
        <f t="shared" si="704"/>
        <v>95913583069</v>
      </c>
      <c r="H658" s="1267">
        <f t="shared" si="704"/>
        <v>128849852751</v>
      </c>
      <c r="I658" s="1267">
        <f t="shared" si="704"/>
        <v>34840731157</v>
      </c>
      <c r="J658" s="1267">
        <f t="shared" si="704"/>
        <v>68719294632</v>
      </c>
      <c r="K658" s="1267">
        <f t="shared" si="704"/>
        <v>104222359139</v>
      </c>
      <c r="L658" s="1267">
        <f t="shared" si="704"/>
        <v>34075148375</v>
      </c>
      <c r="M658" s="1267">
        <f t="shared" si="704"/>
        <v>71289388600</v>
      </c>
      <c r="N658" s="1267">
        <f t="shared" si="704"/>
        <v>110543838406</v>
      </c>
      <c r="O658" s="1267">
        <f t="shared" si="704"/>
        <v>149536560855</v>
      </c>
      <c r="P658" s="1267">
        <f t="shared" si="704"/>
        <v>37766568162</v>
      </c>
      <c r="Q658" s="1267">
        <f t="shared" si="704"/>
        <v>84053458694</v>
      </c>
      <c r="R658" s="1267">
        <f t="shared" si="704"/>
        <v>130208893026</v>
      </c>
      <c r="S658" s="1267">
        <f t="shared" si="704"/>
        <v>172499798554</v>
      </c>
      <c r="T658" s="1267">
        <f t="shared" si="704"/>
        <v>44704797752</v>
      </c>
      <c r="U658" s="1267">
        <f t="shared" si="704"/>
        <v>92391656321</v>
      </c>
      <c r="V658" s="1267">
        <f t="shared" si="704"/>
        <v>106122730074</v>
      </c>
      <c r="W658" s="1267">
        <f t="shared" si="704"/>
        <v>155622380231</v>
      </c>
      <c r="X658" s="1267">
        <f t="shared" si="704"/>
        <v>50168197681</v>
      </c>
      <c r="Y658" s="1267">
        <f t="shared" si="704"/>
        <v>110564577336</v>
      </c>
      <c r="Z658" s="1267">
        <f t="shared" si="704"/>
        <v>171047815563</v>
      </c>
      <c r="AA658" s="1267">
        <f t="shared" ref="AA658:AF658" si="705">AA657-AA659</f>
        <v>231038837438</v>
      </c>
      <c r="AB658" s="1267">
        <f t="shared" si="705"/>
        <v>67321916003</v>
      </c>
      <c r="AC658" s="1267">
        <f t="shared" si="705"/>
        <v>139517896877</v>
      </c>
      <c r="AD658" s="1267">
        <f t="shared" si="705"/>
        <v>208593327366</v>
      </c>
      <c r="AE658" s="1267">
        <f t="shared" si="705"/>
        <v>79986205670</v>
      </c>
      <c r="AF658" s="1267">
        <f t="shared" si="705"/>
        <v>22010789780</v>
      </c>
      <c r="AG658" s="1267">
        <f t="shared" ref="AG658:AH658" si="706">AG657-AG659</f>
        <v>47158089805</v>
      </c>
      <c r="AH658" s="1267">
        <f t="shared" si="706"/>
        <v>72967401213</v>
      </c>
    </row>
    <row r="659" spans="1:34">
      <c r="A659" s="34" t="s">
        <v>2469</v>
      </c>
      <c r="D659" s="1267">
        <f t="shared" ref="D659:AD659" si="707">D582+D607+D593+D615</f>
        <v>607392859537</v>
      </c>
      <c r="E659" s="1267">
        <f t="shared" si="707"/>
        <v>123072443357</v>
      </c>
      <c r="F659" s="1267">
        <f t="shared" si="707"/>
        <v>0</v>
      </c>
      <c r="G659" s="1267">
        <f t="shared" si="707"/>
        <v>384009494500</v>
      </c>
      <c r="H659" s="1267">
        <f t="shared" si="707"/>
        <v>551411206881</v>
      </c>
      <c r="I659" s="1267">
        <f t="shared" si="707"/>
        <v>112619858231</v>
      </c>
      <c r="J659" s="1267">
        <f t="shared" si="707"/>
        <v>207646786046</v>
      </c>
      <c r="K659" s="1267">
        <f t="shared" si="707"/>
        <v>303194733187</v>
      </c>
      <c r="L659" s="1267">
        <f t="shared" si="707"/>
        <v>120393993546</v>
      </c>
      <c r="M659" s="1267">
        <f t="shared" si="707"/>
        <v>270011425695</v>
      </c>
      <c r="N659" s="1267">
        <f t="shared" si="707"/>
        <v>415268111949</v>
      </c>
      <c r="O659" s="1267">
        <f t="shared" si="707"/>
        <v>566159721389</v>
      </c>
      <c r="P659" s="1267">
        <f t="shared" si="707"/>
        <v>210274593123</v>
      </c>
      <c r="Q659" s="1267">
        <f t="shared" si="707"/>
        <v>407604823290</v>
      </c>
      <c r="R659" s="1267">
        <f t="shared" si="707"/>
        <v>527283705817</v>
      </c>
      <c r="S659" s="1267">
        <f t="shared" si="707"/>
        <v>624366305593</v>
      </c>
      <c r="T659" s="1267">
        <f t="shared" si="707"/>
        <v>161603967875</v>
      </c>
      <c r="U659" s="1267">
        <f t="shared" si="707"/>
        <v>291738081285</v>
      </c>
      <c r="V659" s="1267">
        <f t="shared" si="707"/>
        <v>443517843697</v>
      </c>
      <c r="W659" s="1267">
        <f t="shared" si="707"/>
        <v>610265910605</v>
      </c>
      <c r="X659" s="1267">
        <f t="shared" si="707"/>
        <v>249501470180</v>
      </c>
      <c r="Y659" s="1267">
        <f t="shared" si="707"/>
        <v>479202038017</v>
      </c>
      <c r="Z659" s="1267">
        <f t="shared" si="707"/>
        <v>690003097394</v>
      </c>
      <c r="AA659" s="1267">
        <f t="shared" si="707"/>
        <v>907118980290</v>
      </c>
      <c r="AB659" s="1267">
        <f t="shared" si="707"/>
        <v>310808319532</v>
      </c>
      <c r="AC659" s="1267">
        <f t="shared" si="707"/>
        <v>558122385467</v>
      </c>
      <c r="AD659" s="1267">
        <f t="shared" si="707"/>
        <v>786700998193</v>
      </c>
      <c r="AE659" s="1267">
        <f>AE582+AE607+AE593+AE615+AE629</f>
        <v>1201275880642</v>
      </c>
      <c r="AF659" s="1267">
        <f>AF582+AF607+AF593+AF615+AF629</f>
        <v>445779507297</v>
      </c>
      <c r="AG659" s="1267">
        <f>AG582+AG607+AG593+AG615+AG629</f>
        <v>842080934475</v>
      </c>
      <c r="AH659" s="1267">
        <f>AH582+AH607+AH593+AH615+AH629</f>
        <v>1139829552205</v>
      </c>
    </row>
    <row r="660" spans="1:34">
      <c r="D660" s="1267"/>
      <c r="E660" s="1267"/>
      <c r="F660" s="1267"/>
      <c r="G660" s="1267"/>
      <c r="H660" s="1267"/>
      <c r="I660" s="1267"/>
      <c r="J660" s="1267"/>
      <c r="K660" s="1267"/>
      <c r="L660" s="1267"/>
      <c r="M660" s="1267"/>
      <c r="N660" s="1267"/>
      <c r="O660" s="1267"/>
      <c r="P660" s="1267"/>
      <c r="Q660" s="1267"/>
      <c r="R660" s="1267"/>
      <c r="S660" s="1267"/>
      <c r="T660" s="1267"/>
      <c r="U660" s="1267"/>
      <c r="V660" s="1267"/>
      <c r="W660" s="1267"/>
      <c r="X660" s="1267"/>
      <c r="Y660" s="1267"/>
      <c r="Z660" s="1267"/>
      <c r="AA660" s="1267"/>
      <c r="AB660" s="1267"/>
      <c r="AC660" s="1267"/>
      <c r="AD660" s="1267"/>
      <c r="AE660" s="1267"/>
      <c r="AF660" s="1267"/>
      <c r="AG660" s="1267"/>
      <c r="AH660" s="1267"/>
    </row>
    <row r="661" spans="1:34">
      <c r="A661" s="496" t="s">
        <v>2232</v>
      </c>
      <c r="D661" s="1267"/>
      <c r="E661" s="1267"/>
      <c r="F661" s="1267"/>
      <c r="G661" s="1267"/>
      <c r="H661" s="1267"/>
      <c r="I661" s="1267"/>
      <c r="J661" s="1267"/>
      <c r="K661" s="1267"/>
      <c r="L661" s="1267"/>
      <c r="M661" s="1267"/>
      <c r="N661" s="1267"/>
      <c r="O661" s="1267"/>
      <c r="P661" s="1267"/>
      <c r="Q661" s="1267"/>
      <c r="R661" s="1267"/>
      <c r="S661" s="1267"/>
      <c r="T661" s="1267"/>
      <c r="U661" s="1267"/>
      <c r="V661" s="1267"/>
      <c r="W661" s="1267"/>
      <c r="X661" s="1267"/>
      <c r="Y661" s="1267"/>
      <c r="Z661" s="1267"/>
      <c r="AA661" s="1267"/>
      <c r="AB661" s="1267"/>
      <c r="AC661" s="1267"/>
      <c r="AD661" s="1267"/>
      <c r="AE661" s="1267"/>
      <c r="AF661" s="1267"/>
      <c r="AG661" s="1267"/>
      <c r="AH661" s="1267"/>
    </row>
    <row r="662" spans="1:34">
      <c r="B662" s="34" t="s">
        <v>2233</v>
      </c>
      <c r="C662" s="34" t="s">
        <v>2233</v>
      </c>
      <c r="D662" s="1267">
        <f t="shared" ref="D662:AE662" si="708">D582/100000000</f>
        <v>2718.1873082699999</v>
      </c>
      <c r="E662" s="1267">
        <f t="shared" si="708"/>
        <v>461.56618884</v>
      </c>
      <c r="F662" s="1267">
        <f t="shared" si="708"/>
        <v>0</v>
      </c>
      <c r="G662" s="1267">
        <f t="shared" si="708"/>
        <v>1491.2760942100001</v>
      </c>
      <c r="H662" s="1267">
        <f t="shared" si="708"/>
        <v>1930.1459018200001</v>
      </c>
      <c r="I662" s="1267">
        <f t="shared" si="708"/>
        <v>511.09438155999999</v>
      </c>
      <c r="J662" s="1267">
        <f t="shared" si="708"/>
        <v>960.27692009999998</v>
      </c>
      <c r="K662" s="1267">
        <f t="shared" si="708"/>
        <v>1347.50673555</v>
      </c>
      <c r="L662" s="1267">
        <f t="shared" si="708"/>
        <v>428.33940009000003</v>
      </c>
      <c r="M662" s="1267">
        <f t="shared" si="708"/>
        <v>821.91650520999997</v>
      </c>
      <c r="N662" s="1267">
        <f t="shared" si="708"/>
        <v>1277.38166308</v>
      </c>
      <c r="O662" s="1267">
        <f t="shared" si="708"/>
        <v>1698.6767516699999</v>
      </c>
      <c r="P662" s="1267">
        <f t="shared" si="708"/>
        <v>489.44101434999999</v>
      </c>
      <c r="Q662" s="1267">
        <f t="shared" si="708"/>
        <v>1155.8555974000001</v>
      </c>
      <c r="R662" s="1267">
        <f t="shared" si="708"/>
        <v>1725.37340049</v>
      </c>
      <c r="S662" s="1267">
        <f t="shared" si="708"/>
        <v>2134.98776718</v>
      </c>
      <c r="T662" s="1267">
        <f t="shared" si="708"/>
        <v>402.78608613</v>
      </c>
      <c r="U662" s="1267">
        <f t="shared" si="708"/>
        <v>818.88859824999997</v>
      </c>
      <c r="V662" s="1267">
        <f t="shared" si="708"/>
        <v>1218.51928591</v>
      </c>
      <c r="W662" s="1267">
        <f t="shared" si="708"/>
        <v>1540.5338977399999</v>
      </c>
      <c r="X662" s="1267">
        <f t="shared" si="708"/>
        <v>329.2942764</v>
      </c>
      <c r="Y662" s="1267">
        <f t="shared" si="708"/>
        <v>744.53853588000004</v>
      </c>
      <c r="Z662" s="1267">
        <f t="shared" si="708"/>
        <v>1151.8561007400001</v>
      </c>
      <c r="AA662" s="1267">
        <f t="shared" si="708"/>
        <v>1606.1229646899999</v>
      </c>
      <c r="AB662" s="1267">
        <f t="shared" si="708"/>
        <v>602.89080721000005</v>
      </c>
      <c r="AC662" s="1267">
        <f t="shared" si="708"/>
        <v>1090.6316107099999</v>
      </c>
      <c r="AD662" s="1267">
        <f t="shared" si="708"/>
        <v>1388.3094928099999</v>
      </c>
      <c r="AE662" s="1267">
        <f t="shared" si="708"/>
        <v>1690.01338835</v>
      </c>
      <c r="AF662" s="1267">
        <f t="shared" ref="AF662:AG662" si="709">AF582/100000000</f>
        <v>323.07317977000002</v>
      </c>
      <c r="AG662" s="1267">
        <f t="shared" si="709"/>
        <v>585.28174640999998</v>
      </c>
      <c r="AH662" s="1267">
        <f t="shared" ref="AH662" si="710">AH582/100000000</f>
        <v>869.55620404000001</v>
      </c>
    </row>
    <row r="663" spans="1:34">
      <c r="B663" s="34" t="s">
        <v>2235</v>
      </c>
      <c r="C663" s="34" t="s">
        <v>2235</v>
      </c>
      <c r="D663" s="1267">
        <f t="shared" ref="D663:AE663" si="711">D593/100000000</f>
        <v>1205.38988187</v>
      </c>
      <c r="E663" s="1267">
        <f t="shared" si="711"/>
        <v>228.72564462</v>
      </c>
      <c r="F663" s="1267">
        <f t="shared" si="711"/>
        <v>0</v>
      </c>
      <c r="G663" s="1267">
        <f t="shared" si="711"/>
        <v>678.92986226999994</v>
      </c>
      <c r="H663" s="1267">
        <f t="shared" si="711"/>
        <v>900.5811238</v>
      </c>
      <c r="I663" s="1267">
        <f t="shared" si="711"/>
        <v>231.51009839</v>
      </c>
      <c r="J663" s="1267">
        <f t="shared" si="711"/>
        <v>439.38325292000002</v>
      </c>
      <c r="K663" s="1267">
        <f t="shared" si="711"/>
        <v>645.21910138999999</v>
      </c>
      <c r="L663" s="1267">
        <f t="shared" si="711"/>
        <v>203.71407191</v>
      </c>
      <c r="M663" s="1267">
        <f t="shared" si="711"/>
        <v>417.95026326999999</v>
      </c>
      <c r="N663" s="1267">
        <f t="shared" si="711"/>
        <v>632.02490909000005</v>
      </c>
      <c r="O663" s="1267">
        <f t="shared" si="711"/>
        <v>830.56379490999996</v>
      </c>
      <c r="P663" s="1267">
        <f t="shared" si="711"/>
        <v>215.18639350999999</v>
      </c>
      <c r="Q663" s="1267">
        <f t="shared" si="711"/>
        <v>508.39169040000002</v>
      </c>
      <c r="R663" s="1267">
        <f t="shared" si="711"/>
        <v>760.53156637999996</v>
      </c>
      <c r="S663" s="1267">
        <f t="shared" si="711"/>
        <v>1010.2729842700001</v>
      </c>
      <c r="T663" s="1267">
        <f t="shared" si="711"/>
        <v>237.15263246999999</v>
      </c>
      <c r="U663" s="1267">
        <f t="shared" si="711"/>
        <v>514.70133936000002</v>
      </c>
      <c r="V663" s="1267">
        <f t="shared" si="711"/>
        <v>784.51581254999996</v>
      </c>
      <c r="W663" s="1267">
        <f t="shared" si="711"/>
        <v>1031.5412439900001</v>
      </c>
      <c r="X663" s="1267">
        <f t="shared" si="711"/>
        <v>278.58889819000001</v>
      </c>
      <c r="Y663" s="1267">
        <f t="shared" si="711"/>
        <v>571.50624617000005</v>
      </c>
      <c r="Z663" s="1267">
        <f t="shared" si="711"/>
        <v>885.17339465999999</v>
      </c>
      <c r="AA663" s="1267">
        <f t="shared" si="711"/>
        <v>1199.69167595</v>
      </c>
      <c r="AB663" s="1267">
        <f t="shared" si="711"/>
        <v>340.50181958000002</v>
      </c>
      <c r="AC663" s="1267">
        <f t="shared" si="711"/>
        <v>700.20678780000003</v>
      </c>
      <c r="AD663" s="1267">
        <f t="shared" si="711"/>
        <v>1016.50074552</v>
      </c>
      <c r="AE663" s="1267">
        <f t="shared" si="711"/>
        <v>1285.02129752</v>
      </c>
      <c r="AF663" s="1267">
        <f t="shared" ref="AF663:AG663" si="712">AF593/100000000</f>
        <v>306.95205086999999</v>
      </c>
      <c r="AG663" s="1267">
        <f t="shared" si="712"/>
        <v>674.74993896000001</v>
      </c>
      <c r="AH663" s="1267">
        <f t="shared" ref="AH663" si="713">AH593/100000000</f>
        <v>1018.25081441</v>
      </c>
    </row>
    <row r="664" spans="1:34">
      <c r="B664" s="34" t="s">
        <v>2234</v>
      </c>
      <c r="C664" s="34" t="s">
        <v>2234</v>
      </c>
      <c r="D664" s="1267">
        <f t="shared" ref="D664:AE664" si="714">D607/100000000</f>
        <v>580.06476129999999</v>
      </c>
      <c r="E664" s="1267">
        <f t="shared" si="714"/>
        <v>157.98282739000001</v>
      </c>
      <c r="F664" s="1267">
        <f t="shared" si="714"/>
        <v>0</v>
      </c>
      <c r="G664" s="1267">
        <f t="shared" si="714"/>
        <v>421.59995139</v>
      </c>
      <c r="H664" s="1267">
        <f t="shared" si="714"/>
        <v>508.64304060000001</v>
      </c>
      <c r="I664" s="1267">
        <f t="shared" si="714"/>
        <v>181.79135977999999</v>
      </c>
      <c r="J664" s="1267">
        <f t="shared" si="714"/>
        <v>286.16387275</v>
      </c>
      <c r="K664" s="1267">
        <f t="shared" si="714"/>
        <v>402.81586871000002</v>
      </c>
      <c r="L664" s="1267">
        <f t="shared" si="714"/>
        <v>161.61747459</v>
      </c>
      <c r="M664" s="1267">
        <f t="shared" si="714"/>
        <v>357.51379858000001</v>
      </c>
      <c r="N664" s="1267">
        <f t="shared" si="714"/>
        <v>499.93248057</v>
      </c>
      <c r="O664" s="1267">
        <f t="shared" si="714"/>
        <v>697.69222471</v>
      </c>
      <c r="P664" s="1267">
        <f t="shared" si="714"/>
        <v>255.84730282000001</v>
      </c>
      <c r="Q664" s="1267">
        <f t="shared" si="714"/>
        <v>478.80956307999998</v>
      </c>
      <c r="R664" s="1267">
        <f t="shared" si="714"/>
        <v>691.65814709999995</v>
      </c>
      <c r="S664" s="1267">
        <f t="shared" si="714"/>
        <v>867.94531057999995</v>
      </c>
      <c r="T664" s="1267">
        <f t="shared" si="714"/>
        <v>330.22301088</v>
      </c>
      <c r="U664" s="1267">
        <f t="shared" si="714"/>
        <v>614.76172616999997</v>
      </c>
      <c r="V664" s="1267">
        <f t="shared" si="714"/>
        <v>952.52012530000002</v>
      </c>
      <c r="W664" s="1267">
        <f t="shared" si="714"/>
        <v>1406.1302848</v>
      </c>
      <c r="X664" s="1267">
        <f t="shared" si="714"/>
        <v>315.06983308000002</v>
      </c>
      <c r="Y664" s="1267">
        <f t="shared" si="714"/>
        <v>666.28431341999999</v>
      </c>
      <c r="Z664" s="1267">
        <f t="shared" si="714"/>
        <v>1199.7312593500001</v>
      </c>
      <c r="AA664" s="1267">
        <f t="shared" si="714"/>
        <v>1741.6171613500001</v>
      </c>
      <c r="AB664" s="1267">
        <f t="shared" si="714"/>
        <v>462.83687829000002</v>
      </c>
      <c r="AC664" s="1267">
        <f t="shared" si="714"/>
        <v>974.02387600999998</v>
      </c>
      <c r="AD664" s="1267">
        <f t="shared" si="714"/>
        <v>1510.57058476</v>
      </c>
      <c r="AE664" s="1267">
        <f t="shared" si="714"/>
        <v>2035.68619304</v>
      </c>
      <c r="AF664" s="1267">
        <f t="shared" ref="AF664:AG664" si="715">AF607/100000000</f>
        <v>540.54193124999995</v>
      </c>
      <c r="AG664" s="1267">
        <f t="shared" si="715"/>
        <v>1452.4456067799999</v>
      </c>
      <c r="AH664" s="1267">
        <f t="shared" ref="AH664" si="716">AH607/100000000</f>
        <v>2255.8437888200001</v>
      </c>
    </row>
    <row r="665" spans="1:34">
      <c r="B665" s="34" t="s">
        <v>2236</v>
      </c>
      <c r="C665" s="34" t="s">
        <v>2236</v>
      </c>
      <c r="D665" s="1267">
        <f t="shared" ref="D665:AE665" si="717">D615/100000000</f>
        <v>1570.2866439300001</v>
      </c>
      <c r="E665" s="1267">
        <f t="shared" si="717"/>
        <v>382.44977272</v>
      </c>
      <c r="F665" s="1267">
        <f t="shared" si="717"/>
        <v>0</v>
      </c>
      <c r="G665" s="1267">
        <f t="shared" si="717"/>
        <v>1248.28903713</v>
      </c>
      <c r="H665" s="1267">
        <f t="shared" si="717"/>
        <v>2174.7420025900001</v>
      </c>
      <c r="I665" s="1267">
        <f t="shared" si="717"/>
        <v>201.80274258</v>
      </c>
      <c r="J665" s="1267">
        <f t="shared" si="717"/>
        <v>390.64381469</v>
      </c>
      <c r="K665" s="1267">
        <f t="shared" si="717"/>
        <v>636.40562622000004</v>
      </c>
      <c r="L665" s="1267">
        <f t="shared" si="717"/>
        <v>410.26898886999999</v>
      </c>
      <c r="M665" s="1267">
        <f t="shared" si="717"/>
        <v>1102.7336898900001</v>
      </c>
      <c r="N665" s="1267">
        <f t="shared" si="717"/>
        <v>1743.34206675</v>
      </c>
      <c r="O665" s="1267">
        <f t="shared" si="717"/>
        <v>2434.6644425999998</v>
      </c>
      <c r="P665" s="1267">
        <f t="shared" si="717"/>
        <v>1142.27122055</v>
      </c>
      <c r="Q665" s="1267">
        <f t="shared" si="717"/>
        <v>1932.9913820199999</v>
      </c>
      <c r="R665" s="1267">
        <f t="shared" si="717"/>
        <v>2095.2739442000002</v>
      </c>
      <c r="S665" s="1267">
        <f t="shared" si="717"/>
        <v>2230.4569938999998</v>
      </c>
      <c r="T665" s="1267">
        <f t="shared" si="717"/>
        <v>645.87794927000004</v>
      </c>
      <c r="U665" s="1267">
        <f t="shared" si="717"/>
        <v>969.02914907000002</v>
      </c>
      <c r="V665" s="1267">
        <f t="shared" si="717"/>
        <v>1479.6232132099999</v>
      </c>
      <c r="W665" s="1267">
        <f t="shared" si="717"/>
        <v>2124.4536795200002</v>
      </c>
      <c r="X665" s="1267">
        <f t="shared" si="717"/>
        <v>1572.06169413</v>
      </c>
      <c r="Y665" s="1267">
        <f t="shared" si="717"/>
        <v>2809.6912846999999</v>
      </c>
      <c r="Z665" s="1267">
        <f t="shared" si="717"/>
        <v>3663.2702191899998</v>
      </c>
      <c r="AA665" s="1267">
        <f t="shared" si="717"/>
        <v>4523.7580009100002</v>
      </c>
      <c r="AB665" s="1267">
        <f t="shared" si="717"/>
        <v>1701.8536902400001</v>
      </c>
      <c r="AC665" s="1267">
        <f t="shared" si="717"/>
        <v>2816.36158015</v>
      </c>
      <c r="AD665" s="1267">
        <f t="shared" si="717"/>
        <v>3951.6291588399999</v>
      </c>
      <c r="AE665" s="1267">
        <f t="shared" si="717"/>
        <v>5039.3922616500004</v>
      </c>
      <c r="AF665" s="1267">
        <f t="shared" ref="AF665:AG665" si="718">AF615/100000000</f>
        <v>2825.9200887000002</v>
      </c>
      <c r="AG665" s="1267">
        <f t="shared" si="718"/>
        <v>4750.4480464400003</v>
      </c>
      <c r="AH665" s="1267">
        <f t="shared" ref="AH665" si="719">AH615/100000000</f>
        <v>5835.79862822</v>
      </c>
    </row>
    <row r="666" spans="1:34">
      <c r="B666" s="34" t="s">
        <v>2237</v>
      </c>
      <c r="C666" s="34" t="s">
        <v>2237</v>
      </c>
      <c r="D666" s="1267">
        <f t="shared" ref="D666:AE666" si="720">D658/100000000</f>
        <v>1455.15775738</v>
      </c>
      <c r="E666" s="1267">
        <f t="shared" si="720"/>
        <v>347.36121379999997</v>
      </c>
      <c r="F666" s="1267">
        <f t="shared" si="720"/>
        <v>0</v>
      </c>
      <c r="G666" s="1267">
        <f t="shared" si="720"/>
        <v>959.13583069000003</v>
      </c>
      <c r="H666" s="1267">
        <f t="shared" si="720"/>
        <v>1288.49852751</v>
      </c>
      <c r="I666" s="1267">
        <f t="shared" si="720"/>
        <v>348.40731156999999</v>
      </c>
      <c r="J666" s="1267">
        <f t="shared" si="720"/>
        <v>687.19294632000003</v>
      </c>
      <c r="K666" s="1267">
        <f t="shared" si="720"/>
        <v>1042.2235913899999</v>
      </c>
      <c r="L666" s="1267">
        <f t="shared" si="720"/>
        <v>340.75148374999998</v>
      </c>
      <c r="M666" s="1267">
        <f t="shared" si="720"/>
        <v>712.89388599999995</v>
      </c>
      <c r="N666" s="1267">
        <f t="shared" si="720"/>
        <v>1105.4383840600001</v>
      </c>
      <c r="O666" s="1267">
        <f t="shared" si="720"/>
        <v>1495.3656085499999</v>
      </c>
      <c r="P666" s="1267">
        <f t="shared" si="720"/>
        <v>377.66568161999999</v>
      </c>
      <c r="Q666" s="1267">
        <f t="shared" si="720"/>
        <v>840.53458694000005</v>
      </c>
      <c r="R666" s="1267">
        <f t="shared" si="720"/>
        <v>1302.0889302600001</v>
      </c>
      <c r="S666" s="1267">
        <f t="shared" si="720"/>
        <v>1724.9979855399999</v>
      </c>
      <c r="T666" s="1267">
        <f t="shared" si="720"/>
        <v>447.04797752000002</v>
      </c>
      <c r="U666" s="1267">
        <f t="shared" si="720"/>
        <v>923.91656321000005</v>
      </c>
      <c r="V666" s="1267">
        <f t="shared" si="720"/>
        <v>1061.2273007399999</v>
      </c>
      <c r="W666" s="1267">
        <f t="shared" si="720"/>
        <v>1556.2238023100001</v>
      </c>
      <c r="X666" s="1267">
        <f t="shared" si="720"/>
        <v>501.68197680999998</v>
      </c>
      <c r="Y666" s="1267">
        <f t="shared" si="720"/>
        <v>1105.64577336</v>
      </c>
      <c r="Z666" s="1267">
        <f t="shared" si="720"/>
        <v>1710.4781556299999</v>
      </c>
      <c r="AA666" s="1267">
        <f t="shared" si="720"/>
        <v>2310.3883743800002</v>
      </c>
      <c r="AB666" s="1267">
        <f t="shared" si="720"/>
        <v>673.21916003000001</v>
      </c>
      <c r="AC666" s="1267">
        <f t="shared" si="720"/>
        <v>1395.17896877</v>
      </c>
      <c r="AD666" s="1267">
        <f t="shared" si="720"/>
        <v>2085.9332736599999</v>
      </c>
      <c r="AE666" s="1267">
        <f t="shared" si="720"/>
        <v>799.86205670000004</v>
      </c>
      <c r="AF666" s="1267">
        <f t="shared" ref="AF666:AG666" si="721">AF658/100000000</f>
        <v>220.10789779999999</v>
      </c>
      <c r="AG666" s="1267">
        <f t="shared" si="721"/>
        <v>471.58089804999997</v>
      </c>
      <c r="AH666" s="1267">
        <f t="shared" ref="AH666" si="722">AH658/100000000</f>
        <v>729.67401213000005</v>
      </c>
    </row>
    <row r="667" spans="1:34">
      <c r="B667" s="34" t="s">
        <v>64</v>
      </c>
      <c r="C667" s="34" t="s">
        <v>64</v>
      </c>
      <c r="D667" s="1267">
        <f t="shared" ref="D667:AE667" si="723">D657/100000000</f>
        <v>7529.0863527499996</v>
      </c>
      <c r="E667" s="1267">
        <f t="shared" si="723"/>
        <v>1578.0856473700001</v>
      </c>
      <c r="F667" s="1267">
        <f t="shared" si="723"/>
        <v>0</v>
      </c>
      <c r="G667" s="1267">
        <f t="shared" si="723"/>
        <v>4799.23077569</v>
      </c>
      <c r="H667" s="1267">
        <f t="shared" si="723"/>
        <v>6802.6105963199998</v>
      </c>
      <c r="I667" s="1267">
        <f t="shared" si="723"/>
        <v>1474.6058938799999</v>
      </c>
      <c r="J667" s="1267">
        <f t="shared" si="723"/>
        <v>2763.6608067799998</v>
      </c>
      <c r="K667" s="1267">
        <f t="shared" si="723"/>
        <v>4074.1709232600001</v>
      </c>
      <c r="L667" s="1267">
        <f t="shared" si="723"/>
        <v>1544.69141921</v>
      </c>
      <c r="M667" s="1267">
        <f t="shared" si="723"/>
        <v>3413.0081429500001</v>
      </c>
      <c r="N667" s="1267">
        <f t="shared" si="723"/>
        <v>5258.1195035500004</v>
      </c>
      <c r="O667" s="1267">
        <f t="shared" si="723"/>
        <v>7156.9628224400003</v>
      </c>
      <c r="P667" s="1267">
        <f t="shared" si="723"/>
        <v>2480.41161285</v>
      </c>
      <c r="Q667" s="1267">
        <f t="shared" si="723"/>
        <v>4916.5828198400004</v>
      </c>
      <c r="R667" s="1267">
        <f t="shared" si="723"/>
        <v>6574.92598843</v>
      </c>
      <c r="S667" s="1267">
        <f t="shared" si="723"/>
        <v>7968.6610414699999</v>
      </c>
      <c r="T667" s="1267">
        <f t="shared" si="723"/>
        <v>2063.08765627</v>
      </c>
      <c r="U667" s="1267">
        <f t="shared" si="723"/>
        <v>3841.2973760599998</v>
      </c>
      <c r="V667" s="1267">
        <f t="shared" si="723"/>
        <v>5496.4057377099998</v>
      </c>
      <c r="W667" s="1267">
        <f t="shared" si="723"/>
        <v>7658.8829083600003</v>
      </c>
      <c r="X667" s="1267">
        <f t="shared" si="723"/>
        <v>2996.6966786100002</v>
      </c>
      <c r="Y667" s="1267">
        <f t="shared" si="723"/>
        <v>5897.66615353</v>
      </c>
      <c r="Z667" s="1267">
        <f t="shared" si="723"/>
        <v>8610.5091295700004</v>
      </c>
      <c r="AA667" s="1267">
        <f t="shared" si="723"/>
        <v>11381.57817728</v>
      </c>
      <c r="AB667" s="1267">
        <f t="shared" si="723"/>
        <v>3781.3023553500002</v>
      </c>
      <c r="AC667" s="1267">
        <f t="shared" si="723"/>
        <v>6976.4028234400002</v>
      </c>
      <c r="AD667" s="1267">
        <f t="shared" si="723"/>
        <v>9952.9432555900003</v>
      </c>
      <c r="AE667" s="1267">
        <f t="shared" si="723"/>
        <v>12812.620863120001</v>
      </c>
      <c r="AF667" s="1267">
        <f t="shared" ref="AF667:AG667" si="724">AF657/100000000</f>
        <v>4677.9029707700001</v>
      </c>
      <c r="AG667" s="1267">
        <f t="shared" si="724"/>
        <v>8892.3902428000001</v>
      </c>
      <c r="AH667" s="1267">
        <f t="shared" ref="AH667" si="725">AH657/100000000</f>
        <v>12127.96953418</v>
      </c>
    </row>
    <row r="668" spans="1:34">
      <c r="B668" s="34" t="s">
        <v>2224</v>
      </c>
      <c r="C668" s="34" t="s">
        <v>2224</v>
      </c>
      <c r="D668" s="1267">
        <f t="shared" ref="D668:AE668" si="726">D643/100000000</f>
        <v>31.124728269999999</v>
      </c>
      <c r="E668" s="1267">
        <f t="shared" si="726"/>
        <v>-168.47886277000001</v>
      </c>
      <c r="F668" s="1267">
        <f t="shared" si="726"/>
        <v>0</v>
      </c>
      <c r="G668" s="1267">
        <f t="shared" si="726"/>
        <v>-58.500227670000001</v>
      </c>
      <c r="H668" s="1267">
        <f t="shared" si="726"/>
        <v>-71.522228510000005</v>
      </c>
      <c r="I668" s="1267">
        <f t="shared" si="726"/>
        <v>-0.36769729000000001</v>
      </c>
      <c r="J668" s="1267">
        <f t="shared" si="726"/>
        <v>-0.76575156</v>
      </c>
      <c r="K668" s="1267">
        <f t="shared" si="726"/>
        <v>-161.98782571999999</v>
      </c>
      <c r="L668" s="1267">
        <f t="shared" si="726"/>
        <v>-23.636333369999999</v>
      </c>
      <c r="M668" s="1267">
        <f t="shared" si="726"/>
        <v>-26.681429189999999</v>
      </c>
      <c r="N668" s="1267">
        <f t="shared" si="726"/>
        <v>37.085114480000001</v>
      </c>
      <c r="O668" s="1267">
        <f t="shared" si="726"/>
        <v>39.585569409999998</v>
      </c>
      <c r="P668" s="1267">
        <f t="shared" si="726"/>
        <v>-7.6498871299999998</v>
      </c>
      <c r="Q668" s="1267">
        <f t="shared" si="726"/>
        <v>11.2049833</v>
      </c>
      <c r="R668" s="1267">
        <f t="shared" si="726"/>
        <v>-1.58264581</v>
      </c>
      <c r="S668" s="1267">
        <f t="shared" si="726"/>
        <v>-18.27776158</v>
      </c>
      <c r="T668" s="1267">
        <f t="shared" si="726"/>
        <v>-1.81298599</v>
      </c>
      <c r="U668" s="1267">
        <f t="shared" si="726"/>
        <v>-2.3491427100000002</v>
      </c>
      <c r="V668" s="1267">
        <f t="shared" si="726"/>
        <v>-6.8545252400000001</v>
      </c>
      <c r="W668" s="1267">
        <f t="shared" si="726"/>
        <v>-6.0240624199999999</v>
      </c>
      <c r="X668" s="1267">
        <f t="shared" si="726"/>
        <v>-0.47322353</v>
      </c>
      <c r="Y668" s="1267">
        <f t="shared" si="726"/>
        <v>-6.57836686</v>
      </c>
      <c r="Z668" s="1267">
        <f t="shared" si="726"/>
        <v>-2.7919128899999999</v>
      </c>
      <c r="AA668" s="1267">
        <f t="shared" si="726"/>
        <v>-22.359034909999998</v>
      </c>
      <c r="AB668" s="1267">
        <f t="shared" si="726"/>
        <v>-130.26569635000001</v>
      </c>
      <c r="AC668" s="1267">
        <f t="shared" si="726"/>
        <v>-123.8332241</v>
      </c>
      <c r="AD668" s="1267">
        <f t="shared" si="726"/>
        <v>-137.63029632999999</v>
      </c>
      <c r="AE668" s="1267">
        <f t="shared" si="726"/>
        <v>-134.70097572</v>
      </c>
      <c r="AF668" s="1267">
        <f t="shared" ref="AF668:AG668" si="727">AF643/100000000</f>
        <v>-37.716284250000001</v>
      </c>
      <c r="AG668" s="1267">
        <f t="shared" si="727"/>
        <v>-36.691565599999997</v>
      </c>
      <c r="AH668" s="1267">
        <f t="shared" ref="AH668" si="728">AH643/100000000</f>
        <v>-113.92603608</v>
      </c>
    </row>
    <row r="669" spans="1:34">
      <c r="B669" s="34" t="s">
        <v>2238</v>
      </c>
      <c r="C669" s="34" t="s">
        <v>2238</v>
      </c>
      <c r="D669" s="1267">
        <f t="shared" ref="D669:AE669" si="729">D641/100000000</f>
        <v>4871.71925904</v>
      </c>
      <c r="E669" s="1267">
        <f t="shared" si="729"/>
        <v>1163.07371048</v>
      </c>
      <c r="F669" s="1267">
        <f t="shared" si="729"/>
        <v>0</v>
      </c>
      <c r="G669" s="1267">
        <f t="shared" si="729"/>
        <v>3419.79398743</v>
      </c>
      <c r="H669" s="1267">
        <f t="shared" si="729"/>
        <v>4636.0851017900004</v>
      </c>
      <c r="I669" s="1267">
        <f t="shared" si="729"/>
        <v>1026.5962948900001</v>
      </c>
      <c r="J669" s="1267">
        <f t="shared" si="729"/>
        <v>2000.2690751600001</v>
      </c>
      <c r="K669" s="1267">
        <f t="shared" si="729"/>
        <v>2995.7843909100002</v>
      </c>
      <c r="L669" s="1267">
        <f t="shared" si="729"/>
        <v>1022.12065014</v>
      </c>
      <c r="M669" s="1267">
        <f t="shared" si="729"/>
        <v>2065.97884484</v>
      </c>
      <c r="N669" s="1267">
        <f t="shared" si="729"/>
        <v>3112.73277917</v>
      </c>
      <c r="O669" s="1267">
        <f t="shared" si="729"/>
        <v>4233.35168187</v>
      </c>
      <c r="P669" s="1267">
        <f t="shared" si="729"/>
        <v>1149.6007212100001</v>
      </c>
      <c r="Q669" s="1267">
        <f t="shared" si="729"/>
        <v>2365.2307105700002</v>
      </c>
      <c r="R669" s="1267">
        <f t="shared" si="729"/>
        <v>3416.77068478</v>
      </c>
      <c r="S669" s="1267">
        <f t="shared" si="729"/>
        <v>4805.9484021899998</v>
      </c>
      <c r="T669" s="1267">
        <f t="shared" si="729"/>
        <v>1163.1719399000001</v>
      </c>
      <c r="U669" s="1267">
        <f t="shared" si="729"/>
        <v>2296.9039229599998</v>
      </c>
      <c r="V669" s="1267">
        <f t="shared" si="729"/>
        <v>3382.37784328</v>
      </c>
      <c r="W669" s="1267">
        <f t="shared" si="729"/>
        <v>4654.7521734499996</v>
      </c>
      <c r="X669" s="1267">
        <f t="shared" si="729"/>
        <v>1243.0055883299999</v>
      </c>
      <c r="Y669" s="1267">
        <f t="shared" si="729"/>
        <v>2501.70458663</v>
      </c>
      <c r="Z669" s="1267">
        <f t="shared" si="729"/>
        <v>3791.9620727000001</v>
      </c>
      <c r="AA669" s="1267">
        <f t="shared" si="729"/>
        <v>5324.6601187799997</v>
      </c>
      <c r="AB669" s="1267">
        <f t="shared" si="729"/>
        <v>1543.9695111799999</v>
      </c>
      <c r="AC669" s="1267">
        <f t="shared" si="729"/>
        <v>3051.9422882499998</v>
      </c>
      <c r="AD669" s="1267">
        <f t="shared" si="729"/>
        <v>4401.01807302</v>
      </c>
      <c r="AE669" s="1267">
        <f t="shared" si="729"/>
        <v>5971.4718922100001</v>
      </c>
      <c r="AF669" s="1267">
        <f t="shared" ref="AF669:AG669" si="730">AF641/100000000</f>
        <v>1558.2044474300001</v>
      </c>
      <c r="AG669" s="1267">
        <f t="shared" si="730"/>
        <v>3371.0761523599999</v>
      </c>
      <c r="AH669" s="1267">
        <f t="shared" ref="AH669" si="731">AH641/100000000</f>
        <v>4967.3284612699999</v>
      </c>
    </row>
    <row r="670" spans="1:34">
      <c r="B670" s="34" t="s">
        <v>45</v>
      </c>
      <c r="C670" s="34" t="s">
        <v>45</v>
      </c>
      <c r="D670" s="1267">
        <f t="shared" ref="D670:AE670" si="732">D397/100000000</f>
        <v>2688.4918219800002</v>
      </c>
      <c r="E670" s="1267">
        <f t="shared" si="732"/>
        <v>246.53307412000001</v>
      </c>
      <c r="F670" s="1267">
        <f t="shared" si="732"/>
        <v>0</v>
      </c>
      <c r="G670" s="1267">
        <f t="shared" si="732"/>
        <v>1320.93656059</v>
      </c>
      <c r="H670" s="1267">
        <f t="shared" si="732"/>
        <v>2095.00326602</v>
      </c>
      <c r="I670" s="1267">
        <f t="shared" si="732"/>
        <v>447.64190170000001</v>
      </c>
      <c r="J670" s="1267">
        <f t="shared" si="732"/>
        <v>762.62598005999996</v>
      </c>
      <c r="K670" s="1267">
        <f t="shared" si="732"/>
        <v>916.39870662999999</v>
      </c>
      <c r="L670" s="1267">
        <f t="shared" si="732"/>
        <v>498.93443569999999</v>
      </c>
      <c r="M670" s="1267">
        <f t="shared" si="732"/>
        <v>1320.3478689200001</v>
      </c>
      <c r="N670" s="1267">
        <f t="shared" si="732"/>
        <v>2182.4718388599999</v>
      </c>
      <c r="O670" s="1267">
        <f t="shared" si="732"/>
        <v>2963.1967099799999</v>
      </c>
      <c r="P670" s="1267">
        <f t="shared" si="732"/>
        <v>1323.1610045100001</v>
      </c>
      <c r="Q670" s="1267">
        <f t="shared" si="732"/>
        <v>2562.5570925699999</v>
      </c>
      <c r="R670" s="1267">
        <f t="shared" si="732"/>
        <v>3156.5726578399999</v>
      </c>
      <c r="S670" s="1267">
        <f t="shared" si="732"/>
        <v>3144.4348777</v>
      </c>
      <c r="T670" s="1267">
        <f t="shared" si="732"/>
        <v>898.10273038000003</v>
      </c>
      <c r="U670" s="1267">
        <f t="shared" si="732"/>
        <v>1542.04431039</v>
      </c>
      <c r="V670" s="1267">
        <f t="shared" si="732"/>
        <v>2107.1733691899999</v>
      </c>
      <c r="W670" s="1267">
        <f t="shared" si="732"/>
        <v>2998.1066724900002</v>
      </c>
      <c r="X670" s="1267">
        <f t="shared" si="732"/>
        <v>1753.21786675</v>
      </c>
      <c r="Y670" s="1267">
        <f t="shared" si="732"/>
        <v>3389.3832000399998</v>
      </c>
      <c r="Z670" s="1267">
        <f t="shared" si="732"/>
        <v>4815.75514398</v>
      </c>
      <c r="AA670" s="1267">
        <f t="shared" si="732"/>
        <v>6034.5590235899999</v>
      </c>
      <c r="AB670" s="1267">
        <f t="shared" si="732"/>
        <v>2107.0671478200002</v>
      </c>
      <c r="AC670" s="1267">
        <f t="shared" si="732"/>
        <v>3800.6273110900001</v>
      </c>
      <c r="AD670" s="1267">
        <f t="shared" si="732"/>
        <v>5414.2948862399999</v>
      </c>
      <c r="AE670" s="1267">
        <f t="shared" si="732"/>
        <v>6706.4479951900003</v>
      </c>
      <c r="AF670" s="1267">
        <f t="shared" ref="AF670:AG670" si="733">AF397/100000000</f>
        <v>3081.9822390899999</v>
      </c>
      <c r="AG670" s="1267">
        <f t="shared" si="733"/>
        <v>5484.6225248399996</v>
      </c>
      <c r="AH670" s="1267">
        <f t="shared" ref="AH670" si="734">AH397/100000000</f>
        <v>7046.7150368299999</v>
      </c>
    </row>
    <row r="671" spans="1:34">
      <c r="D671" s="58"/>
      <c r="E671" s="58"/>
      <c r="F671" s="58"/>
      <c r="G671" s="58"/>
      <c r="H671" s="58"/>
      <c r="J671" s="58"/>
      <c r="K671" s="58"/>
    </row>
    <row r="672" spans="1:34">
      <c r="D672" s="58"/>
      <c r="E672" s="58"/>
      <c r="F672" s="58"/>
      <c r="G672" s="58"/>
      <c r="H672" s="58"/>
      <c r="J672" s="58"/>
      <c r="K672" s="58"/>
    </row>
    <row r="673" spans="1:34">
      <c r="A673" s="496" t="s">
        <v>2239</v>
      </c>
      <c r="D673" s="1267"/>
      <c r="E673" s="1267"/>
      <c r="F673" s="1267"/>
      <c r="G673" s="1267"/>
      <c r="H673" s="1267"/>
      <c r="I673" s="1267"/>
      <c r="J673" s="1267"/>
      <c r="K673" s="1267"/>
      <c r="L673" s="1267"/>
      <c r="M673" s="1267"/>
      <c r="N673" s="1267"/>
      <c r="O673" s="1267"/>
      <c r="P673" s="1267"/>
      <c r="Q673" s="1267"/>
      <c r="R673" s="1267"/>
      <c r="S673" s="1267"/>
      <c r="T673" s="1267"/>
      <c r="U673" s="1267"/>
      <c r="V673" s="1267"/>
      <c r="W673" s="1267"/>
      <c r="X673" s="1267"/>
      <c r="Y673" s="1267"/>
      <c r="Z673" s="1267"/>
      <c r="AA673" s="1267"/>
      <c r="AB673" s="1267"/>
      <c r="AC673" s="1267"/>
      <c r="AD673" s="1267"/>
      <c r="AE673" s="1267"/>
      <c r="AF673" s="1267"/>
      <c r="AG673" s="1267"/>
      <c r="AH673" s="1267"/>
    </row>
    <row r="674" spans="1:34">
      <c r="B674" s="34" t="s">
        <v>2233</v>
      </c>
      <c r="C674" s="34" t="s">
        <v>2233</v>
      </c>
      <c r="D674" s="1267">
        <f t="shared" ref="D674:AE674" si="735">D497/100000000</f>
        <v>3511.6284745600001</v>
      </c>
      <c r="E674" s="1267">
        <f t="shared" si="735"/>
        <v>626.04886137999995</v>
      </c>
      <c r="F674" s="1267">
        <f t="shared" si="735"/>
        <v>0</v>
      </c>
      <c r="G674" s="1267">
        <f t="shared" si="735"/>
        <v>1970.1532965399999</v>
      </c>
      <c r="H674" s="1267">
        <f t="shared" si="735"/>
        <v>2549.5407356800001</v>
      </c>
      <c r="I674" s="1267">
        <f t="shared" si="735"/>
        <v>664.96949766</v>
      </c>
      <c r="J674" s="1267">
        <f t="shared" si="735"/>
        <v>1249.9030102199999</v>
      </c>
      <c r="K674" s="1267">
        <f t="shared" si="735"/>
        <v>1775.4715371</v>
      </c>
      <c r="L674" s="1267">
        <f t="shared" si="735"/>
        <v>555.65020105999997</v>
      </c>
      <c r="M674" s="1267">
        <f t="shared" si="735"/>
        <v>1084.44169175</v>
      </c>
      <c r="N674" s="1267">
        <f t="shared" si="735"/>
        <v>1679.4110683500001</v>
      </c>
      <c r="O674" s="1267">
        <f t="shared" si="735"/>
        <v>2254.4752445700001</v>
      </c>
      <c r="P674" s="1267">
        <f t="shared" si="735"/>
        <v>633.17090034</v>
      </c>
      <c r="Q674" s="1267">
        <f t="shared" si="735"/>
        <v>1486.6889878100001</v>
      </c>
      <c r="R674" s="1267">
        <f t="shared" si="735"/>
        <v>2236.0099955699998</v>
      </c>
      <c r="S674" s="1267">
        <f t="shared" si="735"/>
        <v>2804.3513719699999</v>
      </c>
      <c r="T674" s="1267">
        <f t="shared" si="735"/>
        <v>600.77243366000005</v>
      </c>
      <c r="U674" s="1267">
        <f t="shared" si="735"/>
        <v>1204.5834429199999</v>
      </c>
      <c r="V674" s="1267">
        <f t="shared" si="735"/>
        <v>1790.5578696800001</v>
      </c>
      <c r="W674" s="1267">
        <f t="shared" si="735"/>
        <v>2288.01161146</v>
      </c>
      <c r="X674" s="1267">
        <f t="shared" si="735"/>
        <v>498.56805364000002</v>
      </c>
      <c r="Y674" s="1267">
        <f t="shared" si="735"/>
        <v>1095.2231646600001</v>
      </c>
      <c r="Z674" s="1267">
        <f t="shared" si="735"/>
        <v>1683.1520639600001</v>
      </c>
      <c r="AA674" s="1267">
        <f t="shared" si="735"/>
        <v>2355.3938719299999</v>
      </c>
      <c r="AB674" s="1267">
        <f t="shared" si="735"/>
        <v>821.97308780000003</v>
      </c>
      <c r="AC674" s="1267">
        <f t="shared" si="735"/>
        <v>1537.3694796499999</v>
      </c>
      <c r="AD674" s="1267">
        <f t="shared" si="735"/>
        <v>2059.3421102500001</v>
      </c>
      <c r="AE674" s="1267">
        <f t="shared" si="735"/>
        <v>2566.9765906600001</v>
      </c>
      <c r="AF674" s="1267">
        <f t="shared" ref="AF674:AG674" si="736">AF497/100000000</f>
        <v>536.89614141000004</v>
      </c>
      <c r="AG674" s="1267">
        <f t="shared" si="736"/>
        <v>1047.52442832</v>
      </c>
      <c r="AH674" s="1267">
        <f t="shared" ref="AH674" si="737">AH497/100000000</f>
        <v>1532.4252660499999</v>
      </c>
    </row>
    <row r="675" spans="1:34">
      <c r="B675" s="34" t="s">
        <v>2234</v>
      </c>
      <c r="C675" s="34" t="s">
        <v>2234</v>
      </c>
      <c r="D675" s="1267">
        <f t="shared" ref="D675:AE675" si="738">D525/100000000</f>
        <v>580.06476129999999</v>
      </c>
      <c r="E675" s="1267">
        <f t="shared" si="738"/>
        <v>157.98282739000001</v>
      </c>
      <c r="F675" s="1267">
        <f t="shared" si="738"/>
        <v>0</v>
      </c>
      <c r="G675" s="1267">
        <f t="shared" si="738"/>
        <v>421.59995139</v>
      </c>
      <c r="H675" s="1267">
        <f t="shared" si="738"/>
        <v>508.64304060000001</v>
      </c>
      <c r="I675" s="1267">
        <f t="shared" si="738"/>
        <v>181.79135977999999</v>
      </c>
      <c r="J675" s="1267">
        <f t="shared" si="738"/>
        <v>286.16387275</v>
      </c>
      <c r="K675" s="1267">
        <f t="shared" si="738"/>
        <v>402.81586871000002</v>
      </c>
      <c r="L675" s="1267">
        <f t="shared" si="738"/>
        <v>161.61747459</v>
      </c>
      <c r="M675" s="1267">
        <f t="shared" si="738"/>
        <v>357.51379858000001</v>
      </c>
      <c r="N675" s="1267">
        <f t="shared" si="738"/>
        <v>499.93248057</v>
      </c>
      <c r="O675" s="1267">
        <f t="shared" si="738"/>
        <v>697.69222471</v>
      </c>
      <c r="P675" s="1267">
        <f t="shared" si="738"/>
        <v>255.84730282000001</v>
      </c>
      <c r="Q675" s="1267">
        <f t="shared" si="738"/>
        <v>478.80956307999998</v>
      </c>
      <c r="R675" s="1267">
        <f t="shared" si="738"/>
        <v>691.65814709999995</v>
      </c>
      <c r="S675" s="1267">
        <f t="shared" si="738"/>
        <v>867.94531057999995</v>
      </c>
      <c r="T675" s="1267">
        <f t="shared" si="738"/>
        <v>330.22301088</v>
      </c>
      <c r="U675" s="1267">
        <f t="shared" si="738"/>
        <v>614.76172616999997</v>
      </c>
      <c r="V675" s="1267">
        <f t="shared" si="738"/>
        <v>952.52012530000002</v>
      </c>
      <c r="W675" s="1267">
        <f t="shared" si="738"/>
        <v>1406.1302848</v>
      </c>
      <c r="X675" s="1267">
        <f t="shared" si="738"/>
        <v>315.06983308000002</v>
      </c>
      <c r="Y675" s="1267">
        <f t="shared" si="738"/>
        <v>666.28431341999999</v>
      </c>
      <c r="Z675" s="1267">
        <f t="shared" si="738"/>
        <v>1199.7312593500001</v>
      </c>
      <c r="AA675" s="1267">
        <f t="shared" si="738"/>
        <v>1741.6171613500001</v>
      </c>
      <c r="AB675" s="1267">
        <f t="shared" si="738"/>
        <v>462.83687829000002</v>
      </c>
      <c r="AC675" s="1267">
        <f t="shared" si="738"/>
        <v>974.02387600999998</v>
      </c>
      <c r="AD675" s="1267">
        <f t="shared" si="738"/>
        <v>1510.57058476</v>
      </c>
      <c r="AE675" s="1267">
        <f t="shared" si="738"/>
        <v>2035.68619304</v>
      </c>
      <c r="AF675" s="1267">
        <f t="shared" ref="AF675:AG675" si="739">AF525/100000000</f>
        <v>540.54193124999995</v>
      </c>
      <c r="AG675" s="1267">
        <f t="shared" si="739"/>
        <v>1452.4456067799999</v>
      </c>
      <c r="AH675" s="1267">
        <f t="shared" ref="AH675" si="740">AH525/100000000</f>
        <v>2255.8437888200001</v>
      </c>
    </row>
    <row r="676" spans="1:34">
      <c r="B676" s="34" t="s">
        <v>2240</v>
      </c>
      <c r="C676" s="34" t="s">
        <v>2240</v>
      </c>
      <c r="D676" s="1267">
        <f t="shared" ref="D676:AE676" si="741">D520/100000000</f>
        <v>1205.38988187</v>
      </c>
      <c r="E676" s="1267">
        <f t="shared" si="741"/>
        <v>228.72564462</v>
      </c>
      <c r="F676" s="1267">
        <f t="shared" si="741"/>
        <v>0</v>
      </c>
      <c r="G676" s="1267">
        <f t="shared" si="741"/>
        <v>678.92986226999994</v>
      </c>
      <c r="H676" s="1267">
        <f t="shared" si="741"/>
        <v>900.5811238</v>
      </c>
      <c r="I676" s="1267">
        <f t="shared" si="741"/>
        <v>231.51009839</v>
      </c>
      <c r="J676" s="1267">
        <f t="shared" si="741"/>
        <v>439.38325292000002</v>
      </c>
      <c r="K676" s="1267">
        <f t="shared" si="741"/>
        <v>645.21910138999999</v>
      </c>
      <c r="L676" s="1267">
        <f t="shared" si="741"/>
        <v>203.71407191</v>
      </c>
      <c r="M676" s="1267">
        <f t="shared" si="741"/>
        <v>417.95026326999999</v>
      </c>
      <c r="N676" s="1267">
        <f t="shared" si="741"/>
        <v>632.02490909000005</v>
      </c>
      <c r="O676" s="1267">
        <f t="shared" si="741"/>
        <v>830.56379490999996</v>
      </c>
      <c r="P676" s="1267">
        <f t="shared" si="741"/>
        <v>215.18639350999999</v>
      </c>
      <c r="Q676" s="1267">
        <f t="shared" si="741"/>
        <v>508.39169040000002</v>
      </c>
      <c r="R676" s="1267">
        <f t="shared" si="741"/>
        <v>760.53156637999996</v>
      </c>
      <c r="S676" s="1267">
        <f t="shared" si="741"/>
        <v>1010.2729842700001</v>
      </c>
      <c r="T676" s="1267">
        <f t="shared" si="741"/>
        <v>237.15263246999999</v>
      </c>
      <c r="U676" s="1267">
        <f t="shared" si="741"/>
        <v>514.70133936000002</v>
      </c>
      <c r="V676" s="1267">
        <f t="shared" si="741"/>
        <v>784.51581254999996</v>
      </c>
      <c r="W676" s="1267">
        <f t="shared" si="741"/>
        <v>1031.5412439900001</v>
      </c>
      <c r="X676" s="1267">
        <f t="shared" si="741"/>
        <v>278.58889819000001</v>
      </c>
      <c r="Y676" s="1267">
        <f t="shared" si="741"/>
        <v>571.50624617000005</v>
      </c>
      <c r="Z676" s="1267">
        <f t="shared" si="741"/>
        <v>885.17339465999999</v>
      </c>
      <c r="AA676" s="1267">
        <f t="shared" si="741"/>
        <v>1199.69167595</v>
      </c>
      <c r="AB676" s="1267">
        <f t="shared" si="741"/>
        <v>340.50181958000002</v>
      </c>
      <c r="AC676" s="1267">
        <f t="shared" si="741"/>
        <v>700.20678780000003</v>
      </c>
      <c r="AD676" s="1267">
        <f t="shared" si="741"/>
        <v>1016.50074552</v>
      </c>
      <c r="AE676" s="1267">
        <f t="shared" si="741"/>
        <v>1285.02129752</v>
      </c>
      <c r="AF676" s="1267">
        <f t="shared" ref="AF676:AG676" si="742">AF520/100000000</f>
        <v>306.95205086999999</v>
      </c>
      <c r="AG676" s="1267">
        <f t="shared" si="742"/>
        <v>674.74993896000001</v>
      </c>
      <c r="AH676" s="1267">
        <f t="shared" ref="AH676" si="743">AH520/100000000</f>
        <v>1018.25081441</v>
      </c>
    </row>
    <row r="677" spans="1:34">
      <c r="B677" s="34" t="s">
        <v>2241</v>
      </c>
      <c r="C677" s="34" t="s">
        <v>2241</v>
      </c>
      <c r="D677" s="1267">
        <f t="shared" ref="D677:AE677" si="744">D515/100000000</f>
        <v>2210.67814813</v>
      </c>
      <c r="E677" s="1267">
        <f t="shared" si="744"/>
        <v>897.48638359999995</v>
      </c>
      <c r="F677" s="1267">
        <f t="shared" si="744"/>
        <v>0</v>
      </c>
      <c r="G677" s="1267">
        <f t="shared" si="744"/>
        <v>2507.3787563999999</v>
      </c>
      <c r="H677" s="1267">
        <f t="shared" si="744"/>
        <v>3376.7798659700002</v>
      </c>
      <c r="I677" s="1267">
        <f t="shared" si="744"/>
        <v>1113.95770189</v>
      </c>
      <c r="J677" s="1267">
        <f t="shared" si="744"/>
        <v>1835.0255450100001</v>
      </c>
      <c r="K677" s="1267">
        <f t="shared" si="744"/>
        <v>2535.3586793600002</v>
      </c>
      <c r="L677" s="1267">
        <f t="shared" si="744"/>
        <v>875.18152990999999</v>
      </c>
      <c r="M677" s="1267">
        <f t="shared" si="744"/>
        <v>1927.9552522399999</v>
      </c>
      <c r="N677" s="1267">
        <f t="shared" si="744"/>
        <v>2725.71658359</v>
      </c>
      <c r="O677" s="1267">
        <f t="shared" si="744"/>
        <v>3781.7952330200001</v>
      </c>
      <c r="P677" s="1267">
        <f t="shared" si="744"/>
        <v>1377.5204862400001</v>
      </c>
      <c r="Q677" s="1267">
        <f t="shared" si="744"/>
        <v>2488.9998212700002</v>
      </c>
      <c r="R677" s="1267">
        <f t="shared" si="744"/>
        <v>3460.1704435800002</v>
      </c>
      <c r="S677" s="1267">
        <f t="shared" si="744"/>
        <v>4383.1420143100004</v>
      </c>
      <c r="T677" s="1267">
        <f t="shared" si="744"/>
        <v>1390.00449413</v>
      </c>
      <c r="U677" s="1267">
        <f t="shared" si="744"/>
        <v>2286.2253073900001</v>
      </c>
      <c r="V677" s="1267">
        <f t="shared" si="744"/>
        <v>3229.5184626800001</v>
      </c>
      <c r="W677" s="1267">
        <f t="shared" si="744"/>
        <v>4134.2741015299998</v>
      </c>
      <c r="X677" s="1267">
        <f t="shared" si="744"/>
        <v>1582.18621166</v>
      </c>
      <c r="Y677" s="1267">
        <f t="shared" si="744"/>
        <v>2675.5638101599998</v>
      </c>
      <c r="Z677" s="1267">
        <f t="shared" si="744"/>
        <v>3814.36355899</v>
      </c>
      <c r="AA677" s="1267">
        <f t="shared" si="744"/>
        <v>5048.5961801900003</v>
      </c>
      <c r="AB677" s="1267">
        <f t="shared" si="744"/>
        <v>1991.96169693</v>
      </c>
      <c r="AC677" s="1267">
        <f t="shared" si="744"/>
        <v>3620.0925706500002</v>
      </c>
      <c r="AD677" s="1267">
        <f t="shared" si="744"/>
        <v>5211.9229133500003</v>
      </c>
      <c r="AE677" s="1267">
        <f t="shared" si="744"/>
        <v>6994.99408141</v>
      </c>
      <c r="AF677" s="1267">
        <f t="shared" ref="AF677:AG677" si="745">AF515/100000000</f>
        <v>2523.0415750000002</v>
      </c>
      <c r="AG677" s="1267">
        <f t="shared" si="745"/>
        <v>4374.5902066799999</v>
      </c>
      <c r="AH677" s="1267">
        <f t="shared" ref="AH677" si="746">AH515/100000000</f>
        <v>5934.1679940499998</v>
      </c>
    </row>
    <row r="678" spans="1:34">
      <c r="B678" s="34" t="s">
        <v>2236</v>
      </c>
      <c r="C678" s="34" t="s">
        <v>2236</v>
      </c>
      <c r="D678" s="1267">
        <f t="shared" ref="D678:AE678" si="747">D562/100000000</f>
        <v>247.12555689999999</v>
      </c>
      <c r="E678" s="1267">
        <f t="shared" si="747"/>
        <v>-296.48367538000002</v>
      </c>
      <c r="F678" s="1267">
        <f t="shared" si="747"/>
        <v>0</v>
      </c>
      <c r="G678" s="1267">
        <f t="shared" si="747"/>
        <v>-608.16785614000003</v>
      </c>
      <c r="H678" s="1267">
        <f t="shared" si="747"/>
        <v>-338.46550351000002</v>
      </c>
      <c r="I678" s="1267">
        <f t="shared" si="747"/>
        <v>-685.23293737999995</v>
      </c>
      <c r="J678" s="1267">
        <f t="shared" si="747"/>
        <v>-990.77276881</v>
      </c>
      <c r="K678" s="1267">
        <f t="shared" si="747"/>
        <v>-1219.66343338</v>
      </c>
      <c r="L678" s="1267">
        <f t="shared" si="747"/>
        <v>-243.94663521000001</v>
      </c>
      <c r="M678" s="1267">
        <f t="shared" si="747"/>
        <v>-365.30494055999998</v>
      </c>
      <c r="N678" s="1267">
        <f t="shared" si="747"/>
        <v>-285.63523292000002</v>
      </c>
      <c r="O678" s="1267">
        <f t="shared" si="747"/>
        <v>-418.70206307000001</v>
      </c>
      <c r="P678" s="1267">
        <f t="shared" si="747"/>
        <v>-8.5190649500000006</v>
      </c>
      <c r="Q678" s="1267">
        <f t="shared" si="747"/>
        <v>-47.797743680000004</v>
      </c>
      <c r="R678" s="1267">
        <f t="shared" si="747"/>
        <v>-569.46934191000003</v>
      </c>
      <c r="S678" s="1267">
        <f t="shared" si="747"/>
        <v>-1080.59307812</v>
      </c>
      <c r="T678" s="1267">
        <f t="shared" si="747"/>
        <v>-475.96711837999999</v>
      </c>
      <c r="U678" s="1267">
        <f t="shared" si="747"/>
        <v>-759.07620061</v>
      </c>
      <c r="V678" s="1267">
        <f t="shared" si="747"/>
        <v>-882.82229928000004</v>
      </c>
      <c r="W678" s="1267">
        <f t="shared" si="747"/>
        <v>-841.57422439000004</v>
      </c>
      <c r="X678" s="1267">
        <f t="shared" si="747"/>
        <v>283.84200728000002</v>
      </c>
      <c r="Y678" s="1267">
        <f t="shared" si="747"/>
        <v>746.68623852999997</v>
      </c>
      <c r="Z678" s="1267">
        <f t="shared" si="747"/>
        <v>809.49074960999997</v>
      </c>
      <c r="AA678" s="1267">
        <f t="shared" si="747"/>
        <v>814.88747707000005</v>
      </c>
      <c r="AB678" s="1267">
        <f t="shared" si="747"/>
        <v>128.68636520999999</v>
      </c>
      <c r="AC678" s="1267">
        <f t="shared" si="747"/>
        <v>77.906931580000006</v>
      </c>
      <c r="AD678" s="1267">
        <f t="shared" si="747"/>
        <v>73.481010780000005</v>
      </c>
      <c r="AE678" s="1267">
        <f t="shared" si="747"/>
        <v>-217.79837427000001</v>
      </c>
      <c r="AF678" s="1267">
        <f t="shared" ref="AF678:AG678" si="748">AF562/100000000</f>
        <v>706.16981591000001</v>
      </c>
      <c r="AG678" s="1267">
        <f t="shared" si="748"/>
        <v>1211.01624756</v>
      </c>
      <c r="AH678" s="1267">
        <f t="shared" ref="AH678" si="749">AH562/100000000</f>
        <v>1138.5713694599999</v>
      </c>
    </row>
    <row r="679" spans="1:34">
      <c r="B679" s="34" t="s">
        <v>2237</v>
      </c>
      <c r="C679" s="34" t="s">
        <v>2237</v>
      </c>
      <c r="D679" s="1267">
        <f t="shared" ref="D679:AE679" si="750">D565/100000000</f>
        <v>-225.80047001</v>
      </c>
      <c r="E679" s="1267">
        <f t="shared" si="750"/>
        <v>-35.674394239999998</v>
      </c>
      <c r="F679" s="1267">
        <f t="shared" si="750"/>
        <v>0</v>
      </c>
      <c r="G679" s="1267">
        <f t="shared" si="750"/>
        <v>-170.66323477</v>
      </c>
      <c r="H679" s="1267">
        <f t="shared" si="750"/>
        <v>-194.46866621999999</v>
      </c>
      <c r="I679" s="1267">
        <f t="shared" si="750"/>
        <v>-32.389826460000002</v>
      </c>
      <c r="J679" s="1267">
        <f t="shared" si="750"/>
        <v>-56.042105309999997</v>
      </c>
      <c r="K679" s="1267">
        <f t="shared" si="750"/>
        <v>-65.030829920000002</v>
      </c>
      <c r="L679" s="1267">
        <f t="shared" si="750"/>
        <v>-7.5252230500000001</v>
      </c>
      <c r="M679" s="1267">
        <f t="shared" si="750"/>
        <v>-9.5479223300000005</v>
      </c>
      <c r="N679" s="1267">
        <f t="shared" si="750"/>
        <v>6.6696948699999998</v>
      </c>
      <c r="O679" s="1267">
        <f t="shared" si="750"/>
        <v>11.138388300000001</v>
      </c>
      <c r="P679" s="1267">
        <f t="shared" si="750"/>
        <v>7.2055948900000004</v>
      </c>
      <c r="Q679" s="1267">
        <f t="shared" si="750"/>
        <v>1.4905009600000001</v>
      </c>
      <c r="R679" s="1267">
        <f t="shared" si="750"/>
        <v>-3.9748222900000001</v>
      </c>
      <c r="S679" s="1267">
        <f t="shared" si="750"/>
        <v>-16.45756154</v>
      </c>
      <c r="T679" s="1267">
        <f t="shared" si="750"/>
        <v>-19.09779649</v>
      </c>
      <c r="U679" s="1267">
        <f t="shared" si="750"/>
        <v>-19.89823917</v>
      </c>
      <c r="V679" s="1267">
        <f t="shared" si="750"/>
        <v>-377.88423322</v>
      </c>
      <c r="W679" s="1267">
        <f t="shared" si="750"/>
        <v>-359.50010902999998</v>
      </c>
      <c r="X679" s="1267">
        <f t="shared" si="750"/>
        <v>38.441674759999998</v>
      </c>
      <c r="Y679" s="1267">
        <f t="shared" si="750"/>
        <v>142.40238059000001</v>
      </c>
      <c r="Z679" s="1267">
        <f t="shared" si="750"/>
        <v>218.59810300000001</v>
      </c>
      <c r="AA679" s="1267">
        <f t="shared" si="750"/>
        <v>221.39181078999999</v>
      </c>
      <c r="AB679" s="1267">
        <f t="shared" si="750"/>
        <v>35.34250754</v>
      </c>
      <c r="AC679" s="1267">
        <f t="shared" si="750"/>
        <v>66.803177750000003</v>
      </c>
      <c r="AD679" s="1267">
        <f t="shared" si="750"/>
        <v>81.125890929999997</v>
      </c>
      <c r="AE679" s="1267">
        <f t="shared" si="750"/>
        <v>147.74107476</v>
      </c>
      <c r="AF679" s="1267">
        <f t="shared" ref="AF679:AG679" si="751">AF565/100000000</f>
        <v>64.301456329999993</v>
      </c>
      <c r="AG679" s="1267">
        <f t="shared" si="751"/>
        <v>132.06381450000001</v>
      </c>
      <c r="AH679" s="1267">
        <f t="shared" ref="AH679" si="752">AH565/100000000</f>
        <v>248.71030139000001</v>
      </c>
    </row>
    <row r="680" spans="1:34">
      <c r="B680" s="34" t="s">
        <v>64</v>
      </c>
      <c r="C680" s="34" t="s">
        <v>64</v>
      </c>
      <c r="D680" s="1267">
        <f t="shared" ref="D680:Z680" si="753">SUM(D674:D679)</f>
        <v>7529.0863527500014</v>
      </c>
      <c r="E680" s="1267">
        <f t="shared" si="753"/>
        <v>1578.0856473699998</v>
      </c>
      <c r="F680" s="1267">
        <f t="shared" si="753"/>
        <v>0</v>
      </c>
      <c r="G680" s="1267">
        <f t="shared" si="753"/>
        <v>4799.2307756899991</v>
      </c>
      <c r="H680" s="1267">
        <f t="shared" si="753"/>
        <v>6802.6105963199998</v>
      </c>
      <c r="I680" s="1267">
        <f t="shared" si="753"/>
        <v>1474.6058938800004</v>
      </c>
      <c r="J680" s="1267">
        <f t="shared" si="753"/>
        <v>2763.6608067800003</v>
      </c>
      <c r="K680" s="1267">
        <f t="shared" si="753"/>
        <v>4074.1709232600001</v>
      </c>
      <c r="L680" s="1267">
        <f t="shared" si="753"/>
        <v>1544.69141921</v>
      </c>
      <c r="M680" s="1267">
        <f t="shared" si="753"/>
        <v>3413.0081429500001</v>
      </c>
      <c r="N680" s="1267">
        <f t="shared" si="753"/>
        <v>5258.1195035500004</v>
      </c>
      <c r="O680" s="1267">
        <f t="shared" si="753"/>
        <v>7156.9628224400003</v>
      </c>
      <c r="P680" s="1267">
        <f t="shared" si="753"/>
        <v>2480.4116128500004</v>
      </c>
      <c r="Q680" s="1267">
        <f t="shared" si="753"/>
        <v>4916.5828198399995</v>
      </c>
      <c r="R680" s="1267">
        <f t="shared" si="753"/>
        <v>6574.92598843</v>
      </c>
      <c r="S680" s="1267">
        <f t="shared" si="753"/>
        <v>7968.6610414699999</v>
      </c>
      <c r="T680" s="1267">
        <f t="shared" si="753"/>
        <v>2063.08765627</v>
      </c>
      <c r="U680" s="1267">
        <f t="shared" si="753"/>
        <v>3841.2973760600003</v>
      </c>
      <c r="V680" s="1267">
        <f t="shared" si="753"/>
        <v>5496.4057377099998</v>
      </c>
      <c r="W680" s="1267">
        <f t="shared" si="753"/>
        <v>7658.8829083600003</v>
      </c>
      <c r="X680" s="1267">
        <f t="shared" si="753"/>
        <v>2996.6966786100002</v>
      </c>
      <c r="Y680" s="1267">
        <f t="shared" si="753"/>
        <v>5897.66615353</v>
      </c>
      <c r="Z680" s="1267">
        <f t="shared" si="753"/>
        <v>8610.5091295700004</v>
      </c>
      <c r="AA680" s="1267">
        <f t="shared" ref="AA680:AF680" si="754">SUM(AA674:AA679)</f>
        <v>11381.57817728</v>
      </c>
      <c r="AB680" s="1267">
        <f t="shared" si="754"/>
        <v>3781.3023553500002</v>
      </c>
      <c r="AC680" s="1267">
        <f t="shared" si="754"/>
        <v>6976.4028234400002</v>
      </c>
      <c r="AD680" s="1267">
        <f t="shared" si="754"/>
        <v>9952.9432555900003</v>
      </c>
      <c r="AE680" s="1267">
        <f t="shared" si="754"/>
        <v>12812.620863120001</v>
      </c>
      <c r="AF680" s="1267">
        <f t="shared" si="754"/>
        <v>4677.9029707700001</v>
      </c>
      <c r="AG680" s="1267">
        <f t="shared" ref="AG680:AH680" si="755">SUM(AG674:AG679)</f>
        <v>8892.3902427999983</v>
      </c>
      <c r="AH680" s="1267">
        <f t="shared" si="755"/>
        <v>12127.96953418</v>
      </c>
    </row>
    <row r="681" spans="1:34">
      <c r="B681" s="34" t="s">
        <v>2242</v>
      </c>
      <c r="C681" s="34" t="s">
        <v>2242</v>
      </c>
      <c r="D681" s="1267">
        <f t="shared" ref="D681:Z681" si="756">D684+D683-D682</f>
        <v>7529.0863527500005</v>
      </c>
      <c r="E681" s="1267">
        <f t="shared" si="756"/>
        <v>1578.0856473700001</v>
      </c>
      <c r="F681" s="1267">
        <f t="shared" si="756"/>
        <v>0</v>
      </c>
      <c r="G681" s="1267">
        <f t="shared" si="756"/>
        <v>4799.23077569</v>
      </c>
      <c r="H681" s="1267">
        <f t="shared" si="756"/>
        <v>6802.6105963199998</v>
      </c>
      <c r="I681" s="1267">
        <f t="shared" si="756"/>
        <v>1474.6058938800002</v>
      </c>
      <c r="J681" s="1267">
        <f t="shared" si="756"/>
        <v>2763.6608067799998</v>
      </c>
      <c r="K681" s="1267">
        <f t="shared" si="756"/>
        <v>4074.1709232600001</v>
      </c>
      <c r="L681" s="1267">
        <f t="shared" si="756"/>
        <v>1544.69141921</v>
      </c>
      <c r="M681" s="1267">
        <f t="shared" si="756"/>
        <v>3413.0081429500001</v>
      </c>
      <c r="N681" s="1267">
        <f t="shared" si="756"/>
        <v>5258.1195035500004</v>
      </c>
      <c r="O681" s="1267">
        <f t="shared" si="756"/>
        <v>7156.9628224399994</v>
      </c>
      <c r="P681" s="1267">
        <f t="shared" si="756"/>
        <v>2480.41161285</v>
      </c>
      <c r="Q681" s="1267">
        <f t="shared" si="756"/>
        <v>4916.5828198399995</v>
      </c>
      <c r="R681" s="1267">
        <f t="shared" si="756"/>
        <v>6574.92598843</v>
      </c>
      <c r="S681" s="1267">
        <f t="shared" si="756"/>
        <v>7968.6610414699999</v>
      </c>
      <c r="T681" s="1267">
        <f t="shared" si="756"/>
        <v>2063.08765627</v>
      </c>
      <c r="U681" s="1267">
        <f t="shared" si="756"/>
        <v>3841.2973760599998</v>
      </c>
      <c r="V681" s="1267">
        <f t="shared" si="756"/>
        <v>5496.4057377099998</v>
      </c>
      <c r="W681" s="1267">
        <f t="shared" si="756"/>
        <v>7658.8829083599994</v>
      </c>
      <c r="X681" s="1267">
        <f t="shared" si="756"/>
        <v>2996.6966786099997</v>
      </c>
      <c r="Y681" s="1267">
        <f t="shared" si="756"/>
        <v>5897.6661535299991</v>
      </c>
      <c r="Z681" s="1267">
        <f t="shared" si="756"/>
        <v>8610.5091295700004</v>
      </c>
      <c r="AA681" s="1267">
        <f t="shared" ref="AA681:AF681" si="757">AA684+AA683-AA682</f>
        <v>11381.578177279998</v>
      </c>
      <c r="AB681" s="1267">
        <f t="shared" si="757"/>
        <v>3781.3023553500002</v>
      </c>
      <c r="AC681" s="1267">
        <f t="shared" si="757"/>
        <v>6976.4028234400002</v>
      </c>
      <c r="AD681" s="1267">
        <f t="shared" si="757"/>
        <v>9952.9432555900003</v>
      </c>
      <c r="AE681" s="1267">
        <f t="shared" si="757"/>
        <v>12812.620863119999</v>
      </c>
      <c r="AF681" s="1267">
        <f t="shared" si="757"/>
        <v>4677.9029707700001</v>
      </c>
      <c r="AG681" s="1267">
        <f t="shared" ref="AG681:AH681" si="758">AG684+AG683-AG682</f>
        <v>8892.3902428000001</v>
      </c>
      <c r="AH681" s="1267">
        <f t="shared" si="758"/>
        <v>12127.96953418</v>
      </c>
    </row>
    <row r="682" spans="1:34">
      <c r="B682" s="34" t="s">
        <v>2243</v>
      </c>
      <c r="C682" s="34" t="s">
        <v>2243</v>
      </c>
      <c r="D682" s="1267">
        <f t="shared" ref="D682:Z682" si="759">D577/100000000</f>
        <v>31.124728269999999</v>
      </c>
      <c r="E682" s="1267">
        <f t="shared" si="759"/>
        <v>-168.47886277000001</v>
      </c>
      <c r="F682" s="1267">
        <f t="shared" si="759"/>
        <v>0</v>
      </c>
      <c r="G682" s="1267">
        <f t="shared" si="759"/>
        <v>-58.500227670000001</v>
      </c>
      <c r="H682" s="1267">
        <f t="shared" si="759"/>
        <v>-71.522228510000005</v>
      </c>
      <c r="I682" s="1267">
        <f t="shared" si="759"/>
        <v>-0.36769729000000001</v>
      </c>
      <c r="J682" s="1267">
        <f t="shared" si="759"/>
        <v>-0.76575156</v>
      </c>
      <c r="K682" s="1267">
        <f t="shared" si="759"/>
        <v>-161.98782571999999</v>
      </c>
      <c r="L682" s="1267">
        <f t="shared" si="759"/>
        <v>-23.636333369999999</v>
      </c>
      <c r="M682" s="1267">
        <f t="shared" si="759"/>
        <v>-26.681429189999999</v>
      </c>
      <c r="N682" s="1267">
        <f t="shared" si="759"/>
        <v>37.085114480000001</v>
      </c>
      <c r="O682" s="1267">
        <f t="shared" si="759"/>
        <v>39.585569409999998</v>
      </c>
      <c r="P682" s="1267">
        <f t="shared" si="759"/>
        <v>-7.6498871299999998</v>
      </c>
      <c r="Q682" s="1267">
        <f t="shared" si="759"/>
        <v>11.2049833</v>
      </c>
      <c r="R682" s="1267">
        <f t="shared" si="759"/>
        <v>-1.58264581</v>
      </c>
      <c r="S682" s="1267">
        <f t="shared" si="759"/>
        <v>-18.27776158</v>
      </c>
      <c r="T682" s="1267">
        <f t="shared" si="759"/>
        <v>-1.81298599</v>
      </c>
      <c r="U682" s="1267">
        <f t="shared" si="759"/>
        <v>-2.3491427100000002</v>
      </c>
      <c r="V682" s="1267">
        <f t="shared" si="759"/>
        <v>-6.8545252400000001</v>
      </c>
      <c r="W682" s="1267">
        <f t="shared" si="759"/>
        <v>-6.0240624199999999</v>
      </c>
      <c r="X682" s="1267">
        <f t="shared" si="759"/>
        <v>-0.47322353</v>
      </c>
      <c r="Y682" s="1267">
        <f t="shared" si="759"/>
        <v>-6.57836686</v>
      </c>
      <c r="Z682" s="1267">
        <f t="shared" si="759"/>
        <v>-2.7919128899999999</v>
      </c>
      <c r="AA682" s="1267">
        <f t="shared" ref="AA682:AF682" si="760">AA577/100000000</f>
        <v>-22.359034909999998</v>
      </c>
      <c r="AB682" s="1267">
        <f t="shared" si="760"/>
        <v>-130.26569635000001</v>
      </c>
      <c r="AC682" s="1267">
        <f t="shared" si="760"/>
        <v>-123.8332241</v>
      </c>
      <c r="AD682" s="1267">
        <f t="shared" si="760"/>
        <v>-137.63029632999999</v>
      </c>
      <c r="AE682" s="1267">
        <f t="shared" si="760"/>
        <v>-134.70097572</v>
      </c>
      <c r="AF682" s="1267">
        <f t="shared" si="760"/>
        <v>-37.716284250000001</v>
      </c>
      <c r="AG682" s="1267">
        <f t="shared" ref="AG682:AH682" si="761">AG577/100000000</f>
        <v>-36.691565599999997</v>
      </c>
      <c r="AH682" s="1267">
        <f t="shared" si="761"/>
        <v>-113.92603608</v>
      </c>
    </row>
    <row r="683" spans="1:34">
      <c r="B683" s="34" t="s">
        <v>2238</v>
      </c>
      <c r="C683" s="34" t="s">
        <v>2238</v>
      </c>
      <c r="D683" s="1267">
        <f t="shared" ref="D683:Z683" si="762">D324/100000000</f>
        <v>4871.71925904</v>
      </c>
      <c r="E683" s="1267">
        <f t="shared" si="762"/>
        <v>1163.07371048</v>
      </c>
      <c r="F683" s="1267">
        <f t="shared" si="762"/>
        <v>0</v>
      </c>
      <c r="G683" s="1267">
        <f t="shared" si="762"/>
        <v>3419.79398743</v>
      </c>
      <c r="H683" s="1267">
        <f t="shared" si="762"/>
        <v>4636.0851017900004</v>
      </c>
      <c r="I683" s="1267">
        <f t="shared" si="762"/>
        <v>1026.5962948900001</v>
      </c>
      <c r="J683" s="1267">
        <f t="shared" si="762"/>
        <v>2000.2690751600001</v>
      </c>
      <c r="K683" s="1267">
        <f t="shared" si="762"/>
        <v>2995.7843909100002</v>
      </c>
      <c r="L683" s="1267">
        <f t="shared" si="762"/>
        <v>1022.12065014</v>
      </c>
      <c r="M683" s="1267">
        <f t="shared" si="762"/>
        <v>2065.97884484</v>
      </c>
      <c r="N683" s="1267">
        <f t="shared" si="762"/>
        <v>3112.73277917</v>
      </c>
      <c r="O683" s="1267">
        <f t="shared" si="762"/>
        <v>4233.35168187</v>
      </c>
      <c r="P683" s="1267">
        <f t="shared" si="762"/>
        <v>1149.6007212100001</v>
      </c>
      <c r="Q683" s="1267">
        <f t="shared" si="762"/>
        <v>2365.2307105700002</v>
      </c>
      <c r="R683" s="1267">
        <f t="shared" si="762"/>
        <v>3416.77068478</v>
      </c>
      <c r="S683" s="1267">
        <f t="shared" si="762"/>
        <v>4805.9484021899998</v>
      </c>
      <c r="T683" s="1267">
        <f t="shared" si="762"/>
        <v>1163.1719399000001</v>
      </c>
      <c r="U683" s="1267">
        <f t="shared" si="762"/>
        <v>2296.9039229599998</v>
      </c>
      <c r="V683" s="1267">
        <f t="shared" si="762"/>
        <v>3382.37784328</v>
      </c>
      <c r="W683" s="1267">
        <f t="shared" si="762"/>
        <v>4654.7521734499996</v>
      </c>
      <c r="X683" s="1267">
        <f t="shared" si="762"/>
        <v>1243.0055883299999</v>
      </c>
      <c r="Y683" s="1267">
        <f t="shared" si="762"/>
        <v>2501.70458663</v>
      </c>
      <c r="Z683" s="1267">
        <f t="shared" si="762"/>
        <v>3791.9620727000001</v>
      </c>
      <c r="AA683" s="1267">
        <f t="shared" ref="AA683:AF683" si="763">AA324/100000000</f>
        <v>5324.6601187799997</v>
      </c>
      <c r="AB683" s="1267">
        <f t="shared" si="763"/>
        <v>1543.9695111799999</v>
      </c>
      <c r="AC683" s="1267">
        <f t="shared" si="763"/>
        <v>3051.9422882499998</v>
      </c>
      <c r="AD683" s="1267">
        <f t="shared" si="763"/>
        <v>4401.01807302</v>
      </c>
      <c r="AE683" s="1267">
        <f t="shared" si="763"/>
        <v>5971.4718922100001</v>
      </c>
      <c r="AF683" s="1267">
        <f t="shared" si="763"/>
        <v>1558.2044474300001</v>
      </c>
      <c r="AG683" s="1267">
        <f t="shared" ref="AG683:AH683" si="764">AG324/100000000</f>
        <v>3371.0761523599999</v>
      </c>
      <c r="AH683" s="1267">
        <f t="shared" si="764"/>
        <v>4967.3284612699999</v>
      </c>
    </row>
    <row r="684" spans="1:34">
      <c r="B684" s="34" t="s">
        <v>45</v>
      </c>
      <c r="C684" s="34" t="s">
        <v>45</v>
      </c>
      <c r="D684" s="1267">
        <f t="shared" ref="D684:Z684" si="765">D397/100000000</f>
        <v>2688.4918219800002</v>
      </c>
      <c r="E684" s="1267">
        <f t="shared" si="765"/>
        <v>246.53307412000001</v>
      </c>
      <c r="F684" s="1267">
        <f t="shared" si="765"/>
        <v>0</v>
      </c>
      <c r="G684" s="1267">
        <f t="shared" si="765"/>
        <v>1320.93656059</v>
      </c>
      <c r="H684" s="1267">
        <f t="shared" si="765"/>
        <v>2095.00326602</v>
      </c>
      <c r="I684" s="1267">
        <f t="shared" si="765"/>
        <v>447.64190170000001</v>
      </c>
      <c r="J684" s="1267">
        <f t="shared" si="765"/>
        <v>762.62598005999996</v>
      </c>
      <c r="K684" s="1267">
        <f t="shared" si="765"/>
        <v>916.39870662999999</v>
      </c>
      <c r="L684" s="1267">
        <f t="shared" si="765"/>
        <v>498.93443569999999</v>
      </c>
      <c r="M684" s="1267">
        <f t="shared" si="765"/>
        <v>1320.3478689200001</v>
      </c>
      <c r="N684" s="1267">
        <f t="shared" si="765"/>
        <v>2182.4718388599999</v>
      </c>
      <c r="O684" s="1267">
        <f t="shared" si="765"/>
        <v>2963.1967099799999</v>
      </c>
      <c r="P684" s="1267">
        <f t="shared" si="765"/>
        <v>1323.1610045100001</v>
      </c>
      <c r="Q684" s="1267">
        <f t="shared" si="765"/>
        <v>2562.5570925699999</v>
      </c>
      <c r="R684" s="1267">
        <f t="shared" si="765"/>
        <v>3156.5726578399999</v>
      </c>
      <c r="S684" s="1267">
        <f t="shared" si="765"/>
        <v>3144.4348777</v>
      </c>
      <c r="T684" s="1267">
        <f t="shared" si="765"/>
        <v>898.10273038000003</v>
      </c>
      <c r="U684" s="1267">
        <f t="shared" si="765"/>
        <v>1542.04431039</v>
      </c>
      <c r="V684" s="1267">
        <f t="shared" si="765"/>
        <v>2107.1733691899999</v>
      </c>
      <c r="W684" s="1267">
        <f t="shared" si="765"/>
        <v>2998.1066724900002</v>
      </c>
      <c r="X684" s="1267">
        <f t="shared" si="765"/>
        <v>1753.21786675</v>
      </c>
      <c r="Y684" s="1267">
        <f t="shared" si="765"/>
        <v>3389.3832000399998</v>
      </c>
      <c r="Z684" s="1267">
        <f t="shared" si="765"/>
        <v>4815.75514398</v>
      </c>
      <c r="AA684" s="1267">
        <f t="shared" ref="AA684:AF684" si="766">AA397/100000000</f>
        <v>6034.5590235899999</v>
      </c>
      <c r="AB684" s="1267">
        <f t="shared" si="766"/>
        <v>2107.0671478200002</v>
      </c>
      <c r="AC684" s="1267">
        <f t="shared" si="766"/>
        <v>3800.6273110900001</v>
      </c>
      <c r="AD684" s="1267">
        <f t="shared" si="766"/>
        <v>5414.2948862399999</v>
      </c>
      <c r="AE684" s="1267">
        <f t="shared" si="766"/>
        <v>6706.4479951900003</v>
      </c>
      <c r="AF684" s="1267">
        <f t="shared" si="766"/>
        <v>3081.9822390899999</v>
      </c>
      <c r="AG684" s="1267">
        <f t="shared" ref="AG684:AH684" si="767">AG397/100000000</f>
        <v>5484.6225248399996</v>
      </c>
      <c r="AH684" s="1267">
        <f t="shared" si="767"/>
        <v>7046.7150368299999</v>
      </c>
    </row>
    <row r="685" spans="1:34">
      <c r="D685" s="1267"/>
      <c r="E685" s="1267"/>
      <c r="F685" s="1267"/>
      <c r="G685" s="1267"/>
      <c r="H685" s="1267"/>
      <c r="I685" s="1267"/>
      <c r="J685" s="1267"/>
      <c r="K685" s="1267"/>
      <c r="L685" s="1267"/>
      <c r="M685" s="1267"/>
      <c r="N685" s="1267"/>
      <c r="O685" s="1267"/>
      <c r="P685" s="1267"/>
      <c r="Q685" s="1267"/>
      <c r="R685" s="1267"/>
      <c r="S685" s="1267"/>
      <c r="T685" s="1267"/>
      <c r="U685" s="1267"/>
      <c r="V685" s="1267"/>
      <c r="W685" s="1267"/>
      <c r="X685" s="1267"/>
      <c r="Y685" s="1267"/>
      <c r="Z685" s="1267"/>
      <c r="AA685" s="1267"/>
      <c r="AB685" s="1267"/>
      <c r="AC685" s="1267"/>
      <c r="AD685" s="1267"/>
      <c r="AE685" s="1267"/>
      <c r="AF685" s="1267"/>
      <c r="AG685" s="1267"/>
      <c r="AH685" s="1267"/>
    </row>
  </sheetData>
  <sheetProtection insertColumns="0" sort="0" autoFilter="0" pivotTables="0"/>
  <autoFilter ref="A16:Z452" xr:uid="{00000000-0009-0000-0000-000008000000}"/>
  <phoneticPr fontId="73" type="noConversion"/>
  <conditionalFormatting sqref="D6:D9">
    <cfRule type="cellIs" dxfId="31" priority="35" operator="equal">
      <formula>"확인"</formula>
    </cfRule>
  </conditionalFormatting>
  <conditionalFormatting sqref="F6:F9">
    <cfRule type="cellIs" dxfId="30" priority="31" operator="equal">
      <formula>"확인"</formula>
    </cfRule>
  </conditionalFormatting>
  <conditionalFormatting sqref="E6:E9">
    <cfRule type="cellIs" dxfId="29" priority="32" operator="equal">
      <formula>"확인"</formula>
    </cfRule>
  </conditionalFormatting>
  <conditionalFormatting sqref="G6:G9">
    <cfRule type="cellIs" dxfId="28" priority="30" operator="equal">
      <formula>"확인"</formula>
    </cfRule>
  </conditionalFormatting>
  <conditionalFormatting sqref="H6:H9">
    <cfRule type="cellIs" dxfId="27" priority="29" operator="equal">
      <formula>"확인"</formula>
    </cfRule>
  </conditionalFormatting>
  <conditionalFormatting sqref="J6:J9">
    <cfRule type="cellIs" dxfId="26" priority="27" operator="equal">
      <formula>"확인"</formula>
    </cfRule>
  </conditionalFormatting>
  <conditionalFormatting sqref="K6:K9">
    <cfRule type="cellIs" dxfId="25" priority="26" operator="equal">
      <formula>"확인"</formula>
    </cfRule>
  </conditionalFormatting>
  <conditionalFormatting sqref="I6:I9">
    <cfRule type="cellIs" dxfId="24" priority="25" operator="equal">
      <formula>"확인"</formula>
    </cfRule>
  </conditionalFormatting>
  <conditionalFormatting sqref="L6:L9">
    <cfRule type="cellIs" dxfId="23" priority="24" operator="equal">
      <formula>"확인"</formula>
    </cfRule>
  </conditionalFormatting>
  <conditionalFormatting sqref="M6:M9">
    <cfRule type="cellIs" dxfId="22" priority="23" operator="equal">
      <formula>"확인"</formula>
    </cfRule>
  </conditionalFormatting>
  <conditionalFormatting sqref="N6:N9">
    <cfRule type="cellIs" dxfId="21" priority="22" operator="equal">
      <formula>"확인"</formula>
    </cfRule>
  </conditionalFormatting>
  <conditionalFormatting sqref="O6:O9">
    <cfRule type="cellIs" dxfId="20" priority="21" operator="equal">
      <formula>"확인"</formula>
    </cfRule>
  </conditionalFormatting>
  <conditionalFormatting sqref="P6:P9">
    <cfRule type="cellIs" dxfId="19" priority="20" operator="equal">
      <formula>"확인"</formula>
    </cfRule>
  </conditionalFormatting>
  <conditionalFormatting sqref="Q6:Q9">
    <cfRule type="cellIs" dxfId="18" priority="19" operator="equal">
      <formula>"확인"</formula>
    </cfRule>
  </conditionalFormatting>
  <conditionalFormatting sqref="R6:R9">
    <cfRule type="cellIs" dxfId="17" priority="18" operator="equal">
      <formula>"확인"</formula>
    </cfRule>
  </conditionalFormatting>
  <conditionalFormatting sqref="S6:S9">
    <cfRule type="cellIs" dxfId="16" priority="17" operator="equal">
      <formula>"확인"</formula>
    </cfRule>
  </conditionalFormatting>
  <conditionalFormatting sqref="T6:T9">
    <cfRule type="cellIs" dxfId="15" priority="16" operator="equal">
      <formula>"확인"</formula>
    </cfRule>
  </conditionalFormatting>
  <conditionalFormatting sqref="U6:U9">
    <cfRule type="cellIs" dxfId="14" priority="15" operator="equal">
      <formula>"확인"</formula>
    </cfRule>
  </conditionalFormatting>
  <conditionalFormatting sqref="V6:V9">
    <cfRule type="cellIs" dxfId="13" priority="14" operator="equal">
      <formula>"확인"</formula>
    </cfRule>
  </conditionalFormatting>
  <conditionalFormatting sqref="W6:W8">
    <cfRule type="cellIs" dxfId="12" priority="13" operator="equal">
      <formula>"확인"</formula>
    </cfRule>
  </conditionalFormatting>
  <conditionalFormatting sqref="X6:X9">
    <cfRule type="cellIs" dxfId="11" priority="12" operator="equal">
      <formula>"확인"</formula>
    </cfRule>
  </conditionalFormatting>
  <conditionalFormatting sqref="Y6:Y9">
    <cfRule type="cellIs" dxfId="10" priority="11" operator="equal">
      <formula>"확인"</formula>
    </cfRule>
  </conditionalFormatting>
  <conditionalFormatting sqref="Z6:Z9">
    <cfRule type="cellIs" dxfId="9" priority="10" operator="equal">
      <formula>"확인"</formula>
    </cfRule>
  </conditionalFormatting>
  <conditionalFormatting sqref="AA6:AA9">
    <cfRule type="cellIs" dxfId="8" priority="9" operator="equal">
      <formula>"확인"</formula>
    </cfRule>
  </conditionalFormatting>
  <conditionalFormatting sqref="W9">
    <cfRule type="cellIs" dxfId="7" priority="8" operator="equal">
      <formula>"확인"</formula>
    </cfRule>
  </conditionalFormatting>
  <conditionalFormatting sqref="AB6:AB9">
    <cfRule type="cellIs" dxfId="6" priority="7" operator="equal">
      <formula>"확인"</formula>
    </cfRule>
  </conditionalFormatting>
  <conditionalFormatting sqref="AC6:AC9">
    <cfRule type="cellIs" dxfId="5" priority="6" operator="equal">
      <formula>"확인"</formula>
    </cfRule>
  </conditionalFormatting>
  <conditionalFormatting sqref="AD6:AD9">
    <cfRule type="cellIs" dxfId="4" priority="5" operator="equal">
      <formula>"확인"</formula>
    </cfRule>
  </conditionalFormatting>
  <conditionalFormatting sqref="AE6:AE9">
    <cfRule type="cellIs" dxfId="3" priority="4" operator="equal">
      <formula>"확인"</formula>
    </cfRule>
  </conditionalFormatting>
  <conditionalFormatting sqref="AF6:AF9">
    <cfRule type="cellIs" dxfId="2" priority="3" operator="equal">
      <formula>"확인"</formula>
    </cfRule>
  </conditionalFormatting>
  <conditionalFormatting sqref="AG6:AG9">
    <cfRule type="cellIs" dxfId="1" priority="2" operator="equal">
      <formula>"확인"</formula>
    </cfRule>
  </conditionalFormatting>
  <conditionalFormatting sqref="AH6:AH9">
    <cfRule type="cellIs" dxfId="0" priority="1" operator="equal">
      <formula>"확인"</formula>
    </cfRule>
  </conditionalFormatting>
  <dataValidations count="1">
    <dataValidation type="list" allowBlank="1" showInputMessage="1" showErrorMessage="1" sqref="D16:AH16" xr:uid="{00000000-0002-0000-08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C000"/>
    <pageSetUpPr fitToPage="1"/>
  </sheetPr>
  <dimension ref="A1:AC124"/>
  <sheetViews>
    <sheetView showGridLines="0" view="pageBreakPreview" zoomScaleNormal="100" zoomScaleSheetLayoutView="100" workbookViewId="0">
      <pane xSplit="5" ySplit="8" topLeftCell="F21" activePane="bottomRight" state="frozen"/>
      <selection activeCell="E10" sqref="E10"/>
      <selection pane="topRight" activeCell="E10" sqref="E10"/>
      <selection pane="bottomLeft" activeCell="E10" sqref="E10"/>
      <selection pane="bottomRight" activeCell="I41" sqref="I41:K41"/>
    </sheetView>
  </sheetViews>
  <sheetFormatPr baseColWidth="10" defaultColWidth="8.83203125" defaultRowHeight="17" outlineLevelRow="1"/>
  <cols>
    <col min="1" max="1" width="1.5" style="388" customWidth="1"/>
    <col min="2" max="3" width="8.6640625" style="388" customWidth="1"/>
    <col min="4" max="4" width="17.83203125" style="388" customWidth="1"/>
    <col min="5" max="10" width="13.33203125" style="388" customWidth="1"/>
    <col min="11" max="11" width="38" style="388" customWidth="1"/>
    <col min="12" max="21" width="12.5" style="388" customWidth="1"/>
    <col min="22" max="256" width="9.1640625" style="388"/>
    <col min="257" max="257" width="1.5" style="388" customWidth="1"/>
    <col min="258" max="258" width="5.1640625" style="388" customWidth="1"/>
    <col min="259" max="259" width="9.6640625" style="388" customWidth="1"/>
    <col min="260" max="260" width="14.6640625" style="388" customWidth="1"/>
    <col min="261" max="263" width="8.5" style="388" customWidth="1"/>
    <col min="264" max="265" width="9.5" style="388" customWidth="1"/>
    <col min="266" max="266" width="8.33203125" style="388" customWidth="1"/>
    <col min="267" max="267" width="8" style="388" customWidth="1"/>
    <col min="268" max="268" width="20.33203125" style="388" customWidth="1"/>
    <col min="269" max="512" width="9.1640625" style="388"/>
    <col min="513" max="513" width="1.5" style="388" customWidth="1"/>
    <col min="514" max="514" width="5.1640625" style="388" customWidth="1"/>
    <col min="515" max="515" width="9.6640625" style="388" customWidth="1"/>
    <col min="516" max="516" width="14.6640625" style="388" customWidth="1"/>
    <col min="517" max="519" width="8.5" style="388" customWidth="1"/>
    <col min="520" max="521" width="9.5" style="388" customWidth="1"/>
    <col min="522" max="522" width="8.33203125" style="388" customWidth="1"/>
    <col min="523" max="523" width="8" style="388" customWidth="1"/>
    <col min="524" max="524" width="20.33203125" style="388" customWidth="1"/>
    <col min="525" max="768" width="9.1640625" style="388"/>
    <col min="769" max="769" width="1.5" style="388" customWidth="1"/>
    <col min="770" max="770" width="5.1640625" style="388" customWidth="1"/>
    <col min="771" max="771" width="9.6640625" style="388" customWidth="1"/>
    <col min="772" max="772" width="14.6640625" style="388" customWidth="1"/>
    <col min="773" max="775" width="8.5" style="388" customWidth="1"/>
    <col min="776" max="777" width="9.5" style="388" customWidth="1"/>
    <col min="778" max="778" width="8.33203125" style="388" customWidth="1"/>
    <col min="779" max="779" width="8" style="388" customWidth="1"/>
    <col min="780" max="780" width="20.33203125" style="388" customWidth="1"/>
    <col min="781" max="1024" width="9.1640625" style="388"/>
    <col min="1025" max="1025" width="1.5" style="388" customWidth="1"/>
    <col min="1026" max="1026" width="5.1640625" style="388" customWidth="1"/>
    <col min="1027" max="1027" width="9.6640625" style="388" customWidth="1"/>
    <col min="1028" max="1028" width="14.6640625" style="388" customWidth="1"/>
    <col min="1029" max="1031" width="8.5" style="388" customWidth="1"/>
    <col min="1032" max="1033" width="9.5" style="388" customWidth="1"/>
    <col min="1034" max="1034" width="8.33203125" style="388" customWidth="1"/>
    <col min="1035" max="1035" width="8" style="388" customWidth="1"/>
    <col min="1036" max="1036" width="20.33203125" style="388" customWidth="1"/>
    <col min="1037" max="1280" width="9.1640625" style="388"/>
    <col min="1281" max="1281" width="1.5" style="388" customWidth="1"/>
    <col min="1282" max="1282" width="5.1640625" style="388" customWidth="1"/>
    <col min="1283" max="1283" width="9.6640625" style="388" customWidth="1"/>
    <col min="1284" max="1284" width="14.6640625" style="388" customWidth="1"/>
    <col min="1285" max="1287" width="8.5" style="388" customWidth="1"/>
    <col min="1288" max="1289" width="9.5" style="388" customWidth="1"/>
    <col min="1290" max="1290" width="8.33203125" style="388" customWidth="1"/>
    <col min="1291" max="1291" width="8" style="388" customWidth="1"/>
    <col min="1292" max="1292" width="20.33203125" style="388" customWidth="1"/>
    <col min="1293" max="1536" width="9.1640625" style="388"/>
    <col min="1537" max="1537" width="1.5" style="388" customWidth="1"/>
    <col min="1538" max="1538" width="5.1640625" style="388" customWidth="1"/>
    <col min="1539" max="1539" width="9.6640625" style="388" customWidth="1"/>
    <col min="1540" max="1540" width="14.6640625" style="388" customWidth="1"/>
    <col min="1541" max="1543" width="8.5" style="388" customWidth="1"/>
    <col min="1544" max="1545" width="9.5" style="388" customWidth="1"/>
    <col min="1546" max="1546" width="8.33203125" style="388" customWidth="1"/>
    <col min="1547" max="1547" width="8" style="388" customWidth="1"/>
    <col min="1548" max="1548" width="20.33203125" style="388" customWidth="1"/>
    <col min="1549" max="1792" width="9.1640625" style="388"/>
    <col min="1793" max="1793" width="1.5" style="388" customWidth="1"/>
    <col min="1794" max="1794" width="5.1640625" style="388" customWidth="1"/>
    <col min="1795" max="1795" width="9.6640625" style="388" customWidth="1"/>
    <col min="1796" max="1796" width="14.6640625" style="388" customWidth="1"/>
    <col min="1797" max="1799" width="8.5" style="388" customWidth="1"/>
    <col min="1800" max="1801" width="9.5" style="388" customWidth="1"/>
    <col min="1802" max="1802" width="8.33203125" style="388" customWidth="1"/>
    <col min="1803" max="1803" width="8" style="388" customWidth="1"/>
    <col min="1804" max="1804" width="20.33203125" style="388" customWidth="1"/>
    <col min="1805" max="2048" width="9.1640625" style="388"/>
    <col min="2049" max="2049" width="1.5" style="388" customWidth="1"/>
    <col min="2050" max="2050" width="5.1640625" style="388" customWidth="1"/>
    <col min="2051" max="2051" width="9.6640625" style="388" customWidth="1"/>
    <col min="2052" max="2052" width="14.6640625" style="388" customWidth="1"/>
    <col min="2053" max="2055" width="8.5" style="388" customWidth="1"/>
    <col min="2056" max="2057" width="9.5" style="388" customWidth="1"/>
    <col min="2058" max="2058" width="8.33203125" style="388" customWidth="1"/>
    <col min="2059" max="2059" width="8" style="388" customWidth="1"/>
    <col min="2060" max="2060" width="20.33203125" style="388" customWidth="1"/>
    <col min="2061" max="2304" width="9.1640625" style="388"/>
    <col min="2305" max="2305" width="1.5" style="388" customWidth="1"/>
    <col min="2306" max="2306" width="5.1640625" style="388" customWidth="1"/>
    <col min="2307" max="2307" width="9.6640625" style="388" customWidth="1"/>
    <col min="2308" max="2308" width="14.6640625" style="388" customWidth="1"/>
    <col min="2309" max="2311" width="8.5" style="388" customWidth="1"/>
    <col min="2312" max="2313" width="9.5" style="388" customWidth="1"/>
    <col min="2314" max="2314" width="8.33203125" style="388" customWidth="1"/>
    <col min="2315" max="2315" width="8" style="388" customWidth="1"/>
    <col min="2316" max="2316" width="20.33203125" style="388" customWidth="1"/>
    <col min="2317" max="2560" width="9.1640625" style="388"/>
    <col min="2561" max="2561" width="1.5" style="388" customWidth="1"/>
    <col min="2562" max="2562" width="5.1640625" style="388" customWidth="1"/>
    <col min="2563" max="2563" width="9.6640625" style="388" customWidth="1"/>
    <col min="2564" max="2564" width="14.6640625" style="388" customWidth="1"/>
    <col min="2565" max="2567" width="8.5" style="388" customWidth="1"/>
    <col min="2568" max="2569" width="9.5" style="388" customWidth="1"/>
    <col min="2570" max="2570" width="8.33203125" style="388" customWidth="1"/>
    <col min="2571" max="2571" width="8" style="388" customWidth="1"/>
    <col min="2572" max="2572" width="20.33203125" style="388" customWidth="1"/>
    <col min="2573" max="2816" width="9.1640625" style="388"/>
    <col min="2817" max="2817" width="1.5" style="388" customWidth="1"/>
    <col min="2818" max="2818" width="5.1640625" style="388" customWidth="1"/>
    <col min="2819" max="2819" width="9.6640625" style="388" customWidth="1"/>
    <col min="2820" max="2820" width="14.6640625" style="388" customWidth="1"/>
    <col min="2821" max="2823" width="8.5" style="388" customWidth="1"/>
    <col min="2824" max="2825" width="9.5" style="388" customWidth="1"/>
    <col min="2826" max="2826" width="8.33203125" style="388" customWidth="1"/>
    <col min="2827" max="2827" width="8" style="388" customWidth="1"/>
    <col min="2828" max="2828" width="20.33203125" style="388" customWidth="1"/>
    <col min="2829" max="3072" width="9.1640625" style="388"/>
    <col min="3073" max="3073" width="1.5" style="388" customWidth="1"/>
    <col min="3074" max="3074" width="5.1640625" style="388" customWidth="1"/>
    <col min="3075" max="3075" width="9.6640625" style="388" customWidth="1"/>
    <col min="3076" max="3076" width="14.6640625" style="388" customWidth="1"/>
    <col min="3077" max="3079" width="8.5" style="388" customWidth="1"/>
    <col min="3080" max="3081" width="9.5" style="388" customWidth="1"/>
    <col min="3082" max="3082" width="8.33203125" style="388" customWidth="1"/>
    <col min="3083" max="3083" width="8" style="388" customWidth="1"/>
    <col min="3084" max="3084" width="20.33203125" style="388" customWidth="1"/>
    <col min="3085" max="3328" width="9.1640625" style="388"/>
    <col min="3329" max="3329" width="1.5" style="388" customWidth="1"/>
    <col min="3330" max="3330" width="5.1640625" style="388" customWidth="1"/>
    <col min="3331" max="3331" width="9.6640625" style="388" customWidth="1"/>
    <col min="3332" max="3332" width="14.6640625" style="388" customWidth="1"/>
    <col min="3333" max="3335" width="8.5" style="388" customWidth="1"/>
    <col min="3336" max="3337" width="9.5" style="388" customWidth="1"/>
    <col min="3338" max="3338" width="8.33203125" style="388" customWidth="1"/>
    <col min="3339" max="3339" width="8" style="388" customWidth="1"/>
    <col min="3340" max="3340" width="20.33203125" style="388" customWidth="1"/>
    <col min="3341" max="3584" width="9.1640625" style="388"/>
    <col min="3585" max="3585" width="1.5" style="388" customWidth="1"/>
    <col min="3586" max="3586" width="5.1640625" style="388" customWidth="1"/>
    <col min="3587" max="3587" width="9.6640625" style="388" customWidth="1"/>
    <col min="3588" max="3588" width="14.6640625" style="388" customWidth="1"/>
    <col min="3589" max="3591" width="8.5" style="388" customWidth="1"/>
    <col min="3592" max="3593" width="9.5" style="388" customWidth="1"/>
    <col min="3594" max="3594" width="8.33203125" style="388" customWidth="1"/>
    <col min="3595" max="3595" width="8" style="388" customWidth="1"/>
    <col min="3596" max="3596" width="20.33203125" style="388" customWidth="1"/>
    <col min="3597" max="3840" width="9.1640625" style="388"/>
    <col min="3841" max="3841" width="1.5" style="388" customWidth="1"/>
    <col min="3842" max="3842" width="5.1640625" style="388" customWidth="1"/>
    <col min="3843" max="3843" width="9.6640625" style="388" customWidth="1"/>
    <col min="3844" max="3844" width="14.6640625" style="388" customWidth="1"/>
    <col min="3845" max="3847" width="8.5" style="388" customWidth="1"/>
    <col min="3848" max="3849" width="9.5" style="388" customWidth="1"/>
    <col min="3850" max="3850" width="8.33203125" style="388" customWidth="1"/>
    <col min="3851" max="3851" width="8" style="388" customWidth="1"/>
    <col min="3852" max="3852" width="20.33203125" style="388" customWidth="1"/>
    <col min="3853" max="4096" width="9.1640625" style="388"/>
    <col min="4097" max="4097" width="1.5" style="388" customWidth="1"/>
    <col min="4098" max="4098" width="5.1640625" style="388" customWidth="1"/>
    <col min="4099" max="4099" width="9.6640625" style="388" customWidth="1"/>
    <col min="4100" max="4100" width="14.6640625" style="388" customWidth="1"/>
    <col min="4101" max="4103" width="8.5" style="388" customWidth="1"/>
    <col min="4104" max="4105" width="9.5" style="388" customWidth="1"/>
    <col min="4106" max="4106" width="8.33203125" style="388" customWidth="1"/>
    <col min="4107" max="4107" width="8" style="388" customWidth="1"/>
    <col min="4108" max="4108" width="20.33203125" style="388" customWidth="1"/>
    <col min="4109" max="4352" width="9.1640625" style="388"/>
    <col min="4353" max="4353" width="1.5" style="388" customWidth="1"/>
    <col min="4354" max="4354" width="5.1640625" style="388" customWidth="1"/>
    <col min="4355" max="4355" width="9.6640625" style="388" customWidth="1"/>
    <col min="4356" max="4356" width="14.6640625" style="388" customWidth="1"/>
    <col min="4357" max="4359" width="8.5" style="388" customWidth="1"/>
    <col min="4360" max="4361" width="9.5" style="388" customWidth="1"/>
    <col min="4362" max="4362" width="8.33203125" style="388" customWidth="1"/>
    <col min="4363" max="4363" width="8" style="388" customWidth="1"/>
    <col min="4364" max="4364" width="20.33203125" style="388" customWidth="1"/>
    <col min="4365" max="4608" width="9.1640625" style="388"/>
    <col min="4609" max="4609" width="1.5" style="388" customWidth="1"/>
    <col min="4610" max="4610" width="5.1640625" style="388" customWidth="1"/>
    <col min="4611" max="4611" width="9.6640625" style="388" customWidth="1"/>
    <col min="4612" max="4612" width="14.6640625" style="388" customWidth="1"/>
    <col min="4613" max="4615" width="8.5" style="388" customWidth="1"/>
    <col min="4616" max="4617" width="9.5" style="388" customWidth="1"/>
    <col min="4618" max="4618" width="8.33203125" style="388" customWidth="1"/>
    <col min="4619" max="4619" width="8" style="388" customWidth="1"/>
    <col min="4620" max="4620" width="20.33203125" style="388" customWidth="1"/>
    <col min="4621" max="4864" width="9.1640625" style="388"/>
    <col min="4865" max="4865" width="1.5" style="388" customWidth="1"/>
    <col min="4866" max="4866" width="5.1640625" style="388" customWidth="1"/>
    <col min="4867" max="4867" width="9.6640625" style="388" customWidth="1"/>
    <col min="4868" max="4868" width="14.6640625" style="388" customWidth="1"/>
    <col min="4869" max="4871" width="8.5" style="388" customWidth="1"/>
    <col min="4872" max="4873" width="9.5" style="388" customWidth="1"/>
    <col min="4874" max="4874" width="8.33203125" style="388" customWidth="1"/>
    <col min="4875" max="4875" width="8" style="388" customWidth="1"/>
    <col min="4876" max="4876" width="20.33203125" style="388" customWidth="1"/>
    <col min="4877" max="5120" width="9.1640625" style="388"/>
    <col min="5121" max="5121" width="1.5" style="388" customWidth="1"/>
    <col min="5122" max="5122" width="5.1640625" style="388" customWidth="1"/>
    <col min="5123" max="5123" width="9.6640625" style="388" customWidth="1"/>
    <col min="5124" max="5124" width="14.6640625" style="388" customWidth="1"/>
    <col min="5125" max="5127" width="8.5" style="388" customWidth="1"/>
    <col min="5128" max="5129" width="9.5" style="388" customWidth="1"/>
    <col min="5130" max="5130" width="8.33203125" style="388" customWidth="1"/>
    <col min="5131" max="5131" width="8" style="388" customWidth="1"/>
    <col min="5132" max="5132" width="20.33203125" style="388" customWidth="1"/>
    <col min="5133" max="5376" width="9.1640625" style="388"/>
    <col min="5377" max="5377" width="1.5" style="388" customWidth="1"/>
    <col min="5378" max="5378" width="5.1640625" style="388" customWidth="1"/>
    <col min="5379" max="5379" width="9.6640625" style="388" customWidth="1"/>
    <col min="5380" max="5380" width="14.6640625" style="388" customWidth="1"/>
    <col min="5381" max="5383" width="8.5" style="388" customWidth="1"/>
    <col min="5384" max="5385" width="9.5" style="388" customWidth="1"/>
    <col min="5386" max="5386" width="8.33203125" style="388" customWidth="1"/>
    <col min="5387" max="5387" width="8" style="388" customWidth="1"/>
    <col min="5388" max="5388" width="20.33203125" style="388" customWidth="1"/>
    <col min="5389" max="5632" width="9.1640625" style="388"/>
    <col min="5633" max="5633" width="1.5" style="388" customWidth="1"/>
    <col min="5634" max="5634" width="5.1640625" style="388" customWidth="1"/>
    <col min="5635" max="5635" width="9.6640625" style="388" customWidth="1"/>
    <col min="5636" max="5636" width="14.6640625" style="388" customWidth="1"/>
    <col min="5637" max="5639" width="8.5" style="388" customWidth="1"/>
    <col min="5640" max="5641" width="9.5" style="388" customWidth="1"/>
    <col min="5642" max="5642" width="8.33203125" style="388" customWidth="1"/>
    <col min="5643" max="5643" width="8" style="388" customWidth="1"/>
    <col min="5644" max="5644" width="20.33203125" style="388" customWidth="1"/>
    <col min="5645" max="5888" width="9.1640625" style="388"/>
    <col min="5889" max="5889" width="1.5" style="388" customWidth="1"/>
    <col min="5890" max="5890" width="5.1640625" style="388" customWidth="1"/>
    <col min="5891" max="5891" width="9.6640625" style="388" customWidth="1"/>
    <col min="5892" max="5892" width="14.6640625" style="388" customWidth="1"/>
    <col min="5893" max="5895" width="8.5" style="388" customWidth="1"/>
    <col min="5896" max="5897" width="9.5" style="388" customWidth="1"/>
    <col min="5898" max="5898" width="8.33203125" style="388" customWidth="1"/>
    <col min="5899" max="5899" width="8" style="388" customWidth="1"/>
    <col min="5900" max="5900" width="20.33203125" style="388" customWidth="1"/>
    <col min="5901" max="6144" width="9.1640625" style="388"/>
    <col min="6145" max="6145" width="1.5" style="388" customWidth="1"/>
    <col min="6146" max="6146" width="5.1640625" style="388" customWidth="1"/>
    <col min="6147" max="6147" width="9.6640625" style="388" customWidth="1"/>
    <col min="6148" max="6148" width="14.6640625" style="388" customWidth="1"/>
    <col min="6149" max="6151" width="8.5" style="388" customWidth="1"/>
    <col min="6152" max="6153" width="9.5" style="388" customWidth="1"/>
    <col min="6154" max="6154" width="8.33203125" style="388" customWidth="1"/>
    <col min="6155" max="6155" width="8" style="388" customWidth="1"/>
    <col min="6156" max="6156" width="20.33203125" style="388" customWidth="1"/>
    <col min="6157" max="6400" width="9.1640625" style="388"/>
    <col min="6401" max="6401" width="1.5" style="388" customWidth="1"/>
    <col min="6402" max="6402" width="5.1640625" style="388" customWidth="1"/>
    <col min="6403" max="6403" width="9.6640625" style="388" customWidth="1"/>
    <col min="6404" max="6404" width="14.6640625" style="388" customWidth="1"/>
    <col min="6405" max="6407" width="8.5" style="388" customWidth="1"/>
    <col min="6408" max="6409" width="9.5" style="388" customWidth="1"/>
    <col min="6410" max="6410" width="8.33203125" style="388" customWidth="1"/>
    <col min="6411" max="6411" width="8" style="388" customWidth="1"/>
    <col min="6412" max="6412" width="20.33203125" style="388" customWidth="1"/>
    <col min="6413" max="6656" width="9.1640625" style="388"/>
    <col min="6657" max="6657" width="1.5" style="388" customWidth="1"/>
    <col min="6658" max="6658" width="5.1640625" style="388" customWidth="1"/>
    <col min="6659" max="6659" width="9.6640625" style="388" customWidth="1"/>
    <col min="6660" max="6660" width="14.6640625" style="388" customWidth="1"/>
    <col min="6661" max="6663" width="8.5" style="388" customWidth="1"/>
    <col min="6664" max="6665" width="9.5" style="388" customWidth="1"/>
    <col min="6666" max="6666" width="8.33203125" style="388" customWidth="1"/>
    <col min="6667" max="6667" width="8" style="388" customWidth="1"/>
    <col min="6668" max="6668" width="20.33203125" style="388" customWidth="1"/>
    <col min="6669" max="6912" width="9.1640625" style="388"/>
    <col min="6913" max="6913" width="1.5" style="388" customWidth="1"/>
    <col min="6914" max="6914" width="5.1640625" style="388" customWidth="1"/>
    <col min="6915" max="6915" width="9.6640625" style="388" customWidth="1"/>
    <col min="6916" max="6916" width="14.6640625" style="388" customWidth="1"/>
    <col min="6917" max="6919" width="8.5" style="388" customWidth="1"/>
    <col min="6920" max="6921" width="9.5" style="388" customWidth="1"/>
    <col min="6922" max="6922" width="8.33203125" style="388" customWidth="1"/>
    <col min="6923" max="6923" width="8" style="388" customWidth="1"/>
    <col min="6924" max="6924" width="20.33203125" style="388" customWidth="1"/>
    <col min="6925" max="7168" width="9.1640625" style="388"/>
    <col min="7169" max="7169" width="1.5" style="388" customWidth="1"/>
    <col min="7170" max="7170" width="5.1640625" style="388" customWidth="1"/>
    <col min="7171" max="7171" width="9.6640625" style="388" customWidth="1"/>
    <col min="7172" max="7172" width="14.6640625" style="388" customWidth="1"/>
    <col min="7173" max="7175" width="8.5" style="388" customWidth="1"/>
    <col min="7176" max="7177" width="9.5" style="388" customWidth="1"/>
    <col min="7178" max="7178" width="8.33203125" style="388" customWidth="1"/>
    <col min="7179" max="7179" width="8" style="388" customWidth="1"/>
    <col min="7180" max="7180" width="20.33203125" style="388" customWidth="1"/>
    <col min="7181" max="7424" width="9.1640625" style="388"/>
    <col min="7425" max="7425" width="1.5" style="388" customWidth="1"/>
    <col min="7426" max="7426" width="5.1640625" style="388" customWidth="1"/>
    <col min="7427" max="7427" width="9.6640625" style="388" customWidth="1"/>
    <col min="7428" max="7428" width="14.6640625" style="388" customWidth="1"/>
    <col min="7429" max="7431" width="8.5" style="388" customWidth="1"/>
    <col min="7432" max="7433" width="9.5" style="388" customWidth="1"/>
    <col min="7434" max="7434" width="8.33203125" style="388" customWidth="1"/>
    <col min="7435" max="7435" width="8" style="388" customWidth="1"/>
    <col min="7436" max="7436" width="20.33203125" style="388" customWidth="1"/>
    <col min="7437" max="7680" width="9.1640625" style="388"/>
    <col min="7681" max="7681" width="1.5" style="388" customWidth="1"/>
    <col min="7682" max="7682" width="5.1640625" style="388" customWidth="1"/>
    <col min="7683" max="7683" width="9.6640625" style="388" customWidth="1"/>
    <col min="7684" max="7684" width="14.6640625" style="388" customWidth="1"/>
    <col min="7685" max="7687" width="8.5" style="388" customWidth="1"/>
    <col min="7688" max="7689" width="9.5" style="388" customWidth="1"/>
    <col min="7690" max="7690" width="8.33203125" style="388" customWidth="1"/>
    <col min="7691" max="7691" width="8" style="388" customWidth="1"/>
    <col min="7692" max="7692" width="20.33203125" style="388" customWidth="1"/>
    <col min="7693" max="7936" width="9.1640625" style="388"/>
    <col min="7937" max="7937" width="1.5" style="388" customWidth="1"/>
    <col min="7938" max="7938" width="5.1640625" style="388" customWidth="1"/>
    <col min="7939" max="7939" width="9.6640625" style="388" customWidth="1"/>
    <col min="7940" max="7940" width="14.6640625" style="388" customWidth="1"/>
    <col min="7941" max="7943" width="8.5" style="388" customWidth="1"/>
    <col min="7944" max="7945" width="9.5" style="388" customWidth="1"/>
    <col min="7946" max="7946" width="8.33203125" style="388" customWidth="1"/>
    <col min="7947" max="7947" width="8" style="388" customWidth="1"/>
    <col min="7948" max="7948" width="20.33203125" style="388" customWidth="1"/>
    <col min="7949" max="8192" width="9.1640625" style="388"/>
    <col min="8193" max="8193" width="1.5" style="388" customWidth="1"/>
    <col min="8194" max="8194" width="5.1640625" style="388" customWidth="1"/>
    <col min="8195" max="8195" width="9.6640625" style="388" customWidth="1"/>
    <col min="8196" max="8196" width="14.6640625" style="388" customWidth="1"/>
    <col min="8197" max="8199" width="8.5" style="388" customWidth="1"/>
    <col min="8200" max="8201" width="9.5" style="388" customWidth="1"/>
    <col min="8202" max="8202" width="8.33203125" style="388" customWidth="1"/>
    <col min="8203" max="8203" width="8" style="388" customWidth="1"/>
    <col min="8204" max="8204" width="20.33203125" style="388" customWidth="1"/>
    <col min="8205" max="8448" width="9.1640625" style="388"/>
    <col min="8449" max="8449" width="1.5" style="388" customWidth="1"/>
    <col min="8450" max="8450" width="5.1640625" style="388" customWidth="1"/>
    <col min="8451" max="8451" width="9.6640625" style="388" customWidth="1"/>
    <col min="8452" max="8452" width="14.6640625" style="388" customWidth="1"/>
    <col min="8453" max="8455" width="8.5" style="388" customWidth="1"/>
    <col min="8456" max="8457" width="9.5" style="388" customWidth="1"/>
    <col min="8458" max="8458" width="8.33203125" style="388" customWidth="1"/>
    <col min="8459" max="8459" width="8" style="388" customWidth="1"/>
    <col min="8460" max="8460" width="20.33203125" style="388" customWidth="1"/>
    <col min="8461" max="8704" width="9.1640625" style="388"/>
    <col min="8705" max="8705" width="1.5" style="388" customWidth="1"/>
    <col min="8706" max="8706" width="5.1640625" style="388" customWidth="1"/>
    <col min="8707" max="8707" width="9.6640625" style="388" customWidth="1"/>
    <col min="8708" max="8708" width="14.6640625" style="388" customWidth="1"/>
    <col min="8709" max="8711" width="8.5" style="388" customWidth="1"/>
    <col min="8712" max="8713" width="9.5" style="388" customWidth="1"/>
    <col min="8714" max="8714" width="8.33203125" style="388" customWidth="1"/>
    <col min="8715" max="8715" width="8" style="388" customWidth="1"/>
    <col min="8716" max="8716" width="20.33203125" style="388" customWidth="1"/>
    <col min="8717" max="8960" width="9.1640625" style="388"/>
    <col min="8961" max="8961" width="1.5" style="388" customWidth="1"/>
    <col min="8962" max="8962" width="5.1640625" style="388" customWidth="1"/>
    <col min="8963" max="8963" width="9.6640625" style="388" customWidth="1"/>
    <col min="8964" max="8964" width="14.6640625" style="388" customWidth="1"/>
    <col min="8965" max="8967" width="8.5" style="388" customWidth="1"/>
    <col min="8968" max="8969" width="9.5" style="388" customWidth="1"/>
    <col min="8970" max="8970" width="8.33203125" style="388" customWidth="1"/>
    <col min="8971" max="8971" width="8" style="388" customWidth="1"/>
    <col min="8972" max="8972" width="20.33203125" style="388" customWidth="1"/>
    <col min="8973" max="9216" width="9.1640625" style="388"/>
    <col min="9217" max="9217" width="1.5" style="388" customWidth="1"/>
    <col min="9218" max="9218" width="5.1640625" style="388" customWidth="1"/>
    <col min="9219" max="9219" width="9.6640625" style="388" customWidth="1"/>
    <col min="9220" max="9220" width="14.6640625" style="388" customWidth="1"/>
    <col min="9221" max="9223" width="8.5" style="388" customWidth="1"/>
    <col min="9224" max="9225" width="9.5" style="388" customWidth="1"/>
    <col min="9226" max="9226" width="8.33203125" style="388" customWidth="1"/>
    <col min="9227" max="9227" width="8" style="388" customWidth="1"/>
    <col min="9228" max="9228" width="20.33203125" style="388" customWidth="1"/>
    <col min="9229" max="9472" width="9.1640625" style="388"/>
    <col min="9473" max="9473" width="1.5" style="388" customWidth="1"/>
    <col min="9474" max="9474" width="5.1640625" style="388" customWidth="1"/>
    <col min="9475" max="9475" width="9.6640625" style="388" customWidth="1"/>
    <col min="9476" max="9476" width="14.6640625" style="388" customWidth="1"/>
    <col min="9477" max="9479" width="8.5" style="388" customWidth="1"/>
    <col min="9480" max="9481" width="9.5" style="388" customWidth="1"/>
    <col min="9482" max="9482" width="8.33203125" style="388" customWidth="1"/>
    <col min="9483" max="9483" width="8" style="388" customWidth="1"/>
    <col min="9484" max="9484" width="20.33203125" style="388" customWidth="1"/>
    <col min="9485" max="9728" width="9.1640625" style="388"/>
    <col min="9729" max="9729" width="1.5" style="388" customWidth="1"/>
    <col min="9730" max="9730" width="5.1640625" style="388" customWidth="1"/>
    <col min="9731" max="9731" width="9.6640625" style="388" customWidth="1"/>
    <col min="9732" max="9732" width="14.6640625" style="388" customWidth="1"/>
    <col min="9733" max="9735" width="8.5" style="388" customWidth="1"/>
    <col min="9736" max="9737" width="9.5" style="388" customWidth="1"/>
    <col min="9738" max="9738" width="8.33203125" style="388" customWidth="1"/>
    <col min="9739" max="9739" width="8" style="388" customWidth="1"/>
    <col min="9740" max="9740" width="20.33203125" style="388" customWidth="1"/>
    <col min="9741" max="9984" width="9.1640625" style="388"/>
    <col min="9985" max="9985" width="1.5" style="388" customWidth="1"/>
    <col min="9986" max="9986" width="5.1640625" style="388" customWidth="1"/>
    <col min="9987" max="9987" width="9.6640625" style="388" customWidth="1"/>
    <col min="9988" max="9988" width="14.6640625" style="388" customWidth="1"/>
    <col min="9989" max="9991" width="8.5" style="388" customWidth="1"/>
    <col min="9992" max="9993" width="9.5" style="388" customWidth="1"/>
    <col min="9994" max="9994" width="8.33203125" style="388" customWidth="1"/>
    <col min="9995" max="9995" width="8" style="388" customWidth="1"/>
    <col min="9996" max="9996" width="20.33203125" style="388" customWidth="1"/>
    <col min="9997" max="10240" width="9.1640625" style="388"/>
    <col min="10241" max="10241" width="1.5" style="388" customWidth="1"/>
    <col min="10242" max="10242" width="5.1640625" style="388" customWidth="1"/>
    <col min="10243" max="10243" width="9.6640625" style="388" customWidth="1"/>
    <col min="10244" max="10244" width="14.6640625" style="388" customWidth="1"/>
    <col min="10245" max="10247" width="8.5" style="388" customWidth="1"/>
    <col min="10248" max="10249" width="9.5" style="388" customWidth="1"/>
    <col min="10250" max="10250" width="8.33203125" style="388" customWidth="1"/>
    <col min="10251" max="10251" width="8" style="388" customWidth="1"/>
    <col min="10252" max="10252" width="20.33203125" style="388" customWidth="1"/>
    <col min="10253" max="10496" width="9.1640625" style="388"/>
    <col min="10497" max="10497" width="1.5" style="388" customWidth="1"/>
    <col min="10498" max="10498" width="5.1640625" style="388" customWidth="1"/>
    <col min="10499" max="10499" width="9.6640625" style="388" customWidth="1"/>
    <col min="10500" max="10500" width="14.6640625" style="388" customWidth="1"/>
    <col min="10501" max="10503" width="8.5" style="388" customWidth="1"/>
    <col min="10504" max="10505" width="9.5" style="388" customWidth="1"/>
    <col min="10506" max="10506" width="8.33203125" style="388" customWidth="1"/>
    <col min="10507" max="10507" width="8" style="388" customWidth="1"/>
    <col min="10508" max="10508" width="20.33203125" style="388" customWidth="1"/>
    <col min="10509" max="10752" width="9.1640625" style="388"/>
    <col min="10753" max="10753" width="1.5" style="388" customWidth="1"/>
    <col min="10754" max="10754" width="5.1640625" style="388" customWidth="1"/>
    <col min="10755" max="10755" width="9.6640625" style="388" customWidth="1"/>
    <col min="10756" max="10756" width="14.6640625" style="388" customWidth="1"/>
    <col min="10757" max="10759" width="8.5" style="388" customWidth="1"/>
    <col min="10760" max="10761" width="9.5" style="388" customWidth="1"/>
    <col min="10762" max="10762" width="8.33203125" style="388" customWidth="1"/>
    <col min="10763" max="10763" width="8" style="388" customWidth="1"/>
    <col min="10764" max="10764" width="20.33203125" style="388" customWidth="1"/>
    <col min="10765" max="11008" width="9.1640625" style="388"/>
    <col min="11009" max="11009" width="1.5" style="388" customWidth="1"/>
    <col min="11010" max="11010" width="5.1640625" style="388" customWidth="1"/>
    <col min="11011" max="11011" width="9.6640625" style="388" customWidth="1"/>
    <col min="11012" max="11012" width="14.6640625" style="388" customWidth="1"/>
    <col min="11013" max="11015" width="8.5" style="388" customWidth="1"/>
    <col min="11016" max="11017" width="9.5" style="388" customWidth="1"/>
    <col min="11018" max="11018" width="8.33203125" style="388" customWidth="1"/>
    <col min="11019" max="11019" width="8" style="388" customWidth="1"/>
    <col min="11020" max="11020" width="20.33203125" style="388" customWidth="1"/>
    <col min="11021" max="11264" width="9.1640625" style="388"/>
    <col min="11265" max="11265" width="1.5" style="388" customWidth="1"/>
    <col min="11266" max="11266" width="5.1640625" style="388" customWidth="1"/>
    <col min="11267" max="11267" width="9.6640625" style="388" customWidth="1"/>
    <col min="11268" max="11268" width="14.6640625" style="388" customWidth="1"/>
    <col min="11269" max="11271" width="8.5" style="388" customWidth="1"/>
    <col min="11272" max="11273" width="9.5" style="388" customWidth="1"/>
    <col min="11274" max="11274" width="8.33203125" style="388" customWidth="1"/>
    <col min="11275" max="11275" width="8" style="388" customWidth="1"/>
    <col min="11276" max="11276" width="20.33203125" style="388" customWidth="1"/>
    <col min="11277" max="11520" width="9.1640625" style="388"/>
    <col min="11521" max="11521" width="1.5" style="388" customWidth="1"/>
    <col min="11522" max="11522" width="5.1640625" style="388" customWidth="1"/>
    <col min="11523" max="11523" width="9.6640625" style="388" customWidth="1"/>
    <col min="11524" max="11524" width="14.6640625" style="388" customWidth="1"/>
    <col min="11525" max="11527" width="8.5" style="388" customWidth="1"/>
    <col min="11528" max="11529" width="9.5" style="388" customWidth="1"/>
    <col min="11530" max="11530" width="8.33203125" style="388" customWidth="1"/>
    <col min="11531" max="11531" width="8" style="388" customWidth="1"/>
    <col min="11532" max="11532" width="20.33203125" style="388" customWidth="1"/>
    <col min="11533" max="11776" width="9.1640625" style="388"/>
    <col min="11777" max="11777" width="1.5" style="388" customWidth="1"/>
    <col min="11778" max="11778" width="5.1640625" style="388" customWidth="1"/>
    <col min="11779" max="11779" width="9.6640625" style="388" customWidth="1"/>
    <col min="11780" max="11780" width="14.6640625" style="388" customWidth="1"/>
    <col min="11781" max="11783" width="8.5" style="388" customWidth="1"/>
    <col min="11784" max="11785" width="9.5" style="388" customWidth="1"/>
    <col min="11786" max="11786" width="8.33203125" style="388" customWidth="1"/>
    <col min="11787" max="11787" width="8" style="388" customWidth="1"/>
    <col min="11788" max="11788" width="20.33203125" style="388" customWidth="1"/>
    <col min="11789" max="12032" width="9.1640625" style="388"/>
    <col min="12033" max="12033" width="1.5" style="388" customWidth="1"/>
    <col min="12034" max="12034" width="5.1640625" style="388" customWidth="1"/>
    <col min="12035" max="12035" width="9.6640625" style="388" customWidth="1"/>
    <col min="12036" max="12036" width="14.6640625" style="388" customWidth="1"/>
    <col min="12037" max="12039" width="8.5" style="388" customWidth="1"/>
    <col min="12040" max="12041" width="9.5" style="388" customWidth="1"/>
    <col min="12042" max="12042" width="8.33203125" style="388" customWidth="1"/>
    <col min="12043" max="12043" width="8" style="388" customWidth="1"/>
    <col min="12044" max="12044" width="20.33203125" style="388" customWidth="1"/>
    <col min="12045" max="12288" width="9.1640625" style="388"/>
    <col min="12289" max="12289" width="1.5" style="388" customWidth="1"/>
    <col min="12290" max="12290" width="5.1640625" style="388" customWidth="1"/>
    <col min="12291" max="12291" width="9.6640625" style="388" customWidth="1"/>
    <col min="12292" max="12292" width="14.6640625" style="388" customWidth="1"/>
    <col min="12293" max="12295" width="8.5" style="388" customWidth="1"/>
    <col min="12296" max="12297" width="9.5" style="388" customWidth="1"/>
    <col min="12298" max="12298" width="8.33203125" style="388" customWidth="1"/>
    <col min="12299" max="12299" width="8" style="388" customWidth="1"/>
    <col min="12300" max="12300" width="20.33203125" style="388" customWidth="1"/>
    <col min="12301" max="12544" width="9.1640625" style="388"/>
    <col min="12545" max="12545" width="1.5" style="388" customWidth="1"/>
    <col min="12546" max="12546" width="5.1640625" style="388" customWidth="1"/>
    <col min="12547" max="12547" width="9.6640625" style="388" customWidth="1"/>
    <col min="12548" max="12548" width="14.6640625" style="388" customWidth="1"/>
    <col min="12549" max="12551" width="8.5" style="388" customWidth="1"/>
    <col min="12552" max="12553" width="9.5" style="388" customWidth="1"/>
    <col min="12554" max="12554" width="8.33203125" style="388" customWidth="1"/>
    <col min="12555" max="12555" width="8" style="388" customWidth="1"/>
    <col min="12556" max="12556" width="20.33203125" style="388" customWidth="1"/>
    <col min="12557" max="12800" width="9.1640625" style="388"/>
    <col min="12801" max="12801" width="1.5" style="388" customWidth="1"/>
    <col min="12802" max="12802" width="5.1640625" style="388" customWidth="1"/>
    <col min="12803" max="12803" width="9.6640625" style="388" customWidth="1"/>
    <col min="12804" max="12804" width="14.6640625" style="388" customWidth="1"/>
    <col min="12805" max="12807" width="8.5" style="388" customWidth="1"/>
    <col min="12808" max="12809" width="9.5" style="388" customWidth="1"/>
    <col min="12810" max="12810" width="8.33203125" style="388" customWidth="1"/>
    <col min="12811" max="12811" width="8" style="388" customWidth="1"/>
    <col min="12812" max="12812" width="20.33203125" style="388" customWidth="1"/>
    <col min="12813" max="13056" width="9.1640625" style="388"/>
    <col min="13057" max="13057" width="1.5" style="388" customWidth="1"/>
    <col min="13058" max="13058" width="5.1640625" style="388" customWidth="1"/>
    <col min="13059" max="13059" width="9.6640625" style="388" customWidth="1"/>
    <col min="13060" max="13060" width="14.6640625" style="388" customWidth="1"/>
    <col min="13061" max="13063" width="8.5" style="388" customWidth="1"/>
    <col min="13064" max="13065" width="9.5" style="388" customWidth="1"/>
    <col min="13066" max="13066" width="8.33203125" style="388" customWidth="1"/>
    <col min="13067" max="13067" width="8" style="388" customWidth="1"/>
    <col min="13068" max="13068" width="20.33203125" style="388" customWidth="1"/>
    <col min="13069" max="13312" width="9.1640625" style="388"/>
    <col min="13313" max="13313" width="1.5" style="388" customWidth="1"/>
    <col min="13314" max="13314" width="5.1640625" style="388" customWidth="1"/>
    <col min="13315" max="13315" width="9.6640625" style="388" customWidth="1"/>
    <col min="13316" max="13316" width="14.6640625" style="388" customWidth="1"/>
    <col min="13317" max="13319" width="8.5" style="388" customWidth="1"/>
    <col min="13320" max="13321" width="9.5" style="388" customWidth="1"/>
    <col min="13322" max="13322" width="8.33203125" style="388" customWidth="1"/>
    <col min="13323" max="13323" width="8" style="388" customWidth="1"/>
    <col min="13324" max="13324" width="20.33203125" style="388" customWidth="1"/>
    <col min="13325" max="13568" width="9.1640625" style="388"/>
    <col min="13569" max="13569" width="1.5" style="388" customWidth="1"/>
    <col min="13570" max="13570" width="5.1640625" style="388" customWidth="1"/>
    <col min="13571" max="13571" width="9.6640625" style="388" customWidth="1"/>
    <col min="13572" max="13572" width="14.6640625" style="388" customWidth="1"/>
    <col min="13573" max="13575" width="8.5" style="388" customWidth="1"/>
    <col min="13576" max="13577" width="9.5" style="388" customWidth="1"/>
    <col min="13578" max="13578" width="8.33203125" style="388" customWidth="1"/>
    <col min="13579" max="13579" width="8" style="388" customWidth="1"/>
    <col min="13580" max="13580" width="20.33203125" style="388" customWidth="1"/>
    <col min="13581" max="13824" width="9.1640625" style="388"/>
    <col min="13825" max="13825" width="1.5" style="388" customWidth="1"/>
    <col min="13826" max="13826" width="5.1640625" style="388" customWidth="1"/>
    <col min="13827" max="13827" width="9.6640625" style="388" customWidth="1"/>
    <col min="13828" max="13828" width="14.6640625" style="388" customWidth="1"/>
    <col min="13829" max="13831" width="8.5" style="388" customWidth="1"/>
    <col min="13832" max="13833" width="9.5" style="388" customWidth="1"/>
    <col min="13834" max="13834" width="8.33203125" style="388" customWidth="1"/>
    <col min="13835" max="13835" width="8" style="388" customWidth="1"/>
    <col min="13836" max="13836" width="20.33203125" style="388" customWidth="1"/>
    <col min="13837" max="14080" width="9.1640625" style="388"/>
    <col min="14081" max="14081" width="1.5" style="388" customWidth="1"/>
    <col min="14082" max="14082" width="5.1640625" style="388" customWidth="1"/>
    <col min="14083" max="14083" width="9.6640625" style="388" customWidth="1"/>
    <col min="14084" max="14084" width="14.6640625" style="388" customWidth="1"/>
    <col min="14085" max="14087" width="8.5" style="388" customWidth="1"/>
    <col min="14088" max="14089" width="9.5" style="388" customWidth="1"/>
    <col min="14090" max="14090" width="8.33203125" style="388" customWidth="1"/>
    <col min="14091" max="14091" width="8" style="388" customWidth="1"/>
    <col min="14092" max="14092" width="20.33203125" style="388" customWidth="1"/>
    <col min="14093" max="14336" width="9.1640625" style="388"/>
    <col min="14337" max="14337" width="1.5" style="388" customWidth="1"/>
    <col min="14338" max="14338" width="5.1640625" style="388" customWidth="1"/>
    <col min="14339" max="14339" width="9.6640625" style="388" customWidth="1"/>
    <col min="14340" max="14340" width="14.6640625" style="388" customWidth="1"/>
    <col min="14341" max="14343" width="8.5" style="388" customWidth="1"/>
    <col min="14344" max="14345" width="9.5" style="388" customWidth="1"/>
    <col min="14346" max="14346" width="8.33203125" style="388" customWidth="1"/>
    <col min="14347" max="14347" width="8" style="388" customWidth="1"/>
    <col min="14348" max="14348" width="20.33203125" style="388" customWidth="1"/>
    <col min="14349" max="14592" width="9.1640625" style="388"/>
    <col min="14593" max="14593" width="1.5" style="388" customWidth="1"/>
    <col min="14594" max="14594" width="5.1640625" style="388" customWidth="1"/>
    <col min="14595" max="14595" width="9.6640625" style="388" customWidth="1"/>
    <col min="14596" max="14596" width="14.6640625" style="388" customWidth="1"/>
    <col min="14597" max="14599" width="8.5" style="388" customWidth="1"/>
    <col min="14600" max="14601" width="9.5" style="388" customWidth="1"/>
    <col min="14602" max="14602" width="8.33203125" style="388" customWidth="1"/>
    <col min="14603" max="14603" width="8" style="388" customWidth="1"/>
    <col min="14604" max="14604" width="20.33203125" style="388" customWidth="1"/>
    <col min="14605" max="14848" width="9.1640625" style="388"/>
    <col min="14849" max="14849" width="1.5" style="388" customWidth="1"/>
    <col min="14850" max="14850" width="5.1640625" style="388" customWidth="1"/>
    <col min="14851" max="14851" width="9.6640625" style="388" customWidth="1"/>
    <col min="14852" max="14852" width="14.6640625" style="388" customWidth="1"/>
    <col min="14853" max="14855" width="8.5" style="388" customWidth="1"/>
    <col min="14856" max="14857" width="9.5" style="388" customWidth="1"/>
    <col min="14858" max="14858" width="8.33203125" style="388" customWidth="1"/>
    <col min="14859" max="14859" width="8" style="388" customWidth="1"/>
    <col min="14860" max="14860" width="20.33203125" style="388" customWidth="1"/>
    <col min="14861" max="15104" width="9.1640625" style="388"/>
    <col min="15105" max="15105" width="1.5" style="388" customWidth="1"/>
    <col min="15106" max="15106" width="5.1640625" style="388" customWidth="1"/>
    <col min="15107" max="15107" width="9.6640625" style="388" customWidth="1"/>
    <col min="15108" max="15108" width="14.6640625" style="388" customWidth="1"/>
    <col min="15109" max="15111" width="8.5" style="388" customWidth="1"/>
    <col min="15112" max="15113" width="9.5" style="388" customWidth="1"/>
    <col min="15114" max="15114" width="8.33203125" style="388" customWidth="1"/>
    <col min="15115" max="15115" width="8" style="388" customWidth="1"/>
    <col min="15116" max="15116" width="20.33203125" style="388" customWidth="1"/>
    <col min="15117" max="15360" width="9.1640625" style="388"/>
    <col min="15361" max="15361" width="1.5" style="388" customWidth="1"/>
    <col min="15362" max="15362" width="5.1640625" style="388" customWidth="1"/>
    <col min="15363" max="15363" width="9.6640625" style="388" customWidth="1"/>
    <col min="15364" max="15364" width="14.6640625" style="388" customWidth="1"/>
    <col min="15365" max="15367" width="8.5" style="388" customWidth="1"/>
    <col min="15368" max="15369" width="9.5" style="388" customWidth="1"/>
    <col min="15370" max="15370" width="8.33203125" style="388" customWidth="1"/>
    <col min="15371" max="15371" width="8" style="388" customWidth="1"/>
    <col min="15372" max="15372" width="20.33203125" style="388" customWidth="1"/>
    <col min="15373" max="15616" width="9.1640625" style="388"/>
    <col min="15617" max="15617" width="1.5" style="388" customWidth="1"/>
    <col min="15618" max="15618" width="5.1640625" style="388" customWidth="1"/>
    <col min="15619" max="15619" width="9.6640625" style="388" customWidth="1"/>
    <col min="15620" max="15620" width="14.6640625" style="388" customWidth="1"/>
    <col min="15621" max="15623" width="8.5" style="388" customWidth="1"/>
    <col min="15624" max="15625" width="9.5" style="388" customWidth="1"/>
    <col min="15626" max="15626" width="8.33203125" style="388" customWidth="1"/>
    <col min="15627" max="15627" width="8" style="388" customWidth="1"/>
    <col min="15628" max="15628" width="20.33203125" style="388" customWidth="1"/>
    <col min="15629" max="15872" width="9.1640625" style="388"/>
    <col min="15873" max="15873" width="1.5" style="388" customWidth="1"/>
    <col min="15874" max="15874" width="5.1640625" style="388" customWidth="1"/>
    <col min="15875" max="15875" width="9.6640625" style="388" customWidth="1"/>
    <col min="15876" max="15876" width="14.6640625" style="388" customWidth="1"/>
    <col min="15877" max="15879" width="8.5" style="388" customWidth="1"/>
    <col min="15880" max="15881" width="9.5" style="388" customWidth="1"/>
    <col min="15882" max="15882" width="8.33203125" style="388" customWidth="1"/>
    <col min="15883" max="15883" width="8" style="388" customWidth="1"/>
    <col min="15884" max="15884" width="20.33203125" style="388" customWidth="1"/>
    <col min="15885" max="16128" width="9.1640625" style="388"/>
    <col min="16129" max="16129" width="1.5" style="388" customWidth="1"/>
    <col min="16130" max="16130" width="5.1640625" style="388" customWidth="1"/>
    <col min="16131" max="16131" width="9.6640625" style="388" customWidth="1"/>
    <col min="16132" max="16132" width="14.6640625" style="388" customWidth="1"/>
    <col min="16133" max="16135" width="8.5" style="388" customWidth="1"/>
    <col min="16136" max="16137" width="9.5" style="388" customWidth="1"/>
    <col min="16138" max="16138" width="8.33203125" style="388" customWidth="1"/>
    <col min="16139" max="16139" width="8" style="388" customWidth="1"/>
    <col min="16140" max="16140" width="20.33203125" style="388" customWidth="1"/>
    <col min="16141" max="16384" width="9.1640625" style="388"/>
  </cols>
  <sheetData>
    <row r="1" spans="1:15">
      <c r="B1" s="389"/>
    </row>
    <row r="2" spans="1:15" ht="16.5" customHeight="1">
      <c r="B2" s="390"/>
      <c r="F2" s="391" t="s">
        <v>762</v>
      </c>
      <c r="G2" s="1228" t="str">
        <f>Data!A1</f>
        <v>한국투자증권</v>
      </c>
      <c r="H2" s="548" t="s">
        <v>1358</v>
      </c>
      <c r="I2" s="1315" t="s">
        <v>2646</v>
      </c>
      <c r="J2" s="392"/>
      <c r="K2" s="392"/>
    </row>
    <row r="3" spans="1:15" ht="16.5" customHeight="1">
      <c r="B3" s="393"/>
      <c r="C3" s="394"/>
      <c r="F3" s="391" t="s">
        <v>763</v>
      </c>
      <c r="G3" s="565" t="s">
        <v>1364</v>
      </c>
      <c r="H3" s="548" t="s">
        <v>1359</v>
      </c>
      <c r="I3" s="566" t="s">
        <v>1360</v>
      </c>
      <c r="J3" s="392"/>
      <c r="K3" s="392"/>
    </row>
    <row r="4" spans="1:15" ht="16.5" customHeight="1">
      <c r="F4" s="391" t="s">
        <v>764</v>
      </c>
      <c r="G4" s="565" t="s">
        <v>1361</v>
      </c>
      <c r="H4" s="548" t="s">
        <v>1362</v>
      </c>
      <c r="I4" s="566" t="s">
        <v>1363</v>
      </c>
      <c r="J4" s="392"/>
      <c r="K4" s="392"/>
    </row>
    <row r="5" spans="1:15">
      <c r="F5" s="392"/>
      <c r="G5" s="392"/>
    </row>
    <row r="6" spans="1:15">
      <c r="A6" s="91"/>
      <c r="B6" s="389"/>
      <c r="C6" s="91"/>
      <c r="D6" s="91"/>
      <c r="E6" s="91"/>
      <c r="F6" s="91"/>
      <c r="G6" s="91"/>
      <c r="H6" s="91"/>
      <c r="I6" s="91"/>
      <c r="J6" s="91"/>
      <c r="K6" s="91"/>
    </row>
    <row r="7" spans="1:15" ht="16.5" customHeight="1">
      <c r="A7" s="91"/>
      <c r="B7" s="1880" t="s">
        <v>227</v>
      </c>
      <c r="C7" s="1880" t="s">
        <v>228</v>
      </c>
      <c r="D7" s="1880" t="s">
        <v>229</v>
      </c>
      <c r="E7" s="1880" t="s">
        <v>258</v>
      </c>
      <c r="F7" s="1880" t="s">
        <v>259</v>
      </c>
      <c r="G7" s="1880"/>
      <c r="H7" s="1880" t="s">
        <v>765</v>
      </c>
      <c r="I7" s="1880"/>
      <c r="J7" s="1871" t="s">
        <v>260</v>
      </c>
      <c r="K7" s="1872"/>
    </row>
    <row r="8" spans="1:15">
      <c r="A8" s="91"/>
      <c r="B8" s="1880"/>
      <c r="C8" s="1880"/>
      <c r="D8" s="1880"/>
      <c r="E8" s="1881"/>
      <c r="F8" s="395" t="s">
        <v>766</v>
      </c>
      <c r="G8" s="395" t="s">
        <v>767</v>
      </c>
      <c r="H8" s="395" t="s">
        <v>766</v>
      </c>
      <c r="I8" s="395" t="s">
        <v>767</v>
      </c>
      <c r="J8" s="1873"/>
      <c r="K8" s="1874"/>
      <c r="L8" s="165" t="s">
        <v>565</v>
      </c>
      <c r="M8" s="165" t="s">
        <v>566</v>
      </c>
    </row>
    <row r="9" spans="1:15" ht="23.25" customHeight="1">
      <c r="A9" s="91"/>
      <c r="B9" s="1864" t="s">
        <v>261</v>
      </c>
      <c r="C9" s="1875" t="s">
        <v>236</v>
      </c>
      <c r="D9" s="1875"/>
      <c r="E9" s="396">
        <v>0.05</v>
      </c>
      <c r="F9" s="1230" t="s">
        <v>262</v>
      </c>
      <c r="G9" s="398">
        <f>IF(F9="AAA",6, IF(F9="AA",5, IF(F9="A",4, IF(F9="BBB",3, IF(F9="BB",2,1)))))</f>
        <v>3</v>
      </c>
      <c r="H9" s="1230" t="s">
        <v>262</v>
      </c>
      <c r="I9" s="398">
        <f>IF(H9="AAA",6, IF(H9="AA",5, IF(H9="A",4, IF(H9="BBB",3, IF(H9="BB",2,1)))))</f>
        <v>3</v>
      </c>
      <c r="J9" s="1876"/>
      <c r="K9" s="1877"/>
      <c r="L9" s="165"/>
      <c r="M9" s="165"/>
    </row>
    <row r="10" spans="1:15" ht="23.25" customHeight="1">
      <c r="A10" s="91"/>
      <c r="B10" s="1864"/>
      <c r="C10" s="1878" t="s">
        <v>263</v>
      </c>
      <c r="D10" s="399" t="s">
        <v>264</v>
      </c>
      <c r="E10" s="400">
        <v>0.35</v>
      </c>
      <c r="F10" s="397" t="s">
        <v>219</v>
      </c>
      <c r="G10" s="401">
        <f>IF(F10="AAA",6, IF(F10="AA",5, IF(F10="A",4, IF(F10="BBB",3, IF(F10="BB",2,1)))))</f>
        <v>5</v>
      </c>
      <c r="H10" s="397" t="s">
        <v>219</v>
      </c>
      <c r="I10" s="401">
        <f t="shared" ref="I10" si="0">IF(H10="AAA",6, IF(H10="AA",5, IF(H10="A",4, IF(H10="BBB",3, IF(H10="BB",2,1)))))</f>
        <v>5</v>
      </c>
      <c r="J10" s="1229"/>
      <c r="K10" s="1233"/>
      <c r="L10" s="90" t="str">
        <f>L103</f>
        <v>AA</v>
      </c>
      <c r="M10" s="90" t="str">
        <f>추정!N8</f>
        <v>AA</v>
      </c>
      <c r="N10" s="390" t="b">
        <f>L10=F10</f>
        <v>1</v>
      </c>
      <c r="O10" s="390" t="b">
        <f>M10=H10</f>
        <v>1</v>
      </c>
    </row>
    <row r="11" spans="1:15" ht="23.25" customHeight="1">
      <c r="A11" s="91"/>
      <c r="B11" s="1864"/>
      <c r="C11" s="1878"/>
      <c r="D11" s="399" t="s">
        <v>768</v>
      </c>
      <c r="E11" s="400">
        <v>0.2</v>
      </c>
      <c r="F11" s="397" t="s">
        <v>313</v>
      </c>
      <c r="G11" s="401">
        <f t="shared" ref="G11:I13" si="1">IF(F11="AAA",6, IF(F11="AA",5, IF(F11="A",4, IF(F11="BBB",3, IF(F11="BB",2,1)))))</f>
        <v>5</v>
      </c>
      <c r="H11" s="397" t="s">
        <v>220</v>
      </c>
      <c r="I11" s="401">
        <f t="shared" si="1"/>
        <v>4</v>
      </c>
      <c r="J11" s="1784"/>
      <c r="K11" s="1879"/>
      <c r="L11" s="90" t="str">
        <f>L106</f>
        <v>AA</v>
      </c>
      <c r="M11" s="90" t="str">
        <f>추정!N11</f>
        <v>A</v>
      </c>
      <c r="N11" s="390" t="b">
        <f t="shared" ref="N11:N24" si="2">L11=F11</f>
        <v>1</v>
      </c>
      <c r="O11" s="390" t="b">
        <f t="shared" ref="O11:O23" si="3">M11=H11</f>
        <v>1</v>
      </c>
    </row>
    <row r="12" spans="1:15" ht="23.25" customHeight="1">
      <c r="A12" s="91"/>
      <c r="B12" s="1864"/>
      <c r="C12" s="1878"/>
      <c r="D12" s="1231" t="s">
        <v>2115</v>
      </c>
      <c r="E12" s="400">
        <v>0.2</v>
      </c>
      <c r="F12" s="397" t="s">
        <v>313</v>
      </c>
      <c r="G12" s="401">
        <f t="shared" si="1"/>
        <v>5</v>
      </c>
      <c r="H12" s="397" t="s">
        <v>219</v>
      </c>
      <c r="I12" s="401">
        <f t="shared" si="1"/>
        <v>5</v>
      </c>
      <c r="J12" s="1229"/>
      <c r="K12" s="1233"/>
      <c r="L12" s="90"/>
      <c r="M12" s="90"/>
      <c r="N12" s="390"/>
      <c r="O12" s="390"/>
    </row>
    <row r="13" spans="1:15" ht="23.25" customHeight="1">
      <c r="A13" s="91"/>
      <c r="B13" s="1864"/>
      <c r="C13" s="1878"/>
      <c r="D13" s="1231" t="s">
        <v>2116</v>
      </c>
      <c r="E13" s="400">
        <v>0.2</v>
      </c>
      <c r="F13" s="397" t="s">
        <v>312</v>
      </c>
      <c r="G13" s="401">
        <f t="shared" si="1"/>
        <v>6</v>
      </c>
      <c r="H13" s="397" t="s">
        <v>2165</v>
      </c>
      <c r="I13" s="401">
        <f t="shared" si="1"/>
        <v>6</v>
      </c>
      <c r="J13" s="1784"/>
      <c r="K13" s="1879"/>
      <c r="L13" s="90" t="str">
        <f>L109</f>
        <v>AAA</v>
      </c>
      <c r="M13" s="90" t="str">
        <f>추정!N12</f>
        <v>AAA</v>
      </c>
      <c r="N13" s="390" t="b">
        <f t="shared" si="2"/>
        <v>1</v>
      </c>
      <c r="O13" s="390" t="b">
        <f t="shared" si="3"/>
        <v>1</v>
      </c>
    </row>
    <row r="14" spans="1:15" ht="23.25" customHeight="1">
      <c r="A14" s="91"/>
      <c r="B14" s="1864"/>
      <c r="C14" s="1878"/>
      <c r="D14" s="402" t="s">
        <v>769</v>
      </c>
      <c r="E14" s="396">
        <f>+E15-E9</f>
        <v>0.95</v>
      </c>
      <c r="F14" s="398" t="str">
        <f>IF(G14&gt;=5.5,"AAA",IF(G14&gt;=4.5,"AA",IF(G14&gt;=3.5,"A", IF(G14&gt;=2.5,"BBB",IF(G14&gt;=1.5,"BB",IF(G14&gt;=0.5,"B"))))))</f>
        <v>AA</v>
      </c>
      <c r="G14" s="403">
        <f>G10*E10/$E$14+G11*E11/$E$14+G12*E12/$E$14+G13*E13/$E$14</f>
        <v>5.2105263157894743</v>
      </c>
      <c r="H14" s="398" t="str">
        <f>IF(I14&gt;=5.5,"AAA",IF(I14&gt;=4.5,"AA",IF(I14&gt;=3.5,"A", IF(I14&gt;=2.5,"BBB",IF(I14&gt;=1.5,"BB",IF(I14&gt;=0.5,"B"))))))</f>
        <v>AA</v>
      </c>
      <c r="I14" s="403">
        <f>+I10*E10/$E$14+I11*E11/E14+I12*E12/E14+I13*E13/E14</f>
        <v>5.0000000000000009</v>
      </c>
      <c r="J14" s="1781"/>
      <c r="K14" s="1867"/>
      <c r="L14" s="90"/>
      <c r="M14" s="90"/>
      <c r="N14" s="390"/>
      <c r="O14" s="390"/>
    </row>
    <row r="15" spans="1:15" ht="23.25" customHeight="1">
      <c r="A15" s="91"/>
      <c r="B15" s="1790" t="s">
        <v>770</v>
      </c>
      <c r="C15" s="1790"/>
      <c r="D15" s="1790"/>
      <c r="E15" s="404">
        <v>1</v>
      </c>
      <c r="F15" s="405" t="str">
        <f>IF(G15&gt;=5.5,"AAA",IF(G15&gt;=4.5,"AA",IF(G15&gt;=3.5,"A", IF(G15&gt;=2.5,"BBB",IF(G15&gt;=1.5,"BB",IF(G15&gt;=0.5,"B"))))))</f>
        <v>AA</v>
      </c>
      <c r="G15" s="406">
        <f>G14*E14+G9*E9</f>
        <v>5.1000000000000005</v>
      </c>
      <c r="H15" s="405" t="str">
        <f>IF(I15&gt;=5.5,"AAA",IF(I15&gt;=4.5,"AA",IF(I15&gt;=3.5,"A", IF(I15&gt;=2.5,"BBB",IF(I15&gt;=1.5,"BB",IF(I15&gt;=0.5,"B"))))))</f>
        <v>AA</v>
      </c>
      <c r="I15" s="406">
        <f>I14*E14+I9*E9</f>
        <v>4.9000000000000012</v>
      </c>
      <c r="J15" s="1863"/>
      <c r="K15" s="1856"/>
      <c r="L15" s="90"/>
      <c r="M15" s="90"/>
      <c r="N15" s="390"/>
      <c r="O15" s="390"/>
    </row>
    <row r="16" spans="1:15" ht="23.25" customHeight="1">
      <c r="A16" s="91"/>
      <c r="B16" s="1864" t="s">
        <v>265</v>
      </c>
      <c r="C16" s="1865" t="s">
        <v>771</v>
      </c>
      <c r="D16" s="399" t="s">
        <v>772</v>
      </c>
      <c r="E16" s="400">
        <v>0.1</v>
      </c>
      <c r="F16" s="397" t="s">
        <v>251</v>
      </c>
      <c r="G16" s="407">
        <f>IF(F16="AAA",6, IF(F16="AA",5, IF(F16="A",4, IF(F16="BBB",3, IF(F16="BB",2,1)))))</f>
        <v>6</v>
      </c>
      <c r="H16" s="397" t="s">
        <v>2165</v>
      </c>
      <c r="I16" s="407">
        <f>IF(H16="AAA",6, IF(H16="AA",5, IF(H16="A",4, IF(H16="BBB",3, IF(H16="BB",2,1)))))</f>
        <v>6</v>
      </c>
      <c r="J16" s="1784"/>
      <c r="K16" s="1866"/>
      <c r="L16" s="90" t="str">
        <f>L114</f>
        <v>AAA</v>
      </c>
      <c r="M16" s="90" t="str">
        <f>추정!N14</f>
        <v>AAA</v>
      </c>
      <c r="N16" s="390" t="b">
        <f t="shared" si="2"/>
        <v>1</v>
      </c>
      <c r="O16" s="390" t="b">
        <f t="shared" si="3"/>
        <v>1</v>
      </c>
    </row>
    <row r="17" spans="1:16" ht="23.25" customHeight="1">
      <c r="A17" s="91"/>
      <c r="B17" s="1864"/>
      <c r="C17" s="1865"/>
      <c r="D17" s="399" t="s">
        <v>344</v>
      </c>
      <c r="E17" s="400">
        <v>0.1</v>
      </c>
      <c r="F17" s="397" t="s">
        <v>2165</v>
      </c>
      <c r="G17" s="407">
        <f>IF(F17="AAA",6, IF(F17="AA",5, IF(F17="A",4, IF(F17="BBB",3, IF(F17="BB",2,1)))))</f>
        <v>6</v>
      </c>
      <c r="H17" s="397" t="s">
        <v>2165</v>
      </c>
      <c r="I17" s="407">
        <f>IF(H17="AAA",6, IF(H17="AA",5, IF(H17="A",4, IF(H17="BBB",3, IF(H17="BB",2,1)))))</f>
        <v>6</v>
      </c>
      <c r="J17" s="1784"/>
      <c r="K17" s="1866"/>
      <c r="L17" s="90" t="str">
        <f>L115</f>
        <v>AAA</v>
      </c>
      <c r="M17" s="90" t="str">
        <f>추정!N15</f>
        <v>AAA</v>
      </c>
      <c r="N17" s="390" t="b">
        <f t="shared" si="2"/>
        <v>1</v>
      </c>
      <c r="O17" s="390" t="b">
        <f t="shared" si="3"/>
        <v>1</v>
      </c>
    </row>
    <row r="18" spans="1:16" ht="23.25" customHeight="1">
      <c r="A18" s="91"/>
      <c r="B18" s="1864"/>
      <c r="C18" s="1865"/>
      <c r="D18" s="402" t="s">
        <v>773</v>
      </c>
      <c r="E18" s="396">
        <f>E16+E17</f>
        <v>0.2</v>
      </c>
      <c r="F18" s="398" t="str">
        <f>IF(G18&gt;=5.5,"AAA",IF(G18&gt;=4.5,"AA",IF(G18&gt;=3.5,"A", IF(G18&gt;=2.5,"BBB",IF(G18&gt;=1.5,"BB",IF(G18&gt;=0.5,"B"))))))</f>
        <v>AAA</v>
      </c>
      <c r="G18" s="403">
        <f>+G16*E16/E18+G17*E17/E18</f>
        <v>6.0000000000000009</v>
      </c>
      <c r="H18" s="398" t="str">
        <f>IF(I18&gt;=5.5,"AAA",IF(I18&gt;=4.5,"AA",IF(I18&gt;=3.5,"A", IF(I18&gt;=2.5,"BBB",IF(I18&gt;=1.5,"BB",IF(I18&gt;=0.5,"B"))))))</f>
        <v>AAA</v>
      </c>
      <c r="I18" s="403">
        <f>+I16*E16/E18+I17*E17/E18</f>
        <v>6.0000000000000009</v>
      </c>
      <c r="J18" s="1781"/>
      <c r="K18" s="1867"/>
      <c r="L18" s="90"/>
      <c r="M18" s="90"/>
      <c r="N18" s="390"/>
      <c r="O18" s="390"/>
    </row>
    <row r="19" spans="1:16" ht="23.25" customHeight="1">
      <c r="A19" s="91"/>
      <c r="B19" s="1864"/>
      <c r="C19" s="1865" t="s">
        <v>774</v>
      </c>
      <c r="D19" s="1231" t="s">
        <v>2118</v>
      </c>
      <c r="E19" s="400">
        <v>0.3</v>
      </c>
      <c r="F19" s="397" t="s">
        <v>312</v>
      </c>
      <c r="G19" s="401">
        <f>IF(F19="AAA",6, IF(F19="AA",5, IF(F19="A",4, IF(F19="BBB",3, IF(F19="BB",2,1)))))</f>
        <v>6</v>
      </c>
      <c r="H19" s="397" t="s">
        <v>2165</v>
      </c>
      <c r="I19" s="401">
        <f t="shared" ref="I19" si="4">IF(H19="AAA",6, IF(H19="AA",5, IF(H19="A",4, IF(H19="BBB",3, IF(H19="BB",2,1)))))</f>
        <v>6</v>
      </c>
      <c r="J19" s="1786"/>
      <c r="K19" s="1869"/>
      <c r="L19" s="90" t="str">
        <f>L117</f>
        <v>AAA</v>
      </c>
      <c r="M19" s="90" t="str">
        <f>추정!N17</f>
        <v>AAA</v>
      </c>
      <c r="N19" s="390" t="b">
        <f t="shared" si="2"/>
        <v>1</v>
      </c>
      <c r="O19" s="390" t="b">
        <f t="shared" si="3"/>
        <v>1</v>
      </c>
    </row>
    <row r="20" spans="1:16" ht="23.25" customHeight="1">
      <c r="A20" s="91"/>
      <c r="B20" s="1864"/>
      <c r="C20" s="1865"/>
      <c r="D20" s="1231" t="s">
        <v>2119</v>
      </c>
      <c r="E20" s="400">
        <v>0.1</v>
      </c>
      <c r="F20" s="397" t="s">
        <v>2166</v>
      </c>
      <c r="G20" s="401">
        <f>IF(F20="AAA",6, IF(F20="AA",5, IF(F20="A",4, IF(F20="BBB",3, IF(F20="BB",2,1)))))</f>
        <v>4</v>
      </c>
      <c r="H20" s="397" t="s">
        <v>252</v>
      </c>
      <c r="I20" s="401">
        <f>IF(H20="AAA",6, IF(H20="AA",5, IF(H20="A",4, IF(H20="BBB",3, IF(H20="BB",2,1)))))</f>
        <v>3</v>
      </c>
      <c r="J20" s="1786" t="s">
        <v>2401</v>
      </c>
      <c r="K20" s="1856"/>
      <c r="L20" s="90" t="str">
        <f>L118</f>
        <v>A</v>
      </c>
      <c r="M20" s="90" t="str">
        <f>추정!N19</f>
        <v>BBB</v>
      </c>
      <c r="N20" s="390" t="b">
        <f t="shared" si="2"/>
        <v>1</v>
      </c>
      <c r="O20" s="390" t="b">
        <f t="shared" si="3"/>
        <v>1</v>
      </c>
    </row>
    <row r="21" spans="1:16" ht="23.25" customHeight="1">
      <c r="A21" s="91"/>
      <c r="B21" s="1864"/>
      <c r="C21" s="1868"/>
      <c r="D21" s="402" t="s">
        <v>266</v>
      </c>
      <c r="E21" s="396">
        <f>+E19+E20</f>
        <v>0.4</v>
      </c>
      <c r="F21" s="398" t="str">
        <f>IF(G21&gt;=5.5,"AAA",IF(G21&gt;=4.5,"AA",IF(G21&gt;=3.5,"A", IF(G21&gt;=2.5,"BBB",IF(G21&gt;=1.5,"BB",IF(G21&gt;=0.5,"B"))))))</f>
        <v>AAA</v>
      </c>
      <c r="G21" s="403">
        <f>+G19*E19/E21+G20*E20/E21</f>
        <v>5.4999999999999991</v>
      </c>
      <c r="H21" s="398" t="str">
        <f>IF(I21&gt;=5.5,"AAA",IF(I21&gt;=4.5,"AA",IF(I21&gt;=3.5,"A", IF(I21&gt;=2.5,"BBB",IF(I21&gt;=1.5,"BB",IF(I21&gt;=0.5,"B"))))))</f>
        <v>AA</v>
      </c>
      <c r="I21" s="403">
        <f>+I19*E19/E21+I20*E20/E21</f>
        <v>5.2499999999999991</v>
      </c>
      <c r="J21" s="1781"/>
      <c r="K21" s="1867"/>
      <c r="L21" s="90"/>
      <c r="M21" s="90"/>
      <c r="N21" s="390"/>
      <c r="O21" s="390"/>
    </row>
    <row r="22" spans="1:16" ht="23.25" customHeight="1">
      <c r="A22" s="91"/>
      <c r="B22" s="1864"/>
      <c r="C22" s="1865" t="s">
        <v>267</v>
      </c>
      <c r="D22" s="399" t="s">
        <v>268</v>
      </c>
      <c r="E22" s="400">
        <v>0.1</v>
      </c>
      <c r="F22" s="408" t="s">
        <v>220</v>
      </c>
      <c r="G22" s="407">
        <f>IF(F22="AAA",6, IF(F22="AA",5, IF(F22="A",4, IF(F22="BBB",3, IF(F22="BB",2,1)))))</f>
        <v>4</v>
      </c>
      <c r="H22" s="408" t="s">
        <v>252</v>
      </c>
      <c r="I22" s="407">
        <f t="shared" ref="I22:I23" si="5">IF(H22="AAA",6, IF(H22="AA",5, IF(H22="A",4, IF(H22="BBB",3, IF(H22="BB",2,1)))))</f>
        <v>3</v>
      </c>
      <c r="J22" s="1784" t="s">
        <v>2167</v>
      </c>
      <c r="K22" s="1870"/>
      <c r="L22" s="90" t="str">
        <f>L120</f>
        <v>A</v>
      </c>
      <c r="M22" s="90" t="str">
        <f>추정!N21</f>
        <v>BBB</v>
      </c>
      <c r="N22" s="390" t="b">
        <f t="shared" si="2"/>
        <v>1</v>
      </c>
      <c r="O22" s="390" t="b">
        <f t="shared" si="3"/>
        <v>1</v>
      </c>
    </row>
    <row r="23" spans="1:16" ht="23.25" customHeight="1">
      <c r="A23" s="91"/>
      <c r="B23" s="1864"/>
      <c r="C23" s="1865"/>
      <c r="D23" s="399" t="s">
        <v>269</v>
      </c>
      <c r="E23" s="400">
        <v>0.1</v>
      </c>
      <c r="F23" s="408" t="s">
        <v>252</v>
      </c>
      <c r="G23" s="407">
        <f>IF(F23="AAA",6, IF(F23="AA",5, IF(F23="A",4, IF(F23="BBB",3, IF(F23="BB",2,1)))))</f>
        <v>3</v>
      </c>
      <c r="H23" s="408" t="s">
        <v>252</v>
      </c>
      <c r="I23" s="407">
        <f t="shared" si="5"/>
        <v>3</v>
      </c>
      <c r="J23" s="1786"/>
      <c r="K23" s="1856"/>
      <c r="L23" s="90" t="str">
        <f>L121</f>
        <v>BBB</v>
      </c>
      <c r="M23" s="90" t="e">
        <f>추정!#REF!</f>
        <v>#REF!</v>
      </c>
      <c r="N23" s="390" t="b">
        <f t="shared" si="2"/>
        <v>1</v>
      </c>
      <c r="O23" s="390" t="e">
        <f t="shared" si="3"/>
        <v>#REF!</v>
      </c>
    </row>
    <row r="24" spans="1:16" ht="23.25" customHeight="1">
      <c r="A24" s="91"/>
      <c r="B24" s="1864"/>
      <c r="C24" s="1865"/>
      <c r="D24" s="399" t="s">
        <v>775</v>
      </c>
      <c r="E24" s="400">
        <v>0.2</v>
      </c>
      <c r="F24" s="397" t="s">
        <v>2165</v>
      </c>
      <c r="G24" s="407">
        <f>IF(F24="AAA",6, IF(F24="AA",5, IF(F24="A",4, IF(F24="BBB",3, IF(F24="BB",2,1)))))</f>
        <v>6</v>
      </c>
      <c r="H24" s="397" t="s">
        <v>2165</v>
      </c>
      <c r="I24" s="407">
        <f>IF(H24="AAA",6, IF(H24="AA",5, IF(H24="A",4, IF(H24="BBB",3, IF(H24="BB",2,1)))))</f>
        <v>6</v>
      </c>
      <c r="J24" s="1786"/>
      <c r="K24" s="1856"/>
      <c r="L24" s="90" t="str">
        <f>L122</f>
        <v>AAA</v>
      </c>
      <c r="M24" s="90"/>
      <c r="N24" s="390" t="b">
        <f t="shared" si="2"/>
        <v>1</v>
      </c>
      <c r="O24" s="390"/>
    </row>
    <row r="25" spans="1:16" ht="23.25" customHeight="1">
      <c r="A25" s="91"/>
      <c r="B25" s="1864"/>
      <c r="C25" s="1865"/>
      <c r="D25" s="402" t="s">
        <v>776</v>
      </c>
      <c r="E25" s="396">
        <f>E22+E23+E24</f>
        <v>0.4</v>
      </c>
      <c r="F25" s="398" t="str">
        <f>IF(G25&gt;=5.5,"AAA",IF(G25&gt;=4.5,"AA",IF(G25&gt;=3.5,"A", IF(G25&gt;=2.5,"BBB",IF(G25&gt;=1.5,"BB",IF(G25&gt;=0.5,"B"))))))</f>
        <v>AA</v>
      </c>
      <c r="G25" s="403">
        <f>+G22*E22/E25+G23*E23/E25+G24*E24/E25</f>
        <v>4.75</v>
      </c>
      <c r="H25" s="398" t="str">
        <f>IF(I25&gt;=5.5,"AAA",IF(I25&gt;=4.5,"AA",IF(I25&gt;=3.5,"A", IF(I25&gt;=2.5,"BBB",IF(I25&gt;=1.5,"BB",IF(I25&gt;=0.5,"B"))))))</f>
        <v>AA</v>
      </c>
      <c r="I25" s="403">
        <f>+I22*E22/E25+I23*E23/E25+I24*E24/E25</f>
        <v>4.5000000000000009</v>
      </c>
      <c r="J25" s="1788"/>
      <c r="K25" s="1857"/>
    </row>
    <row r="26" spans="1:16" ht="21.75" customHeight="1">
      <c r="A26" s="91"/>
      <c r="B26" s="1790" t="s">
        <v>270</v>
      </c>
      <c r="C26" s="1790"/>
      <c r="D26" s="1790"/>
      <c r="E26" s="409">
        <f>+E18+E25+E21</f>
        <v>1</v>
      </c>
      <c r="F26" s="405" t="str">
        <f>IF(G26&gt;=5.5,"AAA",IF(G26&gt;=4.5,"AA",IF(G26&gt;=3.5,"A", IF(G26&gt;=2.5,"BBB",IF(G26&gt;=1.5,"BB",IF(G26&gt;=0.5,"B"))))))</f>
        <v>AA</v>
      </c>
      <c r="G26" s="406">
        <f>G18*$E$18+G25*$E$25+G21*$E$21</f>
        <v>5.3000000000000007</v>
      </c>
      <c r="H26" s="405" t="str">
        <f>IF(I26&gt;=5.5,"AAA",IF(I26&gt;=4.5,"AA",IF(I26&gt;=3.5,"A", IF(I26&gt;=2.5,"BBB",IF(I26&gt;=1.5,"BB",IF(I26&gt;=0.5,"B"))))))</f>
        <v>AA</v>
      </c>
      <c r="I26" s="406">
        <f>I18*$E$18+I25*$E$25+I21*$E$21</f>
        <v>5.1000000000000005</v>
      </c>
      <c r="J26" s="1862"/>
      <c r="K26" s="1734"/>
    </row>
    <row r="27" spans="1:16" ht="18" customHeight="1">
      <c r="A27" s="91"/>
      <c r="B27" s="1730" t="s">
        <v>777</v>
      </c>
      <c r="C27" s="1731"/>
      <c r="D27" s="1731"/>
      <c r="E27" s="1852"/>
      <c r="F27" s="1774" t="str">
        <f>G67</f>
        <v>aa</v>
      </c>
      <c r="G27" s="1858"/>
      <c r="H27" s="1776"/>
      <c r="I27" s="1859"/>
      <c r="J27" s="1733" t="str">
        <f>"선택된 조합: "&amp;E67&amp;", 조합 내 등급선택: "&amp;F67&amp;"번째"</f>
        <v>선택된 조합: aa-/aa/aa+, 조합 내 등급선택: 2번째</v>
      </c>
      <c r="K27" s="1734"/>
      <c r="L27" s="90"/>
      <c r="M27" s="90"/>
    </row>
    <row r="28" spans="1:16" ht="18" customHeight="1">
      <c r="A28" s="91"/>
      <c r="B28" s="1730" t="s">
        <v>778</v>
      </c>
      <c r="C28" s="1731"/>
      <c r="D28" s="1731"/>
      <c r="E28" s="1852"/>
      <c r="F28" s="1860"/>
      <c r="G28" s="1859"/>
      <c r="H28" s="1774" t="str">
        <f>J67</f>
        <v>aa</v>
      </c>
      <c r="I28" s="1861"/>
      <c r="J28" s="1733" t="str">
        <f>"선택된 조합: "&amp;H67&amp;", 조합 내 등급선택: "&amp;I67&amp;"번째"</f>
        <v>선택된 조합: aa-/aa/aa+, 조합 내 등급선택: 2번째</v>
      </c>
      <c r="K28" s="1734"/>
    </row>
    <row r="29" spans="1:16" ht="16.5" customHeight="1">
      <c r="A29" s="91"/>
      <c r="B29" s="1767" t="s">
        <v>779</v>
      </c>
      <c r="C29" s="1854"/>
      <c r="D29" s="1854"/>
      <c r="E29" s="1855"/>
      <c r="F29" s="1770" t="s">
        <v>1319</v>
      </c>
      <c r="G29" s="1771"/>
      <c r="H29" s="1771"/>
      <c r="I29" s="1772"/>
      <c r="J29" s="1733"/>
      <c r="K29" s="1773"/>
    </row>
    <row r="30" spans="1:16" ht="18" customHeight="1">
      <c r="A30" s="91"/>
      <c r="B30" s="1767" t="s">
        <v>780</v>
      </c>
      <c r="C30" s="1854"/>
      <c r="D30" s="1854"/>
      <c r="E30" s="1855"/>
      <c r="F30" s="1770" t="s">
        <v>1319</v>
      </c>
      <c r="G30" s="1771"/>
      <c r="H30" s="1771"/>
      <c r="I30" s="1772"/>
      <c r="J30" s="1733"/>
      <c r="K30" s="1734"/>
    </row>
    <row r="31" spans="1:16">
      <c r="A31" s="91"/>
      <c r="B31" s="1741" t="s">
        <v>271</v>
      </c>
      <c r="C31" s="1742"/>
      <c r="D31" s="1742"/>
      <c r="E31" s="1852"/>
      <c r="F31" s="1761" t="s">
        <v>1320</v>
      </c>
      <c r="G31" s="1762"/>
      <c r="H31" s="1762"/>
      <c r="I31" s="1763"/>
      <c r="J31" s="1733"/>
      <c r="K31" s="1734"/>
    </row>
    <row r="32" spans="1:16">
      <c r="A32" s="91"/>
      <c r="B32" s="1741" t="s">
        <v>781</v>
      </c>
      <c r="C32" s="1742"/>
      <c r="D32" s="1742"/>
      <c r="E32" s="1852"/>
      <c r="F32" s="1764" t="s">
        <v>1321</v>
      </c>
      <c r="G32" s="1765"/>
      <c r="H32" s="1765"/>
      <c r="I32" s="1766"/>
      <c r="J32" s="1733"/>
      <c r="K32" s="1734"/>
      <c r="L32" s="410"/>
      <c r="M32" s="410"/>
      <c r="N32" s="410"/>
      <c r="O32" s="410"/>
      <c r="P32" s="410"/>
    </row>
    <row r="33" spans="1:29" ht="16.5" customHeight="1">
      <c r="A33" s="91"/>
      <c r="B33" s="1730" t="s">
        <v>782</v>
      </c>
      <c r="C33" s="1731"/>
      <c r="D33" s="1731"/>
      <c r="E33" s="1852"/>
      <c r="F33" s="1730" t="s">
        <v>2263</v>
      </c>
      <c r="G33" s="1736"/>
      <c r="H33" s="1736"/>
      <c r="I33" s="1737"/>
      <c r="J33" s="1733"/>
      <c r="K33" s="1734"/>
    </row>
    <row r="34" spans="1:29" ht="16.5" customHeight="1">
      <c r="A34" s="91"/>
      <c r="B34" s="1741" t="s">
        <v>272</v>
      </c>
      <c r="C34" s="1742"/>
      <c r="D34" s="1742"/>
      <c r="E34" s="1852"/>
      <c r="F34" s="1758" t="s">
        <v>2107</v>
      </c>
      <c r="G34" s="1759"/>
      <c r="H34" s="1759"/>
      <c r="I34" s="1760"/>
      <c r="J34" s="1747" t="s">
        <v>2262</v>
      </c>
      <c r="K34" s="1754"/>
    </row>
    <row r="35" spans="1:29">
      <c r="A35" s="91"/>
      <c r="B35" s="1741" t="s">
        <v>238</v>
      </c>
      <c r="C35" s="1742"/>
      <c r="D35" s="1742"/>
      <c r="E35" s="1852"/>
      <c r="F35" s="1744" t="s">
        <v>2264</v>
      </c>
      <c r="G35" s="1756"/>
      <c r="H35" s="1756"/>
      <c r="I35" s="1757"/>
      <c r="J35" s="1747"/>
      <c r="K35" s="1734"/>
    </row>
    <row r="36" spans="1:29" s="564" customFormat="1">
      <c r="A36" s="91"/>
      <c r="B36" s="1730" t="s">
        <v>1391</v>
      </c>
      <c r="C36" s="1731"/>
      <c r="D36" s="1731"/>
      <c r="E36" s="1853"/>
      <c r="F36" s="1755">
        <v>0</v>
      </c>
      <c r="G36" s="1752"/>
      <c r="H36" s="1752"/>
      <c r="I36" s="1753"/>
      <c r="J36" s="1747"/>
      <c r="K36" s="1754"/>
    </row>
    <row r="37" spans="1:29" s="564" customFormat="1" ht="16.5" customHeight="1">
      <c r="A37" s="91"/>
      <c r="B37" s="1730" t="s">
        <v>1390</v>
      </c>
      <c r="C37" s="1731"/>
      <c r="D37" s="1731"/>
      <c r="E37" s="1853"/>
      <c r="F37" s="1730">
        <v>0</v>
      </c>
      <c r="G37" s="1752"/>
      <c r="H37" s="1752"/>
      <c r="I37" s="1753"/>
      <c r="J37" s="1747"/>
      <c r="K37" s="1754"/>
    </row>
    <row r="38" spans="1:29" s="564" customFormat="1" ht="16.5" customHeight="1">
      <c r="A38" s="91"/>
      <c r="B38" s="1730" t="s">
        <v>1392</v>
      </c>
      <c r="C38" s="1731"/>
      <c r="D38" s="1731"/>
      <c r="E38" s="1853"/>
      <c r="F38" s="1755">
        <v>0</v>
      </c>
      <c r="G38" s="1752"/>
      <c r="H38" s="1752"/>
      <c r="I38" s="1753"/>
      <c r="J38" s="1747"/>
      <c r="K38" s="1754"/>
    </row>
    <row r="39" spans="1:29" ht="16.5" customHeight="1">
      <c r="A39" s="91"/>
      <c r="B39" s="1741" t="s">
        <v>239</v>
      </c>
      <c r="C39" s="1742"/>
      <c r="D39" s="1742"/>
      <c r="E39" s="1743"/>
      <c r="F39" s="1744" t="s">
        <v>2137</v>
      </c>
      <c r="G39" s="1745"/>
      <c r="H39" s="1745"/>
      <c r="I39" s="1746"/>
      <c r="J39" s="1747"/>
      <c r="K39" s="1748"/>
    </row>
    <row r="40" spans="1:29" ht="16.5" customHeight="1">
      <c r="A40" s="91"/>
      <c r="B40" s="1730" t="s">
        <v>273</v>
      </c>
      <c r="C40" s="1731"/>
      <c r="D40" s="1731"/>
      <c r="E40" s="1852"/>
      <c r="F40" s="1730" t="s">
        <v>2265</v>
      </c>
      <c r="G40" s="1749"/>
      <c r="H40" s="1749"/>
      <c r="I40" s="1750"/>
      <c r="J40" s="1733"/>
      <c r="K40" s="1734"/>
    </row>
    <row r="41" spans="1:29" ht="16.5" customHeight="1">
      <c r="A41" s="91"/>
      <c r="B41" s="1730" t="s">
        <v>2473</v>
      </c>
      <c r="C41" s="1731"/>
      <c r="D41" s="1731"/>
      <c r="E41" s="1852"/>
      <c r="F41" s="92" t="s">
        <v>2474</v>
      </c>
      <c r="G41" s="93"/>
      <c r="H41" s="92" t="s">
        <v>2475</v>
      </c>
      <c r="I41" s="93"/>
      <c r="J41" s="1733" t="s">
        <v>2645</v>
      </c>
      <c r="K41" s="1734"/>
    </row>
    <row r="42" spans="1:29" ht="16.5" customHeight="1">
      <c r="A42" s="411"/>
      <c r="B42" s="1730" t="s">
        <v>2476</v>
      </c>
      <c r="C42" s="1731"/>
      <c r="D42" s="1731"/>
      <c r="E42" s="1852"/>
      <c r="F42" s="1735" t="s">
        <v>2477</v>
      </c>
      <c r="G42" s="1736"/>
      <c r="H42" s="1736"/>
      <c r="I42" s="1737"/>
      <c r="J42" s="1738"/>
      <c r="K42" s="1734"/>
    </row>
    <row r="43" spans="1:29">
      <c r="A43" s="412"/>
      <c r="F43" s="413"/>
      <c r="G43" s="413"/>
      <c r="H43" s="413"/>
      <c r="J43" s="413"/>
    </row>
    <row r="44" spans="1:29" hidden="1">
      <c r="A44" s="412"/>
      <c r="B44" s="414" t="s">
        <v>274</v>
      </c>
      <c r="F44" s="413"/>
      <c r="G44" s="413"/>
      <c r="H44" s="413"/>
      <c r="J44" s="413"/>
    </row>
    <row r="45" spans="1:29" hidden="1" outlineLevel="1">
      <c r="A45" s="412"/>
      <c r="B45" s="415"/>
      <c r="H45" s="413"/>
      <c r="I45" s="413"/>
      <c r="J45" s="413"/>
      <c r="Y45" s="413"/>
      <c r="AB45" s="413"/>
      <c r="AC45" s="415"/>
    </row>
    <row r="46" spans="1:29" hidden="1" outlineLevel="1">
      <c r="A46" s="412"/>
      <c r="B46" s="390" t="s">
        <v>275</v>
      </c>
      <c r="Y46" s="413"/>
      <c r="AB46" s="413"/>
      <c r="AC46" s="415"/>
    </row>
    <row r="47" spans="1:29" hidden="1" outlineLevel="1">
      <c r="A47" s="412"/>
      <c r="B47" s="390" t="s">
        <v>276</v>
      </c>
      <c r="Y47" s="413"/>
      <c r="AB47" s="413"/>
      <c r="AC47" s="415"/>
    </row>
    <row r="48" spans="1:29" hidden="1" outlineLevel="1">
      <c r="A48" s="412"/>
      <c r="B48" s="1850" t="s">
        <v>277</v>
      </c>
      <c r="C48" s="416" t="s">
        <v>278</v>
      </c>
      <c r="D48" s="94">
        <v>6</v>
      </c>
      <c r="E48" s="417" t="s">
        <v>279</v>
      </c>
      <c r="F48" s="418" t="s">
        <v>783</v>
      </c>
      <c r="G48" s="417" t="s">
        <v>784</v>
      </c>
      <c r="H48" s="417" t="s">
        <v>785</v>
      </c>
      <c r="I48" s="417" t="s">
        <v>786</v>
      </c>
      <c r="J48" s="95" t="s">
        <v>278</v>
      </c>
      <c r="Y48" s="413"/>
      <c r="AB48" s="413"/>
      <c r="AC48" s="415"/>
    </row>
    <row r="49" spans="1:29" hidden="1" outlineLevel="1">
      <c r="A49" s="412"/>
      <c r="B49" s="1851"/>
      <c r="C49" s="96" t="s">
        <v>280</v>
      </c>
      <c r="D49" s="419">
        <v>5</v>
      </c>
      <c r="E49" s="97" t="s">
        <v>279</v>
      </c>
      <c r="F49" s="98" t="s">
        <v>787</v>
      </c>
      <c r="G49" s="97" t="s">
        <v>788</v>
      </c>
      <c r="H49" s="97" t="s">
        <v>789</v>
      </c>
      <c r="I49" s="97" t="s">
        <v>790</v>
      </c>
      <c r="J49" s="420" t="s">
        <v>791</v>
      </c>
      <c r="Y49" s="413"/>
      <c r="AB49" s="413"/>
      <c r="AC49" s="415"/>
    </row>
    <row r="50" spans="1:29" hidden="1" outlineLevel="1">
      <c r="A50" s="412"/>
      <c r="B50" s="1851"/>
      <c r="C50" s="96" t="s">
        <v>281</v>
      </c>
      <c r="D50" s="419">
        <v>4</v>
      </c>
      <c r="E50" s="97" t="s">
        <v>792</v>
      </c>
      <c r="F50" s="98" t="s">
        <v>282</v>
      </c>
      <c r="G50" s="97" t="s">
        <v>793</v>
      </c>
      <c r="H50" s="97" t="s">
        <v>784</v>
      </c>
      <c r="I50" s="97" t="s">
        <v>785</v>
      </c>
      <c r="J50" s="420" t="s">
        <v>283</v>
      </c>
      <c r="Y50" s="413"/>
      <c r="AB50" s="413"/>
      <c r="AC50" s="415"/>
    </row>
    <row r="51" spans="1:29" hidden="1" outlineLevel="1">
      <c r="A51" s="412"/>
      <c r="B51" s="1851"/>
      <c r="C51" s="96" t="s">
        <v>284</v>
      </c>
      <c r="D51" s="419">
        <v>3</v>
      </c>
      <c r="E51" s="97" t="s">
        <v>285</v>
      </c>
      <c r="F51" s="98" t="s">
        <v>794</v>
      </c>
      <c r="G51" s="97" t="s">
        <v>783</v>
      </c>
      <c r="H51" s="97" t="s">
        <v>788</v>
      </c>
      <c r="I51" s="97" t="s">
        <v>789</v>
      </c>
      <c r="J51" s="420" t="s">
        <v>795</v>
      </c>
      <c r="Y51" s="413"/>
      <c r="AB51" s="413"/>
      <c r="AC51" s="415"/>
    </row>
    <row r="52" spans="1:29" hidden="1" outlineLevel="1">
      <c r="A52" s="412"/>
      <c r="B52" s="1851"/>
      <c r="C52" s="96" t="s">
        <v>286</v>
      </c>
      <c r="D52" s="419">
        <v>2</v>
      </c>
      <c r="E52" s="99" t="s">
        <v>287</v>
      </c>
      <c r="F52" s="100" t="s">
        <v>796</v>
      </c>
      <c r="G52" s="99" t="s">
        <v>797</v>
      </c>
      <c r="H52" s="99" t="s">
        <v>282</v>
      </c>
      <c r="I52" s="99" t="s">
        <v>787</v>
      </c>
      <c r="J52" s="101" t="s">
        <v>783</v>
      </c>
      <c r="Y52" s="413"/>
      <c r="AB52" s="413"/>
      <c r="AC52" s="415"/>
    </row>
    <row r="53" spans="1:29" hidden="1" outlineLevel="1">
      <c r="A53" s="412"/>
      <c r="B53" s="1851"/>
      <c r="C53" s="96" t="s">
        <v>288</v>
      </c>
      <c r="D53" s="419">
        <v>1</v>
      </c>
      <c r="E53" s="102" t="s">
        <v>798</v>
      </c>
      <c r="F53" s="103" t="s">
        <v>799</v>
      </c>
      <c r="G53" s="102" t="s">
        <v>800</v>
      </c>
      <c r="H53" s="102" t="s">
        <v>800</v>
      </c>
      <c r="I53" s="102" t="s">
        <v>796</v>
      </c>
      <c r="J53" s="421" t="s">
        <v>796</v>
      </c>
      <c r="Y53" s="413"/>
      <c r="AB53" s="413"/>
      <c r="AC53" s="415"/>
    </row>
    <row r="54" spans="1:29" hidden="1" outlineLevel="1">
      <c r="A54" s="412"/>
      <c r="B54" s="104"/>
      <c r="C54" s="422"/>
      <c r="D54" s="105"/>
      <c r="E54" s="416">
        <v>1</v>
      </c>
      <c r="F54" s="416">
        <v>2</v>
      </c>
      <c r="G54" s="416">
        <v>3</v>
      </c>
      <c r="H54" s="416">
        <v>4</v>
      </c>
      <c r="I54" s="416">
        <v>5</v>
      </c>
      <c r="J54" s="94">
        <v>6</v>
      </c>
      <c r="Y54" s="413"/>
      <c r="AB54" s="413"/>
      <c r="AC54" s="415"/>
    </row>
    <row r="55" spans="1:29" hidden="1" outlineLevel="1">
      <c r="A55" s="412"/>
      <c r="B55" s="106"/>
      <c r="C55" s="107"/>
      <c r="D55" s="423"/>
      <c r="E55" s="96" t="s">
        <v>288</v>
      </c>
      <c r="F55" s="96" t="s">
        <v>286</v>
      </c>
      <c r="G55" s="96" t="s">
        <v>284</v>
      </c>
      <c r="H55" s="96" t="s">
        <v>281</v>
      </c>
      <c r="I55" s="96" t="s">
        <v>280</v>
      </c>
      <c r="J55" s="419" t="s">
        <v>278</v>
      </c>
      <c r="Y55" s="413"/>
      <c r="AB55" s="413"/>
      <c r="AC55" s="415"/>
    </row>
    <row r="56" spans="1:29" hidden="1" outlineLevel="1">
      <c r="A56" s="412"/>
      <c r="B56" s="424"/>
      <c r="C56" s="425"/>
      <c r="D56" s="426"/>
      <c r="E56" s="1844" t="s">
        <v>289</v>
      </c>
      <c r="F56" s="1845"/>
      <c r="G56" s="1845"/>
      <c r="H56" s="1845"/>
      <c r="I56" s="1845"/>
      <c r="J56" s="1846"/>
      <c r="Y56" s="413"/>
      <c r="AB56" s="413"/>
      <c r="AC56" s="415"/>
    </row>
    <row r="57" spans="1:29" hidden="1" outlineLevel="1">
      <c r="A57" s="412"/>
      <c r="B57" s="427" t="s">
        <v>290</v>
      </c>
      <c r="C57" s="428"/>
      <c r="D57" s="429"/>
      <c r="E57" s="430">
        <f>F57-1</f>
        <v>0.49999999999</v>
      </c>
      <c r="F57" s="430">
        <f>G57-1</f>
        <v>1.49999999999</v>
      </c>
      <c r="G57" s="430">
        <f>H57-1</f>
        <v>2.49999999999</v>
      </c>
      <c r="H57" s="430">
        <f>I57-1</f>
        <v>3.49999999999</v>
      </c>
      <c r="I57" s="430">
        <f>J57-1</f>
        <v>4.49999999999</v>
      </c>
      <c r="J57" s="431">
        <v>5.49999999999</v>
      </c>
      <c r="Y57" s="413"/>
      <c r="AB57" s="413"/>
      <c r="AC57" s="415"/>
    </row>
    <row r="58" spans="1:29" hidden="1" outlineLevel="1">
      <c r="A58" s="412"/>
      <c r="Y58" s="413"/>
      <c r="AB58" s="413"/>
      <c r="AC58" s="415"/>
    </row>
    <row r="59" spans="1:29" hidden="1" outlineLevel="1">
      <c r="A59" s="412"/>
      <c r="B59" s="390" t="s">
        <v>801</v>
      </c>
      <c r="Y59" s="413"/>
      <c r="AB59" s="413"/>
      <c r="AC59" s="415"/>
    </row>
    <row r="60" spans="1:29" hidden="1" outlineLevel="1">
      <c r="A60" s="412"/>
      <c r="B60" s="432"/>
      <c r="C60" s="433"/>
      <c r="D60" s="433"/>
      <c r="E60" s="1847" t="s">
        <v>291</v>
      </c>
      <c r="F60" s="1848"/>
      <c r="G60" s="1847" t="s">
        <v>292</v>
      </c>
      <c r="H60" s="1849"/>
      <c r="I60" s="1848"/>
      <c r="Y60" s="413"/>
      <c r="AB60" s="413"/>
      <c r="AC60" s="415"/>
    </row>
    <row r="61" spans="1:29" hidden="1" outlineLevel="1">
      <c r="A61" s="412"/>
      <c r="B61" s="434" t="s">
        <v>293</v>
      </c>
      <c r="C61" s="435"/>
      <c r="D61" s="436"/>
      <c r="E61" s="437" t="s">
        <v>294</v>
      </c>
      <c r="F61" s="438" t="s">
        <v>295</v>
      </c>
      <c r="G61" s="439" t="s">
        <v>296</v>
      </c>
      <c r="H61" s="439" t="s">
        <v>297</v>
      </c>
      <c r="I61" s="438" t="s">
        <v>298</v>
      </c>
      <c r="Y61" s="413"/>
      <c r="AB61" s="413"/>
      <c r="AC61" s="415"/>
    </row>
    <row r="62" spans="1:29" hidden="1" outlineLevel="1">
      <c r="A62" s="412"/>
      <c r="B62" s="440" t="s">
        <v>802</v>
      </c>
      <c r="C62" s="441"/>
      <c r="D62" s="442"/>
      <c r="E62" s="443" t="s">
        <v>803</v>
      </c>
      <c r="F62" s="444" t="s">
        <v>804</v>
      </c>
      <c r="G62" s="445" t="s">
        <v>803</v>
      </c>
      <c r="H62" s="445" t="s">
        <v>805</v>
      </c>
      <c r="I62" s="444" t="s">
        <v>804</v>
      </c>
      <c r="Y62" s="413"/>
      <c r="AB62" s="413"/>
      <c r="AC62" s="415"/>
    </row>
    <row r="63" spans="1:29" hidden="1" outlineLevel="1">
      <c r="A63" s="412"/>
      <c r="B63" s="446"/>
      <c r="C63" s="447"/>
      <c r="D63" s="447"/>
      <c r="E63" s="448">
        <v>-1.0000000000000001E-15</v>
      </c>
      <c r="F63" s="449">
        <v>0.49999999999</v>
      </c>
      <c r="G63" s="450">
        <v>-1.0000000000000001E-15</v>
      </c>
      <c r="H63" s="451">
        <v>0.29999999999999899</v>
      </c>
      <c r="I63" s="449">
        <v>0.69999999998999995</v>
      </c>
      <c r="Y63" s="413"/>
      <c r="AB63" s="413"/>
      <c r="AC63" s="415"/>
    </row>
    <row r="64" spans="1:29" hidden="1" outlineLevel="1">
      <c r="A64" s="412"/>
      <c r="U64" s="413"/>
      <c r="V64" s="413"/>
      <c r="W64" s="413"/>
      <c r="Y64" s="413"/>
      <c r="AB64" s="413"/>
      <c r="AC64" s="415"/>
    </row>
    <row r="65" spans="1:29" hidden="1" outlineLevel="1">
      <c r="A65" s="412"/>
      <c r="B65" s="390" t="s">
        <v>806</v>
      </c>
      <c r="U65" s="413"/>
      <c r="V65" s="413"/>
      <c r="W65" s="413"/>
      <c r="Y65" s="413"/>
      <c r="AB65" s="413"/>
      <c r="AC65" s="415"/>
    </row>
    <row r="66" spans="1:29" hidden="1" outlineLevel="1">
      <c r="A66" s="412"/>
      <c r="E66" s="452" t="s">
        <v>299</v>
      </c>
      <c r="F66" s="453" t="s">
        <v>300</v>
      </c>
      <c r="G66" s="453" t="s">
        <v>807</v>
      </c>
      <c r="H66" s="452" t="s">
        <v>230</v>
      </c>
      <c r="I66" s="453" t="s">
        <v>300</v>
      </c>
      <c r="J66" s="453" t="s">
        <v>807</v>
      </c>
      <c r="U66" s="413"/>
      <c r="V66" s="413"/>
      <c r="W66" s="413"/>
      <c r="Y66" s="413"/>
      <c r="AB66" s="413"/>
      <c r="AC66" s="415"/>
    </row>
    <row r="67" spans="1:29" hidden="1" outlineLevel="1">
      <c r="A67" s="412"/>
      <c r="E67" s="454" t="str">
        <f>INDEX($D$48:$J$54,MATCH(MATCH(G$26,$E$57:$J$57,1),$D$48:$D$54,FALSE),MATCH(MATCH(G$15,$E$57:$J$57,1),$D$54:$J$54,FALSE))</f>
        <v>aa-/aa/aa+</v>
      </c>
      <c r="F67" s="455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455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454" t="str">
        <f>INDEX($D$48:$J$54,MATCH(MATCH(I$26,$E$57:$J$57,1),$D$48:$D$54,FALSE),MATCH(MATCH(I$15,$E$57:$J$57,1),$D$54:$J$54,FALSE))</f>
        <v>aa-/aa/aa+</v>
      </c>
      <c r="I67" s="455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455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413"/>
      <c r="V67" s="413"/>
      <c r="W67" s="413"/>
      <c r="Y67" s="413"/>
      <c r="AB67" s="413"/>
      <c r="AC67" s="415"/>
    </row>
    <row r="68" spans="1:29" hidden="1" collapsed="1">
      <c r="A68" s="412"/>
      <c r="U68" s="413"/>
      <c r="V68" s="413"/>
      <c r="W68" s="413"/>
      <c r="Y68" s="413"/>
      <c r="AB68" s="413"/>
      <c r="AC68" s="415"/>
    </row>
    <row r="69" spans="1:29" hidden="1">
      <c r="A69" s="412"/>
      <c r="B69" s="414" t="s">
        <v>301</v>
      </c>
      <c r="U69" s="413"/>
      <c r="V69" s="413"/>
      <c r="W69" s="413"/>
      <c r="Y69" s="413"/>
      <c r="AB69" s="413"/>
      <c r="AC69" s="415"/>
    </row>
    <row r="70" spans="1:29" hidden="1">
      <c r="A70" s="412"/>
      <c r="B70" s="456" t="s">
        <v>302</v>
      </c>
      <c r="C70" s="457"/>
      <c r="D70" s="457"/>
      <c r="E70" s="457"/>
      <c r="U70" s="413"/>
      <c r="V70" s="413"/>
      <c r="W70" s="413"/>
      <c r="Y70" s="413"/>
      <c r="AB70" s="413"/>
      <c r="AC70" s="415"/>
    </row>
    <row r="71" spans="1:29" hidden="1">
      <c r="A71" s="412"/>
      <c r="B71" s="457" t="s">
        <v>808</v>
      </c>
      <c r="C71" s="457"/>
      <c r="D71" s="457"/>
      <c r="E71" s="457"/>
      <c r="U71" s="413"/>
      <c r="V71" s="413"/>
      <c r="W71" s="413"/>
      <c r="Y71" s="413"/>
      <c r="AB71" s="413"/>
      <c r="AC71" s="415"/>
    </row>
    <row r="72" spans="1:29" hidden="1">
      <c r="A72" s="412"/>
      <c r="B72" s="457" t="s">
        <v>809</v>
      </c>
      <c r="C72" s="457"/>
      <c r="D72" s="457"/>
      <c r="E72" s="457"/>
      <c r="U72" s="413"/>
      <c r="V72" s="413"/>
      <c r="W72" s="413"/>
      <c r="Y72" s="413"/>
      <c r="AB72" s="413"/>
      <c r="AC72" s="415"/>
    </row>
    <row r="73" spans="1:29" hidden="1">
      <c r="A73" s="412"/>
      <c r="B73" s="457" t="s">
        <v>810</v>
      </c>
      <c r="C73" s="457"/>
      <c r="D73" s="457"/>
      <c r="E73" s="457"/>
      <c r="U73" s="413"/>
      <c r="V73" s="413"/>
      <c r="W73" s="413"/>
      <c r="Y73" s="413"/>
      <c r="AB73" s="413"/>
      <c r="AC73" s="415"/>
    </row>
    <row r="74" spans="1:29" hidden="1">
      <c r="A74" s="412"/>
      <c r="B74" s="457" t="s">
        <v>811</v>
      </c>
      <c r="C74" s="457"/>
      <c r="D74" s="457"/>
      <c r="E74" s="457"/>
      <c r="U74" s="413"/>
      <c r="V74" s="413"/>
      <c r="W74" s="413"/>
      <c r="Y74" s="413"/>
      <c r="AB74" s="413"/>
      <c r="AC74" s="415"/>
    </row>
    <row r="75" spans="1:29" hidden="1">
      <c r="A75" s="412"/>
      <c r="B75" s="457" t="s">
        <v>303</v>
      </c>
      <c r="C75" s="457"/>
      <c r="D75" s="457"/>
      <c r="E75" s="457"/>
      <c r="U75" s="413"/>
      <c r="V75" s="413"/>
      <c r="W75" s="413"/>
      <c r="Y75" s="413"/>
      <c r="AB75" s="413"/>
      <c r="AC75" s="415"/>
    </row>
    <row r="76" spans="1:29" hidden="1">
      <c r="A76" s="412"/>
      <c r="B76" s="457" t="s">
        <v>304</v>
      </c>
      <c r="C76" s="457"/>
      <c r="D76" s="457"/>
      <c r="E76" s="457"/>
      <c r="U76" s="413"/>
      <c r="V76" s="413"/>
      <c r="W76" s="413"/>
      <c r="Y76" s="413"/>
      <c r="AB76" s="413"/>
      <c r="AC76" s="415"/>
    </row>
    <row r="77" spans="1:29" hidden="1">
      <c r="A77" s="412"/>
      <c r="B77" s="457" t="s">
        <v>812</v>
      </c>
      <c r="C77" s="457"/>
      <c r="D77" s="457"/>
      <c r="E77" s="457"/>
      <c r="U77" s="413"/>
      <c r="V77" s="413"/>
      <c r="W77" s="413"/>
      <c r="Y77" s="413"/>
      <c r="AB77" s="413"/>
      <c r="AC77" s="415"/>
    </row>
    <row r="78" spans="1:29" hidden="1">
      <c r="A78" s="412"/>
      <c r="B78" s="457" t="s">
        <v>813</v>
      </c>
      <c r="C78" s="457"/>
      <c r="D78" s="457"/>
      <c r="E78" s="457"/>
      <c r="U78" s="413"/>
      <c r="V78" s="413"/>
      <c r="W78" s="413"/>
      <c r="Y78" s="413"/>
      <c r="AB78" s="413"/>
      <c r="AC78" s="415"/>
    </row>
    <row r="79" spans="1:29" hidden="1">
      <c r="A79" s="412"/>
      <c r="B79" s="457" t="s">
        <v>305</v>
      </c>
      <c r="C79" s="457"/>
      <c r="D79" s="457"/>
      <c r="E79" s="457"/>
      <c r="U79" s="413"/>
      <c r="V79" s="413"/>
      <c r="W79" s="413"/>
      <c r="Y79" s="413"/>
      <c r="AB79" s="413"/>
      <c r="AC79" s="415"/>
    </row>
    <row r="80" spans="1:29" hidden="1">
      <c r="A80" s="412"/>
      <c r="U80" s="413"/>
      <c r="V80" s="413"/>
      <c r="W80" s="413"/>
      <c r="Y80" s="413"/>
      <c r="AB80" s="413"/>
      <c r="AC80" s="415"/>
    </row>
    <row r="81" spans="1:29" hidden="1">
      <c r="A81" s="412"/>
      <c r="H81" s="91"/>
      <c r="I81" s="91"/>
      <c r="U81" s="413"/>
      <c r="V81" s="413"/>
      <c r="W81" s="413"/>
      <c r="Y81" s="413"/>
      <c r="Z81" s="458"/>
      <c r="AA81" s="413"/>
      <c r="AB81" s="413"/>
      <c r="AC81" s="415"/>
    </row>
    <row r="82" spans="1:29" hidden="1">
      <c r="A82" s="412"/>
      <c r="B82" s="459" t="s">
        <v>306</v>
      </c>
      <c r="C82" s="91"/>
      <c r="D82" s="91"/>
      <c r="E82" s="91"/>
      <c r="F82" s="91"/>
      <c r="G82" s="91"/>
      <c r="H82" s="91"/>
      <c r="I82" s="91"/>
      <c r="S82" s="413"/>
      <c r="T82" s="413"/>
      <c r="U82" s="413"/>
      <c r="W82" s="413"/>
      <c r="X82" s="458"/>
      <c r="Y82" s="413"/>
      <c r="Z82" s="413"/>
      <c r="AA82" s="415"/>
    </row>
    <row r="83" spans="1:29" hidden="1">
      <c r="A83" s="412"/>
      <c r="B83" s="460" t="s">
        <v>814</v>
      </c>
      <c r="C83" s="91"/>
      <c r="D83" s="91"/>
      <c r="E83" s="91"/>
      <c r="F83" s="91"/>
      <c r="G83" s="91"/>
      <c r="H83" s="91"/>
      <c r="I83" s="91"/>
      <c r="S83" s="413"/>
      <c r="T83" s="413"/>
      <c r="U83" s="413"/>
      <c r="W83" s="413"/>
      <c r="X83" s="458"/>
      <c r="Y83" s="413"/>
      <c r="Z83" s="413"/>
      <c r="AA83" s="415"/>
    </row>
    <row r="84" spans="1:29" hidden="1">
      <c r="A84" s="412"/>
      <c r="B84" s="460" t="s">
        <v>815</v>
      </c>
      <c r="C84" s="91"/>
      <c r="D84" s="91"/>
      <c r="E84" s="91"/>
      <c r="F84" s="91"/>
      <c r="G84" s="91"/>
      <c r="H84" s="91"/>
      <c r="I84" s="91"/>
      <c r="Z84" s="413"/>
      <c r="AA84" s="415"/>
    </row>
    <row r="85" spans="1:29" hidden="1">
      <c r="A85" s="91"/>
      <c r="B85" s="460" t="s">
        <v>816</v>
      </c>
      <c r="C85" s="91"/>
      <c r="D85" s="91"/>
      <c r="E85" s="91"/>
      <c r="F85" s="91"/>
      <c r="G85" s="91"/>
      <c r="H85" s="91"/>
      <c r="I85" s="91"/>
      <c r="AA85" s="461"/>
    </row>
    <row r="86" spans="1:29" hidden="1">
      <c r="A86" s="91"/>
      <c r="B86" s="460" t="s">
        <v>307</v>
      </c>
    </row>
    <row r="87" spans="1:29" hidden="1">
      <c r="A87" s="91"/>
      <c r="B87" s="460" t="s">
        <v>308</v>
      </c>
      <c r="C87" s="462"/>
      <c r="D87" s="462"/>
    </row>
    <row r="88" spans="1:29" hidden="1">
      <c r="A88" s="91"/>
      <c r="B88" s="460" t="s">
        <v>309</v>
      </c>
    </row>
    <row r="89" spans="1:29" hidden="1">
      <c r="A89" s="91"/>
      <c r="B89" s="460" t="s">
        <v>310</v>
      </c>
    </row>
    <row r="90" spans="1:29" hidden="1">
      <c r="B90" s="460" t="s">
        <v>311</v>
      </c>
    </row>
    <row r="91" spans="1:29" hidden="1">
      <c r="B91" s="460"/>
      <c r="C91" s="463" t="s">
        <v>312</v>
      </c>
      <c r="D91" s="463" t="s">
        <v>313</v>
      </c>
      <c r="E91" s="463" t="s">
        <v>314</v>
      </c>
      <c r="F91" s="463" t="s">
        <v>262</v>
      </c>
      <c r="G91" s="463" t="s">
        <v>369</v>
      </c>
      <c r="H91" s="463" t="s">
        <v>817</v>
      </c>
    </row>
    <row r="92" spans="1:29" hidden="1">
      <c r="B92" s="460"/>
      <c r="C92" s="463">
        <v>6</v>
      </c>
      <c r="D92" s="463">
        <v>5</v>
      </c>
      <c r="E92" s="463">
        <v>4</v>
      </c>
      <c r="F92" s="463">
        <v>3</v>
      </c>
      <c r="G92" s="463">
        <v>2</v>
      </c>
      <c r="H92" s="463">
        <v>1</v>
      </c>
    </row>
    <row r="93" spans="1:29" hidden="1">
      <c r="B93" s="460" t="s">
        <v>315</v>
      </c>
    </row>
    <row r="94" spans="1:29" hidden="1">
      <c r="B94" s="460" t="s">
        <v>818</v>
      </c>
    </row>
    <row r="95" spans="1:29" hidden="1">
      <c r="B95" s="460" t="s">
        <v>316</v>
      </c>
    </row>
    <row r="96" spans="1:29" hidden="1">
      <c r="B96" s="460"/>
    </row>
    <row r="98" spans="2:21">
      <c r="B98" s="464" t="s">
        <v>317</v>
      </c>
      <c r="C98" s="465"/>
      <c r="D98" s="465"/>
      <c r="E98" s="465"/>
      <c r="F98" s="465"/>
      <c r="G98" s="465"/>
      <c r="H98" s="465"/>
      <c r="I98" s="465"/>
      <c r="J98" s="465"/>
    </row>
    <row r="100" spans="2:21" ht="15.75" customHeight="1">
      <c r="B100" s="1829" t="s">
        <v>227</v>
      </c>
      <c r="C100" s="1829" t="s">
        <v>228</v>
      </c>
      <c r="D100" s="1839" t="s">
        <v>318</v>
      </c>
      <c r="E100" s="1829" t="s">
        <v>319</v>
      </c>
      <c r="F100" s="1841" t="s">
        <v>320</v>
      </c>
      <c r="G100" s="1842"/>
      <c r="H100" s="1842"/>
      <c r="I100" s="1842"/>
      <c r="J100" s="1843"/>
      <c r="K100" s="1829" t="s">
        <v>321</v>
      </c>
    </row>
    <row r="101" spans="2:21">
      <c r="B101" s="1830"/>
      <c r="C101" s="1830"/>
      <c r="D101" s="1840"/>
      <c r="E101" s="1830"/>
      <c r="F101" s="466" t="s">
        <v>231</v>
      </c>
      <c r="G101" s="467" t="s">
        <v>232</v>
      </c>
      <c r="H101" s="466" t="s">
        <v>233</v>
      </c>
      <c r="I101" s="467" t="s">
        <v>234</v>
      </c>
      <c r="J101" s="468" t="s">
        <v>235</v>
      </c>
      <c r="K101" s="1830"/>
    </row>
    <row r="102" spans="2:21">
      <c r="B102" s="1831" t="s">
        <v>322</v>
      </c>
      <c r="C102" s="1834" t="s">
        <v>236</v>
      </c>
      <c r="D102" s="1835"/>
      <c r="E102" s="567"/>
      <c r="F102" s="469"/>
      <c r="G102" s="470"/>
      <c r="H102" s="469"/>
      <c r="I102" s="471" t="s">
        <v>237</v>
      </c>
      <c r="J102" s="472"/>
      <c r="K102" s="473"/>
      <c r="L102" s="484" t="s">
        <v>819</v>
      </c>
      <c r="M102" s="165" t="s">
        <v>567</v>
      </c>
      <c r="N102" s="90">
        <v>2012</v>
      </c>
      <c r="O102" s="90">
        <v>2013</v>
      </c>
      <c r="P102" s="90">
        <v>2014</v>
      </c>
      <c r="Q102" s="90">
        <v>2015</v>
      </c>
      <c r="R102" s="90">
        <v>2016</v>
      </c>
      <c r="S102" s="90">
        <v>2017</v>
      </c>
      <c r="T102" s="90">
        <v>2018</v>
      </c>
    </row>
    <row r="103" spans="2:21">
      <c r="B103" s="1832"/>
      <c r="C103" s="1831" t="s">
        <v>263</v>
      </c>
      <c r="D103" s="474" t="s">
        <v>323</v>
      </c>
      <c r="E103" s="540"/>
      <c r="F103" s="554" t="s">
        <v>1365</v>
      </c>
      <c r="G103" s="555" t="s">
        <v>1366</v>
      </c>
      <c r="H103" s="554" t="s">
        <v>1367</v>
      </c>
      <c r="I103" s="555" t="s">
        <v>1368</v>
      </c>
      <c r="J103" s="556" t="s">
        <v>1369</v>
      </c>
      <c r="K103" s="485">
        <f>M103</f>
        <v>8.5925718356698741</v>
      </c>
      <c r="L103" s="1309" t="str">
        <f>IF(K103&gt;=10,"AAA",IF(K103&gt;=5,"AA",IF(K103&gt;=2,"A",IF(K103&gt;=0.5,"BBB","BB"))))</f>
        <v>AA</v>
      </c>
      <c r="M103" s="557">
        <f>AVERAGE(P103:T103)</f>
        <v>8.5925718356698741</v>
      </c>
      <c r="N103" s="558">
        <f>Data!K374</f>
        <v>7.6311111797747255</v>
      </c>
      <c r="O103" s="558">
        <f>Data!L374</f>
        <v>7.2616869635907815</v>
      </c>
      <c r="P103" s="558">
        <f>Data!M374</f>
        <v>7.9819838678104329</v>
      </c>
      <c r="Q103" s="558">
        <f>Data!N374</f>
        <v>7.1171966443611794</v>
      </c>
      <c r="R103" s="558">
        <f>Data!O374</f>
        <v>8.4392390931276928</v>
      </c>
      <c r="S103" s="558">
        <f>Data!P374</f>
        <v>9.589610500876109</v>
      </c>
      <c r="T103" s="558">
        <f>Data!Q374</f>
        <v>9.8348290721739513</v>
      </c>
      <c r="U103" s="388">
        <v>8.2374374547465017</v>
      </c>
    </row>
    <row r="104" spans="2:21">
      <c r="B104" s="1832"/>
      <c r="C104" s="1832"/>
      <c r="D104" s="474"/>
      <c r="E104" s="540"/>
      <c r="F104" s="554" t="s">
        <v>2246</v>
      </c>
      <c r="G104" s="555" t="s">
        <v>2245</v>
      </c>
      <c r="H104" s="554" t="s">
        <v>2245</v>
      </c>
      <c r="I104" s="555" t="s">
        <v>2245</v>
      </c>
      <c r="J104" s="1271" t="s">
        <v>2245</v>
      </c>
      <c r="K104" s="486"/>
      <c r="L104" s="562"/>
      <c r="M104" s="557"/>
      <c r="N104" s="558"/>
      <c r="O104" s="558"/>
      <c r="P104" s="558"/>
      <c r="Q104" s="558"/>
      <c r="R104" s="558"/>
      <c r="S104" s="558"/>
      <c r="T104" s="558"/>
    </row>
    <row r="105" spans="2:21">
      <c r="B105" s="1832"/>
      <c r="C105" s="1832"/>
      <c r="D105" s="474"/>
      <c r="E105" s="540"/>
      <c r="F105" s="554" t="s">
        <v>2247</v>
      </c>
      <c r="G105" s="555" t="s">
        <v>2248</v>
      </c>
      <c r="H105" s="554" t="s">
        <v>2249</v>
      </c>
      <c r="I105" s="555" t="s">
        <v>2250</v>
      </c>
      <c r="J105" s="1271" t="s">
        <v>2251</v>
      </c>
      <c r="K105" s="486"/>
      <c r="L105" s="562"/>
      <c r="M105" s="557"/>
      <c r="N105" s="558"/>
      <c r="O105" s="558"/>
      <c r="P105" s="558"/>
      <c r="Q105" s="558"/>
      <c r="R105" s="558"/>
      <c r="S105" s="558"/>
      <c r="T105" s="558"/>
    </row>
    <row r="106" spans="2:21">
      <c r="B106" s="1832"/>
      <c r="C106" s="1832"/>
      <c r="D106" s="474" t="s">
        <v>328</v>
      </c>
      <c r="E106" s="540"/>
      <c r="F106" s="542" t="s">
        <v>1354</v>
      </c>
      <c r="G106" s="543" t="s">
        <v>1355</v>
      </c>
      <c r="H106" s="542" t="s">
        <v>1356</v>
      </c>
      <c r="I106" s="543" t="s">
        <v>332</v>
      </c>
      <c r="J106" s="1237" t="s">
        <v>2111</v>
      </c>
      <c r="K106" s="486">
        <f>M106</f>
        <v>1.0736118861541399</v>
      </c>
      <c r="L106" s="1309" t="str">
        <f>IF(K106&gt;2.5,"AAA",IF(K106&gt;1,"AA",IF(K106&gt;0.5,"A",IF(K106&gt;0.1,"BBB","BB"))))</f>
        <v>AA</v>
      </c>
      <c r="M106" s="557">
        <f>AVERAGE(P106:T106)</f>
        <v>1.0736118861541399</v>
      </c>
      <c r="N106" s="558">
        <f>Data!K352</f>
        <v>0.88153176026586999</v>
      </c>
      <c r="O106" s="558">
        <f>Data!L352</f>
        <v>0.51482215476503446</v>
      </c>
      <c r="P106" s="558">
        <f>Data!M352</f>
        <v>1.0155999355878853</v>
      </c>
      <c r="Q106" s="558">
        <f>Data!N352</f>
        <v>0.98545027227548088</v>
      </c>
      <c r="R106" s="558">
        <f>Data!O352</f>
        <v>0.79510455928738966</v>
      </c>
      <c r="S106" s="558">
        <f>Data!P352</f>
        <v>1.3422790132847369</v>
      </c>
      <c r="T106" s="558">
        <f>Data!Q352</f>
        <v>1.2296256503352065</v>
      </c>
      <c r="U106" s="388">
        <v>0.33536843698711333</v>
      </c>
    </row>
    <row r="107" spans="2:21">
      <c r="B107" s="1832"/>
      <c r="C107" s="1832"/>
      <c r="D107" s="541" t="s">
        <v>1352</v>
      </c>
      <c r="E107" s="540"/>
      <c r="F107" s="542" t="s">
        <v>324</v>
      </c>
      <c r="G107" s="543" t="s">
        <v>325</v>
      </c>
      <c r="H107" s="542" t="s">
        <v>326</v>
      </c>
      <c r="I107" s="543" t="s">
        <v>1353</v>
      </c>
      <c r="J107" s="544" t="s">
        <v>327</v>
      </c>
      <c r="K107" s="545"/>
      <c r="L107" s="562" t="s">
        <v>2254</v>
      </c>
      <c r="M107" s="557"/>
      <c r="N107" s="558"/>
      <c r="O107" s="558"/>
      <c r="P107" s="558"/>
      <c r="Q107" s="558">
        <f>Data!N$336</f>
        <v>164.01308826872412</v>
      </c>
      <c r="R107" s="558">
        <f>Data!O$336</f>
        <v>160.59041525450573</v>
      </c>
      <c r="S107" s="558">
        <f>Data!P$336</f>
        <v>134.25480075015591</v>
      </c>
      <c r="T107" s="558">
        <f>Data!Q$336</f>
        <v>150.18740383284853</v>
      </c>
    </row>
    <row r="108" spans="2:21">
      <c r="B108" s="1832"/>
      <c r="C108" s="1832"/>
      <c r="D108" s="541"/>
      <c r="E108" s="540"/>
      <c r="F108" s="542"/>
      <c r="G108" s="543"/>
      <c r="H108" s="542"/>
      <c r="I108" s="543"/>
      <c r="J108" s="1272"/>
      <c r="K108" s="545"/>
      <c r="L108" s="562" t="s">
        <v>2252</v>
      </c>
      <c r="M108" s="557"/>
      <c r="N108" s="558"/>
      <c r="O108" s="558"/>
      <c r="P108" s="558"/>
      <c r="Q108" s="558"/>
      <c r="R108" s="558">
        <f>Data!O$325</f>
        <v>62.833766493831497</v>
      </c>
      <c r="S108" s="558">
        <f>Data!P$325</f>
        <v>65.570139103126266</v>
      </c>
      <c r="T108" s="558">
        <f>Data!Q$325</f>
        <v>59.338646771038043</v>
      </c>
    </row>
    <row r="109" spans="2:21">
      <c r="B109" s="1832"/>
      <c r="C109" s="1832"/>
      <c r="D109" s="474" t="s">
        <v>334</v>
      </c>
      <c r="E109" s="540"/>
      <c r="F109" s="554" t="s">
        <v>1370</v>
      </c>
      <c r="G109" s="555" t="s">
        <v>1371</v>
      </c>
      <c r="H109" s="554" t="s">
        <v>1372</v>
      </c>
      <c r="I109" s="555" t="s">
        <v>1373</v>
      </c>
      <c r="J109" s="556" t="s">
        <v>1374</v>
      </c>
      <c r="K109" s="486">
        <f>M109</f>
        <v>185.54494898446251</v>
      </c>
      <c r="L109" s="1310" t="str">
        <f>IF(K109&gt;=150,"AAA",IF(K109&gt;=110,"AA",IF(K109&gt;=100,"A",IF(K109&gt;=90,"BBB","BB"))))</f>
        <v>AAA</v>
      </c>
      <c r="M109" s="557">
        <f>AVERAGE(P109:T109)</f>
        <v>185.54494898446251</v>
      </c>
      <c r="N109" s="558">
        <f>Data!K355</f>
        <v>146.73178871745688</v>
      </c>
      <c r="O109" s="558">
        <f>Data!L355</f>
        <v>135.99680055821472</v>
      </c>
      <c r="P109" s="558">
        <f>Data!M355</f>
        <v>169.06138115316119</v>
      </c>
      <c r="Q109" s="558">
        <f>Data!N355</f>
        <v>165.80829369368178</v>
      </c>
      <c r="R109" s="558">
        <f>Data!O355</f>
        <v>164.53900493446477</v>
      </c>
      <c r="S109" s="558">
        <f>Data!P355</f>
        <v>213.75220057966396</v>
      </c>
      <c r="T109" s="558">
        <f>Data!Q355</f>
        <v>214.56386456134084</v>
      </c>
      <c r="U109" s="388">
        <v>129.42549884809802</v>
      </c>
    </row>
    <row r="110" spans="2:21">
      <c r="B110" s="1832"/>
      <c r="C110" s="1832"/>
      <c r="D110" s="474"/>
      <c r="E110" s="540"/>
      <c r="F110" s="554" t="s">
        <v>2256</v>
      </c>
      <c r="G110" s="555" t="s">
        <v>2255</v>
      </c>
      <c r="H110" s="554" t="s">
        <v>2255</v>
      </c>
      <c r="I110" s="555" t="s">
        <v>2255</v>
      </c>
      <c r="J110" s="1271" t="s">
        <v>2255</v>
      </c>
      <c r="K110" s="486"/>
      <c r="L110" s="562"/>
      <c r="M110" s="557"/>
      <c r="N110" s="558"/>
      <c r="O110" s="558"/>
      <c r="P110" s="558"/>
      <c r="Q110" s="558"/>
      <c r="R110" s="558"/>
      <c r="S110" s="558"/>
      <c r="T110" s="558"/>
    </row>
    <row r="111" spans="2:21">
      <c r="B111" s="1832"/>
      <c r="C111" s="1832"/>
      <c r="D111" s="474"/>
      <c r="E111" s="540"/>
      <c r="F111" s="554" t="s">
        <v>2257</v>
      </c>
      <c r="G111" s="555" t="s">
        <v>2258</v>
      </c>
      <c r="H111" s="554" t="s">
        <v>2259</v>
      </c>
      <c r="I111" s="555" t="s">
        <v>2260</v>
      </c>
      <c r="J111" s="1271" t="s">
        <v>2261</v>
      </c>
      <c r="K111" s="486"/>
      <c r="L111" s="562"/>
      <c r="M111" s="557"/>
      <c r="N111" s="558"/>
      <c r="O111" s="558"/>
      <c r="P111" s="558"/>
      <c r="Q111" s="558"/>
      <c r="R111" s="558"/>
      <c r="S111" s="558"/>
      <c r="T111" s="558"/>
    </row>
    <row r="112" spans="2:21">
      <c r="B112" s="1833"/>
      <c r="C112" s="1833"/>
      <c r="D112" s="475" t="s">
        <v>335</v>
      </c>
      <c r="E112" s="568"/>
      <c r="F112" s="476"/>
      <c r="G112" s="477"/>
      <c r="H112" s="476"/>
      <c r="I112" s="477"/>
      <c r="J112" s="478"/>
      <c r="K112" s="487" t="s">
        <v>116</v>
      </c>
      <c r="L112" s="90"/>
      <c r="M112" s="557"/>
      <c r="N112" s="559"/>
      <c r="O112" s="559"/>
      <c r="P112" s="559"/>
      <c r="Q112" s="559"/>
      <c r="R112" s="559"/>
      <c r="S112" s="559"/>
      <c r="T112" s="559"/>
    </row>
    <row r="113" spans="2:21">
      <c r="B113" s="1836" t="s">
        <v>336</v>
      </c>
      <c r="C113" s="1837"/>
      <c r="D113" s="1838"/>
      <c r="E113" s="568"/>
      <c r="F113" s="476"/>
      <c r="G113" s="477"/>
      <c r="H113" s="476"/>
      <c r="I113" s="477"/>
      <c r="J113" s="478"/>
      <c r="K113" s="488" t="s">
        <v>116</v>
      </c>
      <c r="L113" s="90"/>
      <c r="M113" s="557"/>
      <c r="N113" s="559"/>
      <c r="O113" s="559"/>
      <c r="P113" s="559"/>
      <c r="Q113" s="559"/>
      <c r="R113" s="559"/>
      <c r="S113" s="559"/>
      <c r="T113" s="559"/>
    </row>
    <row r="114" spans="2:21">
      <c r="B114" s="1831" t="s">
        <v>265</v>
      </c>
      <c r="C114" s="1831" t="s">
        <v>337</v>
      </c>
      <c r="D114" s="480" t="s">
        <v>338</v>
      </c>
      <c r="E114" s="569"/>
      <c r="F114" s="549" t="s">
        <v>1375</v>
      </c>
      <c r="G114" s="550" t="s">
        <v>340</v>
      </c>
      <c r="H114" s="549" t="s">
        <v>341</v>
      </c>
      <c r="I114" s="550" t="s">
        <v>342</v>
      </c>
      <c r="J114" s="551" t="s">
        <v>1376</v>
      </c>
      <c r="K114" s="485">
        <f>M114</f>
        <v>178.01415182298814</v>
      </c>
      <c r="L114" s="1310" t="str">
        <f>IF(K114&gt;150,"AAA",IF(K114&gt;120,"AA",IF(K114&gt;90,"A",IF(K114&gt;70,"BBB","BB"))))</f>
        <v>AAA</v>
      </c>
      <c r="M114" s="557">
        <f>AVERAGE(P114:T114)</f>
        <v>178.01415182298814</v>
      </c>
      <c r="N114" s="558">
        <f>Data!K340</f>
        <v>93.415683321088608</v>
      </c>
      <c r="O114" s="558">
        <f>Data!L340</f>
        <v>99.002154922568522</v>
      </c>
      <c r="P114" s="558">
        <f>Data!M340</f>
        <v>94.998867682366182</v>
      </c>
      <c r="Q114" s="558">
        <f>Data!N340</f>
        <v>101.48056699372781</v>
      </c>
      <c r="R114" s="558">
        <f>Data!O340</f>
        <v>123.80934901171914</v>
      </c>
      <c r="S114" s="558">
        <f>Data!P340</f>
        <v>289.0339069506432</v>
      </c>
      <c r="T114" s="558">
        <f>Data!Q340</f>
        <v>280.74806847648432</v>
      </c>
      <c r="U114" s="388">
        <v>71.348882606942794</v>
      </c>
    </row>
    <row r="115" spans="2:21">
      <c r="B115" s="1832"/>
      <c r="C115" s="1832"/>
      <c r="D115" s="474" t="s">
        <v>344</v>
      </c>
      <c r="E115" s="540"/>
      <c r="F115" s="542" t="s">
        <v>345</v>
      </c>
      <c r="G115" s="543" t="s">
        <v>346</v>
      </c>
      <c r="H115" s="542" t="s">
        <v>347</v>
      </c>
      <c r="I115" s="543" t="s">
        <v>348</v>
      </c>
      <c r="J115" s="544" t="s">
        <v>349</v>
      </c>
      <c r="K115" s="486">
        <f>M115</f>
        <v>5.7999697141784767E-2</v>
      </c>
      <c r="L115" s="1310" t="str">
        <f>IF(K115&lt;1,"AAA",IF(K115&lt;3,"AA",IF(K115&lt;5,"A",IF(K115&lt;7,"BBB","BB"))))</f>
        <v>AAA</v>
      </c>
      <c r="M115" s="557">
        <f>AVERAGE(P115:T115)</f>
        <v>5.7999697141784767E-2</v>
      </c>
      <c r="N115" s="558">
        <f>Data!K343</f>
        <v>0.27869744219040077</v>
      </c>
      <c r="O115" s="558">
        <f>Data!L343</f>
        <v>0.30170513997667059</v>
      </c>
      <c r="P115" s="558">
        <f>Data!M343</f>
        <v>0.23543060195427082</v>
      </c>
      <c r="Q115" s="558">
        <f>Data!N343</f>
        <v>5.4567883754653032E-2</v>
      </c>
      <c r="R115" s="558">
        <f>Data!O343</f>
        <v>0</v>
      </c>
      <c r="S115" s="558">
        <f>Data!P343</f>
        <v>0</v>
      </c>
      <c r="T115" s="558">
        <f>Data!Q343</f>
        <v>0</v>
      </c>
      <c r="U115" s="388">
        <v>0.9840022446420893</v>
      </c>
    </row>
    <row r="116" spans="2:21">
      <c r="B116" s="1832"/>
      <c r="C116" s="1833"/>
      <c r="D116" s="475" t="s">
        <v>350</v>
      </c>
      <c r="E116" s="568"/>
      <c r="F116" s="476"/>
      <c r="G116" s="477"/>
      <c r="H116" s="476"/>
      <c r="I116" s="477"/>
      <c r="J116" s="478"/>
      <c r="K116" s="487" t="s">
        <v>116</v>
      </c>
      <c r="L116" s="90"/>
      <c r="M116" s="557"/>
      <c r="N116" s="559"/>
      <c r="O116" s="559"/>
      <c r="P116" s="559"/>
      <c r="Q116" s="559"/>
      <c r="R116" s="559"/>
      <c r="S116" s="559"/>
      <c r="T116" s="559"/>
    </row>
    <row r="117" spans="2:21">
      <c r="B117" s="1832"/>
      <c r="C117" s="1831" t="s">
        <v>351</v>
      </c>
      <c r="D117" s="480" t="s">
        <v>1418</v>
      </c>
      <c r="E117" s="569"/>
      <c r="F117" s="549" t="s">
        <v>1377</v>
      </c>
      <c r="G117" s="550" t="s">
        <v>1378</v>
      </c>
      <c r="H117" s="549" t="s">
        <v>1379</v>
      </c>
      <c r="I117" s="550" t="s">
        <v>1380</v>
      </c>
      <c r="J117" s="551" t="s">
        <v>1381</v>
      </c>
      <c r="K117" s="485">
        <f>M117</f>
        <v>1256.8190039005456</v>
      </c>
      <c r="L117" s="1310" t="str">
        <f>IF(K117&gt;=500,"AAA",IF(K117&gt;=350,"AA",IF(K117&gt;=250,"A",IF(K117&gt;=100,"BBB","BB"))))</f>
        <v>AAA</v>
      </c>
      <c r="M117" s="557">
        <f>AVERAGE(P117:T117)</f>
        <v>1256.8190039005456</v>
      </c>
      <c r="N117" s="558"/>
      <c r="O117" s="558"/>
      <c r="P117" s="558"/>
      <c r="Q117" s="558"/>
      <c r="R117" s="558">
        <f>Data!O347</f>
        <v>1479.2119430744049</v>
      </c>
      <c r="S117" s="558">
        <f>Data!P347</f>
        <v>1416.0479737693454</v>
      </c>
      <c r="T117" s="558">
        <f>Data!Q347</f>
        <v>875.1970948578869</v>
      </c>
      <c r="U117" s="388">
        <v>1158.235949509286</v>
      </c>
    </row>
    <row r="118" spans="2:21">
      <c r="B118" s="1832"/>
      <c r="C118" s="1832"/>
      <c r="D118" s="474" t="s">
        <v>750</v>
      </c>
      <c r="E118" s="540"/>
      <c r="F118" s="542" t="s">
        <v>1382</v>
      </c>
      <c r="G118" s="552" t="s">
        <v>1383</v>
      </c>
      <c r="H118" s="553" t="s">
        <v>1384</v>
      </c>
      <c r="I118" s="552" t="s">
        <v>1385</v>
      </c>
      <c r="J118" s="544" t="s">
        <v>1386</v>
      </c>
      <c r="K118" s="486">
        <f t="shared" ref="K118:K122" si="6">M118</f>
        <v>862.23348834487479</v>
      </c>
      <c r="L118" s="1310" t="str">
        <f>IF(K118&lt;300,"AAA",IF(K118&lt;700,"AA",IF(K118&lt;900,"A",IF(K118&lt;1100,"BBB","BB"))))</f>
        <v>A</v>
      </c>
      <c r="M118" s="557">
        <f>AVERAGE(P118:T118)</f>
        <v>862.23348834487479</v>
      </c>
      <c r="N118" s="558">
        <f>Data!K368</f>
        <v>603.33503211192408</v>
      </c>
      <c r="O118" s="558">
        <f>Data!L368</f>
        <v>644.01082120840078</v>
      </c>
      <c r="P118" s="558">
        <f>Data!M368</f>
        <v>736.24297959278351</v>
      </c>
      <c r="Q118" s="558">
        <f>Data!N368</f>
        <v>864.3664517080399</v>
      </c>
      <c r="R118" s="558">
        <f>Data!O368</f>
        <v>805.97796626977618</v>
      </c>
      <c r="S118" s="560">
        <f>Data!P368</f>
        <v>885.1258624755618</v>
      </c>
      <c r="T118" s="560">
        <f>Data!Q368</f>
        <v>1019.4541816782124</v>
      </c>
      <c r="U118" s="388">
        <v>864.49477646736307</v>
      </c>
    </row>
    <row r="119" spans="2:21">
      <c r="B119" s="1832"/>
      <c r="C119" s="1833"/>
      <c r="D119" s="475" t="s">
        <v>354</v>
      </c>
      <c r="E119" s="568"/>
      <c r="F119" s="476"/>
      <c r="G119" s="477"/>
      <c r="H119" s="476"/>
      <c r="I119" s="477"/>
      <c r="J119" s="478"/>
      <c r="K119" s="487"/>
      <c r="L119" s="506"/>
      <c r="M119" s="557"/>
      <c r="N119" s="559"/>
      <c r="O119" s="559"/>
      <c r="P119" s="559"/>
      <c r="Q119" s="560"/>
      <c r="R119" s="560"/>
      <c r="S119" s="560"/>
      <c r="T119" s="560"/>
    </row>
    <row r="120" spans="2:21">
      <c r="B120" s="1832"/>
      <c r="C120" s="1831" t="s">
        <v>355</v>
      </c>
      <c r="D120" s="474" t="s">
        <v>356</v>
      </c>
      <c r="E120" s="540"/>
      <c r="F120" s="542" t="s">
        <v>1375</v>
      </c>
      <c r="G120" s="543" t="s">
        <v>357</v>
      </c>
      <c r="H120" s="542" t="s">
        <v>358</v>
      </c>
      <c r="I120" s="543" t="s">
        <v>359</v>
      </c>
      <c r="J120" s="544" t="s">
        <v>1387</v>
      </c>
      <c r="K120" s="485">
        <f t="shared" si="6"/>
        <v>127.73788999376924</v>
      </c>
      <c r="L120" s="1310" t="str">
        <f>IF(K120&gt;150,"AAA",IF(K120&gt;130,"AA",IF(K120&gt;120,"A",IF(K120&gt;100,"BBB","BB"))))</f>
        <v>A</v>
      </c>
      <c r="M120" s="557">
        <f>AVERAGE(P120:T120)</f>
        <v>127.73788999376924</v>
      </c>
      <c r="N120" s="558">
        <f>Data!K348</f>
        <v>156.24915158594413</v>
      </c>
      <c r="O120" s="558">
        <f>Data!L348</f>
        <v>144.24527687541533</v>
      </c>
      <c r="P120" s="558">
        <f>Data!M348</f>
        <v>131.13026293695475</v>
      </c>
      <c r="Q120" s="558">
        <f>Data!N348</f>
        <v>138.79125205067746</v>
      </c>
      <c r="R120" s="558">
        <f>Data!O348</f>
        <v>133.11711922354121</v>
      </c>
      <c r="S120" s="558">
        <f>Data!P348</f>
        <v>129.5881283439667</v>
      </c>
      <c r="T120" s="558">
        <f>Data!Q348</f>
        <v>106.0626874137061</v>
      </c>
      <c r="U120" s="388">
        <v>152.76524641241355</v>
      </c>
    </row>
    <row r="121" spans="2:21">
      <c r="B121" s="1832"/>
      <c r="C121" s="1832"/>
      <c r="D121" s="474" t="s">
        <v>360</v>
      </c>
      <c r="E121" s="540"/>
      <c r="F121" s="542" t="s">
        <v>1388</v>
      </c>
      <c r="G121" s="543" t="s">
        <v>362</v>
      </c>
      <c r="H121" s="542" t="s">
        <v>363</v>
      </c>
      <c r="I121" s="543" t="s">
        <v>364</v>
      </c>
      <c r="J121" s="544" t="s">
        <v>1389</v>
      </c>
      <c r="K121" s="486">
        <f t="shared" si="6"/>
        <v>109.70123708112092</v>
      </c>
      <c r="L121" s="1310" t="str">
        <f>IF(K121&gt;140,"AAA",IF(K121&gt;120,"AA",IF(K121&gt;110,"A",IF(K121&gt;90,"BBB","BB"))))</f>
        <v>BBB</v>
      </c>
      <c r="M121" s="557">
        <f>AVERAGE(P121:T121)</f>
        <v>109.70123708112092</v>
      </c>
      <c r="N121" s="558">
        <f>Data!K349</f>
        <v>150.00243763778229</v>
      </c>
      <c r="O121" s="558">
        <f>Data!L349</f>
        <v>134.31373754441353</v>
      </c>
      <c r="P121" s="558">
        <f>Data!M349</f>
        <v>119.50901266495286</v>
      </c>
      <c r="Q121" s="558">
        <f>Data!N349</f>
        <v>129.46629067439872</v>
      </c>
      <c r="R121" s="558">
        <f>Data!O349</f>
        <v>108.45569461138584</v>
      </c>
      <c r="S121" s="558">
        <f>Data!P349</f>
        <v>105.60164126850913</v>
      </c>
      <c r="T121" s="558">
        <f>Data!Q349</f>
        <v>85.473546186358092</v>
      </c>
      <c r="U121" s="388">
        <v>131.66944667503941</v>
      </c>
    </row>
    <row r="122" spans="2:21">
      <c r="B122" s="1832"/>
      <c r="C122" s="1832"/>
      <c r="D122" s="474" t="s">
        <v>366</v>
      </c>
      <c r="E122" s="540"/>
      <c r="F122" s="574" t="s">
        <v>824</v>
      </c>
      <c r="G122" s="575" t="s">
        <v>825</v>
      </c>
      <c r="H122" s="574" t="s">
        <v>826</v>
      </c>
      <c r="I122" s="575" t="s">
        <v>827</v>
      </c>
      <c r="J122" s="576" t="s">
        <v>828</v>
      </c>
      <c r="K122" s="489">
        <f t="shared" si="6"/>
        <v>38958.940581372</v>
      </c>
      <c r="L122" s="1310" t="str">
        <f>IF(K122&gt;30000,"AAA",IF(K122&gt;15000,"AA",IF(K122&gt;5000,"A",IF(K122&gt;1000,"BBB","BB"))))</f>
        <v>AAA</v>
      </c>
      <c r="M122" s="563">
        <f>AVERAGE(P122:T122)</f>
        <v>38958.940581372</v>
      </c>
      <c r="N122" s="561">
        <f>Data!K174</f>
        <v>26332.031025450007</v>
      </c>
      <c r="O122" s="561">
        <f>Data!L174</f>
        <v>25452.911310630006</v>
      </c>
      <c r="P122" s="561">
        <f>Data!M174</f>
        <v>26850.037184999994</v>
      </c>
      <c r="Q122" s="561">
        <f>Data!N174</f>
        <v>28895.187318729993</v>
      </c>
      <c r="R122" s="561">
        <f>Data!O174</f>
        <v>39790.803961780039</v>
      </c>
      <c r="S122" s="561">
        <f>Data!P174</f>
        <v>45322.058444759983</v>
      </c>
      <c r="T122" s="561">
        <f>Data!Q174</f>
        <v>53936.615996590001</v>
      </c>
      <c r="U122" s="388">
        <v>35433.005173557991</v>
      </c>
    </row>
    <row r="123" spans="2:21">
      <c r="B123" s="1833"/>
      <c r="C123" s="1833"/>
      <c r="D123" s="475" t="s">
        <v>367</v>
      </c>
      <c r="E123" s="568"/>
      <c r="F123" s="481"/>
      <c r="G123" s="482"/>
      <c r="H123" s="481"/>
      <c r="I123" s="482"/>
      <c r="J123" s="483"/>
      <c r="K123" s="487" t="s">
        <v>116</v>
      </c>
      <c r="L123" s="90"/>
      <c r="M123" s="90"/>
      <c r="N123" s="90"/>
      <c r="O123" s="90"/>
      <c r="P123" s="90"/>
      <c r="Q123" s="90"/>
      <c r="R123" s="90"/>
    </row>
    <row r="124" spans="2:21">
      <c r="B124" s="1836" t="s">
        <v>368</v>
      </c>
      <c r="C124" s="1837"/>
      <c r="D124" s="1838"/>
      <c r="E124" s="568"/>
      <c r="F124" s="481"/>
      <c r="G124" s="482"/>
      <c r="H124" s="481"/>
      <c r="I124" s="482"/>
      <c r="J124" s="483"/>
      <c r="K124" s="479"/>
    </row>
  </sheetData>
  <sheetProtection formatCells="0" formatColumns="0" formatRows="0" insertColumns="0" insertRows="0" deleteColumns="0" deleteRows="0" selectLockedCells="1" sort="0" pivotTables="0"/>
  <mergeCells count="100">
    <mergeCell ref="J7:K8"/>
    <mergeCell ref="B9:B14"/>
    <mergeCell ref="C9:D9"/>
    <mergeCell ref="J9:K9"/>
    <mergeCell ref="C10:C14"/>
    <mergeCell ref="J11:K11"/>
    <mergeCell ref="J13:K13"/>
    <mergeCell ref="J14:K14"/>
    <mergeCell ref="B7:B8"/>
    <mergeCell ref="C7:C8"/>
    <mergeCell ref="D7:D8"/>
    <mergeCell ref="E7:E8"/>
    <mergeCell ref="F7:G7"/>
    <mergeCell ref="H7:I7"/>
    <mergeCell ref="B26:D26"/>
    <mergeCell ref="J26:K26"/>
    <mergeCell ref="B15:D15"/>
    <mergeCell ref="J15:K15"/>
    <mergeCell ref="B16:B25"/>
    <mergeCell ref="C16:C18"/>
    <mergeCell ref="J16:K16"/>
    <mergeCell ref="J17:K17"/>
    <mergeCell ref="J18:K18"/>
    <mergeCell ref="C19:C21"/>
    <mergeCell ref="J19:K19"/>
    <mergeCell ref="J20:K20"/>
    <mergeCell ref="J21:K21"/>
    <mergeCell ref="C22:C25"/>
    <mergeCell ref="J22:K22"/>
    <mergeCell ref="J23:K23"/>
    <mergeCell ref="J24:K24"/>
    <mergeCell ref="J25:K25"/>
    <mergeCell ref="B32:E32"/>
    <mergeCell ref="F32:I32"/>
    <mergeCell ref="J32:K32"/>
    <mergeCell ref="B27:E27"/>
    <mergeCell ref="F27:G27"/>
    <mergeCell ref="H27:I27"/>
    <mergeCell ref="J27:K27"/>
    <mergeCell ref="B28:E28"/>
    <mergeCell ref="F28:G28"/>
    <mergeCell ref="H28:I28"/>
    <mergeCell ref="J28:K28"/>
    <mergeCell ref="B29:E29"/>
    <mergeCell ref="F29:I29"/>
    <mergeCell ref="J29:K29"/>
    <mergeCell ref="B30:E30"/>
    <mergeCell ref="F30:I30"/>
    <mergeCell ref="J30:K30"/>
    <mergeCell ref="B31:E31"/>
    <mergeCell ref="F31:I31"/>
    <mergeCell ref="J31:K31"/>
    <mergeCell ref="B38:E38"/>
    <mergeCell ref="F38:I38"/>
    <mergeCell ref="J38:K38"/>
    <mergeCell ref="B33:E33"/>
    <mergeCell ref="F33:I33"/>
    <mergeCell ref="J33:K33"/>
    <mergeCell ref="B34:E34"/>
    <mergeCell ref="F34:I34"/>
    <mergeCell ref="J34:K34"/>
    <mergeCell ref="B35:E35"/>
    <mergeCell ref="F35:I35"/>
    <mergeCell ref="J35:K35"/>
    <mergeCell ref="B36:E36"/>
    <mergeCell ref="F36:I36"/>
    <mergeCell ref="J36:K36"/>
    <mergeCell ref="B37:E37"/>
    <mergeCell ref="F37:I37"/>
    <mergeCell ref="J37:K37"/>
    <mergeCell ref="B124:D124"/>
    <mergeCell ref="J39:K39"/>
    <mergeCell ref="B48:B53"/>
    <mergeCell ref="B40:E40"/>
    <mergeCell ref="F40:I40"/>
    <mergeCell ref="J40:K40"/>
    <mergeCell ref="B41:E41"/>
    <mergeCell ref="J41:K41"/>
    <mergeCell ref="B42:E42"/>
    <mergeCell ref="F42:I42"/>
    <mergeCell ref="J42:K42"/>
    <mergeCell ref="F39:I39"/>
    <mergeCell ref="B39:E39"/>
    <mergeCell ref="B114:B123"/>
    <mergeCell ref="C114:C116"/>
    <mergeCell ref="C117:C119"/>
    <mergeCell ref="C120:C123"/>
    <mergeCell ref="E56:J56"/>
    <mergeCell ref="E60:F60"/>
    <mergeCell ref="G60:I60"/>
    <mergeCell ref="K100:K101"/>
    <mergeCell ref="B102:B112"/>
    <mergeCell ref="C102:D102"/>
    <mergeCell ref="C103:C112"/>
    <mergeCell ref="B113:D113"/>
    <mergeCell ref="B100:B101"/>
    <mergeCell ref="C100:C101"/>
    <mergeCell ref="D100:D101"/>
    <mergeCell ref="E100:E101"/>
    <mergeCell ref="F100:J100"/>
  </mergeCells>
  <phoneticPr fontId="73" type="noConversion"/>
  <dataValidations count="1">
    <dataValidation type="list" allowBlank="1" showInputMessage="1" showErrorMessage="1" sqref="F32" xr:uid="{00000000-0002-0000-09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V164"/>
  <sheetViews>
    <sheetView topLeftCell="A106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4" customWidth="1"/>
    <col min="2" max="2" width="34.83203125" style="724" customWidth="1"/>
    <col min="3" max="3" width="12.1640625" style="724" customWidth="1" outlineLevel="1"/>
    <col min="4" max="4" width="12.33203125" style="724" customWidth="1"/>
    <col min="5" max="5" width="12.83203125" style="724" customWidth="1"/>
    <col min="6" max="6" width="12.5" style="724" customWidth="1"/>
    <col min="7" max="8" width="12" style="724" customWidth="1"/>
    <col min="9" max="11" width="12.1640625" style="724" customWidth="1"/>
    <col min="12" max="12" width="13.1640625" style="724" customWidth="1"/>
    <col min="13" max="13" width="12.5" style="724" customWidth="1"/>
    <col min="14" max="14" width="13.83203125" style="724" customWidth="1"/>
    <col min="15" max="15" width="17.5" style="724" customWidth="1"/>
    <col min="16" max="16" width="17.83203125" style="724" customWidth="1"/>
    <col min="17" max="17" width="22.33203125" style="724" customWidth="1"/>
    <col min="18" max="18" width="9.1640625" style="724"/>
    <col min="19" max="21" width="12" style="724" customWidth="1"/>
    <col min="22" max="22" width="13.5" style="724" bestFit="1" customWidth="1"/>
    <col min="23" max="16384" width="9.1640625" style="724"/>
  </cols>
  <sheetData>
    <row r="2" spans="1:22" ht="16">
      <c r="A2" s="723" t="s">
        <v>2145</v>
      </c>
    </row>
    <row r="4" spans="1:22" s="725" customFormat="1">
      <c r="B4" s="726" t="s">
        <v>1530</v>
      </c>
      <c r="C4" s="947" t="s">
        <v>1680</v>
      </c>
      <c r="D4" s="947" t="s">
        <v>245</v>
      </c>
      <c r="E4" s="947" t="s">
        <v>1682</v>
      </c>
      <c r="F4" s="947" t="s">
        <v>497</v>
      </c>
      <c r="G4" s="947" t="s">
        <v>1325</v>
      </c>
      <c r="H4" s="947" t="s">
        <v>1327</v>
      </c>
      <c r="I4" s="947" t="s">
        <v>1686</v>
      </c>
      <c r="J4" s="947" t="s">
        <v>1687</v>
      </c>
      <c r="K4" s="947" t="s">
        <v>1688</v>
      </c>
    </row>
    <row r="5" spans="1:22" ht="14" thickBot="1">
      <c r="C5" s="728" t="s">
        <v>1531</v>
      </c>
      <c r="D5" s="729" t="s">
        <v>1532</v>
      </c>
      <c r="E5" s="727"/>
      <c r="F5" s="727"/>
      <c r="G5" s="727"/>
      <c r="H5" s="727"/>
      <c r="K5" s="730"/>
      <c r="L5" s="730" t="s">
        <v>1533</v>
      </c>
    </row>
    <row r="6" spans="1:22" ht="28">
      <c r="B6" s="731" t="s">
        <v>1534</v>
      </c>
      <c r="C6" s="733" t="s">
        <v>691</v>
      </c>
      <c r="D6" s="733" t="s">
        <v>692</v>
      </c>
      <c r="E6" s="733" t="s">
        <v>1535</v>
      </c>
      <c r="F6" s="733" t="s">
        <v>1292</v>
      </c>
      <c r="G6" s="733" t="s">
        <v>1537</v>
      </c>
      <c r="H6" s="733" t="s">
        <v>1538</v>
      </c>
      <c r="I6" s="734" t="str">
        <f>I$25</f>
        <v>2018(E)</v>
      </c>
      <c r="J6" s="735" t="str">
        <f>J$25</f>
        <v>2019(E)</v>
      </c>
      <c r="K6" s="736" t="str">
        <f>K$25</f>
        <v>2020(E)</v>
      </c>
      <c r="L6" s="737" t="s">
        <v>1539</v>
      </c>
      <c r="M6" s="738" t="s">
        <v>1540</v>
      </c>
      <c r="N6" s="724" t="s">
        <v>1541</v>
      </c>
      <c r="O6" s="724" t="s">
        <v>1542</v>
      </c>
      <c r="P6" s="739" t="s">
        <v>819</v>
      </c>
      <c r="Q6" s="965"/>
      <c r="R6" s="966" t="s">
        <v>231</v>
      </c>
      <c r="S6" s="967" t="s">
        <v>232</v>
      </c>
      <c r="T6" s="966" t="s">
        <v>233</v>
      </c>
      <c r="U6" s="967" t="s">
        <v>234</v>
      </c>
      <c r="V6" s="968" t="s">
        <v>235</v>
      </c>
    </row>
    <row r="7" spans="1:22" ht="15">
      <c r="B7" s="740" t="s">
        <v>1543</v>
      </c>
      <c r="C7" s="741"/>
      <c r="D7" s="741"/>
      <c r="E7" s="741"/>
      <c r="F7" s="741"/>
      <c r="G7" s="741"/>
      <c r="H7" s="741"/>
      <c r="I7" s="742"/>
      <c r="J7" s="743"/>
      <c r="K7" s="744"/>
      <c r="L7" s="745"/>
      <c r="M7" s="746"/>
      <c r="P7" s="739"/>
      <c r="Q7" s="969"/>
      <c r="R7" s="970"/>
      <c r="S7" s="971"/>
      <c r="T7" s="970"/>
      <c r="U7" s="972" t="s">
        <v>237</v>
      </c>
      <c r="V7" s="969"/>
    </row>
    <row r="8" spans="1:22" ht="14">
      <c r="B8" s="747" t="s">
        <v>1544</v>
      </c>
      <c r="C8" s="919">
        <f t="shared" ref="C8:K8" si="0">C64</f>
        <v>7.6311111797747255</v>
      </c>
      <c r="D8" s="919">
        <f t="shared" si="0"/>
        <v>7.2616869635907815</v>
      </c>
      <c r="E8" s="919">
        <f t="shared" si="0"/>
        <v>7.9819838678104329</v>
      </c>
      <c r="F8" s="919">
        <f t="shared" si="0"/>
        <v>7.1171966443611794</v>
      </c>
      <c r="G8" s="919">
        <f t="shared" si="0"/>
        <v>8.4392390931276928</v>
      </c>
      <c r="H8" s="919">
        <f t="shared" si="0"/>
        <v>9.589610500876109</v>
      </c>
      <c r="I8" s="749">
        <f>I64</f>
        <v>10.23532008211002</v>
      </c>
      <c r="J8" s="750">
        <f t="shared" si="0"/>
        <v>10.055464206756591</v>
      </c>
      <c r="K8" s="750">
        <f t="shared" si="0"/>
        <v>7.9155891647854038</v>
      </c>
      <c r="L8" s="751">
        <f>AVERAGE(I8:K8)</f>
        <v>9.4021244845506704</v>
      </c>
      <c r="M8" s="752" t="s">
        <v>2165</v>
      </c>
      <c r="N8" s="724" t="str">
        <f>구NCP!H10</f>
        <v>AA</v>
      </c>
      <c r="O8" s="753" t="b">
        <f>M8=N8</f>
        <v>0</v>
      </c>
      <c r="P8" s="724" t="str">
        <f>구NCP!F10</f>
        <v>AA</v>
      </c>
      <c r="Q8" s="541" t="s">
        <v>323</v>
      </c>
      <c r="R8" s="554" t="s">
        <v>1365</v>
      </c>
      <c r="S8" s="555" t="s">
        <v>637</v>
      </c>
      <c r="T8" s="554" t="s">
        <v>638</v>
      </c>
      <c r="U8" s="555" t="s">
        <v>639</v>
      </c>
      <c r="V8" s="556" t="s">
        <v>1369</v>
      </c>
    </row>
    <row r="9" spans="1:22">
      <c r="B9" s="754" t="s">
        <v>1545</v>
      </c>
      <c r="C9" s="920"/>
      <c r="D9" s="920"/>
      <c r="E9" s="920"/>
      <c r="F9" s="920"/>
      <c r="G9" s="920"/>
      <c r="H9" s="920"/>
      <c r="I9" s="756"/>
      <c r="J9" s="757"/>
      <c r="K9" s="758"/>
      <c r="L9" s="759"/>
      <c r="M9" s="759"/>
      <c r="Q9" s="541" t="s">
        <v>328</v>
      </c>
      <c r="R9" s="542" t="s">
        <v>1354</v>
      </c>
      <c r="S9" s="543" t="s">
        <v>1355</v>
      </c>
      <c r="T9" s="542" t="s">
        <v>1356</v>
      </c>
      <c r="U9" s="543" t="s">
        <v>332</v>
      </c>
      <c r="V9" s="544" t="s">
        <v>1357</v>
      </c>
    </row>
    <row r="10" spans="1:22">
      <c r="B10" s="747" t="s">
        <v>1546</v>
      </c>
      <c r="C10" s="921">
        <f t="shared" ref="C10:G10" si="1">C65</f>
        <v>0.88153176026586999</v>
      </c>
      <c r="D10" s="921">
        <f t="shared" si="1"/>
        <v>0.51482215476503446</v>
      </c>
      <c r="E10" s="921">
        <f t="shared" si="1"/>
        <v>1.0155999355878853</v>
      </c>
      <c r="F10" s="921">
        <f t="shared" si="1"/>
        <v>0.98545027227548088</v>
      </c>
      <c r="G10" s="921">
        <f t="shared" si="1"/>
        <v>0.79510455928738966</v>
      </c>
      <c r="H10" s="921">
        <f>H65</f>
        <v>1.3422790132847369</v>
      </c>
      <c r="I10" s="749">
        <f>I65</f>
        <v>1.1076628868812648</v>
      </c>
      <c r="J10" s="750">
        <f>J59/AVERAGE(I26:J26)*100</f>
        <v>0.89647150157269651</v>
      </c>
      <c r="K10" s="750">
        <f>K59/AVERAGE(J26:K26)*100</f>
        <v>0.41718342125108399</v>
      </c>
      <c r="L10" s="751">
        <f>AVERAGE(I10:K10)</f>
        <v>0.80710593656834828</v>
      </c>
      <c r="M10" s="760" t="s">
        <v>2117</v>
      </c>
      <c r="N10" s="724" t="str">
        <f>구NCP!H11</f>
        <v>A</v>
      </c>
      <c r="O10" s="753" t="b">
        <f>M10=N10</f>
        <v>1</v>
      </c>
      <c r="P10" s="724" t="str">
        <f>구NCP!F11</f>
        <v>AA</v>
      </c>
      <c r="Q10" s="541" t="s">
        <v>1352</v>
      </c>
      <c r="R10" s="542" t="s">
        <v>324</v>
      </c>
      <c r="S10" s="543" t="s">
        <v>325</v>
      </c>
      <c r="T10" s="542" t="s">
        <v>326</v>
      </c>
      <c r="U10" s="543" t="s">
        <v>1353</v>
      </c>
      <c r="V10" s="544" t="s">
        <v>327</v>
      </c>
    </row>
    <row r="11" spans="1:22">
      <c r="B11" s="747" t="s">
        <v>1547</v>
      </c>
      <c r="C11" s="921">
        <f t="shared" ref="C11:K11" si="2">C46/C54*100</f>
        <v>146.73178871745688</v>
      </c>
      <c r="D11" s="921">
        <f t="shared" si="2"/>
        <v>135.99680055821472</v>
      </c>
      <c r="E11" s="921">
        <f t="shared" si="2"/>
        <v>169.06138115316116</v>
      </c>
      <c r="F11" s="921">
        <f t="shared" si="2"/>
        <v>165.80829369368175</v>
      </c>
      <c r="G11" s="921">
        <f t="shared" si="2"/>
        <v>164.53900493446474</v>
      </c>
      <c r="H11" s="921">
        <f t="shared" si="2"/>
        <v>213.75220057966396</v>
      </c>
      <c r="I11" s="761">
        <f t="shared" si="2"/>
        <v>203.97808386888755</v>
      </c>
      <c r="J11" s="762">
        <f t="shared" si="2"/>
        <v>181.8353147691567</v>
      </c>
      <c r="K11" s="763">
        <f t="shared" si="2"/>
        <v>136.75743928084799</v>
      </c>
      <c r="L11" s="764">
        <f>AVERAGE(I11:K11)</f>
        <v>174.19027930629741</v>
      </c>
      <c r="M11" s="760" t="s">
        <v>686</v>
      </c>
      <c r="N11" s="765" t="str">
        <f>구NCP!H13</f>
        <v>AAA</v>
      </c>
      <c r="O11" s="753" t="b">
        <f>M11=N11</f>
        <v>0</v>
      </c>
      <c r="P11" s="765" t="str">
        <f>구NCP!F13</f>
        <v>AAA</v>
      </c>
      <c r="Q11" s="541" t="s">
        <v>334</v>
      </c>
      <c r="R11" s="554" t="s">
        <v>1370</v>
      </c>
      <c r="S11" s="555" t="s">
        <v>1371</v>
      </c>
      <c r="T11" s="554" t="s">
        <v>1372</v>
      </c>
      <c r="U11" s="555" t="s">
        <v>1373</v>
      </c>
      <c r="V11" s="556" t="s">
        <v>1374</v>
      </c>
    </row>
    <row r="12" spans="1:22">
      <c r="B12" s="766" t="s">
        <v>1548</v>
      </c>
      <c r="C12" s="920"/>
      <c r="D12" s="920"/>
      <c r="E12" s="920"/>
      <c r="F12" s="920"/>
      <c r="G12" s="920"/>
      <c r="H12" s="920"/>
      <c r="I12" s="756"/>
      <c r="J12" s="757"/>
      <c r="K12" s="758"/>
      <c r="L12" s="759"/>
      <c r="M12" s="767"/>
      <c r="O12" s="753"/>
      <c r="Q12" s="973" t="s">
        <v>335</v>
      </c>
      <c r="R12" s="974"/>
      <c r="S12" s="975"/>
      <c r="T12" s="974"/>
      <c r="U12" s="975"/>
      <c r="V12" s="976"/>
    </row>
    <row r="13" spans="1:22">
      <c r="B13" s="747" t="s">
        <v>1549</v>
      </c>
      <c r="C13" s="922">
        <f t="shared" ref="C13:K13" si="3">C83</f>
        <v>93.415683321088608</v>
      </c>
      <c r="D13" s="922">
        <f t="shared" si="3"/>
        <v>99.002154922568522</v>
      </c>
      <c r="E13" s="922">
        <f t="shared" si="3"/>
        <v>94.998867682366182</v>
      </c>
      <c r="F13" s="922">
        <f t="shared" si="3"/>
        <v>101.48056699372781</v>
      </c>
      <c r="G13" s="922">
        <f t="shared" si="3"/>
        <v>123.80934901171914</v>
      </c>
      <c r="H13" s="922">
        <f t="shared" si="3"/>
        <v>289.0339069506432</v>
      </c>
      <c r="I13" s="761">
        <f t="shared" si="3"/>
        <v>252.1</v>
      </c>
      <c r="J13" s="762">
        <f t="shared" si="3"/>
        <v>232.5</v>
      </c>
      <c r="K13" s="763">
        <f t="shared" si="3"/>
        <v>218.9</v>
      </c>
      <c r="L13" s="764">
        <f>AVERAGE(I13:K13)</f>
        <v>234.5</v>
      </c>
      <c r="M13" s="760" t="s">
        <v>686</v>
      </c>
      <c r="N13" s="724" t="str">
        <f>구NCP!H16</f>
        <v>AAA</v>
      </c>
      <c r="O13" s="753" t="b">
        <f>M13=N13</f>
        <v>0</v>
      </c>
      <c r="P13" s="724" t="str">
        <f>구NCP!F16</f>
        <v>AAA</v>
      </c>
      <c r="Q13" s="977"/>
      <c r="R13" s="974"/>
      <c r="S13" s="975"/>
      <c r="T13" s="974"/>
      <c r="U13" s="975"/>
      <c r="V13" s="976"/>
    </row>
    <row r="14" spans="1:22">
      <c r="B14" s="747" t="s">
        <v>1550</v>
      </c>
      <c r="C14" s="922">
        <f t="shared" ref="C14:K14" si="4">(C75-C79)/C33*100</f>
        <v>0.27869744219039738</v>
      </c>
      <c r="D14" s="922">
        <f t="shared" si="4"/>
        <v>0.30170513997667719</v>
      </c>
      <c r="E14" s="922">
        <f t="shared" si="4"/>
        <v>0.23543060195427368</v>
      </c>
      <c r="F14" s="922">
        <f t="shared" si="4"/>
        <v>5.4567883754661317E-2</v>
      </c>
      <c r="G14" s="922">
        <f t="shared" si="4"/>
        <v>-9.9688977839784768E-2</v>
      </c>
      <c r="H14" s="922">
        <f t="shared" si="4"/>
        <v>-1.6538550914532442</v>
      </c>
      <c r="I14" s="769">
        <f t="shared" si="4"/>
        <v>-1.3179093027697493</v>
      </c>
      <c r="J14" s="770">
        <f t="shared" si="4"/>
        <v>-1.1450228634882649</v>
      </c>
      <c r="K14" s="771">
        <f t="shared" si="4"/>
        <v>-1.0408294013312729</v>
      </c>
      <c r="L14" s="764">
        <f>AVERAGE(I14:K14)</f>
        <v>-1.1679205225297622</v>
      </c>
      <c r="M14" s="760" t="s">
        <v>686</v>
      </c>
      <c r="N14" s="724" t="str">
        <f>구NCP!H17</f>
        <v>AAA</v>
      </c>
      <c r="O14" s="753" t="b">
        <f>M14=N14</f>
        <v>0</v>
      </c>
      <c r="P14" s="724" t="str">
        <f>구NCP!F17</f>
        <v>AAA</v>
      </c>
      <c r="Q14" s="978" t="s">
        <v>338</v>
      </c>
      <c r="R14" s="549" t="s">
        <v>1375</v>
      </c>
      <c r="S14" s="550" t="s">
        <v>340</v>
      </c>
      <c r="T14" s="549" t="s">
        <v>341</v>
      </c>
      <c r="U14" s="550" t="s">
        <v>342</v>
      </c>
      <c r="V14" s="551" t="s">
        <v>1376</v>
      </c>
    </row>
    <row r="15" spans="1:22">
      <c r="B15" s="766" t="s">
        <v>774</v>
      </c>
      <c r="C15" s="920"/>
      <c r="D15" s="920"/>
      <c r="E15" s="920"/>
      <c r="F15" s="920"/>
      <c r="G15" s="920"/>
      <c r="H15" s="920"/>
      <c r="I15" s="756"/>
      <c r="J15" s="757"/>
      <c r="K15" s="758"/>
      <c r="L15" s="759"/>
      <c r="M15" s="767"/>
      <c r="O15" s="753"/>
      <c r="Q15" s="541" t="s">
        <v>344</v>
      </c>
      <c r="R15" s="542" t="s">
        <v>345</v>
      </c>
      <c r="S15" s="543" t="s">
        <v>346</v>
      </c>
      <c r="T15" s="542" t="s">
        <v>347</v>
      </c>
      <c r="U15" s="543" t="s">
        <v>348</v>
      </c>
      <c r="V15" s="544" t="s">
        <v>349</v>
      </c>
    </row>
    <row r="16" spans="1:22">
      <c r="B16" s="747" t="s">
        <v>1552</v>
      </c>
      <c r="C16" s="923" t="s">
        <v>1553</v>
      </c>
      <c r="D16" s="923" t="s">
        <v>1553</v>
      </c>
      <c r="E16" s="923" t="s">
        <v>1553</v>
      </c>
      <c r="F16" s="923">
        <f t="shared" ref="F16:K16" si="5">F89</f>
        <v>0</v>
      </c>
      <c r="G16" s="923">
        <f t="shared" si="5"/>
        <v>1479.2</v>
      </c>
      <c r="H16" s="923">
        <f t="shared" si="5"/>
        <v>1416.048</v>
      </c>
      <c r="I16" s="772">
        <f t="shared" si="5"/>
        <v>1384.4806296669572</v>
      </c>
      <c r="J16" s="748">
        <f t="shared" si="5"/>
        <v>1423.1858903924362</v>
      </c>
      <c r="K16" s="773">
        <f t="shared" si="5"/>
        <v>1387.7659320610353</v>
      </c>
      <c r="L16" s="764">
        <f>AVERAGE(I16:K16)</f>
        <v>1398.4774840401431</v>
      </c>
      <c r="M16" s="774" t="s">
        <v>2117</v>
      </c>
      <c r="N16" s="724" t="str">
        <f>구NCP!H19</f>
        <v>AAA</v>
      </c>
      <c r="O16" s="753" t="b">
        <f>M16=N16</f>
        <v>0</v>
      </c>
      <c r="P16" s="724" t="str">
        <f>구NCP!F19</f>
        <v>AAA</v>
      </c>
      <c r="Q16" s="973" t="s">
        <v>350</v>
      </c>
      <c r="R16" s="974"/>
      <c r="S16" s="975"/>
      <c r="T16" s="974"/>
      <c r="U16" s="975"/>
      <c r="V16" s="976"/>
    </row>
    <row r="17" spans="1:22">
      <c r="B17" s="747" t="s">
        <v>1554</v>
      </c>
      <c r="C17" s="922">
        <f t="shared" ref="C17:K17" si="6">C26/C33*100</f>
        <v>603.33503211192408</v>
      </c>
      <c r="D17" s="922">
        <f t="shared" si="6"/>
        <v>644.01082120840078</v>
      </c>
      <c r="E17" s="922">
        <f t="shared" si="6"/>
        <v>736.24297959278351</v>
      </c>
      <c r="F17" s="922">
        <f t="shared" si="6"/>
        <v>864.36645695612469</v>
      </c>
      <c r="G17" s="922">
        <f t="shared" si="6"/>
        <v>805.97796181806541</v>
      </c>
      <c r="H17" s="922">
        <f t="shared" si="6"/>
        <v>885.12586092883066</v>
      </c>
      <c r="I17" s="769">
        <f t="shared" si="6"/>
        <v>870.48219729929338</v>
      </c>
      <c r="J17" s="770">
        <f t="shared" si="6"/>
        <v>876.96325237548058</v>
      </c>
      <c r="K17" s="771">
        <f t="shared" si="6"/>
        <v>913.17003232910099</v>
      </c>
      <c r="L17" s="764">
        <f>AVERAGE(I17:K17)</f>
        <v>886.87182733462498</v>
      </c>
      <c r="M17" s="775" t="s">
        <v>2126</v>
      </c>
      <c r="N17" s="724" t="str">
        <f>구NCP!H20</f>
        <v>BBB</v>
      </c>
      <c r="O17" s="753" t="b">
        <f>M17=N17</f>
        <v>1</v>
      </c>
      <c r="P17" s="724" t="str">
        <f>구NCP!F20</f>
        <v>A</v>
      </c>
      <c r="Q17" s="978" t="s">
        <v>1418</v>
      </c>
      <c r="R17" s="549" t="s">
        <v>1377</v>
      </c>
      <c r="S17" s="550" t="s">
        <v>1378</v>
      </c>
      <c r="T17" s="549" t="s">
        <v>1379</v>
      </c>
      <c r="U17" s="550" t="s">
        <v>1380</v>
      </c>
      <c r="V17" s="551" t="s">
        <v>1381</v>
      </c>
    </row>
    <row r="18" spans="1:22">
      <c r="B18" s="766" t="s">
        <v>267</v>
      </c>
      <c r="C18" s="920"/>
      <c r="D18" s="920"/>
      <c r="E18" s="920"/>
      <c r="F18" s="920"/>
      <c r="G18" s="920"/>
      <c r="H18" s="920"/>
      <c r="I18" s="756"/>
      <c r="J18" s="757"/>
      <c r="K18" s="758"/>
      <c r="L18" s="759"/>
      <c r="M18" s="767"/>
      <c r="O18" s="753"/>
      <c r="Q18" s="541" t="s">
        <v>750</v>
      </c>
      <c r="R18" s="542" t="s">
        <v>1382</v>
      </c>
      <c r="S18" s="552" t="s">
        <v>1383</v>
      </c>
      <c r="T18" s="553" t="s">
        <v>1384</v>
      </c>
      <c r="U18" s="552" t="s">
        <v>1385</v>
      </c>
      <c r="V18" s="544" t="s">
        <v>1386</v>
      </c>
    </row>
    <row r="19" spans="1:22">
      <c r="B19" s="747" t="s">
        <v>552</v>
      </c>
      <c r="C19" s="921">
        <f t="shared" ref="C19:K20" si="7">C98</f>
        <v>156.24915158594413</v>
      </c>
      <c r="D19" s="921">
        <f t="shared" si="7"/>
        <v>144.24527687541533</v>
      </c>
      <c r="E19" s="921">
        <f t="shared" si="7"/>
        <v>131.13026293695475</v>
      </c>
      <c r="F19" s="921">
        <f t="shared" si="7"/>
        <v>138.79125205067746</v>
      </c>
      <c r="G19" s="921">
        <f t="shared" si="7"/>
        <v>133.11711922354121</v>
      </c>
      <c r="H19" s="921">
        <f t="shared" si="7"/>
        <v>129.5881283439667</v>
      </c>
      <c r="I19" s="761">
        <f t="shared" si="7"/>
        <v>134.34391376149176</v>
      </c>
      <c r="J19" s="762">
        <f t="shared" si="7"/>
        <v>139.27372069025165</v>
      </c>
      <c r="K19" s="763">
        <f t="shared" si="7"/>
        <v>144.38509989766715</v>
      </c>
      <c r="L19" s="764">
        <f>AVERAGE(I19:K19)</f>
        <v>139.33424478313685</v>
      </c>
      <c r="M19" s="760" t="s">
        <v>2126</v>
      </c>
      <c r="N19" s="724" t="str">
        <f>구NCP!H22</f>
        <v>BBB</v>
      </c>
      <c r="O19" s="753" t="b">
        <f>M19=N19</f>
        <v>1</v>
      </c>
      <c r="P19" s="724" t="str">
        <f>구NCP!F22</f>
        <v>A</v>
      </c>
      <c r="Q19" s="973" t="s">
        <v>354</v>
      </c>
      <c r="R19" s="974"/>
      <c r="S19" s="975"/>
      <c r="T19" s="974"/>
      <c r="U19" s="975"/>
      <c r="V19" s="976"/>
    </row>
    <row r="20" spans="1:22" ht="14" thickBot="1">
      <c r="B20" s="747" t="s">
        <v>553</v>
      </c>
      <c r="C20" s="922">
        <f t="shared" si="7"/>
        <v>150.00243763778229</v>
      </c>
      <c r="D20" s="922">
        <f t="shared" si="7"/>
        <v>134.31373754441353</v>
      </c>
      <c r="E20" s="922">
        <f t="shared" si="7"/>
        <v>119.50901266495286</v>
      </c>
      <c r="F20" s="922">
        <f t="shared" si="7"/>
        <v>129.46629067439872</v>
      </c>
      <c r="G20" s="922">
        <f t="shared" si="7"/>
        <v>108.45569461138584</v>
      </c>
      <c r="H20" s="922">
        <f t="shared" si="7"/>
        <v>105.60164126850913</v>
      </c>
      <c r="I20" s="776">
        <f t="shared" si="7"/>
        <v>109.66346638644313</v>
      </c>
      <c r="J20" s="777">
        <f t="shared" si="7"/>
        <v>116.83838651728125</v>
      </c>
      <c r="K20" s="778">
        <f t="shared" si="7"/>
        <v>123.87263670380332</v>
      </c>
      <c r="L20" s="779">
        <f>AVERAGE(I20:K20)</f>
        <v>116.79149653584257</v>
      </c>
      <c r="M20" s="780" t="s">
        <v>2126</v>
      </c>
      <c r="N20" s="724" t="str">
        <f>구NCP!H23</f>
        <v>BBB</v>
      </c>
      <c r="O20" s="753" t="b">
        <f>M20=N20</f>
        <v>1</v>
      </c>
      <c r="P20" s="724" t="str">
        <f>구NCP!F23</f>
        <v>BBB</v>
      </c>
      <c r="Q20" s="541" t="s">
        <v>356</v>
      </c>
      <c r="R20" s="542" t="s">
        <v>1375</v>
      </c>
      <c r="S20" s="543" t="s">
        <v>357</v>
      </c>
      <c r="T20" s="542" t="s">
        <v>358</v>
      </c>
      <c r="U20" s="543" t="s">
        <v>359</v>
      </c>
      <c r="V20" s="544" t="s">
        <v>1387</v>
      </c>
    </row>
    <row r="21" spans="1:22">
      <c r="B21" s="766" t="s">
        <v>1555</v>
      </c>
      <c r="C21" s="920">
        <f t="shared" ref="C21:G21" si="8">C66</f>
        <v>5.0188521235546961</v>
      </c>
      <c r="D21" s="924">
        <f t="shared" si="8"/>
        <v>3.2089539166717262</v>
      </c>
      <c r="E21" s="920">
        <f t="shared" si="8"/>
        <v>7.0169477145336927</v>
      </c>
      <c r="F21" s="920">
        <f t="shared" si="8"/>
        <v>7.8967777953109719</v>
      </c>
      <c r="G21" s="920">
        <f t="shared" si="8"/>
        <v>6.6159939020548659</v>
      </c>
      <c r="H21" s="920">
        <f>H66</f>
        <v>11.360468829431163</v>
      </c>
      <c r="I21" s="755">
        <f>I66</f>
        <v>9.720843129283999</v>
      </c>
      <c r="J21" s="757">
        <f t="shared" ref="J21:K21" si="9">J66</f>
        <v>7.8331371360278856</v>
      </c>
      <c r="K21" s="757">
        <f t="shared" si="9"/>
        <v>3.7340229558703282</v>
      </c>
      <c r="L21" s="757"/>
      <c r="M21" s="757"/>
      <c r="Q21" s="541" t="s">
        <v>360</v>
      </c>
      <c r="R21" s="542" t="s">
        <v>1388</v>
      </c>
      <c r="S21" s="543" t="s">
        <v>362</v>
      </c>
      <c r="T21" s="542" t="s">
        <v>363</v>
      </c>
      <c r="U21" s="543" t="s">
        <v>364</v>
      </c>
      <c r="V21" s="544" t="s">
        <v>1389</v>
      </c>
    </row>
    <row r="22" spans="1:22">
      <c r="Q22" s="541" t="s">
        <v>366</v>
      </c>
      <c r="R22" s="554" t="s">
        <v>1690</v>
      </c>
      <c r="S22" s="555" t="s">
        <v>825</v>
      </c>
      <c r="T22" s="554" t="s">
        <v>1691</v>
      </c>
      <c r="U22" s="555" t="s">
        <v>1692</v>
      </c>
      <c r="V22" s="556" t="s">
        <v>1693</v>
      </c>
    </row>
    <row r="23" spans="1:22" s="725" customFormat="1">
      <c r="B23" s="726" t="s">
        <v>1556</v>
      </c>
    </row>
    <row r="24" spans="1:22" ht="14" thickBot="1">
      <c r="G24" s="781"/>
      <c r="H24" s="781"/>
      <c r="I24" s="782"/>
      <c r="J24" s="782"/>
      <c r="K24" s="782"/>
      <c r="L24" s="730" t="s">
        <v>1533</v>
      </c>
    </row>
    <row r="25" spans="1:22">
      <c r="B25" s="731" t="s">
        <v>1534</v>
      </c>
      <c r="C25" s="732" t="str">
        <f t="shared" ref="C25:H25" si="10">C6</f>
        <v>FY12</v>
      </c>
      <c r="D25" s="732" t="str">
        <f t="shared" si="10"/>
        <v>FY13</v>
      </c>
      <c r="E25" s="732" t="str">
        <f t="shared" si="10"/>
        <v>FY14</v>
      </c>
      <c r="F25" s="732" t="str">
        <f t="shared" si="10"/>
        <v>FY15</v>
      </c>
      <c r="G25" s="732" t="str">
        <f t="shared" si="10"/>
        <v>FY16</v>
      </c>
      <c r="H25" s="732" t="str">
        <f t="shared" si="10"/>
        <v>FY17</v>
      </c>
      <c r="I25" s="734" t="s">
        <v>1557</v>
      </c>
      <c r="J25" s="783" t="s">
        <v>1558</v>
      </c>
      <c r="K25" s="736" t="s">
        <v>1559</v>
      </c>
      <c r="L25" s="736" t="s">
        <v>1560</v>
      </c>
    </row>
    <row r="26" spans="1:22">
      <c r="A26" s="784"/>
      <c r="B26" s="785" t="s">
        <v>1561</v>
      </c>
      <c r="C26" s="912">
        <f>Data!K$15</f>
        <v>192732.48</v>
      </c>
      <c r="D26" s="912">
        <f>Data!L$15</f>
        <v>198537.91</v>
      </c>
      <c r="E26" s="912">
        <f>Data!M$15</f>
        <v>234886.69</v>
      </c>
      <c r="F26" s="912">
        <f>Data!N$15</f>
        <v>284796.56</v>
      </c>
      <c r="G26" s="912">
        <f>Data!O$15</f>
        <v>328247.34000000003</v>
      </c>
      <c r="H26" s="912">
        <f>Data!P$15</f>
        <v>375451.36</v>
      </c>
      <c r="I26" s="787">
        <f>H26*(1+I140/100)</f>
        <v>390469.41440000001</v>
      </c>
      <c r="J26" s="786">
        <f>I26*(1+J140/100)</f>
        <v>406088.19097600004</v>
      </c>
      <c r="K26" s="788">
        <f>J26*(1+K140/100)</f>
        <v>422331.71861504007</v>
      </c>
      <c r="L26" s="788">
        <f>AVERAGE(I26:K26)</f>
        <v>406296.44133034674</v>
      </c>
    </row>
    <row r="27" spans="1:22">
      <c r="A27" s="784"/>
      <c r="B27" s="789" t="s">
        <v>1562</v>
      </c>
      <c r="C27" s="913">
        <f>Data!K$84</f>
        <v>138158.16205314</v>
      </c>
      <c r="D27" s="913">
        <f>Data!L$84</f>
        <v>141137.38937639</v>
      </c>
      <c r="E27" s="913">
        <f>Data!M$84</f>
        <v>151715.90287553999</v>
      </c>
      <c r="F27" s="913">
        <f>Data!N$84</f>
        <v>181381.28420828999</v>
      </c>
      <c r="G27" s="913">
        <f>Data!O$84</f>
        <v>214897.04632433</v>
      </c>
      <c r="H27" s="913">
        <f>Data!P$84</f>
        <v>258551.74957541001</v>
      </c>
      <c r="I27" s="792">
        <f t="shared" ref="I27:K28" si="11">ROUND(H27*(1+I141/100),0)</f>
        <v>268894</v>
      </c>
      <c r="J27" s="790">
        <f t="shared" si="11"/>
        <v>276961</v>
      </c>
      <c r="K27" s="793">
        <f t="shared" si="11"/>
        <v>282500</v>
      </c>
      <c r="L27" s="793">
        <f>AVERAGE(I27:K27)</f>
        <v>276118.33333333331</v>
      </c>
    </row>
    <row r="28" spans="1:22">
      <c r="A28" s="784"/>
      <c r="B28" s="789" t="s">
        <v>250</v>
      </c>
      <c r="C28" s="913">
        <f>Data!K$118</f>
        <v>14697.519643600001</v>
      </c>
      <c r="D28" s="913">
        <f>Data!L$118</f>
        <v>14787.290585070001</v>
      </c>
      <c r="E28" s="913">
        <f>Data!M$118</f>
        <v>13957.09317111</v>
      </c>
      <c r="F28" s="913">
        <f>Data!N$118</f>
        <v>17554.358424450002</v>
      </c>
      <c r="G28" s="913">
        <f>Data!O$118</f>
        <v>19972.17555177</v>
      </c>
      <c r="H28" s="913">
        <f>Data!P$118</f>
        <v>33520.247614970001</v>
      </c>
      <c r="I28" s="792">
        <f t="shared" si="11"/>
        <v>45252</v>
      </c>
      <c r="J28" s="790">
        <f t="shared" si="11"/>
        <v>54302</v>
      </c>
      <c r="K28" s="793">
        <f t="shared" si="11"/>
        <v>62447</v>
      </c>
      <c r="L28" s="793"/>
    </row>
    <row r="29" spans="1:22">
      <c r="A29" s="784"/>
      <c r="B29" s="789" t="s">
        <v>1564</v>
      </c>
      <c r="C29" s="914">
        <f t="shared" ref="C29:K29" si="12">C26-C27-C28</f>
        <v>39876.798303260017</v>
      </c>
      <c r="D29" s="914">
        <f t="shared" si="12"/>
        <v>42613.230038540001</v>
      </c>
      <c r="E29" s="914">
        <f t="shared" si="12"/>
        <v>69213.693953350012</v>
      </c>
      <c r="F29" s="914">
        <f t="shared" si="12"/>
        <v>85860.917367260001</v>
      </c>
      <c r="G29" s="914">
        <f t="shared" si="12"/>
        <v>93378.118123900029</v>
      </c>
      <c r="H29" s="914">
        <f t="shared" si="12"/>
        <v>83379.362809619983</v>
      </c>
      <c r="I29" s="792">
        <f t="shared" si="12"/>
        <v>76323.414400000009</v>
      </c>
      <c r="J29" s="790">
        <f t="shared" si="12"/>
        <v>74825.190976000042</v>
      </c>
      <c r="K29" s="793">
        <f t="shared" si="12"/>
        <v>77384.718615040067</v>
      </c>
      <c r="L29" s="793"/>
    </row>
    <row r="30" spans="1:22">
      <c r="B30" s="754" t="s">
        <v>1565</v>
      </c>
      <c r="C30" s="913">
        <f>Data!K$16</f>
        <v>160787.96</v>
      </c>
      <c r="D30" s="913">
        <f>Data!L$16</f>
        <v>167709.56</v>
      </c>
      <c r="E30" s="913">
        <f>Data!M$16</f>
        <v>202983.27</v>
      </c>
      <c r="F30" s="913">
        <f>Data!N$16</f>
        <v>251847.96</v>
      </c>
      <c r="G30" s="913">
        <f>Data!O$16</f>
        <v>287521</v>
      </c>
      <c r="H30" s="913">
        <f>Data!P$16</f>
        <v>333033.51</v>
      </c>
      <c r="I30" s="792">
        <f>I26-I33</f>
        <v>345612.7343195288</v>
      </c>
      <c r="J30" s="790">
        <f>J26-J33</f>
        <v>359782.00997286156</v>
      </c>
      <c r="K30" s="793">
        <f>K26-K33</f>
        <v>376082.75033277454</v>
      </c>
      <c r="L30" s="793">
        <f>AVERAGE(I30:K30)</f>
        <v>360492.49820838828</v>
      </c>
    </row>
    <row r="31" spans="1:22">
      <c r="A31" s="784"/>
      <c r="B31" s="747" t="s">
        <v>1566</v>
      </c>
      <c r="C31" s="916">
        <f>Data!K$142</f>
        <v>121441.57188047998</v>
      </c>
      <c r="D31" s="916">
        <f>Data!L$142</f>
        <v>139432.38650522</v>
      </c>
      <c r="E31" s="916">
        <f>Data!M$142</f>
        <v>162729.95110902999</v>
      </c>
      <c r="F31" s="916">
        <f>Data!N$142</f>
        <v>204770.71165647003</v>
      </c>
      <c r="G31" s="916">
        <f>Data!O$142</f>
        <v>236981.69017647998</v>
      </c>
      <c r="H31" s="916">
        <f>Data!P$142</f>
        <v>261635.20874783001</v>
      </c>
      <c r="I31" s="787">
        <f t="shared" ref="I31:K32" si="13">H31*(1+I144/100)</f>
        <v>272100.6170977432</v>
      </c>
      <c r="J31" s="794">
        <f t="shared" si="13"/>
        <v>282984.64178165293</v>
      </c>
      <c r="K31" s="788">
        <f t="shared" si="13"/>
        <v>294304.02745291905</v>
      </c>
      <c r="L31" s="788">
        <f>AVERAGE(I31:K31)</f>
        <v>283129.76211077173</v>
      </c>
    </row>
    <row r="32" spans="1:22">
      <c r="A32" s="784"/>
      <c r="B32" s="747" t="s">
        <v>1567</v>
      </c>
      <c r="C32" s="916">
        <f>Data!K$146</f>
        <v>17885.138986710001</v>
      </c>
      <c r="D32" s="916">
        <f>Data!L$146</f>
        <v>14704.423780720001</v>
      </c>
      <c r="E32" s="916">
        <f>Data!M$146</f>
        <v>14405.17172072</v>
      </c>
      <c r="F32" s="916">
        <f>Data!N$146</f>
        <v>14121.77355849</v>
      </c>
      <c r="G32" s="916">
        <f>Data!O$146</f>
        <v>14394.752296160001</v>
      </c>
      <c r="H32" s="916">
        <f>Data!P$146</f>
        <v>19082.40476804</v>
      </c>
      <c r="I32" s="787">
        <f t="shared" si="13"/>
        <v>19845.700958761601</v>
      </c>
      <c r="J32" s="794">
        <f t="shared" si="13"/>
        <v>20639.528997112066</v>
      </c>
      <c r="K32" s="788">
        <f t="shared" si="13"/>
        <v>21465.11015699655</v>
      </c>
      <c r="L32" s="788">
        <f>AVERAGE(I32:K32)</f>
        <v>20650.11337095674</v>
      </c>
    </row>
    <row r="33" spans="1:13" ht="14" thickBot="1">
      <c r="B33" s="785" t="s">
        <v>1568</v>
      </c>
      <c r="C33" s="916">
        <f>Data!K$17</f>
        <v>31944.52</v>
      </c>
      <c r="D33" s="916">
        <f>Data!L$17</f>
        <v>30828.35</v>
      </c>
      <c r="E33" s="916">
        <f>Data!M$17</f>
        <v>31903.42</v>
      </c>
      <c r="F33" s="916">
        <f>Data!N$17</f>
        <v>32948.589999999997</v>
      </c>
      <c r="G33" s="916">
        <f>Data!O$17</f>
        <v>40726.589999999997</v>
      </c>
      <c r="H33" s="916">
        <f>Data!P$17</f>
        <v>42417.85</v>
      </c>
      <c r="I33" s="795">
        <f>H33+I59-I71+I73</f>
        <v>44856.680080471189</v>
      </c>
      <c r="J33" s="796">
        <f>I33+J59-J71+J73</f>
        <v>46306.181003138467</v>
      </c>
      <c r="K33" s="797">
        <f>J33+K59-K71+K73</f>
        <v>46248.968282265552</v>
      </c>
      <c r="L33" s="797">
        <f>AVERAGE(I33:K33)</f>
        <v>45803.943121958408</v>
      </c>
    </row>
    <row r="34" spans="1:13">
      <c r="B34" s="724" t="s">
        <v>1569</v>
      </c>
      <c r="C34" s="917">
        <f t="shared" ref="C34:K34" si="14">C27+C28</f>
        <v>152855.68169674001</v>
      </c>
      <c r="D34" s="917">
        <f t="shared" si="14"/>
        <v>155924.67996146</v>
      </c>
      <c r="E34" s="917">
        <f t="shared" si="14"/>
        <v>165672.99604664999</v>
      </c>
      <c r="F34" s="917">
        <f t="shared" si="14"/>
        <v>198935.64263274</v>
      </c>
      <c r="G34" s="917">
        <f t="shared" si="14"/>
        <v>234869.2218761</v>
      </c>
      <c r="H34" s="917">
        <f t="shared" si="14"/>
        <v>292071.99719038</v>
      </c>
      <c r="I34" s="798">
        <f t="shared" si="14"/>
        <v>314146</v>
      </c>
      <c r="J34" s="799">
        <f t="shared" si="14"/>
        <v>331263</v>
      </c>
      <c r="K34" s="800">
        <f t="shared" si="14"/>
        <v>344947</v>
      </c>
      <c r="L34" s="800"/>
    </row>
    <row r="35" spans="1:13">
      <c r="B35" s="801" t="s">
        <v>1570</v>
      </c>
      <c r="C35" s="918">
        <f t="shared" ref="C35:K35" si="15">ROUND(C26/C27*100,1)</f>
        <v>139.5</v>
      </c>
      <c r="D35" s="918">
        <f t="shared" si="15"/>
        <v>140.69999999999999</v>
      </c>
      <c r="E35" s="918">
        <f t="shared" si="15"/>
        <v>154.80000000000001</v>
      </c>
      <c r="F35" s="918">
        <f t="shared" si="15"/>
        <v>157</v>
      </c>
      <c r="G35" s="918">
        <f t="shared" si="15"/>
        <v>152.69999999999999</v>
      </c>
      <c r="H35" s="918">
        <f t="shared" si="15"/>
        <v>145.19999999999999</v>
      </c>
      <c r="I35" s="803">
        <f t="shared" si="15"/>
        <v>145.19999999999999</v>
      </c>
      <c r="J35" s="802">
        <f t="shared" si="15"/>
        <v>146.6</v>
      </c>
      <c r="K35" s="804">
        <f t="shared" si="15"/>
        <v>149.5</v>
      </c>
      <c r="L35" s="804"/>
    </row>
    <row r="36" spans="1:13">
      <c r="B36" s="801" t="s">
        <v>1571</v>
      </c>
      <c r="C36" s="918">
        <f t="shared" ref="C36:K36" si="16">C77/C26*100</f>
        <v>8.3522490887265093</v>
      </c>
      <c r="D36" s="918">
        <f t="shared" si="16"/>
        <v>11.79194951165246</v>
      </c>
      <c r="E36" s="918">
        <f t="shared" si="16"/>
        <v>11.15983468720173</v>
      </c>
      <c r="F36" s="918">
        <f t="shared" si="16"/>
        <v>10.643200812109528</v>
      </c>
      <c r="G36" s="918">
        <f t="shared" si="16"/>
        <v>13.783229119047849</v>
      </c>
      <c r="H36" s="918">
        <f t="shared" si="16"/>
        <v>17.956589800641556</v>
      </c>
      <c r="I36" s="803">
        <f t="shared" si="16"/>
        <v>14.12761101526112</v>
      </c>
      <c r="J36" s="802">
        <f t="shared" si="16"/>
        <v>14.127719366109478</v>
      </c>
      <c r="K36" s="804">
        <f t="shared" si="16"/>
        <v>14.127757251021492</v>
      </c>
      <c r="L36" s="804"/>
    </row>
    <row r="37" spans="1:13">
      <c r="B37" s="801" t="s">
        <v>1572</v>
      </c>
      <c r="C37" s="918">
        <f t="shared" ref="C37:K37" si="17">ROUND(C31/C27*100,1)</f>
        <v>87.9</v>
      </c>
      <c r="D37" s="918">
        <f t="shared" si="17"/>
        <v>98.8</v>
      </c>
      <c r="E37" s="918">
        <f t="shared" si="17"/>
        <v>107.3</v>
      </c>
      <c r="F37" s="918">
        <f t="shared" si="17"/>
        <v>112.9</v>
      </c>
      <c r="G37" s="918">
        <f t="shared" si="17"/>
        <v>110.3</v>
      </c>
      <c r="H37" s="918">
        <f t="shared" si="17"/>
        <v>101.2</v>
      </c>
      <c r="I37" s="803">
        <f t="shared" si="17"/>
        <v>101.2</v>
      </c>
      <c r="J37" s="802">
        <f t="shared" si="17"/>
        <v>102.2</v>
      </c>
      <c r="K37" s="804">
        <f t="shared" si="17"/>
        <v>104.2</v>
      </c>
      <c r="L37" s="804"/>
    </row>
    <row r="38" spans="1:13">
      <c r="B38" s="801" t="s">
        <v>1573</v>
      </c>
      <c r="C38" s="918">
        <f t="shared" ref="C38:K38" si="18">C32/C26*100</f>
        <v>9.2797742169404973</v>
      </c>
      <c r="D38" s="918">
        <f t="shared" si="18"/>
        <v>7.4063556832647235</v>
      </c>
      <c r="E38" s="918">
        <f t="shared" si="18"/>
        <v>6.1328173685448073</v>
      </c>
      <c r="F38" s="918">
        <f t="shared" si="18"/>
        <v>4.9585477993449079</v>
      </c>
      <c r="G38" s="918">
        <f t="shared" si="18"/>
        <v>4.3853370742197031</v>
      </c>
      <c r="H38" s="918">
        <f t="shared" si="18"/>
        <v>5.0825238102853065</v>
      </c>
      <c r="I38" s="803">
        <f t="shared" si="18"/>
        <v>5.0825238102853065</v>
      </c>
      <c r="J38" s="802">
        <f t="shared" si="18"/>
        <v>5.0825238102853056</v>
      </c>
      <c r="K38" s="804">
        <f t="shared" si="18"/>
        <v>5.0825238102853056</v>
      </c>
      <c r="L38" s="804"/>
    </row>
    <row r="39" spans="1:13" ht="14" thickBot="1">
      <c r="B39" s="801" t="s">
        <v>1574</v>
      </c>
      <c r="C39" s="918"/>
      <c r="D39" s="918">
        <f t="shared" ref="D39:K39" si="19">ROUND((D27/C27-1)*100,0)</f>
        <v>2</v>
      </c>
      <c r="E39" s="918">
        <f t="shared" si="19"/>
        <v>7</v>
      </c>
      <c r="F39" s="918">
        <f t="shared" si="19"/>
        <v>20</v>
      </c>
      <c r="G39" s="918">
        <f t="shared" si="19"/>
        <v>18</v>
      </c>
      <c r="H39" s="918">
        <f t="shared" si="19"/>
        <v>20</v>
      </c>
      <c r="I39" s="805">
        <f>ROUND((I27/H27-1)*100,0)</f>
        <v>4</v>
      </c>
      <c r="J39" s="806">
        <f t="shared" si="19"/>
        <v>3</v>
      </c>
      <c r="K39" s="807">
        <f t="shared" si="19"/>
        <v>2</v>
      </c>
      <c r="L39" s="807"/>
    </row>
    <row r="40" spans="1:13">
      <c r="B40" s="808"/>
      <c r="C40" s="809"/>
      <c r="D40" s="809"/>
      <c r="E40" s="809"/>
      <c r="F40" s="809"/>
      <c r="G40" s="809"/>
      <c r="H40" s="809"/>
      <c r="I40" s="810"/>
      <c r="J40" s="810"/>
      <c r="K40" s="810"/>
      <c r="L40" s="811"/>
    </row>
    <row r="41" spans="1:13">
      <c r="B41" s="808"/>
      <c r="C41" s="809"/>
      <c r="D41" s="809"/>
      <c r="E41" s="809"/>
      <c r="F41" s="809"/>
      <c r="G41" s="809"/>
      <c r="H41" s="809"/>
      <c r="I41" s="809"/>
      <c r="J41" s="809"/>
      <c r="K41" s="809"/>
      <c r="L41" s="811"/>
      <c r="M41" s="809"/>
    </row>
    <row r="42" spans="1:13">
      <c r="C42" s="782"/>
      <c r="D42" s="782"/>
      <c r="E42" s="782"/>
      <c r="F42" s="782"/>
      <c r="G42" s="782"/>
      <c r="H42" s="782"/>
      <c r="I42" s="782"/>
      <c r="J42" s="782"/>
    </row>
    <row r="43" spans="1:13" s="725" customFormat="1">
      <c r="B43" s="726" t="s">
        <v>1575</v>
      </c>
    </row>
    <row r="44" spans="1:13" ht="14" thickBot="1">
      <c r="L44" s="730" t="s">
        <v>1533</v>
      </c>
    </row>
    <row r="45" spans="1:13">
      <c r="B45" s="731" t="s">
        <v>1534</v>
      </c>
      <c r="C45" s="732" t="str">
        <f t="shared" ref="C45:H45" si="20">C25</f>
        <v>FY12</v>
      </c>
      <c r="D45" s="732" t="str">
        <f t="shared" si="20"/>
        <v>FY13</v>
      </c>
      <c r="E45" s="732" t="str">
        <f t="shared" si="20"/>
        <v>FY14</v>
      </c>
      <c r="F45" s="732" t="str">
        <f t="shared" si="20"/>
        <v>FY15</v>
      </c>
      <c r="G45" s="732" t="str">
        <f t="shared" si="20"/>
        <v>FY16</v>
      </c>
      <c r="H45" s="732" t="str">
        <f t="shared" si="20"/>
        <v>FY17</v>
      </c>
      <c r="I45" s="734" t="str">
        <f>I$25</f>
        <v>2018(E)</v>
      </c>
      <c r="J45" s="735" t="str">
        <f>J$25</f>
        <v>2019(E)</v>
      </c>
      <c r="K45" s="736" t="str">
        <f>K$25</f>
        <v>2020(E)</v>
      </c>
      <c r="L45" s="737" t="s">
        <v>1560</v>
      </c>
    </row>
    <row r="46" spans="1:13">
      <c r="B46" s="785" t="s">
        <v>1576</v>
      </c>
      <c r="C46" s="925">
        <f t="shared" ref="C46:F46" si="21">C55+C54-C53</f>
        <v>6802.6105963199998</v>
      </c>
      <c r="D46" s="925">
        <f t="shared" si="21"/>
        <v>4074.1709232600001</v>
      </c>
      <c r="E46" s="925">
        <f t="shared" si="21"/>
        <v>7156.9628224399994</v>
      </c>
      <c r="F46" s="925">
        <f t="shared" si="21"/>
        <v>7968.6610414699999</v>
      </c>
      <c r="G46" s="925">
        <f>G55+G54-G53</f>
        <v>7658.8829083599994</v>
      </c>
      <c r="H46" s="925">
        <f>H55+H54-H53</f>
        <v>11381.578177279998</v>
      </c>
      <c r="I46" s="812">
        <f t="shared" ref="I46:K46" si="22">SUM(I47:I52)</f>
        <v>11176.112733620004</v>
      </c>
      <c r="J46" s="794">
        <f t="shared" si="22"/>
        <v>10650.333418220987</v>
      </c>
      <c r="K46" s="813">
        <f t="shared" si="22"/>
        <v>8803.0592299731306</v>
      </c>
      <c r="L46" s="814">
        <f t="shared" ref="L46:L55" si="23">AVERAGE(I46:K46)</f>
        <v>10209.835127271375</v>
      </c>
    </row>
    <row r="47" spans="1:13">
      <c r="A47" s="784"/>
      <c r="B47" s="789" t="s">
        <v>1577</v>
      </c>
      <c r="C47" s="913">
        <f>Data!K$211</f>
        <v>2549.5407356800001</v>
      </c>
      <c r="D47" s="913">
        <f>Data!L$211</f>
        <v>1775.4715371</v>
      </c>
      <c r="E47" s="913">
        <f>Data!M$211</f>
        <v>2254.4752445700001</v>
      </c>
      <c r="F47" s="913">
        <f>Data!N$211</f>
        <v>2804.3513719699999</v>
      </c>
      <c r="G47" s="913">
        <f>Data!O$211</f>
        <v>2288.01161146</v>
      </c>
      <c r="H47" s="913">
        <f>Data!P$211</f>
        <v>2355.3938719299999</v>
      </c>
      <c r="I47" s="792">
        <f>I117</f>
        <v>1550.5385251945938</v>
      </c>
      <c r="J47" s="791">
        <f>J117</f>
        <v>1378.4944182209852</v>
      </c>
      <c r="K47" s="815">
        <f>K117</f>
        <v>1377.7225799731305</v>
      </c>
      <c r="L47" s="816">
        <f t="shared" si="23"/>
        <v>1435.5851744629033</v>
      </c>
    </row>
    <row r="48" spans="1:13">
      <c r="A48" s="784"/>
      <c r="B48" s="789" t="s">
        <v>1578</v>
      </c>
      <c r="C48" s="913">
        <f>Data!K$215</f>
        <v>900.5811238</v>
      </c>
      <c r="D48" s="913">
        <f>Data!L$215</f>
        <v>645.21910138999999</v>
      </c>
      <c r="E48" s="913">
        <f>Data!M$215</f>
        <v>830.56379490999996</v>
      </c>
      <c r="F48" s="913">
        <f>Data!N$215</f>
        <v>1010.2729842700001</v>
      </c>
      <c r="G48" s="913">
        <f>Data!O$215</f>
        <v>1031.5412439900001</v>
      </c>
      <c r="H48" s="913">
        <f>Data!P$215</f>
        <v>1199.69167595</v>
      </c>
      <c r="I48" s="792">
        <f t="shared" ref="I48:K49" si="24">ROUND(H48*(1+I147/100),0)</f>
        <v>1188</v>
      </c>
      <c r="J48" s="791">
        <f t="shared" si="24"/>
        <v>1182</v>
      </c>
      <c r="K48" s="815">
        <f t="shared" si="24"/>
        <v>1176</v>
      </c>
      <c r="L48" s="816">
        <f t="shared" si="23"/>
        <v>1182</v>
      </c>
    </row>
    <row r="49" spans="1:12">
      <c r="A49" s="784"/>
      <c r="B49" s="789" t="s">
        <v>1579</v>
      </c>
      <c r="C49" s="913">
        <f>Data!K$216</f>
        <v>508.64304060000001</v>
      </c>
      <c r="D49" s="913">
        <f>Data!L$216</f>
        <v>402.81586871000002</v>
      </c>
      <c r="E49" s="913">
        <f>Data!M$216</f>
        <v>697.69222471</v>
      </c>
      <c r="F49" s="913">
        <f>Data!N$216</f>
        <v>867.94531057999995</v>
      </c>
      <c r="G49" s="913">
        <f>Data!O$216</f>
        <v>1406.1302848</v>
      </c>
      <c r="H49" s="913">
        <f>Data!P$216</f>
        <v>1741.6171613500001</v>
      </c>
      <c r="I49" s="792">
        <f t="shared" si="24"/>
        <v>1933</v>
      </c>
      <c r="J49" s="791">
        <f t="shared" si="24"/>
        <v>1817</v>
      </c>
      <c r="K49" s="815">
        <f t="shared" si="24"/>
        <v>1653</v>
      </c>
      <c r="L49" s="816">
        <f t="shared" si="23"/>
        <v>1801</v>
      </c>
    </row>
    <row r="50" spans="1:12">
      <c r="A50" s="784"/>
      <c r="B50" s="817" t="s">
        <v>1345</v>
      </c>
      <c r="C50" s="913">
        <f>Data!K$217</f>
        <v>-338.46550351000002</v>
      </c>
      <c r="D50" s="913">
        <f>Data!L$217</f>
        <v>-1219.66343338</v>
      </c>
      <c r="E50" s="913">
        <f>Data!M$217</f>
        <v>-418.70206307000001</v>
      </c>
      <c r="F50" s="913">
        <f>Data!N$217</f>
        <v>-1080.59307812</v>
      </c>
      <c r="G50" s="913">
        <f>Data!O$217</f>
        <v>-841.57422439000004</v>
      </c>
      <c r="H50" s="913">
        <f>Data!P$217</f>
        <v>814.88747707000005</v>
      </c>
      <c r="I50" s="792">
        <f>I123</f>
        <v>342.83973722401657</v>
      </c>
      <c r="J50" s="791">
        <f>J123</f>
        <v>354.80575000000005</v>
      </c>
      <c r="K50" s="815">
        <f>K123</f>
        <v>83.919149999999988</v>
      </c>
      <c r="L50" s="816">
        <f t="shared" si="23"/>
        <v>260.52154574133885</v>
      </c>
    </row>
    <row r="51" spans="1:12">
      <c r="A51" s="784"/>
      <c r="B51" s="817" t="s">
        <v>1580</v>
      </c>
      <c r="C51" s="913">
        <f>Data!K$212</f>
        <v>3376.7798659700002</v>
      </c>
      <c r="D51" s="913">
        <f>Data!L$212</f>
        <v>2535.3586793600002</v>
      </c>
      <c r="E51" s="913">
        <f>Data!M$212</f>
        <v>3781.7952330200001</v>
      </c>
      <c r="F51" s="913">
        <f>Data!N$212</f>
        <v>4383.1420143100004</v>
      </c>
      <c r="G51" s="913">
        <f>Data!O$212</f>
        <v>4134.2741015299998</v>
      </c>
      <c r="H51" s="913">
        <f>Data!P$212</f>
        <v>5048.5961801900003</v>
      </c>
      <c r="I51" s="792">
        <f>I127</f>
        <v>6213.7344712013946</v>
      </c>
      <c r="J51" s="791">
        <f>J127</f>
        <v>5970.0332500000004</v>
      </c>
      <c r="K51" s="815">
        <f>K127</f>
        <v>4564.4175000000005</v>
      </c>
      <c r="L51" s="816">
        <f t="shared" si="23"/>
        <v>5582.7284070671312</v>
      </c>
    </row>
    <row r="52" spans="1:12">
      <c r="A52" s="784"/>
      <c r="B52" s="789" t="s">
        <v>1581</v>
      </c>
      <c r="C52" s="913">
        <f>Data!K$221</f>
        <v>-194.46866621999999</v>
      </c>
      <c r="D52" s="913">
        <f>Data!L$221</f>
        <v>-65.030829920000002</v>
      </c>
      <c r="E52" s="913">
        <f>Data!M$221</f>
        <v>11.138388300000001</v>
      </c>
      <c r="F52" s="913">
        <f>Data!N$221</f>
        <v>-16.45756154</v>
      </c>
      <c r="G52" s="913">
        <f>Data!O$221</f>
        <v>-359.50010902999998</v>
      </c>
      <c r="H52" s="913">
        <f>Data!P$221</f>
        <v>221.39181078999999</v>
      </c>
      <c r="I52" s="792">
        <f>I151</f>
        <v>-52</v>
      </c>
      <c r="J52" s="791">
        <f>J151</f>
        <v>-52</v>
      </c>
      <c r="K52" s="815">
        <f>K151</f>
        <v>-52</v>
      </c>
      <c r="L52" s="816">
        <f t="shared" si="23"/>
        <v>-52</v>
      </c>
    </row>
    <row r="53" spans="1:12">
      <c r="A53" s="784"/>
      <c r="B53" s="818" t="s">
        <v>1582</v>
      </c>
      <c r="C53" s="913">
        <f>Data!K$232</f>
        <v>-71.522228510000005</v>
      </c>
      <c r="D53" s="913">
        <f>Data!L$232</f>
        <v>-161.98782571999999</v>
      </c>
      <c r="E53" s="913">
        <f>Data!M$232</f>
        <v>39.585569409999998</v>
      </c>
      <c r="F53" s="913">
        <f>Data!N$232</f>
        <v>-18.27776158</v>
      </c>
      <c r="G53" s="913">
        <f>Data!O$232</f>
        <v>-6.0240624199999999</v>
      </c>
      <c r="H53" s="913">
        <f>Data!P$232</f>
        <v>-22.359034909999998</v>
      </c>
      <c r="I53" s="792">
        <f>-I80</f>
        <v>-101.12739092419503</v>
      </c>
      <c r="J53" s="790">
        <f>-J80</f>
        <v>-82.746000000000009</v>
      </c>
      <c r="K53" s="815">
        <f>-K80</f>
        <v>-86.056500000000014</v>
      </c>
      <c r="L53" s="816">
        <f t="shared" si="23"/>
        <v>-89.976630308065012</v>
      </c>
    </row>
    <row r="54" spans="1:12">
      <c r="A54" s="784"/>
      <c r="B54" s="818" t="s">
        <v>1346</v>
      </c>
      <c r="C54" s="913">
        <f>Data!K$224</f>
        <v>4636.0851017900004</v>
      </c>
      <c r="D54" s="913">
        <f>Data!L$224</f>
        <v>2995.7843909100002</v>
      </c>
      <c r="E54" s="913">
        <f>Data!M$224</f>
        <v>4233.35168187</v>
      </c>
      <c r="F54" s="913">
        <f>Data!N$224</f>
        <v>4805.9484021899998</v>
      </c>
      <c r="G54" s="913">
        <f>Data!O$224</f>
        <v>4654.7521734499996</v>
      </c>
      <c r="H54" s="913">
        <f>Data!P$224</f>
        <v>5324.6601187799997</v>
      </c>
      <c r="I54" s="792">
        <f>H54*(1+I153/100)</f>
        <v>5479.0752622246191</v>
      </c>
      <c r="J54" s="791">
        <f>I54*(1+J153/100)</f>
        <v>5857.1314553181173</v>
      </c>
      <c r="K54" s="815">
        <f>J54*(1+K153/100)</f>
        <v>6436.9874693946113</v>
      </c>
      <c r="L54" s="816">
        <f t="shared" si="23"/>
        <v>5924.3980623124489</v>
      </c>
    </row>
    <row r="55" spans="1:12">
      <c r="B55" s="785" t="s">
        <v>1347</v>
      </c>
      <c r="C55" s="916">
        <f>Data!K$233</f>
        <v>2095.00326602</v>
      </c>
      <c r="D55" s="916">
        <f>Data!L$233</f>
        <v>916.39870662999999</v>
      </c>
      <c r="E55" s="916">
        <f>Data!M$233</f>
        <v>2963.1967099799999</v>
      </c>
      <c r="F55" s="916">
        <f>Data!N$233</f>
        <v>3144.4348777</v>
      </c>
      <c r="G55" s="916">
        <f>Data!O$233</f>
        <v>2998.1066724900002</v>
      </c>
      <c r="H55" s="916">
        <f>Data!P$233</f>
        <v>6034.5590235899999</v>
      </c>
      <c r="I55" s="812">
        <f>I46+I53-I54</f>
        <v>5595.9100804711898</v>
      </c>
      <c r="J55" s="794">
        <f>J46+J53-J54</f>
        <v>4710.4559629028709</v>
      </c>
      <c r="K55" s="813">
        <f>K46+K53-K54</f>
        <v>2280.0152605785188</v>
      </c>
      <c r="L55" s="814">
        <f t="shared" si="23"/>
        <v>4195.4604346508595</v>
      </c>
    </row>
    <row r="56" spans="1:12" ht="12" customHeight="1">
      <c r="A56" s="784"/>
      <c r="B56" s="789" t="s">
        <v>1348</v>
      </c>
      <c r="C56" s="914">
        <f t="shared" ref="C56:G56" si="25">C57-C55</f>
        <v>-81.23982761000002</v>
      </c>
      <c r="D56" s="914">
        <f t="shared" si="25"/>
        <v>-1.1221016199999667</v>
      </c>
      <c r="E56" s="914">
        <f t="shared" si="25"/>
        <v>-148.91480453999975</v>
      </c>
      <c r="F56" s="914">
        <f t="shared" si="25"/>
        <v>32.283853869999803</v>
      </c>
      <c r="G56" s="914">
        <f t="shared" si="25"/>
        <v>65.179226169999765</v>
      </c>
      <c r="H56" s="914">
        <f>H57-H55</f>
        <v>-124.74285837000025</v>
      </c>
      <c r="I56" s="958">
        <v>0</v>
      </c>
      <c r="J56" s="959">
        <v>0</v>
      </c>
      <c r="K56" s="960">
        <v>0</v>
      </c>
      <c r="L56" s="816"/>
    </row>
    <row r="57" spans="1:12">
      <c r="B57" s="818" t="s">
        <v>1349</v>
      </c>
      <c r="C57" s="913">
        <f>Data!K252</f>
        <v>2013.7634384099999</v>
      </c>
      <c r="D57" s="913">
        <f>Data!L252</f>
        <v>915.27660501000003</v>
      </c>
      <c r="E57" s="913">
        <f>Data!M252</f>
        <v>2814.2819054400002</v>
      </c>
      <c r="F57" s="913">
        <f>Data!N252</f>
        <v>3176.7187315699998</v>
      </c>
      <c r="G57" s="913">
        <f>Data!O252</f>
        <v>3063.2858986599999</v>
      </c>
      <c r="H57" s="913">
        <f>Data!P252</f>
        <v>5909.8161652199997</v>
      </c>
      <c r="I57" s="822">
        <f>I55+I56</f>
        <v>5595.9100804711898</v>
      </c>
      <c r="J57" s="790">
        <f>J55+J56</f>
        <v>4710.4559629028709</v>
      </c>
      <c r="K57" s="815">
        <f>K55+K56</f>
        <v>2280.0152605785188</v>
      </c>
      <c r="L57" s="816">
        <f>AVERAGE(I57:K57)</f>
        <v>4195.4604346508595</v>
      </c>
    </row>
    <row r="58" spans="1:12">
      <c r="A58" s="784"/>
      <c r="B58" s="789" t="s">
        <v>1583</v>
      </c>
      <c r="C58" s="913">
        <f>Data!K253</f>
        <v>423.5403086</v>
      </c>
      <c r="D58" s="913">
        <f>Data!L253</f>
        <v>159.89431918</v>
      </c>
      <c r="E58" s="913">
        <f>Data!M253</f>
        <v>613.35406317000002</v>
      </c>
      <c r="F58" s="913">
        <f>Data!N253</f>
        <v>616.10909491999996</v>
      </c>
      <c r="G58" s="913">
        <f>Data!O253</f>
        <v>626.11290087999998</v>
      </c>
      <c r="H58" s="913">
        <f>Data!P253</f>
        <v>1187.01657832</v>
      </c>
      <c r="I58" s="822">
        <f>ROUND(I57*I154/100,0)</f>
        <v>1354</v>
      </c>
      <c r="J58" s="790">
        <f>ROUND(J57*J154/100,0)</f>
        <v>1140</v>
      </c>
      <c r="K58" s="815">
        <f>ROUND(K57*K154/100,0)</f>
        <v>552</v>
      </c>
      <c r="L58" s="816">
        <f>AVERAGE(I58:K58)</f>
        <v>1015.3333333333334</v>
      </c>
    </row>
    <row r="59" spans="1:12">
      <c r="B59" s="785" t="s">
        <v>1350</v>
      </c>
      <c r="C59" s="916">
        <f>Data!K21</f>
        <v>1590.22</v>
      </c>
      <c r="D59" s="916">
        <f>Data!L21</f>
        <v>755.38</v>
      </c>
      <c r="E59" s="916">
        <f>Data!M21</f>
        <v>2200.9299999999998</v>
      </c>
      <c r="F59" s="916">
        <f>Data!N21</f>
        <v>2560.61</v>
      </c>
      <c r="G59" s="916">
        <f>Data!O21</f>
        <v>2437.17</v>
      </c>
      <c r="H59" s="916">
        <f>Data!P21</f>
        <v>4722.8</v>
      </c>
      <c r="I59" s="812">
        <f>I57-I58</f>
        <v>4241.9100804711898</v>
      </c>
      <c r="J59" s="794">
        <f>J57-J58</f>
        <v>3570.4559629028709</v>
      </c>
      <c r="K59" s="813">
        <f>K57-K58</f>
        <v>1728.0152605785188</v>
      </c>
      <c r="L59" s="814">
        <f>AVERAGE(I59:K59)</f>
        <v>3180.1271013175265</v>
      </c>
    </row>
    <row r="60" spans="1:12">
      <c r="B60" s="823" t="s">
        <v>1584</v>
      </c>
      <c r="C60" s="927">
        <f t="shared" ref="C60:H60" si="26">C58/C57*100</f>
        <v>21.032277204040074</v>
      </c>
      <c r="D60" s="927">
        <f t="shared" si="26"/>
        <v>17.469507939433569</v>
      </c>
      <c r="E60" s="927">
        <f t="shared" si="26"/>
        <v>21.794336309535588</v>
      </c>
      <c r="F60" s="927">
        <f t="shared" si="26"/>
        <v>19.394511978575647</v>
      </c>
      <c r="G60" s="927">
        <f t="shared" si="26"/>
        <v>20.439257764150778</v>
      </c>
      <c r="H60" s="927">
        <f t="shared" si="26"/>
        <v>20.085507655986657</v>
      </c>
      <c r="I60" s="824"/>
      <c r="J60" s="823"/>
      <c r="K60" s="825"/>
      <c r="L60" s="826"/>
    </row>
    <row r="61" spans="1:12">
      <c r="B61" s="823" t="s">
        <v>1585</v>
      </c>
      <c r="C61" s="1004">
        <v>89143.12</v>
      </c>
      <c r="D61" s="1004">
        <v>56105.02</v>
      </c>
      <c r="E61" s="1004">
        <v>89663.96</v>
      </c>
      <c r="F61" s="1004">
        <v>111963.48</v>
      </c>
      <c r="G61" s="1004">
        <v>90753.24</v>
      </c>
      <c r="H61" s="1004">
        <v>118686.55328848</v>
      </c>
      <c r="I61" s="828">
        <f>H61*(1+I137/100)</f>
        <v>109191.62902540161</v>
      </c>
      <c r="J61" s="827">
        <f>I61*(1+J137/100)</f>
        <v>105915.88015463956</v>
      </c>
      <c r="K61" s="829">
        <f>J61*(1+K137/100)</f>
        <v>111211.67416237154</v>
      </c>
      <c r="L61" s="830">
        <f>AVERAGE(I61:K61)</f>
        <v>108773.06111413757</v>
      </c>
    </row>
    <row r="62" spans="1:12">
      <c r="B62" s="823" t="s">
        <v>1586</v>
      </c>
      <c r="C62" s="928" t="e">
        <f>(C61/#REF!-1)*100</f>
        <v>#REF!</v>
      </c>
      <c r="D62" s="928">
        <f>((D61*4/3)/C61-1)*100</f>
        <v>-16.082482491825132</v>
      </c>
      <c r="E62" s="928">
        <f>(E61/(D61*4/3)-1)*100</f>
        <v>19.860878759155611</v>
      </c>
      <c r="F62" s="928">
        <f>(F61/E61-1)*100</f>
        <v>24.870103885663752</v>
      </c>
      <c r="G62" s="928">
        <f>(G61/F61-1)*100</f>
        <v>-18.943891347428632</v>
      </c>
      <c r="H62" s="928">
        <f>(H61/G61-1)*100</f>
        <v>30.779411609414709</v>
      </c>
      <c r="I62" s="828"/>
      <c r="J62" s="827"/>
      <c r="K62" s="829"/>
      <c r="L62" s="830"/>
    </row>
    <row r="63" spans="1:12">
      <c r="B63" s="823" t="s">
        <v>1587</v>
      </c>
      <c r="C63" s="929">
        <f t="shared" ref="C63:K63" si="27">C46</f>
        <v>6802.6105963199998</v>
      </c>
      <c r="D63" s="929">
        <f t="shared" si="27"/>
        <v>4074.1709232600001</v>
      </c>
      <c r="E63" s="929">
        <f t="shared" si="27"/>
        <v>7156.9628224399994</v>
      </c>
      <c r="F63" s="929">
        <f t="shared" si="27"/>
        <v>7968.6610414699999</v>
      </c>
      <c r="G63" s="929">
        <f t="shared" si="27"/>
        <v>7658.8829083599994</v>
      </c>
      <c r="H63" s="929">
        <f t="shared" si="27"/>
        <v>11381.578177279998</v>
      </c>
      <c r="I63" s="828">
        <f t="shared" si="27"/>
        <v>11176.112733620004</v>
      </c>
      <c r="J63" s="827">
        <f t="shared" si="27"/>
        <v>10650.333418220987</v>
      </c>
      <c r="K63" s="829">
        <f t="shared" si="27"/>
        <v>8803.0592299731306</v>
      </c>
      <c r="L63" s="830">
        <f>AVERAGE(I63:K63)</f>
        <v>10209.835127271375</v>
      </c>
    </row>
    <row r="64" spans="1:12">
      <c r="B64" s="823" t="s">
        <v>1588</v>
      </c>
      <c r="C64" s="927">
        <f t="shared" ref="C64:K64" si="28">C46/C61*100</f>
        <v>7.6311111797747255</v>
      </c>
      <c r="D64" s="927">
        <f t="shared" si="28"/>
        <v>7.2616869635907815</v>
      </c>
      <c r="E64" s="927">
        <f t="shared" si="28"/>
        <v>7.9819838678104329</v>
      </c>
      <c r="F64" s="927">
        <f t="shared" si="28"/>
        <v>7.1171966443611794</v>
      </c>
      <c r="G64" s="927">
        <f t="shared" si="28"/>
        <v>8.4392390931276928</v>
      </c>
      <c r="H64" s="927">
        <f t="shared" si="28"/>
        <v>9.589610500876109</v>
      </c>
      <c r="I64" s="824">
        <f>I46/I61*100</f>
        <v>10.23532008211002</v>
      </c>
      <c r="J64" s="823">
        <f t="shared" si="28"/>
        <v>10.055464206756591</v>
      </c>
      <c r="K64" s="825">
        <f t="shared" si="28"/>
        <v>7.9155891647854038</v>
      </c>
      <c r="L64" s="831">
        <f>AVERAGE(I64:K64)</f>
        <v>9.4021244845506704</v>
      </c>
    </row>
    <row r="65" spans="1:12">
      <c r="B65" s="823" t="s">
        <v>1589</v>
      </c>
      <c r="C65" s="926">
        <f>Data!K352</f>
        <v>0.88153176026586999</v>
      </c>
      <c r="D65" s="926">
        <f>Data!L352</f>
        <v>0.51482215476503446</v>
      </c>
      <c r="E65" s="926">
        <f>Data!M352</f>
        <v>1.0155999355878853</v>
      </c>
      <c r="F65" s="926">
        <f>Data!N352</f>
        <v>0.98545027227548088</v>
      </c>
      <c r="G65" s="926">
        <f>Data!O352</f>
        <v>0.79510455928738966</v>
      </c>
      <c r="H65" s="926">
        <f>Data!P352</f>
        <v>1.3422790132847369</v>
      </c>
      <c r="I65" s="824">
        <f>I59/AVERAGE(H26:I26)*100</f>
        <v>1.1076628868812648</v>
      </c>
      <c r="J65" s="823">
        <f t="shared" ref="J65:K65" si="29">J59/AVERAGE(I26:J26)*100</f>
        <v>0.89647150157269651</v>
      </c>
      <c r="K65" s="825">
        <f t="shared" si="29"/>
        <v>0.41718342125108399</v>
      </c>
      <c r="L65" s="831">
        <f>AVERAGE(I65:K65)</f>
        <v>0.80710593656834828</v>
      </c>
    </row>
    <row r="66" spans="1:12" ht="14" thickBot="1">
      <c r="B66" s="823" t="s">
        <v>1590</v>
      </c>
      <c r="C66" s="926">
        <f>Data!K353</f>
        <v>5.0188521235546961</v>
      </c>
      <c r="D66" s="926">
        <f>Data!L353</f>
        <v>3.2089539166717262</v>
      </c>
      <c r="E66" s="926">
        <f>Data!M353</f>
        <v>7.0169477145336927</v>
      </c>
      <c r="F66" s="926">
        <f>Data!N353</f>
        <v>7.8967777953109719</v>
      </c>
      <c r="G66" s="926">
        <f>Data!O353</f>
        <v>6.6159939020548659</v>
      </c>
      <c r="H66" s="926">
        <f>Data!P353</f>
        <v>11.360468829431163</v>
      </c>
      <c r="I66" s="832">
        <f>I59/AVERAGE(H33:I33)*100</f>
        <v>9.720843129283999</v>
      </c>
      <c r="J66" s="833">
        <f t="shared" ref="J66:K66" si="30">J59/AVERAGE(I33:J33)*100</f>
        <v>7.8331371360278856</v>
      </c>
      <c r="K66" s="834">
        <f t="shared" si="30"/>
        <v>3.7340229558703282</v>
      </c>
      <c r="L66" s="835">
        <f>AVERAGE(I66:K66)</f>
        <v>7.0960010737274049</v>
      </c>
    </row>
    <row r="67" spans="1:12">
      <c r="I67" s="836"/>
    </row>
    <row r="68" spans="1:12" s="725" customFormat="1">
      <c r="B68" s="726" t="s">
        <v>1591</v>
      </c>
    </row>
    <row r="69" spans="1:12" ht="14" thickBot="1">
      <c r="K69" s="730"/>
      <c r="L69" s="730" t="s">
        <v>1533</v>
      </c>
    </row>
    <row r="70" spans="1:12">
      <c r="B70" s="731" t="s">
        <v>1534</v>
      </c>
      <c r="C70" s="732" t="str">
        <f t="shared" ref="C70:H70" si="31">C45</f>
        <v>FY12</v>
      </c>
      <c r="D70" s="732" t="str">
        <f t="shared" si="31"/>
        <v>FY13</v>
      </c>
      <c r="E70" s="732" t="str">
        <f t="shared" si="31"/>
        <v>FY14</v>
      </c>
      <c r="F70" s="732" t="str">
        <f t="shared" si="31"/>
        <v>FY15</v>
      </c>
      <c r="G70" s="732" t="str">
        <f t="shared" si="31"/>
        <v>FY16</v>
      </c>
      <c r="H70" s="732" t="str">
        <f t="shared" si="31"/>
        <v>FY17</v>
      </c>
      <c r="I70" s="734" t="str">
        <f>I$25</f>
        <v>2018(E)</v>
      </c>
      <c r="J70" s="735" t="str">
        <f>J$25</f>
        <v>2019(E)</v>
      </c>
      <c r="K70" s="736" t="str">
        <f>K$25</f>
        <v>2020(E)</v>
      </c>
      <c r="L70" s="737" t="s">
        <v>1560</v>
      </c>
    </row>
    <row r="71" spans="1:12">
      <c r="A71" s="784"/>
      <c r="B71" s="837" t="s">
        <v>1594</v>
      </c>
      <c r="C71" s="916">
        <f>Data!K$34</f>
        <v>1000.75</v>
      </c>
      <c r="D71" s="916">
        <f>Data!L$34</f>
        <v>1801.35</v>
      </c>
      <c r="E71" s="916">
        <f>Data!M$34</f>
        <v>600.45000000000005</v>
      </c>
      <c r="F71" s="916">
        <f>Data!N$34</f>
        <v>1601.2</v>
      </c>
      <c r="G71" s="916">
        <f>Data!O$34</f>
        <v>2001.5</v>
      </c>
      <c r="H71" s="916">
        <f>Data!P$34</f>
        <v>10823</v>
      </c>
      <c r="I71" s="1261">
        <f>Data!AJ$34</f>
        <v>1803.08</v>
      </c>
      <c r="J71" s="794">
        <f>J72*I59/100</f>
        <v>2120.9550402355949</v>
      </c>
      <c r="K71" s="813">
        <f>K72*J59/100</f>
        <v>1785.2279814514354</v>
      </c>
      <c r="L71" s="838">
        <f>AVERAGE(I71:K71)</f>
        <v>1903.0876738956767</v>
      </c>
    </row>
    <row r="72" spans="1:12">
      <c r="B72" s="839" t="s">
        <v>1595</v>
      </c>
      <c r="C72" s="930" t="e">
        <f>C71/#REF!*100</f>
        <v>#REF!</v>
      </c>
      <c r="D72" s="930">
        <f t="shared" ref="D72:I72" si="32">D71/C59*100</f>
        <v>113.27677931355409</v>
      </c>
      <c r="E72" s="930">
        <f t="shared" si="32"/>
        <v>79.48979321665918</v>
      </c>
      <c r="F72" s="930">
        <f t="shared" si="32"/>
        <v>72.751064322809</v>
      </c>
      <c r="G72" s="930">
        <f t="shared" si="32"/>
        <v>78.164968503598757</v>
      </c>
      <c r="H72" s="930">
        <f t="shared" si="32"/>
        <v>444.08063450641515</v>
      </c>
      <c r="I72" s="1152">
        <f t="shared" si="32"/>
        <v>38.17819937325315</v>
      </c>
      <c r="J72" s="904">
        <f>J155</f>
        <v>50</v>
      </c>
      <c r="K72" s="1263">
        <f t="shared" ref="K72" si="33">K155</f>
        <v>50</v>
      </c>
      <c r="L72" s="838">
        <f>AVERAGE(I72:K72)</f>
        <v>46.059399791084388</v>
      </c>
    </row>
    <row r="73" spans="1:12">
      <c r="A73" s="784"/>
      <c r="B73" s="837" t="s">
        <v>1596</v>
      </c>
      <c r="C73" s="916">
        <f>Data!K$35</f>
        <v>0</v>
      </c>
      <c r="D73" s="916">
        <f>Data!L$35</f>
        <v>0</v>
      </c>
      <c r="E73" s="916">
        <f>Data!M$35</f>
        <v>0</v>
      </c>
      <c r="F73" s="916">
        <f>Data!N$35</f>
        <v>0</v>
      </c>
      <c r="G73" s="916">
        <f>Data!O$35</f>
        <v>16919.98</v>
      </c>
      <c r="H73" s="916">
        <f>Data!P$35</f>
        <v>0</v>
      </c>
      <c r="I73" s="961">
        <v>0</v>
      </c>
      <c r="J73" s="962">
        <v>0</v>
      </c>
      <c r="K73" s="963">
        <v>0</v>
      </c>
      <c r="L73" s="814">
        <f>AVERAGE(I73:K73)</f>
        <v>0</v>
      </c>
    </row>
    <row r="74" spans="1:12">
      <c r="A74" s="784"/>
      <c r="B74" s="785" t="s">
        <v>1597</v>
      </c>
      <c r="C74" s="916">
        <f>Data!K292</f>
        <v>371.06824460999997</v>
      </c>
      <c r="D74" s="916">
        <f>Data!L292</f>
        <v>769.13248494999993</v>
      </c>
      <c r="E74" s="916">
        <f>Data!M292</f>
        <v>609.73959902000001</v>
      </c>
      <c r="F74" s="916">
        <f>Data!N292</f>
        <v>646.04203123000002</v>
      </c>
      <c r="G74" s="916">
        <f>Data!O292</f>
        <v>373.69789374000004</v>
      </c>
      <c r="H74" s="916">
        <f>Data!P292</f>
        <v>371.11319571000001</v>
      </c>
      <c r="I74" s="842">
        <f>ROUND(H74*(1+I156/100),0)</f>
        <v>416</v>
      </c>
      <c r="J74" s="843">
        <f>ROUND(I74*(1+J156/100),0)</f>
        <v>433</v>
      </c>
      <c r="K74" s="844">
        <f>ROUND(J74*(1+K156/100),0)</f>
        <v>442</v>
      </c>
      <c r="L74" s="814">
        <f>AVERAGE(I74:K74)</f>
        <v>430.33333333333331</v>
      </c>
    </row>
    <row r="75" spans="1:12">
      <c r="A75" s="784"/>
      <c r="B75" s="785" t="s">
        <v>1598</v>
      </c>
      <c r="C75" s="916">
        <f>Data!K293</f>
        <v>435.66449644999994</v>
      </c>
      <c r="D75" s="916">
        <f>Data!L293</f>
        <v>854.46845082999994</v>
      </c>
      <c r="E75" s="916">
        <f>Data!M293</f>
        <v>654.35612863000006</v>
      </c>
      <c r="F75" s="916">
        <f>Data!N293</f>
        <v>673.5864646</v>
      </c>
      <c r="G75" s="916">
        <f>Data!O293</f>
        <v>422.07300823000003</v>
      </c>
      <c r="H75" s="916">
        <f>Data!P293</f>
        <v>371.11319686000002</v>
      </c>
      <c r="I75" s="842">
        <f>I74*I76</f>
        <v>457.6</v>
      </c>
      <c r="J75" s="843">
        <f>J74*J76</f>
        <v>476.3</v>
      </c>
      <c r="K75" s="844">
        <f>K74*K76</f>
        <v>486.20000000000005</v>
      </c>
      <c r="L75" s="814">
        <f>AVERAGE(I75:K75)</f>
        <v>473.36666666666673</v>
      </c>
    </row>
    <row r="76" spans="1:12">
      <c r="A76" s="784"/>
      <c r="B76" s="785" t="s">
        <v>1599</v>
      </c>
      <c r="C76" s="931">
        <f t="shared" ref="C76:H76" si="34">C75/C74</f>
        <v>1.1740818643963777</v>
      </c>
      <c r="D76" s="931">
        <f t="shared" si="34"/>
        <v>1.110950931796292</v>
      </c>
      <c r="E76" s="931">
        <f t="shared" si="34"/>
        <v>1.0731730884490849</v>
      </c>
      <c r="F76" s="931">
        <f t="shared" si="34"/>
        <v>1.042635667709666</v>
      </c>
      <c r="G76" s="932">
        <f t="shared" si="34"/>
        <v>1.1294497916642177</v>
      </c>
      <c r="H76" s="932">
        <f t="shared" si="34"/>
        <v>1.000000003098785</v>
      </c>
      <c r="I76" s="769">
        <f>I157</f>
        <v>1.1000000000000001</v>
      </c>
      <c r="J76" s="770">
        <f>J157</f>
        <v>1.1000000000000001</v>
      </c>
      <c r="K76" s="771">
        <f>K157</f>
        <v>1.1000000000000001</v>
      </c>
      <c r="L76" s="814"/>
    </row>
    <row r="77" spans="1:12">
      <c r="A77" s="784"/>
      <c r="B77" s="785" t="s">
        <v>1600</v>
      </c>
      <c r="C77" s="916">
        <f>Data!K269</f>
        <v>16097.496804480001</v>
      </c>
      <c r="D77" s="916">
        <f>Data!L269</f>
        <v>23411.490108689999</v>
      </c>
      <c r="E77" s="916">
        <f>Data!M269</f>
        <v>26212.96630624</v>
      </c>
      <c r="F77" s="916">
        <f>Data!N269</f>
        <v>30311.469786779999</v>
      </c>
      <c r="G77" s="916">
        <f>Data!O269</f>
        <v>45243.082949379997</v>
      </c>
      <c r="H77" s="916">
        <f>Data!P269</f>
        <v>67418.260616130006</v>
      </c>
      <c r="I77" s="812">
        <f>ROUND(I26*I146/100,0)</f>
        <v>55164</v>
      </c>
      <c r="J77" s="794">
        <f>ROUND(J26*J146/100,0)</f>
        <v>57371</v>
      </c>
      <c r="K77" s="813">
        <f>ROUND(K26*K146/100,0)</f>
        <v>59666</v>
      </c>
      <c r="L77" s="814">
        <f>AVERAGE(I77:K77)</f>
        <v>57400.333333333336</v>
      </c>
    </row>
    <row r="78" spans="1:12">
      <c r="A78" s="784"/>
      <c r="B78" s="845" t="s">
        <v>1679</v>
      </c>
      <c r="C78" s="918">
        <f t="shared" ref="C78:K78" si="35">C74/C77*100</f>
        <v>2.3051301026301809</v>
      </c>
      <c r="D78" s="918">
        <f t="shared" si="35"/>
        <v>3.2852777904320978</v>
      </c>
      <c r="E78" s="918">
        <f t="shared" si="35"/>
        <v>2.3260991979944348</v>
      </c>
      <c r="F78" s="918">
        <f t="shared" si="35"/>
        <v>2.1313451171271276</v>
      </c>
      <c r="G78" s="918">
        <f t="shared" si="35"/>
        <v>0.82597796033950666</v>
      </c>
      <c r="H78" s="918">
        <f t="shared" si="35"/>
        <v>0.55046391336475708</v>
      </c>
      <c r="I78" s="846">
        <f t="shared" si="35"/>
        <v>0.75411500253788699</v>
      </c>
      <c r="J78" s="802">
        <f t="shared" si="35"/>
        <v>0.75473671367066986</v>
      </c>
      <c r="K78" s="804">
        <f t="shared" si="35"/>
        <v>0.74079039989273621</v>
      </c>
      <c r="L78" s="847">
        <f>AVERAGE(I78:K78)</f>
        <v>0.74988070536709772</v>
      </c>
    </row>
    <row r="79" spans="1:12">
      <c r="B79" s="785" t="s">
        <v>1601</v>
      </c>
      <c r="C79" s="916">
        <f>Data!K359</f>
        <v>346.63593629000002</v>
      </c>
      <c r="D79" s="916">
        <f>Data!L359</f>
        <v>761.45773430999998</v>
      </c>
      <c r="E79" s="916">
        <f>Data!M359</f>
        <v>579.24571487999992</v>
      </c>
      <c r="F79" s="916">
        <f>Data!N359</f>
        <v>655.60711631000004</v>
      </c>
      <c r="G79" s="916">
        <f>Data!O359</f>
        <v>462.67292951000002</v>
      </c>
      <c r="H79" s="916">
        <f>Data!P359</f>
        <v>1072.6429687699999</v>
      </c>
      <c r="I79" s="812">
        <f>H79+I80-I82</f>
        <v>1048.7703596941949</v>
      </c>
      <c r="J79" s="794">
        <f>I79+J80-J82</f>
        <v>1006.516359694195</v>
      </c>
      <c r="K79" s="813">
        <f>J79+K80-K82</f>
        <v>967.5728596941949</v>
      </c>
      <c r="L79" s="814">
        <f>AVERAGE(I79:K79)</f>
        <v>1007.6198596941949</v>
      </c>
    </row>
    <row r="80" spans="1:12">
      <c r="A80" s="784"/>
      <c r="B80" s="845" t="s">
        <v>1602</v>
      </c>
      <c r="C80" s="908">
        <f t="shared" ref="C80:H80" si="36">-C53</f>
        <v>71.522228510000005</v>
      </c>
      <c r="D80" s="908">
        <f t="shared" si="36"/>
        <v>161.98782571999999</v>
      </c>
      <c r="E80" s="908">
        <f t="shared" si="36"/>
        <v>-39.585569409999998</v>
      </c>
      <c r="F80" s="908">
        <f t="shared" si="36"/>
        <v>18.27776158</v>
      </c>
      <c r="G80" s="933">
        <f t="shared" si="36"/>
        <v>6.0240624199999999</v>
      </c>
      <c r="H80" s="933">
        <f t="shared" si="36"/>
        <v>22.359034909999998</v>
      </c>
      <c r="I80" s="819">
        <f>I81/100*H77</f>
        <v>101.12739092419503</v>
      </c>
      <c r="J80" s="820">
        <f>J81/100*I77</f>
        <v>82.746000000000009</v>
      </c>
      <c r="K80" s="821">
        <f>K81/100*J77</f>
        <v>86.056500000000014</v>
      </c>
      <c r="L80" s="848">
        <f>AVERAGE(I80:K80)</f>
        <v>89.976630308065012</v>
      </c>
    </row>
    <row r="81" spans="1:12">
      <c r="A81" s="784"/>
      <c r="B81" s="845" t="s">
        <v>1603</v>
      </c>
      <c r="C81" s="820"/>
      <c r="D81" s="904">
        <f>D80/C77*100</f>
        <v>1.0062920197314038</v>
      </c>
      <c r="E81" s="904">
        <f>E80/D77*100</f>
        <v>-0.16908607365964468</v>
      </c>
      <c r="F81" s="904">
        <f>F80/E77*100</f>
        <v>6.9727940617117332E-2</v>
      </c>
      <c r="G81" s="934">
        <f>G80/F77*100</f>
        <v>1.9873871054010474E-2</v>
      </c>
      <c r="H81" s="934">
        <f>H80/G77*100</f>
        <v>4.9419786301955364E-2</v>
      </c>
      <c r="I81" s="849">
        <f>I152</f>
        <v>0.15000000000000002</v>
      </c>
      <c r="J81" s="840">
        <f>J152</f>
        <v>0.15000000000000002</v>
      </c>
      <c r="K81" s="841">
        <f>K152</f>
        <v>0.15000000000000002</v>
      </c>
      <c r="L81" s="848"/>
    </row>
    <row r="82" spans="1:12">
      <c r="A82" s="784"/>
      <c r="B82" s="845" t="s">
        <v>1604</v>
      </c>
      <c r="C82" s="908" t="e">
        <f>#REF!+C80-C79</f>
        <v>#REF!</v>
      </c>
      <c r="D82" s="908">
        <f t="shared" ref="D82:H82" si="37">C79+D80-D79</f>
        <v>-252.83397229999997</v>
      </c>
      <c r="E82" s="908">
        <f t="shared" si="37"/>
        <v>142.62645002000011</v>
      </c>
      <c r="F82" s="908">
        <f t="shared" si="37"/>
        <v>-58.083639850000168</v>
      </c>
      <c r="G82" s="933">
        <f t="shared" si="37"/>
        <v>198.95824921999997</v>
      </c>
      <c r="H82" s="933">
        <f t="shared" si="37"/>
        <v>-587.61100434999992</v>
      </c>
      <c r="I82" s="850">
        <f>I158</f>
        <v>125</v>
      </c>
      <c r="J82" s="851">
        <f>J158</f>
        <v>125</v>
      </c>
      <c r="K82" s="852">
        <f>K158</f>
        <v>125</v>
      </c>
      <c r="L82" s="848">
        <f>AVERAGE(I82:K82)</f>
        <v>125</v>
      </c>
    </row>
    <row r="83" spans="1:12">
      <c r="A83" s="784"/>
      <c r="B83" s="785" t="s">
        <v>1605</v>
      </c>
      <c r="C83" s="922">
        <f t="shared" ref="C83:H83" si="38">C79/C74*100</f>
        <v>93.415683321088608</v>
      </c>
      <c r="D83" s="922">
        <f t="shared" si="38"/>
        <v>99.002154922568522</v>
      </c>
      <c r="E83" s="922">
        <f t="shared" si="38"/>
        <v>94.998867682366182</v>
      </c>
      <c r="F83" s="922">
        <f t="shared" si="38"/>
        <v>101.48056699372781</v>
      </c>
      <c r="G83" s="922">
        <f t="shared" si="38"/>
        <v>123.80934901171914</v>
      </c>
      <c r="H83" s="922">
        <f t="shared" si="38"/>
        <v>289.0339069506432</v>
      </c>
      <c r="I83" s="769">
        <f>ROUND(I79/I74*100,1)</f>
        <v>252.1</v>
      </c>
      <c r="J83" s="768">
        <f>ROUND(J79/J74*100,1)</f>
        <v>232.5</v>
      </c>
      <c r="K83" s="771">
        <f>ROUND(K79/K74*100,1)</f>
        <v>218.9</v>
      </c>
      <c r="L83" s="853">
        <f>AVERAGE(I83:K83)</f>
        <v>234.5</v>
      </c>
    </row>
    <row r="84" spans="1:12">
      <c r="A84" s="784"/>
      <c r="B84" s="785" t="s">
        <v>1606</v>
      </c>
      <c r="C84" s="916">
        <f>Data!K271</f>
        <v>22794.47025857</v>
      </c>
      <c r="D84" s="916">
        <f>Data!L271</f>
        <v>20855.915167409999</v>
      </c>
      <c r="E84" s="916">
        <f>Data!M271</f>
        <v>22354.537245849999</v>
      </c>
      <c r="F84" s="916">
        <f>Data!N271</f>
        <v>23319.710716400001</v>
      </c>
      <c r="G84" s="916">
        <f>Data!O271</f>
        <v>28375.460349509998</v>
      </c>
      <c r="H84" s="916">
        <f>Data!P271</f>
        <v>32236.587257679999</v>
      </c>
      <c r="I84" s="812">
        <f>I85/100*I33</f>
        <v>29156.842052306274</v>
      </c>
      <c r="J84" s="794">
        <f>J85/100*J33</f>
        <v>30099.017652040005</v>
      </c>
      <c r="K84" s="813">
        <f>K85/100*K33</f>
        <v>30061.82938347261</v>
      </c>
      <c r="L84" s="814">
        <f>AVERAGE(I84:K84)</f>
        <v>29772.563029272962</v>
      </c>
    </row>
    <row r="85" spans="1:12">
      <c r="A85" s="784"/>
      <c r="B85" s="854" t="s">
        <v>1607</v>
      </c>
      <c r="C85" s="935">
        <f t="shared" ref="C85:H85" si="39">C84/C33*100</f>
        <v>71.356433775088817</v>
      </c>
      <c r="D85" s="935">
        <f t="shared" si="39"/>
        <v>67.651739932270132</v>
      </c>
      <c r="E85" s="935">
        <f t="shared" si="39"/>
        <v>70.069407122653303</v>
      </c>
      <c r="F85" s="935">
        <f t="shared" si="39"/>
        <v>70.776050557550434</v>
      </c>
      <c r="G85" s="936">
        <f t="shared" si="39"/>
        <v>69.673057207858562</v>
      </c>
      <c r="H85" s="936">
        <f t="shared" si="39"/>
        <v>75.997692616858231</v>
      </c>
      <c r="I85" s="857">
        <f>I159</f>
        <v>65</v>
      </c>
      <c r="J85" s="855">
        <f>J159</f>
        <v>65</v>
      </c>
      <c r="K85" s="858">
        <f>K159</f>
        <v>65</v>
      </c>
      <c r="L85" s="859"/>
    </row>
    <row r="86" spans="1:12">
      <c r="A86" s="784"/>
      <c r="B86" s="785" t="s">
        <v>1608</v>
      </c>
      <c r="C86" s="916">
        <f>Data!K272</f>
        <v>5051.4945556499997</v>
      </c>
      <c r="D86" s="916">
        <f>Data!L272</f>
        <v>4901.8826767299997</v>
      </c>
      <c r="E86" s="916">
        <f>Data!M272</f>
        <v>5582.8472829900002</v>
      </c>
      <c r="F86" s="916">
        <f>Data!N272</f>
        <v>7284.4561459799997</v>
      </c>
      <c r="G86" s="916">
        <f>Data!O272</f>
        <v>8494.8518345899993</v>
      </c>
      <c r="H86" s="916">
        <f>Data!P272</f>
        <v>13204.90249022</v>
      </c>
      <c r="I86" s="812">
        <f>I87*I26/100</f>
        <v>10549.422389582372</v>
      </c>
      <c r="J86" s="794">
        <f>J87*J26/100</f>
        <v>10971.399285165668</v>
      </c>
      <c r="K86" s="813">
        <f>K87*K26/100</f>
        <v>11410.255256572296</v>
      </c>
      <c r="L86" s="814">
        <f>AVERAGE(I86:K86)</f>
        <v>10977.025643773444</v>
      </c>
    </row>
    <row r="87" spans="1:12">
      <c r="A87" s="784"/>
      <c r="B87" s="854" t="s">
        <v>1609</v>
      </c>
      <c r="C87" s="936">
        <f t="shared" ref="C87:H87" si="40">C86/C26*100</f>
        <v>2.6209876797361811</v>
      </c>
      <c r="D87" s="936">
        <f t="shared" si="40"/>
        <v>2.4689907719538295</v>
      </c>
      <c r="E87" s="936">
        <f t="shared" si="40"/>
        <v>2.3768257294570416</v>
      </c>
      <c r="F87" s="936">
        <f t="shared" si="40"/>
        <v>2.5577753277567679</v>
      </c>
      <c r="G87" s="936">
        <f t="shared" si="40"/>
        <v>2.5879423225760179</v>
      </c>
      <c r="H87" s="936">
        <f t="shared" si="40"/>
        <v>3.5170740865661001</v>
      </c>
      <c r="I87" s="857">
        <f>I160</f>
        <v>2.7017282277519077</v>
      </c>
      <c r="J87" s="856">
        <f>J160</f>
        <v>2.7017282277519077</v>
      </c>
      <c r="K87" s="858">
        <f>K160</f>
        <v>2.7017282277519077</v>
      </c>
      <c r="L87" s="859"/>
    </row>
    <row r="88" spans="1:12" hidden="1">
      <c r="B88" s="845" t="s">
        <v>1610</v>
      </c>
      <c r="C88" s="802">
        <f t="shared" ref="C88:K88" si="41">C84/C86*100</f>
        <v>451.24210285597206</v>
      </c>
      <c r="D88" s="802">
        <f t="shared" si="41"/>
        <v>425.46744879097724</v>
      </c>
      <c r="E88" s="802">
        <f t="shared" si="41"/>
        <v>400.41462917963975</v>
      </c>
      <c r="F88" s="802">
        <f t="shared" si="41"/>
        <v>320.12974268874166</v>
      </c>
      <c r="G88" s="802">
        <f t="shared" si="41"/>
        <v>334.0312568368596</v>
      </c>
      <c r="H88" s="802">
        <f t="shared" si="41"/>
        <v>244.12590158507808</v>
      </c>
      <c r="I88" s="860">
        <f t="shared" si="41"/>
        <v>276.38330304319652</v>
      </c>
      <c r="J88" s="802">
        <f t="shared" si="41"/>
        <v>274.34073694443538</v>
      </c>
      <c r="K88" s="804">
        <f t="shared" si="41"/>
        <v>263.46325044881905</v>
      </c>
      <c r="L88" s="861">
        <f t="shared" ref="L88:L99" si="42">AVERAGE(I88:K88)</f>
        <v>271.39576347881695</v>
      </c>
    </row>
    <row r="89" spans="1:12">
      <c r="B89" s="845" t="s">
        <v>1611</v>
      </c>
      <c r="C89" s="937"/>
      <c r="D89" s="937"/>
      <c r="E89" s="937"/>
      <c r="F89" s="937">
        <f>Data!N275</f>
        <v>0</v>
      </c>
      <c r="G89" s="937">
        <f>Data!O275</f>
        <v>1479.2</v>
      </c>
      <c r="H89" s="937">
        <f>Data!P275</f>
        <v>1416.048</v>
      </c>
      <c r="I89" s="860">
        <f>I90/I91*100</f>
        <v>1384.4806296669572</v>
      </c>
      <c r="J89" s="862">
        <f>J90/J91*100</f>
        <v>1423.1858903924362</v>
      </c>
      <c r="K89" s="863">
        <f>K90/K91*100</f>
        <v>1387.7659320610353</v>
      </c>
      <c r="L89" s="861">
        <f t="shared" si="42"/>
        <v>1398.4774840401431</v>
      </c>
    </row>
    <row r="90" spans="1:12">
      <c r="B90" s="845" t="s">
        <v>1612</v>
      </c>
      <c r="C90" s="938">
        <f t="shared" ref="C90:K90" si="43">C84-C86</f>
        <v>17742.975702920001</v>
      </c>
      <c r="D90" s="938">
        <f t="shared" si="43"/>
        <v>15954.03249068</v>
      </c>
      <c r="E90" s="938">
        <f t="shared" si="43"/>
        <v>16771.68996286</v>
      </c>
      <c r="F90" s="938">
        <f t="shared" si="43"/>
        <v>16035.254570420002</v>
      </c>
      <c r="G90" s="938">
        <f t="shared" si="43"/>
        <v>19880.608514920001</v>
      </c>
      <c r="H90" s="938">
        <f t="shared" si="43"/>
        <v>19031.684767459999</v>
      </c>
      <c r="I90" s="865">
        <f t="shared" si="43"/>
        <v>18607.4196627239</v>
      </c>
      <c r="J90" s="864">
        <f t="shared" si="43"/>
        <v>19127.61836687434</v>
      </c>
      <c r="K90" s="866">
        <f t="shared" si="43"/>
        <v>18651.574126900312</v>
      </c>
      <c r="L90" s="867">
        <f t="shared" si="42"/>
        <v>18795.537385499516</v>
      </c>
    </row>
    <row r="91" spans="1:12">
      <c r="B91" s="845" t="s">
        <v>1613</v>
      </c>
      <c r="C91" s="868"/>
      <c r="D91" s="868"/>
      <c r="E91" s="939"/>
      <c r="F91" s="939">
        <f>Data!N274</f>
        <v>2688</v>
      </c>
      <c r="G91" s="939">
        <f>Data!O274</f>
        <v>1344</v>
      </c>
      <c r="H91" s="939">
        <f>Data!P274</f>
        <v>1343.9999999999998</v>
      </c>
      <c r="I91" s="958">
        <f>H91</f>
        <v>1343.9999999999998</v>
      </c>
      <c r="J91" s="1083">
        <f>I91</f>
        <v>1343.9999999999998</v>
      </c>
      <c r="K91" s="1084">
        <f>J91</f>
        <v>1343.9999999999998</v>
      </c>
      <c r="L91" s="867">
        <f t="shared" si="42"/>
        <v>1343.9999999999998</v>
      </c>
    </row>
    <row r="92" spans="1:12">
      <c r="A92" s="784"/>
      <c r="B92" s="785" t="s">
        <v>1614</v>
      </c>
      <c r="C92" s="916">
        <f>Data!K306</f>
        <v>138087.74935345</v>
      </c>
      <c r="D92" s="916">
        <f>Data!L306</f>
        <v>138148.11877413001</v>
      </c>
      <c r="E92" s="916">
        <f>Data!M306</f>
        <v>144624.18772923999</v>
      </c>
      <c r="F92" s="916">
        <f>Data!N306</f>
        <v>205813.76232923</v>
      </c>
      <c r="G92" s="916">
        <f>Data!O306</f>
        <v>138920.33412539001</v>
      </c>
      <c r="H92" s="916">
        <f>Data!P306</f>
        <v>182857.40900121999</v>
      </c>
      <c r="I92" s="812">
        <f>ROUND(H92*(1+I161/100),0)</f>
        <v>206629</v>
      </c>
      <c r="J92" s="794">
        <f>ROUND(I92*(1+$I$161/100),0)</f>
        <v>233491</v>
      </c>
      <c r="K92" s="813">
        <f>ROUND(J92*(1+$I$161/100),0)</f>
        <v>263845</v>
      </c>
      <c r="L92" s="814">
        <f t="shared" si="42"/>
        <v>234655</v>
      </c>
    </row>
    <row r="93" spans="1:12">
      <c r="A93" s="784"/>
      <c r="B93" s="854" t="s">
        <v>1615</v>
      </c>
      <c r="C93" s="940" t="e">
        <f>(C92/#REF!-1)*100</f>
        <v>#REF!</v>
      </c>
      <c r="D93" s="940">
        <f t="shared" ref="D93:H93" si="44">(D92/C92-1)*100</f>
        <v>4.3718158173100541E-2</v>
      </c>
      <c r="E93" s="940">
        <f t="shared" si="44"/>
        <v>4.6877720902578801</v>
      </c>
      <c r="F93" s="940">
        <f t="shared" si="44"/>
        <v>42.309364402133639</v>
      </c>
      <c r="G93" s="911">
        <f t="shared" si="44"/>
        <v>-32.501921857311913</v>
      </c>
      <c r="H93" s="911">
        <f t="shared" si="44"/>
        <v>31.627533256702513</v>
      </c>
      <c r="I93" s="857">
        <f>(I92/H92-1)*100</f>
        <v>13.000069906175593</v>
      </c>
      <c r="J93" s="869">
        <f t="shared" ref="J93:K93" si="45">(J92/I92-1)*100</f>
        <v>13.00011131060983</v>
      </c>
      <c r="K93" s="871">
        <f t="shared" si="45"/>
        <v>13.000072807945484</v>
      </c>
      <c r="L93" s="859"/>
    </row>
    <row r="94" spans="1:12">
      <c r="A94" s="784"/>
      <c r="B94" s="785" t="s">
        <v>1616</v>
      </c>
      <c r="C94" s="916">
        <f>Data!K307</f>
        <v>88376.639458100006</v>
      </c>
      <c r="D94" s="916">
        <f>Data!L307</f>
        <v>95773.062221960005</v>
      </c>
      <c r="E94" s="916">
        <f>Data!M307</f>
        <v>110290.47337362</v>
      </c>
      <c r="F94" s="916">
        <f>Data!N307</f>
        <v>148290.15466629001</v>
      </c>
      <c r="G94" s="916">
        <f>Data!O307</f>
        <v>104359.48053541</v>
      </c>
      <c r="H94" s="916">
        <f>Data!P307</f>
        <v>141106.60547226999</v>
      </c>
      <c r="I94" s="812">
        <f>ROUND(H94*(1+I162/100),0)</f>
        <v>153806</v>
      </c>
      <c r="J94" s="794">
        <f>ROUND(I94*(1+J162/100),0)</f>
        <v>167649</v>
      </c>
      <c r="K94" s="813">
        <f>ROUND(J94*(1+K162/100),0)</f>
        <v>182737</v>
      </c>
      <c r="L94" s="814">
        <f t="shared" si="42"/>
        <v>168064</v>
      </c>
    </row>
    <row r="95" spans="1:12">
      <c r="A95" s="784"/>
      <c r="B95" s="854" t="s">
        <v>1615</v>
      </c>
      <c r="C95" s="940" t="e">
        <f>(C94/#REF!-1)*100</f>
        <v>#REF!</v>
      </c>
      <c r="D95" s="940">
        <f t="shared" ref="D95:K95" si="46">(D94/C94-1)*100</f>
        <v>8.36920571908224</v>
      </c>
      <c r="E95" s="940">
        <f t="shared" si="46"/>
        <v>15.158136134370427</v>
      </c>
      <c r="F95" s="940">
        <f t="shared" si="46"/>
        <v>34.454182786887031</v>
      </c>
      <c r="G95" s="911">
        <f t="shared" si="46"/>
        <v>-29.624808356118415</v>
      </c>
      <c r="H95" s="911">
        <f t="shared" si="46"/>
        <v>35.21206195003186</v>
      </c>
      <c r="I95" s="857">
        <f t="shared" si="46"/>
        <v>8.9998582881548153</v>
      </c>
      <c r="J95" s="869">
        <f t="shared" si="46"/>
        <v>9.0002990780593706</v>
      </c>
      <c r="K95" s="871">
        <f t="shared" si="46"/>
        <v>8.9997554414282135</v>
      </c>
      <c r="L95" s="859"/>
    </row>
    <row r="96" spans="1:12">
      <c r="A96" s="784"/>
      <c r="B96" s="785" t="s">
        <v>1617</v>
      </c>
      <c r="C96" s="916">
        <f>Data!K299</f>
        <v>3680.3640999999998</v>
      </c>
      <c r="D96" s="916">
        <f>Data!L299</f>
        <v>7081.7323059999999</v>
      </c>
      <c r="E96" s="916">
        <f>Data!M299</f>
        <v>10724.824556</v>
      </c>
      <c r="F96" s="916">
        <f>Data!N299</f>
        <v>10680.77225</v>
      </c>
      <c r="G96" s="916">
        <f>Data!O299</f>
        <v>23729.99842018</v>
      </c>
      <c r="H96" s="916">
        <f>Data!P299</f>
        <v>32051.128446160001</v>
      </c>
      <c r="I96" s="812">
        <f>ROUND(H96*(1+I163/100),0)</f>
        <v>34615</v>
      </c>
      <c r="J96" s="794">
        <f>ROUND(I96*(1+J163/100),0)</f>
        <v>32192</v>
      </c>
      <c r="K96" s="813">
        <f>ROUND(J96*(1+K163/100),0)</f>
        <v>30260</v>
      </c>
      <c r="L96" s="814">
        <f t="shared" si="42"/>
        <v>32355.666666666668</v>
      </c>
    </row>
    <row r="97" spans="1:13">
      <c r="A97" s="784"/>
      <c r="B97" s="854" t="s">
        <v>1615</v>
      </c>
      <c r="C97" s="940" t="e">
        <f>(C96/#REF!-1)*100</f>
        <v>#REF!</v>
      </c>
      <c r="D97" s="940">
        <f t="shared" ref="D97:K97" si="47">(D96/C96-1)*100</f>
        <v>92.419339869117863</v>
      </c>
      <c r="E97" s="940">
        <f t="shared" si="47"/>
        <v>51.443518232302978</v>
      </c>
      <c r="F97" s="940">
        <f t="shared" si="47"/>
        <v>-0.41075083112063204</v>
      </c>
      <c r="G97" s="911">
        <f t="shared" si="47"/>
        <v>122.17493140704315</v>
      </c>
      <c r="H97" s="911">
        <f t="shared" si="47"/>
        <v>35.065868436399519</v>
      </c>
      <c r="I97" s="872">
        <f t="shared" si="47"/>
        <v>7.9993175845487929</v>
      </c>
      <c r="J97" s="870">
        <f t="shared" si="47"/>
        <v>-6.9998555539505958</v>
      </c>
      <c r="K97" s="871">
        <f t="shared" si="47"/>
        <v>-6.001491053677932</v>
      </c>
      <c r="L97" s="859"/>
    </row>
    <row r="98" spans="1:13">
      <c r="B98" s="873" t="s">
        <v>552</v>
      </c>
      <c r="C98" s="941">
        <f t="shared" ref="C98:K98" si="48">C92/C94*100</f>
        <v>156.24915158594413</v>
      </c>
      <c r="D98" s="941">
        <f t="shared" si="48"/>
        <v>144.24527687541533</v>
      </c>
      <c r="E98" s="941">
        <f t="shared" si="48"/>
        <v>131.13026293695475</v>
      </c>
      <c r="F98" s="941">
        <f t="shared" si="48"/>
        <v>138.79125205067746</v>
      </c>
      <c r="G98" s="941">
        <f t="shared" si="48"/>
        <v>133.11711922354121</v>
      </c>
      <c r="H98" s="941">
        <f t="shared" si="48"/>
        <v>129.5881283439667</v>
      </c>
      <c r="I98" s="875">
        <f t="shared" si="48"/>
        <v>134.34391376149176</v>
      </c>
      <c r="J98" s="874">
        <f t="shared" si="48"/>
        <v>139.27372069025165</v>
      </c>
      <c r="K98" s="876">
        <f t="shared" si="48"/>
        <v>144.38509989766715</v>
      </c>
      <c r="L98" s="877">
        <f t="shared" si="42"/>
        <v>139.33424478313685</v>
      </c>
    </row>
    <row r="99" spans="1:13" ht="14" thickBot="1">
      <c r="B99" s="873" t="s">
        <v>553</v>
      </c>
      <c r="C99" s="941">
        <f t="shared" ref="C99:K99" si="49">C92/(C94+C96)*100</f>
        <v>150.00243763778229</v>
      </c>
      <c r="D99" s="941">
        <f t="shared" si="49"/>
        <v>134.31373754441353</v>
      </c>
      <c r="E99" s="941">
        <f t="shared" si="49"/>
        <v>119.50901266495286</v>
      </c>
      <c r="F99" s="941">
        <f t="shared" si="49"/>
        <v>129.46629067439872</v>
      </c>
      <c r="G99" s="941">
        <f t="shared" si="49"/>
        <v>108.45569461138584</v>
      </c>
      <c r="H99" s="941">
        <f t="shared" si="49"/>
        <v>105.60164126850913</v>
      </c>
      <c r="I99" s="878">
        <f t="shared" si="49"/>
        <v>109.66346638644313</v>
      </c>
      <c r="J99" s="879">
        <f t="shared" si="49"/>
        <v>116.83838651728125</v>
      </c>
      <c r="K99" s="880">
        <f t="shared" si="49"/>
        <v>123.87263670380332</v>
      </c>
      <c r="L99" s="881">
        <f t="shared" si="42"/>
        <v>116.79149653584257</v>
      </c>
    </row>
    <row r="100" spans="1:13">
      <c r="B100" s="882"/>
      <c r="C100" s="809"/>
      <c r="D100" s="809"/>
      <c r="E100" s="809"/>
      <c r="F100" s="809"/>
      <c r="G100" s="809"/>
      <c r="H100" s="809"/>
      <c r="I100" s="883"/>
      <c r="J100" s="883"/>
      <c r="K100" s="883"/>
    </row>
    <row r="101" spans="1:13">
      <c r="A101" s="725"/>
      <c r="B101" s="726" t="s">
        <v>1577</v>
      </c>
      <c r="C101" s="725"/>
      <c r="D101" s="725"/>
      <c r="E101" s="725"/>
      <c r="F101" s="725"/>
      <c r="G101" s="725"/>
      <c r="H101" s="725"/>
      <c r="I101" s="725"/>
      <c r="J101" s="725"/>
      <c r="K101" s="725"/>
      <c r="L101" s="725"/>
      <c r="M101" s="725"/>
    </row>
    <row r="102" spans="1:13" ht="14" thickBot="1"/>
    <row r="103" spans="1:13">
      <c r="B103" s="1007" t="s">
        <v>1534</v>
      </c>
      <c r="C103" s="1008" t="str">
        <f t="shared" ref="C103:K103" si="50">C$25</f>
        <v>FY12</v>
      </c>
      <c r="D103" s="1008" t="str">
        <f t="shared" si="50"/>
        <v>FY13</v>
      </c>
      <c r="E103" s="1008" t="str">
        <f t="shared" si="50"/>
        <v>FY14</v>
      </c>
      <c r="F103" s="1008" t="str">
        <f t="shared" si="50"/>
        <v>FY15</v>
      </c>
      <c r="G103" s="1008" t="str">
        <f t="shared" si="50"/>
        <v>FY16</v>
      </c>
      <c r="H103" s="1008" t="str">
        <f t="shared" si="50"/>
        <v>FY17</v>
      </c>
      <c r="I103" s="734" t="str">
        <f t="shared" si="50"/>
        <v>2018(E)</v>
      </c>
      <c r="J103" s="735" t="str">
        <f t="shared" si="50"/>
        <v>2019(E)</v>
      </c>
      <c r="K103" s="736" t="str">
        <f t="shared" si="50"/>
        <v>2020(E)</v>
      </c>
      <c r="L103" s="910" t="s">
        <v>1560</v>
      </c>
    </row>
    <row r="104" spans="1:13">
      <c r="A104" s="724" t="s">
        <v>1618</v>
      </c>
      <c r="B104" s="1020" t="s">
        <v>1619</v>
      </c>
      <c r="C104" s="1245">
        <f>추정!C110</f>
        <v>28923479.309999999</v>
      </c>
      <c r="D104" s="1245">
        <f>추정!D110</f>
        <v>19727399.559999999</v>
      </c>
      <c r="E104" s="1245">
        <f>추정!E110</f>
        <v>25766154.300000001</v>
      </c>
      <c r="F104" s="1245">
        <f>추정!F110</f>
        <v>39107266.159999996</v>
      </c>
      <c r="G104" s="1245">
        <f>추정!G110</f>
        <v>34436498.689999998</v>
      </c>
      <c r="H104" s="1245">
        <f>추정!H110</f>
        <v>37020563.359999999</v>
      </c>
      <c r="I104" s="1045">
        <f>I106*I105*2</f>
        <v>29986656.321600005</v>
      </c>
      <c r="J104" s="884">
        <f>J106*J105*2</f>
        <v>28187456.942304</v>
      </c>
      <c r="K104" s="1046">
        <f>K106*K105*2</f>
        <v>29878704.358842243</v>
      </c>
      <c r="L104" s="1021"/>
    </row>
    <row r="105" spans="1:13">
      <c r="A105" s="724" t="s">
        <v>1620</v>
      </c>
      <c r="B105" s="1022" t="s">
        <v>1621</v>
      </c>
      <c r="C105" s="1245">
        <f>추정!C111</f>
        <v>247</v>
      </c>
      <c r="D105" s="1245">
        <f>추정!D111</f>
        <v>186</v>
      </c>
      <c r="E105" s="1245">
        <f>추정!E111</f>
        <v>245</v>
      </c>
      <c r="F105" s="1245">
        <f>추정!F111</f>
        <v>248</v>
      </c>
      <c r="G105" s="1245">
        <f>추정!G111</f>
        <v>246</v>
      </c>
      <c r="H105" s="1245">
        <f>추정!H111</f>
        <v>246</v>
      </c>
      <c r="I105" s="1047">
        <v>246</v>
      </c>
      <c r="J105" s="943">
        <v>246</v>
      </c>
      <c r="K105" s="1048">
        <v>246</v>
      </c>
      <c r="L105" s="1023">
        <f>AVERAGE(I105:K105)</f>
        <v>246</v>
      </c>
    </row>
    <row r="106" spans="1:13">
      <c r="B106" s="1022" t="s">
        <v>1622</v>
      </c>
      <c r="C106" s="944">
        <f t="shared" ref="C106:H106" si="51">C104/C105/2</f>
        <v>58549.553259109307</v>
      </c>
      <c r="D106" s="944">
        <f t="shared" si="51"/>
        <v>53030.64397849462</v>
      </c>
      <c r="E106" s="944">
        <f t="shared" si="51"/>
        <v>52583.988367346938</v>
      </c>
      <c r="F106" s="944">
        <f t="shared" si="51"/>
        <v>78845.294677419341</v>
      </c>
      <c r="G106" s="944">
        <f t="shared" si="51"/>
        <v>69992.883516260161</v>
      </c>
      <c r="H106" s="944">
        <f t="shared" si="51"/>
        <v>75245.047479674802</v>
      </c>
      <c r="I106" s="1049">
        <f>H106*(1+I107/100)</f>
        <v>60948.488458536594</v>
      </c>
      <c r="J106" s="886">
        <f>I106*(1+J107/100)</f>
        <v>57291.579151024394</v>
      </c>
      <c r="K106" s="1023">
        <f>J106*(1+K107/100)</f>
        <v>60729.073900085859</v>
      </c>
      <c r="L106" s="1023">
        <f>AVERAGE(I106:K106)</f>
        <v>59656.380503215616</v>
      </c>
    </row>
    <row r="107" spans="1:13">
      <c r="B107" s="1022" t="s">
        <v>1623</v>
      </c>
      <c r="C107" s="886"/>
      <c r="D107" s="945">
        <f>(D106/C106-1)*100</f>
        <v>-9.4260484895434153</v>
      </c>
      <c r="E107" s="945">
        <f>(E106/D106-1)*100</f>
        <v>-0.8422594515895665</v>
      </c>
      <c r="F107" s="945">
        <f>(F106/E106-1)*100</f>
        <v>49.941640270063424</v>
      </c>
      <c r="G107" s="945">
        <f>(G106/F106-1)*100</f>
        <v>-11.227570646260066</v>
      </c>
      <c r="H107" s="945">
        <f>(H106/G106-1)*100</f>
        <v>7.5038542485458493</v>
      </c>
      <c r="I107" s="1050">
        <f>I135</f>
        <v>-19</v>
      </c>
      <c r="J107" s="887">
        <f>J135</f>
        <v>-6</v>
      </c>
      <c r="K107" s="1051">
        <f>K135</f>
        <v>6</v>
      </c>
      <c r="L107" s="1023"/>
    </row>
    <row r="108" spans="1:13">
      <c r="B108" s="1022" t="s">
        <v>1624</v>
      </c>
      <c r="C108" s="1245">
        <f>추정!C114</f>
        <v>31837.57</v>
      </c>
      <c r="D108" s="1245">
        <f>추정!D114</f>
        <v>22539.62</v>
      </c>
      <c r="E108" s="1245">
        <f>추정!E114</f>
        <v>28398.99</v>
      </c>
      <c r="F108" s="1245">
        <f>추정!F114</f>
        <v>40139.14</v>
      </c>
      <c r="G108" s="1245">
        <f>추정!G114</f>
        <v>31851.25</v>
      </c>
      <c r="H108" s="1245">
        <f>추정!H114</f>
        <v>34485.74</v>
      </c>
      <c r="I108" s="1049">
        <f>I104*I109/100</f>
        <v>29087.056631952004</v>
      </c>
      <c r="J108" s="886">
        <f>J104*J109/100</f>
        <v>25932.460386919676</v>
      </c>
      <c r="K108" s="1023">
        <f>K104*K109/100</f>
        <v>25994.472792192744</v>
      </c>
      <c r="L108" s="1023">
        <f>AVERAGE(I108:K108)</f>
        <v>27004.663270354809</v>
      </c>
    </row>
    <row r="109" spans="1:13">
      <c r="B109" s="1024" t="s">
        <v>1625</v>
      </c>
      <c r="C109" s="946">
        <f t="shared" ref="C109:H109" si="52">C108/C104*100</f>
        <v>0.11007517338687703</v>
      </c>
      <c r="D109" s="946">
        <f t="shared" si="52"/>
        <v>0.11425540366558076</v>
      </c>
      <c r="E109" s="946">
        <f t="shared" si="52"/>
        <v>0.11021819426114357</v>
      </c>
      <c r="F109" s="946">
        <f t="shared" si="52"/>
        <v>0.10263857318938707</v>
      </c>
      <c r="G109" s="946">
        <f t="shared" si="52"/>
        <v>9.2492707480883563E-2</v>
      </c>
      <c r="H109" s="946">
        <f t="shared" si="52"/>
        <v>9.3152931425298541E-2</v>
      </c>
      <c r="I109" s="1052">
        <f>I136</f>
        <v>9.6999999999999989E-2</v>
      </c>
      <c r="J109" s="888">
        <f>J136</f>
        <v>9.1999999999999985E-2</v>
      </c>
      <c r="K109" s="1053">
        <f>K136</f>
        <v>8.699999999999998E-2</v>
      </c>
      <c r="L109" s="1025"/>
    </row>
    <row r="110" spans="1:13">
      <c r="B110" s="1022"/>
      <c r="C110" s="885"/>
      <c r="D110" s="885"/>
      <c r="E110" s="885"/>
      <c r="F110" s="885"/>
      <c r="G110" s="885"/>
      <c r="H110" s="885"/>
      <c r="I110" s="1022"/>
      <c r="J110" s="885"/>
      <c r="K110" s="1039"/>
      <c r="L110" s="1023"/>
    </row>
    <row r="111" spans="1:13">
      <c r="A111" s="724" t="s">
        <v>1626</v>
      </c>
      <c r="B111" s="1026" t="s">
        <v>1627</v>
      </c>
      <c r="C111" s="1235">
        <f>추정!C117</f>
        <v>1854837.74</v>
      </c>
      <c r="D111" s="1235">
        <f>추정!D117</f>
        <v>1211374.26</v>
      </c>
      <c r="E111" s="1235">
        <f>추정!E117</f>
        <v>1196815.19</v>
      </c>
      <c r="F111" s="1235">
        <f>추정!F117</f>
        <v>2393153.9300000002</v>
      </c>
      <c r="G111" s="1235">
        <f>추정!G117</f>
        <v>2010506.59</v>
      </c>
      <c r="H111" s="1235">
        <f>추정!H117</f>
        <v>2315948.69</v>
      </c>
      <c r="I111" s="1054">
        <f>I112/100*I104</f>
        <v>1799499.2458592164</v>
      </c>
      <c r="J111" s="889">
        <f>J112/100*J104</f>
        <v>1688710.5454134329</v>
      </c>
      <c r="K111" s="1027">
        <f>K112/100*K104</f>
        <v>1787045.3077023549</v>
      </c>
      <c r="L111" s="1027">
        <f>AVERAGE(I111:K111)</f>
        <v>1758418.3663250015</v>
      </c>
    </row>
    <row r="112" spans="1:13">
      <c r="B112" s="1022" t="s">
        <v>1628</v>
      </c>
      <c r="C112" s="948">
        <f t="shared" ref="C112:H112" si="53">C111/C104*100</f>
        <v>6.4129136060014353</v>
      </c>
      <c r="D112" s="948">
        <f t="shared" si="53"/>
        <v>6.1405673683227215</v>
      </c>
      <c r="E112" s="948">
        <f t="shared" si="53"/>
        <v>4.6449119882822405</v>
      </c>
      <c r="F112" s="948">
        <f t="shared" si="53"/>
        <v>6.1194610745963747</v>
      </c>
      <c r="G112" s="948">
        <f t="shared" si="53"/>
        <v>5.8383014141441461</v>
      </c>
      <c r="H112" s="948">
        <f t="shared" si="53"/>
        <v>6.2558439953464831</v>
      </c>
      <c r="I112" s="1055">
        <f t="shared" ref="I112:K113" si="54">I138</f>
        <v>6.0010000000000003</v>
      </c>
      <c r="J112" s="890">
        <f t="shared" si="54"/>
        <v>5.9910000000000005</v>
      </c>
      <c r="K112" s="1056">
        <f t="shared" si="54"/>
        <v>5.9810000000000008</v>
      </c>
      <c r="L112" s="1023"/>
    </row>
    <row r="113" spans="1:13">
      <c r="B113" s="1022" t="s">
        <v>1629</v>
      </c>
      <c r="C113" s="949">
        <f t="shared" ref="C113:H113" si="55">C114/C111*100</f>
        <v>0.13526948927025823</v>
      </c>
      <c r="D113" s="949">
        <f t="shared" si="55"/>
        <v>0.15128495345938753</v>
      </c>
      <c r="E113" s="949">
        <f t="shared" si="55"/>
        <v>0.19460865468376951</v>
      </c>
      <c r="F113" s="949">
        <f t="shared" si="55"/>
        <v>0.12462428902724196</v>
      </c>
      <c r="G113" s="949">
        <f t="shared" si="55"/>
        <v>0.125166710960644</v>
      </c>
      <c r="H113" s="949">
        <f t="shared" si="55"/>
        <v>0.11215963538898611</v>
      </c>
      <c r="I113" s="1057">
        <f t="shared" si="54"/>
        <v>9.5000000000000001E-2</v>
      </c>
      <c r="J113" s="891">
        <f t="shared" si="54"/>
        <v>0.09</v>
      </c>
      <c r="K113" s="1058">
        <f t="shared" si="54"/>
        <v>8.4999999999999992E-2</v>
      </c>
      <c r="L113" s="1023"/>
    </row>
    <row r="114" spans="1:13">
      <c r="B114" s="1022" t="s">
        <v>1630</v>
      </c>
      <c r="C114" s="950">
        <f>Data!K192</f>
        <v>2509.0295376899999</v>
      </c>
      <c r="D114" s="950">
        <f>Data!L192</f>
        <v>1832.62698546</v>
      </c>
      <c r="E114" s="950">
        <f>Data!M192</f>
        <v>2329.1059403099998</v>
      </c>
      <c r="F114" s="950">
        <f>Data!N192</f>
        <v>2982.4510705900002</v>
      </c>
      <c r="G114" s="950">
        <f>Data!O192</f>
        <v>2516.4849723500001</v>
      </c>
      <c r="H114" s="950">
        <f>Data!P192</f>
        <v>2597.5596065</v>
      </c>
      <c r="I114" s="1049">
        <f>I113*I111/100</f>
        <v>1709.5242835662557</v>
      </c>
      <c r="J114" s="886">
        <f>J113*J111/100</f>
        <v>1519.8394908720895</v>
      </c>
      <c r="K114" s="1023">
        <f>K113*K111/100</f>
        <v>1518.9885115470015</v>
      </c>
      <c r="L114" s="1023">
        <f>AVERAGE(I114:K114)</f>
        <v>1582.7840953284488</v>
      </c>
    </row>
    <row r="115" spans="1:13">
      <c r="B115" s="1022" t="s">
        <v>1631</v>
      </c>
      <c r="C115" s="951">
        <f t="shared" ref="C115:H115" si="56">C114-C47</f>
        <v>-40.511197990000255</v>
      </c>
      <c r="D115" s="951">
        <f t="shared" si="56"/>
        <v>57.155448360000037</v>
      </c>
      <c r="E115" s="951">
        <f t="shared" si="56"/>
        <v>74.630695739999737</v>
      </c>
      <c r="F115" s="951">
        <f t="shared" si="56"/>
        <v>178.09969862000025</v>
      </c>
      <c r="G115" s="951">
        <f t="shared" si="56"/>
        <v>228.47336089000009</v>
      </c>
      <c r="H115" s="951">
        <f t="shared" si="56"/>
        <v>242.16573457000004</v>
      </c>
      <c r="I115" s="1049">
        <f>I114*I116/100</f>
        <v>158.9857583716618</v>
      </c>
      <c r="J115" s="886">
        <f>J114*J116/100</f>
        <v>141.34507265110432</v>
      </c>
      <c r="K115" s="1023">
        <f>K114*K116/100</f>
        <v>141.26593157387114</v>
      </c>
      <c r="L115" s="1023">
        <f>AVERAGE(I115:K115)</f>
        <v>147.19892086554577</v>
      </c>
    </row>
    <row r="116" spans="1:13">
      <c r="B116" s="1022" t="s">
        <v>1632</v>
      </c>
      <c r="C116" s="952">
        <f t="shared" ref="C116:H116" si="57">C115/C114*100</f>
        <v>-1.6146162243788447</v>
      </c>
      <c r="D116" s="952">
        <f t="shared" si="57"/>
        <v>3.1187715128866604</v>
      </c>
      <c r="E116" s="952">
        <f t="shared" si="57"/>
        <v>3.2042636811130425</v>
      </c>
      <c r="F116" s="952">
        <f t="shared" si="57"/>
        <v>5.9715882810700354</v>
      </c>
      <c r="G116" s="952">
        <f t="shared" si="57"/>
        <v>9.0790671671145322</v>
      </c>
      <c r="H116" s="952">
        <f t="shared" si="57"/>
        <v>9.3228172306043291</v>
      </c>
      <c r="I116" s="1059">
        <f>I164</f>
        <v>9.3000000000000007</v>
      </c>
      <c r="J116" s="964">
        <f>I116</f>
        <v>9.3000000000000007</v>
      </c>
      <c r="K116" s="1060">
        <f>J116</f>
        <v>9.3000000000000007</v>
      </c>
      <c r="L116" s="1023"/>
    </row>
    <row r="117" spans="1:13">
      <c r="B117" s="1028" t="s">
        <v>1633</v>
      </c>
      <c r="C117" s="953">
        <f t="shared" ref="C117:K117" si="58">C114-C115</f>
        <v>2549.5407356800001</v>
      </c>
      <c r="D117" s="953">
        <f t="shared" si="58"/>
        <v>1775.4715371</v>
      </c>
      <c r="E117" s="953">
        <f t="shared" si="58"/>
        <v>2254.4752445700001</v>
      </c>
      <c r="F117" s="953">
        <f t="shared" si="58"/>
        <v>2804.3513719699999</v>
      </c>
      <c r="G117" s="953">
        <f t="shared" si="58"/>
        <v>2288.01161146</v>
      </c>
      <c r="H117" s="953">
        <f t="shared" si="58"/>
        <v>2355.3938719299999</v>
      </c>
      <c r="I117" s="1061">
        <f t="shared" si="58"/>
        <v>1550.5385251945938</v>
      </c>
      <c r="J117" s="954">
        <f t="shared" si="58"/>
        <v>1378.4944182209852</v>
      </c>
      <c r="K117" s="1062">
        <f t="shared" si="58"/>
        <v>1377.7225799731305</v>
      </c>
      <c r="L117" s="1029">
        <f>AVERAGE(I117:K117)</f>
        <v>1435.5851744629033</v>
      </c>
    </row>
    <row r="118" spans="1:13" ht="14" thickBot="1">
      <c r="B118" s="1030" t="s">
        <v>1623</v>
      </c>
      <c r="C118" s="1031"/>
      <c r="D118" s="1081">
        <f>(D117*4/3/C117-1)*100</f>
        <v>-7.1481639939905754</v>
      </c>
      <c r="E118" s="1032">
        <f>(E117/(D117*4/3)-1)*100</f>
        <v>-4.7657820418066326</v>
      </c>
      <c r="F118" s="1032">
        <f>(F117/E117-1)*100</f>
        <v>24.390426496117001</v>
      </c>
      <c r="G118" s="1032">
        <f>(G117/F117-1)*100</f>
        <v>-18.412092210373832</v>
      </c>
      <c r="H118" s="1032">
        <f>(H117/G117-1)*100</f>
        <v>2.9450139209303616</v>
      </c>
      <c r="I118" s="1063">
        <f>(I117/H117-1)*100</f>
        <v>-34.170732815735441</v>
      </c>
      <c r="J118" s="1033">
        <f t="shared" ref="J118:K118" si="59">(J117/I117-1)*100</f>
        <v>-11.095764740964242</v>
      </c>
      <c r="K118" s="1064">
        <f t="shared" si="59"/>
        <v>-5.599139449913304E-2</v>
      </c>
      <c r="L118" s="1034"/>
    </row>
    <row r="119" spans="1:13">
      <c r="J119" s="836"/>
      <c r="K119" s="836"/>
    </row>
    <row r="120" spans="1:13">
      <c r="A120" s="725"/>
      <c r="B120" s="726" t="s">
        <v>1634</v>
      </c>
      <c r="C120" s="725"/>
      <c r="D120" s="725"/>
      <c r="E120" s="725"/>
      <c r="F120" s="725"/>
      <c r="G120" s="725"/>
      <c r="H120" s="725"/>
      <c r="I120" s="725"/>
      <c r="J120" s="725"/>
      <c r="K120" s="725"/>
      <c r="L120" s="725"/>
      <c r="M120" s="725"/>
    </row>
    <row r="121" spans="1:13" ht="14" thickBot="1"/>
    <row r="122" spans="1:13">
      <c r="B122" s="1035" t="s">
        <v>1534</v>
      </c>
      <c r="C122" s="1011" t="str">
        <f t="shared" ref="C122:K122" si="60">C$25</f>
        <v>FY12</v>
      </c>
      <c r="D122" s="1011" t="str">
        <f t="shared" si="60"/>
        <v>FY13</v>
      </c>
      <c r="E122" s="1011" t="str">
        <f t="shared" si="60"/>
        <v>FY14</v>
      </c>
      <c r="F122" s="1011" t="str">
        <f t="shared" si="60"/>
        <v>FY15</v>
      </c>
      <c r="G122" s="1011" t="str">
        <f t="shared" si="60"/>
        <v>FY16</v>
      </c>
      <c r="H122" s="1011" t="str">
        <f t="shared" si="60"/>
        <v>FY17</v>
      </c>
      <c r="I122" s="893" t="str">
        <f t="shared" si="60"/>
        <v>2018(E)</v>
      </c>
      <c r="J122" s="783" t="str">
        <f t="shared" si="60"/>
        <v>2019(E)</v>
      </c>
      <c r="K122" s="1066" t="str">
        <f t="shared" si="60"/>
        <v>2020(E)</v>
      </c>
      <c r="L122" s="1065" t="s">
        <v>1635</v>
      </c>
    </row>
    <row r="123" spans="1:13">
      <c r="B123" s="1026" t="s">
        <v>1636</v>
      </c>
      <c r="C123" s="956">
        <f t="shared" ref="C123:H123" si="61">C50</f>
        <v>-338.46550351000002</v>
      </c>
      <c r="D123" s="956">
        <f t="shared" si="61"/>
        <v>-1219.66343338</v>
      </c>
      <c r="E123" s="956">
        <f t="shared" si="61"/>
        <v>-418.70206307000001</v>
      </c>
      <c r="F123" s="956">
        <f t="shared" si="61"/>
        <v>-1080.59307812</v>
      </c>
      <c r="G123" s="956">
        <f t="shared" si="61"/>
        <v>-841.57422439000004</v>
      </c>
      <c r="H123" s="956">
        <f t="shared" si="61"/>
        <v>814.88747707000005</v>
      </c>
      <c r="I123" s="1067">
        <f>AVERAGE(H124:I124)*I125/100</f>
        <v>342.83973722401657</v>
      </c>
      <c r="J123" s="894">
        <f>AVERAGE(I124:J124)*J125/100</f>
        <v>354.80575000000005</v>
      </c>
      <c r="K123" s="1036">
        <f>AVERAGE(J124:K124)*K125/100</f>
        <v>83.919149999999988</v>
      </c>
      <c r="L123" s="1036">
        <f>AVERAGE(I123:K123)</f>
        <v>260.52154574133885</v>
      </c>
    </row>
    <row r="124" spans="1:13">
      <c r="B124" s="1022" t="s">
        <v>1637</v>
      </c>
      <c r="C124" s="957">
        <f t="shared" ref="C124:K124" si="62">C27</f>
        <v>138158.16205314</v>
      </c>
      <c r="D124" s="957">
        <f t="shared" si="62"/>
        <v>141137.38937639</v>
      </c>
      <c r="E124" s="957">
        <f t="shared" si="62"/>
        <v>151715.90287553999</v>
      </c>
      <c r="F124" s="957">
        <f t="shared" si="62"/>
        <v>181381.28420828999</v>
      </c>
      <c r="G124" s="957">
        <f t="shared" si="62"/>
        <v>214897.04632433</v>
      </c>
      <c r="H124" s="957">
        <f t="shared" si="62"/>
        <v>258551.74957541001</v>
      </c>
      <c r="I124" s="798">
        <f t="shared" si="62"/>
        <v>268894</v>
      </c>
      <c r="J124" s="799">
        <f t="shared" si="62"/>
        <v>276961</v>
      </c>
      <c r="K124" s="800">
        <f t="shared" si="62"/>
        <v>282500</v>
      </c>
      <c r="L124" s="800">
        <f>AVERAGE(I124:K124)</f>
        <v>276118.33333333331</v>
      </c>
    </row>
    <row r="125" spans="1:13">
      <c r="A125" s="784"/>
      <c r="B125" s="1037" t="s">
        <v>1638</v>
      </c>
      <c r="C125" s="955">
        <f>C123/AVERAGE(C124:C124)*100</f>
        <v>-0.24498408091142343</v>
      </c>
      <c r="D125" s="1082">
        <f>(D123*4/3)/AVERAGE(C124:D124)*100</f>
        <v>-1.1645140087980597</v>
      </c>
      <c r="E125" s="955">
        <f t="shared" ref="E125:H125" si="63">E123/AVERAGE(D124:E124)*100</f>
        <v>-0.28594663208348525</v>
      </c>
      <c r="F125" s="955">
        <f t="shared" si="63"/>
        <v>-0.64881549290780949</v>
      </c>
      <c r="G125" s="955">
        <f t="shared" si="63"/>
        <v>-0.42473895721670063</v>
      </c>
      <c r="H125" s="955">
        <f t="shared" si="63"/>
        <v>0.34423468139628127</v>
      </c>
      <c r="I125" s="1068">
        <f>I149</f>
        <v>0.13</v>
      </c>
      <c r="J125" s="895">
        <f>J149</f>
        <v>0.13</v>
      </c>
      <c r="K125" s="1038">
        <f>K149</f>
        <v>0.03</v>
      </c>
      <c r="L125" s="1038">
        <f>AVERAGE(I125:K125)</f>
        <v>9.6666666666666679E-2</v>
      </c>
    </row>
    <row r="126" spans="1:13">
      <c r="B126" s="1022"/>
      <c r="C126" s="885"/>
      <c r="D126" s="885"/>
      <c r="E126" s="885"/>
      <c r="F126" s="885"/>
      <c r="G126" s="885"/>
      <c r="H126" s="885"/>
      <c r="I126" s="1022"/>
      <c r="J126" s="885"/>
      <c r="K126" s="1039"/>
      <c r="L126" s="1039"/>
    </row>
    <row r="127" spans="1:13">
      <c r="B127" s="1026" t="s">
        <v>1639</v>
      </c>
      <c r="C127" s="956">
        <f t="shared" ref="C127:H127" si="64">C51</f>
        <v>3376.7798659700002</v>
      </c>
      <c r="D127" s="956">
        <f t="shared" si="64"/>
        <v>2535.3586793600002</v>
      </c>
      <c r="E127" s="956">
        <f t="shared" si="64"/>
        <v>3781.7952330200001</v>
      </c>
      <c r="F127" s="956">
        <f t="shared" si="64"/>
        <v>4383.1420143100004</v>
      </c>
      <c r="G127" s="956">
        <f t="shared" si="64"/>
        <v>4134.2741015299998</v>
      </c>
      <c r="H127" s="956">
        <f t="shared" si="64"/>
        <v>5048.5961801900003</v>
      </c>
      <c r="I127" s="1067">
        <f>AVERAGE(H128:I128)*I129/100</f>
        <v>6213.7344712013946</v>
      </c>
      <c r="J127" s="894">
        <f>AVERAGE(I128:J128)*J129/100</f>
        <v>5970.0332500000004</v>
      </c>
      <c r="K127" s="1036">
        <f>AVERAGE(J128:K128)*K129/100</f>
        <v>4564.4175000000005</v>
      </c>
      <c r="L127" s="1036">
        <f>AVERAGE(I127:K127)</f>
        <v>5582.7284070671312</v>
      </c>
    </row>
    <row r="128" spans="1:13">
      <c r="B128" s="1022" t="s">
        <v>1640</v>
      </c>
      <c r="C128" s="957">
        <f t="shared" ref="C128:K128" si="65">C27+C28</f>
        <v>152855.68169674001</v>
      </c>
      <c r="D128" s="957">
        <f t="shared" si="65"/>
        <v>155924.67996146</v>
      </c>
      <c r="E128" s="957">
        <f t="shared" si="65"/>
        <v>165672.99604664999</v>
      </c>
      <c r="F128" s="957">
        <f t="shared" si="65"/>
        <v>198935.64263274</v>
      </c>
      <c r="G128" s="957">
        <f t="shared" si="65"/>
        <v>234869.2218761</v>
      </c>
      <c r="H128" s="957">
        <f t="shared" si="65"/>
        <v>292071.99719038</v>
      </c>
      <c r="I128" s="798">
        <f t="shared" si="65"/>
        <v>314146</v>
      </c>
      <c r="J128" s="799">
        <f t="shared" si="65"/>
        <v>331263</v>
      </c>
      <c r="K128" s="800">
        <f t="shared" si="65"/>
        <v>344947</v>
      </c>
      <c r="L128" s="800">
        <f>AVERAGE(I128:K128)</f>
        <v>330118.66666666669</v>
      </c>
    </row>
    <row r="129" spans="1:16" ht="14" thickBot="1">
      <c r="A129" s="784"/>
      <c r="B129" s="1040" t="s">
        <v>1641</v>
      </c>
      <c r="C129" s="1041">
        <f>C127/AVERAGE(C128:C128)*100</f>
        <v>2.2091294405852744</v>
      </c>
      <c r="D129" s="1042">
        <f>D127/AVERAGE(C128:D128)*100*(4/3)</f>
        <v>2.1895681584106947</v>
      </c>
      <c r="E129" s="1041">
        <f t="shared" ref="E129:H129" si="66">E127/AVERAGE(D128:E128)*100</f>
        <v>2.3518797025912783</v>
      </c>
      <c r="F129" s="1041">
        <f t="shared" si="66"/>
        <v>2.4042995965129688</v>
      </c>
      <c r="G129" s="1041">
        <f t="shared" si="66"/>
        <v>1.906052439596722</v>
      </c>
      <c r="H129" s="1041">
        <f t="shared" si="66"/>
        <v>1.9161895093855086</v>
      </c>
      <c r="I129" s="1069">
        <f>I150</f>
        <v>2.0499999999999998</v>
      </c>
      <c r="J129" s="1043">
        <f>J150</f>
        <v>1.85</v>
      </c>
      <c r="K129" s="1070">
        <f>K150</f>
        <v>1.35</v>
      </c>
      <c r="L129" s="1044">
        <f>AVERAGE(I129:K129)</f>
        <v>1.75</v>
      </c>
    </row>
    <row r="130" spans="1:16">
      <c r="B130" s="885"/>
      <c r="C130" s="885"/>
      <c r="D130" s="885"/>
      <c r="E130" s="885"/>
      <c r="F130" s="885"/>
      <c r="G130" s="885"/>
      <c r="H130" s="885"/>
      <c r="I130" s="885"/>
      <c r="J130" s="885"/>
      <c r="K130" s="885"/>
      <c r="L130" s="885"/>
      <c r="M130" s="885"/>
    </row>
    <row r="132" spans="1:16" s="725" customFormat="1">
      <c r="B132" s="726" t="s">
        <v>1695</v>
      </c>
    </row>
    <row r="133" spans="1:16" ht="14" thickBot="1"/>
    <row r="134" spans="1:16">
      <c r="B134" s="1007" t="s">
        <v>1534</v>
      </c>
      <c r="C134" s="1009" t="s">
        <v>1643</v>
      </c>
      <c r="D134" s="1010" t="str">
        <f t="shared" ref="D134:H134" si="67">D$25</f>
        <v>FY13</v>
      </c>
      <c r="E134" s="1011" t="str">
        <f t="shared" si="67"/>
        <v>FY14</v>
      </c>
      <c r="F134" s="1011" t="str">
        <f t="shared" si="67"/>
        <v>FY15</v>
      </c>
      <c r="G134" s="1011" t="str">
        <f t="shared" si="67"/>
        <v>FY16</v>
      </c>
      <c r="H134" s="1011" t="str">
        <f t="shared" si="67"/>
        <v>FY17</v>
      </c>
      <c r="I134" s="1035" t="s">
        <v>1644</v>
      </c>
      <c r="J134" s="1094" t="s">
        <v>1645</v>
      </c>
      <c r="K134" s="1093" t="s">
        <v>1646</v>
      </c>
      <c r="N134" s="892" t="s">
        <v>2168</v>
      </c>
    </row>
    <row r="135" spans="1:16">
      <c r="B135" s="1013" t="s">
        <v>1647</v>
      </c>
      <c r="C135" s="979">
        <f>ROUND(((H106/C106)^(1/5)-1)*100,0)</f>
        <v>5</v>
      </c>
      <c r="D135" s="980">
        <f t="shared" ref="D135:G135" si="68">(D106/C106-1)*100</f>
        <v>-9.4260484895434153</v>
      </c>
      <c r="E135" s="981">
        <f t="shared" si="68"/>
        <v>-0.8422594515895665</v>
      </c>
      <c r="F135" s="981">
        <f t="shared" si="68"/>
        <v>49.941640270063424</v>
      </c>
      <c r="G135" s="981">
        <f t="shared" si="68"/>
        <v>-11.227570646260066</v>
      </c>
      <c r="H135" s="1071">
        <f>(H106/G106-1)*100</f>
        <v>7.5038542485458493</v>
      </c>
      <c r="I135" s="1085">
        <f>추정_master!M6</f>
        <v>-19</v>
      </c>
      <c r="J135" s="1086">
        <f>추정_master!N6</f>
        <v>-6</v>
      </c>
      <c r="K135" s="1135">
        <f>추정_master!O6</f>
        <v>6</v>
      </c>
      <c r="N135" s="724" t="s">
        <v>2108</v>
      </c>
    </row>
    <row r="136" spans="1:16">
      <c r="B136" s="1013" t="s">
        <v>1649</v>
      </c>
      <c r="C136" s="982">
        <f>AVERAGE(D109:H109)</f>
        <v>0.1025515620044587</v>
      </c>
      <c r="D136" s="983">
        <f>'2.추정(긍정)'!D109</f>
        <v>0.11425540366558076</v>
      </c>
      <c r="E136" s="983">
        <f>'2.추정(긍정)'!E109</f>
        <v>0.11021819426114357</v>
      </c>
      <c r="F136" s="983">
        <f>'2.추정(긍정)'!F109</f>
        <v>0.10263857318938707</v>
      </c>
      <c r="G136" s="983">
        <f>'2.추정(긍정)'!G109</f>
        <v>9.2492707480883563E-2</v>
      </c>
      <c r="H136" s="1072">
        <f>'2.추정(긍정)'!H109</f>
        <v>9.3152931425298541E-2</v>
      </c>
      <c r="I136" s="1087">
        <f>추정_master!M7</f>
        <v>9.6999999999999989E-2</v>
      </c>
      <c r="J136" s="1088">
        <f>추정_master!N7</f>
        <v>9.1999999999999985E-2</v>
      </c>
      <c r="K136" s="1136">
        <f>추정_master!O7</f>
        <v>8.699999999999998E-2</v>
      </c>
      <c r="N136" s="724" t="s">
        <v>2148</v>
      </c>
    </row>
    <row r="137" spans="1:16">
      <c r="B137" s="1014" t="s">
        <v>1650</v>
      </c>
      <c r="C137" s="984">
        <f>ROUND(((H61/C61)^(1/5)-1)*100,1)</f>
        <v>5.9</v>
      </c>
      <c r="D137" s="980">
        <f>(D61/C61-1)*100</f>
        <v>-37.061861868868853</v>
      </c>
      <c r="E137" s="981">
        <f>(E61/D61-1)*100</f>
        <v>59.814505012207484</v>
      </c>
      <c r="F137" s="981">
        <f>(F61/E61-1)*100</f>
        <v>24.870103885663752</v>
      </c>
      <c r="G137" s="981">
        <f>(G61/F61-1)*100</f>
        <v>-18.943891347428632</v>
      </c>
      <c r="H137" s="1071">
        <f>(H61/G61-1)*100</f>
        <v>30.779411609414709</v>
      </c>
      <c r="I137" s="1089">
        <f>추정_master!M8</f>
        <v>-8</v>
      </c>
      <c r="J137" s="1090">
        <f>추정_master!N8</f>
        <v>-3</v>
      </c>
      <c r="K137" s="1137">
        <f>추정_master!O8</f>
        <v>5</v>
      </c>
      <c r="N137" s="724" t="s">
        <v>2108</v>
      </c>
    </row>
    <row r="138" spans="1:16">
      <c r="B138" s="1015" t="s">
        <v>1652</v>
      </c>
      <c r="C138" s="899">
        <f>AVERAGE(D138:H138)</f>
        <v>5.7998171681383939</v>
      </c>
      <c r="D138" s="901">
        <f t="shared" ref="D138:F139" si="69">D112</f>
        <v>6.1405673683227215</v>
      </c>
      <c r="E138" s="901">
        <f t="shared" si="69"/>
        <v>4.6449119882822405</v>
      </c>
      <c r="F138" s="901">
        <f>F112</f>
        <v>6.1194610745963747</v>
      </c>
      <c r="G138" s="901">
        <f>G112</f>
        <v>5.8383014141441461</v>
      </c>
      <c r="H138" s="1073">
        <f>H112</f>
        <v>6.2558439953464831</v>
      </c>
      <c r="I138" s="1138">
        <f>추정_master!M9</f>
        <v>6.0010000000000003</v>
      </c>
      <c r="J138" s="1139">
        <f>추정_master!N9</f>
        <v>5.9910000000000005</v>
      </c>
      <c r="K138" s="1140">
        <f>추정_master!O9</f>
        <v>5.9810000000000008</v>
      </c>
      <c r="N138" s="724" t="s">
        <v>2127</v>
      </c>
      <c r="P138" s="724" t="s">
        <v>2150</v>
      </c>
    </row>
    <row r="139" spans="1:16">
      <c r="B139" s="1015" t="s">
        <v>1653</v>
      </c>
      <c r="C139" s="899">
        <f>AVERAGE(D139:H139)</f>
        <v>0.14156884870400582</v>
      </c>
      <c r="D139" s="900">
        <f t="shared" si="69"/>
        <v>0.15128495345938753</v>
      </c>
      <c r="E139" s="900">
        <f t="shared" si="69"/>
        <v>0.19460865468376951</v>
      </c>
      <c r="F139" s="900">
        <f t="shared" si="69"/>
        <v>0.12462428902724196</v>
      </c>
      <c r="G139" s="900">
        <f>G113</f>
        <v>0.125166710960644</v>
      </c>
      <c r="H139" s="1074">
        <f>H113</f>
        <v>0.11215963538898611</v>
      </c>
      <c r="I139" s="1132">
        <f>추정_master!M10</f>
        <v>9.5000000000000001E-2</v>
      </c>
      <c r="J139" s="1133">
        <f>추정_master!N10</f>
        <v>0.09</v>
      </c>
      <c r="K139" s="1134">
        <f>추정_master!O10</f>
        <v>8.4999999999999992E-2</v>
      </c>
      <c r="N139" s="724" t="s">
        <v>2127</v>
      </c>
    </row>
    <row r="140" spans="1:16" ht="13.5" customHeight="1">
      <c r="A140" s="784"/>
      <c r="B140" s="1015" t="s">
        <v>1654</v>
      </c>
      <c r="C140" s="896">
        <f>ROUND(((H26/C26)^(1/5)-1)*100,0)</f>
        <v>14</v>
      </c>
      <c r="D140" s="897">
        <f t="shared" ref="D140:H142" si="70">(D26/C26-1)*100</f>
        <v>3.0121700296701359</v>
      </c>
      <c r="E140" s="898">
        <f t="shared" si="70"/>
        <v>18.308231410313525</v>
      </c>
      <c r="F140" s="898">
        <f t="shared" si="70"/>
        <v>21.248487941143026</v>
      </c>
      <c r="G140" s="898">
        <f t="shared" si="70"/>
        <v>15.256778382435531</v>
      </c>
      <c r="H140" s="1075">
        <f t="shared" si="70"/>
        <v>14.38062529310975</v>
      </c>
      <c r="I140" s="1089">
        <f>추정_master!M11</f>
        <v>4</v>
      </c>
      <c r="J140" s="1090">
        <f>추정_master!N11</f>
        <v>4</v>
      </c>
      <c r="K140" s="1137">
        <f>추정_master!O11</f>
        <v>4</v>
      </c>
      <c r="N140" s="724" t="s">
        <v>2152</v>
      </c>
    </row>
    <row r="141" spans="1:16">
      <c r="A141" s="784"/>
      <c r="B141" s="1015" t="s">
        <v>1655</v>
      </c>
      <c r="C141" s="896">
        <f>ROUND(((H27/C27)^(1/5)-1)*100,0)</f>
        <v>13</v>
      </c>
      <c r="D141" s="897">
        <f t="shared" si="70"/>
        <v>2.1563889378494405</v>
      </c>
      <c r="E141" s="898">
        <f t="shared" si="70"/>
        <v>7.4951885860229828</v>
      </c>
      <c r="F141" s="898">
        <f t="shared" si="70"/>
        <v>19.553244432843652</v>
      </c>
      <c r="G141" s="898">
        <f t="shared" si="70"/>
        <v>18.478070801148405</v>
      </c>
      <c r="H141" s="1075">
        <f t="shared" si="70"/>
        <v>20.314240701658992</v>
      </c>
      <c r="I141" s="1141">
        <v>4</v>
      </c>
      <c r="J141" s="1142">
        <v>3</v>
      </c>
      <c r="K141" s="1143">
        <v>2</v>
      </c>
    </row>
    <row r="142" spans="1:16">
      <c r="A142" s="784"/>
      <c r="B142" s="1015" t="s">
        <v>1656</v>
      </c>
      <c r="C142" s="896">
        <f>ROUND(((H28/C28)^(1/5)-1)*100,0)</f>
        <v>18</v>
      </c>
      <c r="D142" s="897">
        <f t="shared" si="70"/>
        <v>0.61078973627424205</v>
      </c>
      <c r="E142" s="898">
        <f t="shared" si="70"/>
        <v>-5.6142632024707044</v>
      </c>
      <c r="F142" s="898">
        <f t="shared" si="70"/>
        <v>25.773742492355332</v>
      </c>
      <c r="G142" s="898">
        <f t="shared" si="70"/>
        <v>13.773315258006935</v>
      </c>
      <c r="H142" s="1075">
        <f t="shared" si="70"/>
        <v>67.834733517547747</v>
      </c>
      <c r="I142" s="1141">
        <v>35</v>
      </c>
      <c r="J142" s="1142">
        <v>20</v>
      </c>
      <c r="K142" s="1143">
        <v>15</v>
      </c>
      <c r="N142" s="724" t="s">
        <v>2153</v>
      </c>
    </row>
    <row r="143" spans="1:16" hidden="1">
      <c r="A143" s="784"/>
      <c r="B143" s="1015" t="s">
        <v>1657</v>
      </c>
      <c r="C143" s="896" t="e">
        <f>ROUND(((G29/#REF!)^(1/5)-1)*100,0)</f>
        <v>#REF!</v>
      </c>
      <c r="D143" s="902"/>
      <c r="E143" s="903"/>
      <c r="F143" s="903"/>
      <c r="G143" s="903"/>
      <c r="H143" s="1076"/>
      <c r="I143" s="849"/>
      <c r="J143" s="840"/>
      <c r="K143" s="1091"/>
    </row>
    <row r="144" spans="1:16">
      <c r="A144" s="784"/>
      <c r="B144" s="1015" t="s">
        <v>1658</v>
      </c>
      <c r="C144" s="896">
        <f>ROUND(((H31/C31)^(1/5)-1)*100,0)</f>
        <v>17</v>
      </c>
      <c r="D144" s="897">
        <f t="shared" ref="D144:H145" si="71">(D31/C31-1)*100</f>
        <v>14.81437891996833</v>
      </c>
      <c r="E144" s="898">
        <f t="shared" si="71"/>
        <v>16.708861683965925</v>
      </c>
      <c r="F144" s="898">
        <f t="shared" si="71"/>
        <v>25.834679025542439</v>
      </c>
      <c r="G144" s="898">
        <f t="shared" si="71"/>
        <v>15.730266432852048</v>
      </c>
      <c r="H144" s="1075">
        <f t="shared" si="71"/>
        <v>10.403132222152101</v>
      </c>
      <c r="I144" s="1080">
        <f>I140</f>
        <v>4</v>
      </c>
      <c r="J144" s="904">
        <f t="shared" ref="J144:K144" si="72">J140</f>
        <v>4</v>
      </c>
      <c r="K144" s="1092">
        <f t="shared" si="72"/>
        <v>4</v>
      </c>
    </row>
    <row r="145" spans="1:14">
      <c r="A145" s="784"/>
      <c r="B145" s="1015" t="s">
        <v>1659</v>
      </c>
      <c r="C145" s="896">
        <f>ROUND(((H32/C32)^(1/5)-1)*100,0)</f>
        <v>1</v>
      </c>
      <c r="D145" s="897">
        <f t="shared" si="71"/>
        <v>-17.784123502498417</v>
      </c>
      <c r="E145" s="898">
        <f t="shared" si="71"/>
        <v>-2.0351158567149752</v>
      </c>
      <c r="F145" s="898">
        <f t="shared" si="71"/>
        <v>-1.9673362298234021</v>
      </c>
      <c r="G145" s="898">
        <f t="shared" si="71"/>
        <v>1.9330343780076031</v>
      </c>
      <c r="H145" s="1075">
        <f t="shared" si="71"/>
        <v>32.565009632923633</v>
      </c>
      <c r="I145" s="1080">
        <f>I140</f>
        <v>4</v>
      </c>
      <c r="J145" s="904">
        <f t="shared" ref="J145:K145" si="73">J140</f>
        <v>4</v>
      </c>
      <c r="K145" s="1092">
        <f t="shared" si="73"/>
        <v>4</v>
      </c>
    </row>
    <row r="146" spans="1:14">
      <c r="A146" s="784"/>
      <c r="B146" s="1015" t="s">
        <v>1571</v>
      </c>
      <c r="C146" s="896">
        <f>AVERAGE(F36:H36)</f>
        <v>14.12767324393298</v>
      </c>
      <c r="D146" s="897">
        <f t="shared" ref="D146:G146" si="74">D36</f>
        <v>11.79194951165246</v>
      </c>
      <c r="E146" s="898">
        <f t="shared" si="74"/>
        <v>11.15983468720173</v>
      </c>
      <c r="F146" s="898">
        <f t="shared" si="74"/>
        <v>10.643200812109528</v>
      </c>
      <c r="G146" s="898">
        <f t="shared" si="74"/>
        <v>13.783229119047849</v>
      </c>
      <c r="H146" s="1075">
        <f>H36</f>
        <v>17.956589800641556</v>
      </c>
      <c r="I146" s="1141">
        <v>14.12767826094669</v>
      </c>
      <c r="J146" s="1142">
        <v>14.12767826094669</v>
      </c>
      <c r="K146" s="1143">
        <v>14.12767826094669</v>
      </c>
      <c r="N146" s="724" t="s">
        <v>2127</v>
      </c>
    </row>
    <row r="147" spans="1:14">
      <c r="A147" s="784"/>
      <c r="B147" s="1015" t="s">
        <v>1660</v>
      </c>
      <c r="C147" s="896">
        <f>ROUND(((H48/C48)^(1/5)-1)*100,0)</f>
        <v>6</v>
      </c>
      <c r="D147" s="897">
        <f t="shared" ref="D147:H148" si="75">(D48/C48-1)*100</f>
        <v>-28.355249256446836</v>
      </c>
      <c r="E147" s="898">
        <f t="shared" si="75"/>
        <v>28.725853453611428</v>
      </c>
      <c r="F147" s="898">
        <f t="shared" si="75"/>
        <v>21.637012167075433</v>
      </c>
      <c r="G147" s="898">
        <f t="shared" si="75"/>
        <v>2.1051992927800578</v>
      </c>
      <c r="H147" s="1075">
        <f t="shared" si="75"/>
        <v>16.300892760195818</v>
      </c>
      <c r="I147" s="1089">
        <f>추정_master!M15</f>
        <v>-1</v>
      </c>
      <c r="J147" s="1090">
        <f>추정_master!N15</f>
        <v>-0.5</v>
      </c>
      <c r="K147" s="1137">
        <f>추정_master!O15</f>
        <v>-0.5</v>
      </c>
    </row>
    <row r="148" spans="1:14">
      <c r="A148" s="784"/>
      <c r="B148" s="1015" t="s">
        <v>1661</v>
      </c>
      <c r="C148" s="896">
        <f>ROUND(((H49/C49)^(1/5)-1)*100,0)</f>
        <v>28</v>
      </c>
      <c r="D148" s="897">
        <f t="shared" si="75"/>
        <v>-20.805783907937737</v>
      </c>
      <c r="E148" s="898">
        <f t="shared" si="75"/>
        <v>73.203758566992022</v>
      </c>
      <c r="F148" s="898">
        <f t="shared" si="75"/>
        <v>24.402319509976866</v>
      </c>
      <c r="G148" s="898">
        <f t="shared" si="75"/>
        <v>62.006784028864772</v>
      </c>
      <c r="H148" s="1075">
        <f t="shared" si="75"/>
        <v>23.858875680052492</v>
      </c>
      <c r="I148" s="1089">
        <f>추정_master!M16</f>
        <v>11</v>
      </c>
      <c r="J148" s="1090">
        <f>추정_master!N16</f>
        <v>-6</v>
      </c>
      <c r="K148" s="1137">
        <f>추정_master!O16</f>
        <v>-9</v>
      </c>
      <c r="N148" s="724" t="s">
        <v>2154</v>
      </c>
    </row>
    <row r="149" spans="1:14">
      <c r="A149" s="784"/>
      <c r="B149" s="1015" t="s">
        <v>1662</v>
      </c>
      <c r="C149" s="899">
        <f>AVERAGE(D149:H149)</f>
        <v>-0.43595608192195473</v>
      </c>
      <c r="D149" s="897">
        <f>D125</f>
        <v>-1.1645140087980597</v>
      </c>
      <c r="E149" s="898">
        <f>E125</f>
        <v>-0.28594663208348525</v>
      </c>
      <c r="F149" s="898">
        <f>F125</f>
        <v>-0.64881549290780949</v>
      </c>
      <c r="G149" s="898">
        <f>G125</f>
        <v>-0.42473895721670063</v>
      </c>
      <c r="H149" s="1075">
        <f>H125</f>
        <v>0.34423468139628127</v>
      </c>
      <c r="I149" s="1138">
        <f>추정_master!M13</f>
        <v>0.13</v>
      </c>
      <c r="J149" s="1139">
        <f>추정_master!N13</f>
        <v>0.13</v>
      </c>
      <c r="K149" s="1140">
        <f>추정_master!O13</f>
        <v>0.03</v>
      </c>
      <c r="N149" s="724" t="s">
        <v>2155</v>
      </c>
    </row>
    <row r="150" spans="1:14">
      <c r="A150" s="784"/>
      <c r="B150" s="1015" t="s">
        <v>1663</v>
      </c>
      <c r="C150" s="896">
        <f>AVERAGE(F129:H129)</f>
        <v>2.0755138484983999</v>
      </c>
      <c r="D150" s="897">
        <f>D129</f>
        <v>2.1895681584106947</v>
      </c>
      <c r="E150" s="898">
        <f>E129</f>
        <v>2.3518797025912783</v>
      </c>
      <c r="F150" s="898">
        <f>F129</f>
        <v>2.4042995965129688</v>
      </c>
      <c r="G150" s="898">
        <f>G129</f>
        <v>1.906052439596722</v>
      </c>
      <c r="H150" s="1075">
        <f>H129</f>
        <v>1.9161895093855086</v>
      </c>
      <c r="I150" s="1089">
        <f>추정_master!M14</f>
        <v>2.0499999999999998</v>
      </c>
      <c r="J150" s="1090">
        <f>추정_master!N14</f>
        <v>1.85</v>
      </c>
      <c r="K150" s="1137">
        <f>추정_master!O14</f>
        <v>1.35</v>
      </c>
      <c r="N150" s="724" t="s">
        <v>2156</v>
      </c>
    </row>
    <row r="151" spans="1:14">
      <c r="A151" s="784"/>
      <c r="B151" s="1015" t="s">
        <v>1664</v>
      </c>
      <c r="C151" s="905">
        <f>AVERAGE(F52:H52)</f>
        <v>-51.521953260000004</v>
      </c>
      <c r="D151" s="906">
        <f>D52</f>
        <v>-65.030829920000002</v>
      </c>
      <c r="E151" s="907">
        <f>E52</f>
        <v>11.138388300000001</v>
      </c>
      <c r="F151" s="907">
        <f>F52</f>
        <v>-16.45756154</v>
      </c>
      <c r="G151" s="907">
        <f>G52</f>
        <v>-359.50010902999998</v>
      </c>
      <c r="H151" s="1077">
        <f>H52</f>
        <v>221.39181078999999</v>
      </c>
      <c r="I151" s="1144">
        <v>-52</v>
      </c>
      <c r="J151" s="1145">
        <v>-52</v>
      </c>
      <c r="K151" s="1146">
        <v>-52</v>
      </c>
      <c r="N151" s="724" t="s">
        <v>2157</v>
      </c>
    </row>
    <row r="152" spans="1:14">
      <c r="A152" s="784"/>
      <c r="B152" s="1015" t="s">
        <v>1665</v>
      </c>
      <c r="C152" s="896">
        <f>AVERAGE(D152:H152)</f>
        <v>0.19524550880896846</v>
      </c>
      <c r="D152" s="897">
        <f>D81</f>
        <v>1.0062920197314038</v>
      </c>
      <c r="E152" s="898">
        <f>E81</f>
        <v>-0.16908607365964468</v>
      </c>
      <c r="F152" s="898">
        <f>F81</f>
        <v>6.9727940617117332E-2</v>
      </c>
      <c r="G152" s="898">
        <f>G81</f>
        <v>1.9873871054010474E-2</v>
      </c>
      <c r="H152" s="1075">
        <f>H81</f>
        <v>4.9419786301955364E-2</v>
      </c>
      <c r="I152" s="1089">
        <f>추정_master!M18</f>
        <v>0.15000000000000002</v>
      </c>
      <c r="J152" s="1090">
        <f>추정_master!N18</f>
        <v>0.15000000000000002</v>
      </c>
      <c r="K152" s="1137">
        <f>추정_master!O18</f>
        <v>0.15000000000000002</v>
      </c>
      <c r="N152" s="724" t="s">
        <v>2157</v>
      </c>
    </row>
    <row r="153" spans="1:14">
      <c r="A153" s="784"/>
      <c r="B153" s="1016" t="s">
        <v>1666</v>
      </c>
      <c r="C153" s="909">
        <f>ROUND(((H54/C54)^(1/5)-1)*100,0)</f>
        <v>3</v>
      </c>
      <c r="D153" s="897">
        <f>(D54/C54-1)*100</f>
        <v>-35.381160502137398</v>
      </c>
      <c r="E153" s="898">
        <f>(E54/D54-1)*100</f>
        <v>41.310292380022595</v>
      </c>
      <c r="F153" s="898">
        <f>(F54/E54-1)*100</f>
        <v>13.525848154128939</v>
      </c>
      <c r="G153" s="898">
        <f>(G54/F54-1)*100</f>
        <v>-3.1460227219897385</v>
      </c>
      <c r="H153" s="1075">
        <f>(H54/G54-1)*100</f>
        <v>14.391914335440958</v>
      </c>
      <c r="I153" s="1089">
        <f>추정_master!M12</f>
        <v>2.9</v>
      </c>
      <c r="J153" s="1090">
        <f>추정_master!N12</f>
        <v>6.9</v>
      </c>
      <c r="K153" s="1137">
        <f>추정_master!O12</f>
        <v>9.9</v>
      </c>
      <c r="N153" s="724" t="s">
        <v>2158</v>
      </c>
    </row>
    <row r="154" spans="1:14">
      <c r="A154" s="784"/>
      <c r="B154" s="1016" t="s">
        <v>1667</v>
      </c>
      <c r="C154" s="896">
        <f>AVERAGE(D60:H60)</f>
        <v>19.836624329536448</v>
      </c>
      <c r="D154" s="897">
        <f>D60</f>
        <v>17.469507939433569</v>
      </c>
      <c r="E154" s="898">
        <f>E60</f>
        <v>21.794336309535588</v>
      </c>
      <c r="F154" s="898">
        <f>F60</f>
        <v>19.394511978575647</v>
      </c>
      <c r="G154" s="898">
        <f>G60</f>
        <v>20.439257764150778</v>
      </c>
      <c r="H154" s="1075">
        <f>H60</f>
        <v>20.085507655986657</v>
      </c>
      <c r="I154" s="1141">
        <v>24.2</v>
      </c>
      <c r="J154" s="1142">
        <v>24.2</v>
      </c>
      <c r="K154" s="1143">
        <v>24.2</v>
      </c>
    </row>
    <row r="155" spans="1:14">
      <c r="A155" s="784"/>
      <c r="B155" s="1016" t="s">
        <v>1668</v>
      </c>
      <c r="C155" s="896">
        <f>AVERAGE(D72:H72)</f>
        <v>157.55264797260725</v>
      </c>
      <c r="D155" s="897">
        <f t="shared" ref="D155:I155" si="76">D72</f>
        <v>113.27677931355409</v>
      </c>
      <c r="E155" s="898">
        <f t="shared" si="76"/>
        <v>79.48979321665918</v>
      </c>
      <c r="F155" s="898">
        <f t="shared" si="76"/>
        <v>72.751064322809</v>
      </c>
      <c r="G155" s="898">
        <f t="shared" si="76"/>
        <v>78.164968503598757</v>
      </c>
      <c r="H155" s="1075">
        <f t="shared" si="76"/>
        <v>444.08063450641515</v>
      </c>
      <c r="I155" s="1151">
        <f t="shared" si="76"/>
        <v>38.17819937325315</v>
      </c>
      <c r="J155" s="1142">
        <v>50</v>
      </c>
      <c r="K155" s="1153">
        <v>50</v>
      </c>
      <c r="N155" s="724" t="s">
        <v>2159</v>
      </c>
    </row>
    <row r="156" spans="1:14">
      <c r="A156" s="784"/>
      <c r="B156" s="1016" t="s">
        <v>1669</v>
      </c>
      <c r="C156" s="896">
        <f>ROUND(((H74/C74)^(1/5)-1)*100,1)</f>
        <v>0</v>
      </c>
      <c r="D156" s="897">
        <f>(D74/C74-1)*100</f>
        <v>107.27521045579454</v>
      </c>
      <c r="E156" s="898">
        <f>(E74/D74-1)*100</f>
        <v>-20.72372303197697</v>
      </c>
      <c r="F156" s="898">
        <f>(F74/E74-1)*100</f>
        <v>5.9537599769388105</v>
      </c>
      <c r="G156" s="898">
        <f>(G74/F74-1)*100</f>
        <v>-42.155792398132938</v>
      </c>
      <c r="H156" s="1075">
        <f>(H74/G74-1)*100</f>
        <v>-0.69165442816178091</v>
      </c>
      <c r="I156" s="1089">
        <f>추정_master!M17</f>
        <v>12</v>
      </c>
      <c r="J156" s="1090">
        <f>추정_master!N17</f>
        <v>4</v>
      </c>
      <c r="K156" s="1137">
        <f>추정_master!O17</f>
        <v>2</v>
      </c>
      <c r="N156" s="724" t="s">
        <v>2160</v>
      </c>
    </row>
    <row r="157" spans="1:14">
      <c r="A157" s="784"/>
      <c r="B157" s="1016" t="s">
        <v>1670</v>
      </c>
      <c r="C157" s="896">
        <f>AVERAGE(D76:H76)</f>
        <v>1.0712418965436092</v>
      </c>
      <c r="D157" s="897">
        <f>D76</f>
        <v>1.110950931796292</v>
      </c>
      <c r="E157" s="898">
        <f>E76</f>
        <v>1.0731730884490849</v>
      </c>
      <c r="F157" s="898">
        <f>F76</f>
        <v>1.042635667709666</v>
      </c>
      <c r="G157" s="898">
        <f>G76</f>
        <v>1.1294497916642177</v>
      </c>
      <c r="H157" s="1075">
        <f>H76</f>
        <v>1.000000003098785</v>
      </c>
      <c r="I157" s="1141">
        <v>1.1000000000000001</v>
      </c>
      <c r="J157" s="1142">
        <v>1.1000000000000001</v>
      </c>
      <c r="K157" s="1143">
        <v>1.1000000000000001</v>
      </c>
    </row>
    <row r="158" spans="1:14">
      <c r="A158" s="784"/>
      <c r="B158" s="1016" t="s">
        <v>1671</v>
      </c>
      <c r="C158" s="905">
        <f>AVERAGE(D82:H82)</f>
        <v>-111.38878345200001</v>
      </c>
      <c r="D158" s="906">
        <f>D82</f>
        <v>-252.83397229999997</v>
      </c>
      <c r="E158" s="907">
        <f>E82</f>
        <v>142.62645002000011</v>
      </c>
      <c r="F158" s="907">
        <f>F82</f>
        <v>-58.083639850000168</v>
      </c>
      <c r="G158" s="907">
        <f>G82</f>
        <v>198.95824921999997</v>
      </c>
      <c r="H158" s="1077">
        <f>H82</f>
        <v>-587.61100434999992</v>
      </c>
      <c r="I158" s="1144">
        <v>125</v>
      </c>
      <c r="J158" s="1145">
        <v>125</v>
      </c>
      <c r="K158" s="1146">
        <v>125</v>
      </c>
      <c r="N158" s="724" t="s">
        <v>2161</v>
      </c>
    </row>
    <row r="159" spans="1:14">
      <c r="A159" s="784"/>
      <c r="B159" s="1016" t="s">
        <v>1672</v>
      </c>
      <c r="C159" s="896">
        <f>AVERAGE(D85:H85)</f>
        <v>70.833589487438132</v>
      </c>
      <c r="D159" s="897">
        <f>D85</f>
        <v>67.651739932270132</v>
      </c>
      <c r="E159" s="898">
        <f>E85</f>
        <v>70.069407122653303</v>
      </c>
      <c r="F159" s="898">
        <f>F85</f>
        <v>70.776050557550434</v>
      </c>
      <c r="G159" s="898">
        <f>G85</f>
        <v>69.673057207858562</v>
      </c>
      <c r="H159" s="1075">
        <f>H85</f>
        <v>75.997692616858231</v>
      </c>
      <c r="I159" s="1141">
        <v>65</v>
      </c>
      <c r="J159" s="1142">
        <v>65</v>
      </c>
      <c r="K159" s="1143">
        <v>65</v>
      </c>
      <c r="N159" s="724" t="s">
        <v>2162</v>
      </c>
    </row>
    <row r="160" spans="1:14">
      <c r="A160" s="784"/>
      <c r="B160" s="1016" t="s">
        <v>1673</v>
      </c>
      <c r="C160" s="896">
        <f>AVERAGE(D87:H87)</f>
        <v>2.7017216476619517</v>
      </c>
      <c r="D160" s="897">
        <f>D87</f>
        <v>2.4689907719538295</v>
      </c>
      <c r="E160" s="898">
        <f>E87</f>
        <v>2.3768257294570416</v>
      </c>
      <c r="F160" s="898">
        <f>F87</f>
        <v>2.5577753277567679</v>
      </c>
      <c r="G160" s="898">
        <f>G87</f>
        <v>2.5879423225760179</v>
      </c>
      <c r="H160" s="1075">
        <f>H87</f>
        <v>3.5170740865661001</v>
      </c>
      <c r="I160" s="1141">
        <v>2.7017282277519077</v>
      </c>
      <c r="J160" s="1142">
        <v>2.7017282277519077</v>
      </c>
      <c r="K160" s="1143">
        <v>2.7017282277519077</v>
      </c>
      <c r="N160" s="724" t="s">
        <v>2163</v>
      </c>
    </row>
    <row r="161" spans="1:14">
      <c r="A161" s="784"/>
      <c r="B161" s="1016" t="s">
        <v>1674</v>
      </c>
      <c r="C161" s="896">
        <f>ROUND(((H92/C92)^(1/5)-1)*100,1)</f>
        <v>5.8</v>
      </c>
      <c r="D161" s="897">
        <f>(D92/C92-1)*100</f>
        <v>4.3718158173100541E-2</v>
      </c>
      <c r="E161" s="898">
        <f>(E92/D92-1)*100</f>
        <v>4.6877720902578801</v>
      </c>
      <c r="F161" s="898">
        <f>(F92/E92-1)*100</f>
        <v>42.309364402133639</v>
      </c>
      <c r="G161" s="898">
        <f>(G92/F92-1)*100</f>
        <v>-32.501921857311913</v>
      </c>
      <c r="H161" s="1075">
        <f>(H92/G92-1)*100</f>
        <v>31.627533256702513</v>
      </c>
      <c r="I161" s="1089">
        <f>추정_master!M20</f>
        <v>13</v>
      </c>
      <c r="J161" s="1090">
        <f>추정_master!N20</f>
        <v>13</v>
      </c>
      <c r="K161" s="1137">
        <f>추정_master!O20</f>
        <v>13</v>
      </c>
    </row>
    <row r="162" spans="1:14">
      <c r="A162" s="784"/>
      <c r="B162" s="1016" t="s">
        <v>1675</v>
      </c>
      <c r="C162" s="896">
        <f>ROUND(((H94/C94)^(1/5)-1)*100,1)</f>
        <v>9.8000000000000007</v>
      </c>
      <c r="D162" s="897">
        <f>(D94/C94-1)*100</f>
        <v>8.36920571908224</v>
      </c>
      <c r="E162" s="898">
        <f>(E94/D94-1)*100</f>
        <v>15.158136134370427</v>
      </c>
      <c r="F162" s="898">
        <f>(F94/E94-1)*100</f>
        <v>34.454182786887031</v>
      </c>
      <c r="G162" s="898">
        <f>(G94/F94-1)*100</f>
        <v>-29.624808356118415</v>
      </c>
      <c r="H162" s="1075">
        <f>(H94/G94-1)*100</f>
        <v>35.21206195003186</v>
      </c>
      <c r="I162" s="1089">
        <f>추정_master!M21</f>
        <v>9</v>
      </c>
      <c r="J162" s="1090">
        <f>추정_master!N21</f>
        <v>9</v>
      </c>
      <c r="K162" s="1137">
        <f>추정_master!O21</f>
        <v>9</v>
      </c>
    </row>
    <row r="163" spans="1:14">
      <c r="A163" s="784"/>
      <c r="B163" s="1016" t="s">
        <v>1676</v>
      </c>
      <c r="C163" s="896">
        <f>ROUND(((H96/C96)^(1/5)-1)*100,1)</f>
        <v>54.2</v>
      </c>
      <c r="D163" s="897">
        <f>(D96/C96-1)*100</f>
        <v>92.419339869117863</v>
      </c>
      <c r="E163" s="898">
        <f>(E96/D96-1)*100</f>
        <v>51.443518232302978</v>
      </c>
      <c r="F163" s="898">
        <f>(F96/E96-1)*100</f>
        <v>-0.41075083112063204</v>
      </c>
      <c r="G163" s="898">
        <f>(G96/F96-1)*100</f>
        <v>122.17493140704315</v>
      </c>
      <c r="H163" s="1075">
        <f>(H96/G96-1)*100</f>
        <v>35.065868436399519</v>
      </c>
      <c r="I163" s="1089">
        <f>추정_master!M19</f>
        <v>8</v>
      </c>
      <c r="J163" s="1090">
        <f>추정_master!N19</f>
        <v>-7</v>
      </c>
      <c r="K163" s="1137">
        <f>추정_master!O19</f>
        <v>-6</v>
      </c>
      <c r="N163" s="724" t="s">
        <v>2164</v>
      </c>
    </row>
    <row r="164" spans="1:14" ht="14" thickBot="1">
      <c r="B164" s="1017" t="s">
        <v>1689</v>
      </c>
      <c r="C164" s="1018">
        <f>AVERAGE(D116:H116)</f>
        <v>6.1393015745577202</v>
      </c>
      <c r="D164" s="1019">
        <f t="shared" ref="D164:G164" si="77">D116</f>
        <v>3.1187715128866604</v>
      </c>
      <c r="E164" s="1019">
        <f t="shared" si="77"/>
        <v>3.2042636811130425</v>
      </c>
      <c r="F164" s="1019">
        <f t="shared" si="77"/>
        <v>5.9715882810700354</v>
      </c>
      <c r="G164" s="1019">
        <f t="shared" si="77"/>
        <v>9.0790671671145322</v>
      </c>
      <c r="H164" s="1078">
        <f>H116</f>
        <v>9.3228172306043291</v>
      </c>
      <c r="I164" s="1246">
        <v>9.3000000000000007</v>
      </c>
      <c r="J164" s="1247">
        <v>9.3000000000000007</v>
      </c>
      <c r="K164" s="1248">
        <v>9.3000000000000007</v>
      </c>
      <c r="N164" s="724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</sheetPr>
  <dimension ref="A2:V164"/>
  <sheetViews>
    <sheetView topLeftCell="A37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4" customWidth="1"/>
    <col min="2" max="2" width="34.83203125" style="724" customWidth="1"/>
    <col min="3" max="3" width="12.1640625" style="724" customWidth="1" outlineLevel="1"/>
    <col min="4" max="4" width="12.33203125" style="724" customWidth="1"/>
    <col min="5" max="5" width="12.83203125" style="724" customWidth="1"/>
    <col min="6" max="6" width="12.5" style="724" customWidth="1"/>
    <col min="7" max="8" width="12" style="724" customWidth="1"/>
    <col min="9" max="11" width="12.1640625" style="724" customWidth="1"/>
    <col min="12" max="12" width="13.1640625" style="724" customWidth="1"/>
    <col min="13" max="13" width="12.5" style="724" customWidth="1"/>
    <col min="14" max="14" width="13.83203125" style="724" customWidth="1"/>
    <col min="15" max="15" width="17.5" style="724" customWidth="1"/>
    <col min="16" max="16" width="17.83203125" style="724" customWidth="1"/>
    <col min="17" max="17" width="22.33203125" style="724" customWidth="1"/>
    <col min="18" max="18" width="9.1640625" style="724"/>
    <col min="19" max="21" width="12" style="724" customWidth="1"/>
    <col min="22" max="22" width="13.5" style="724" bestFit="1" customWidth="1"/>
    <col min="23" max="16384" width="9.1640625" style="724"/>
  </cols>
  <sheetData>
    <row r="2" spans="1:22" ht="16">
      <c r="A2" s="723" t="s">
        <v>2147</v>
      </c>
      <c r="B2" s="723"/>
      <c r="C2" s="723"/>
    </row>
    <row r="4" spans="1:22" s="725" customFormat="1">
      <c r="B4" s="726" t="s">
        <v>1530</v>
      </c>
      <c r="C4" s="947" t="s">
        <v>1680</v>
      </c>
      <c r="D4" s="947" t="s">
        <v>245</v>
      </c>
      <c r="E4" s="947" t="s">
        <v>1682</v>
      </c>
      <c r="F4" s="947" t="s">
        <v>497</v>
      </c>
      <c r="G4" s="947" t="s">
        <v>1325</v>
      </c>
      <c r="H4" s="947" t="s">
        <v>1327</v>
      </c>
      <c r="I4" s="947" t="s">
        <v>1686</v>
      </c>
      <c r="J4" s="947" t="s">
        <v>1687</v>
      </c>
      <c r="K4" s="947" t="s">
        <v>1688</v>
      </c>
    </row>
    <row r="5" spans="1:22" ht="14" thickBot="1">
      <c r="C5" s="728" t="s">
        <v>1531</v>
      </c>
      <c r="D5" s="729" t="s">
        <v>1532</v>
      </c>
      <c r="E5" s="727"/>
      <c r="F5" s="727"/>
      <c r="G5" s="727"/>
      <c r="H5" s="727"/>
      <c r="K5" s="730"/>
      <c r="L5" s="730" t="s">
        <v>1533</v>
      </c>
    </row>
    <row r="6" spans="1:22" ht="28">
      <c r="B6" s="731" t="s">
        <v>1534</v>
      </c>
      <c r="C6" s="733" t="s">
        <v>691</v>
      </c>
      <c r="D6" s="733" t="s">
        <v>692</v>
      </c>
      <c r="E6" s="733" t="s">
        <v>1535</v>
      </c>
      <c r="F6" s="733" t="s">
        <v>1292</v>
      </c>
      <c r="G6" s="733" t="s">
        <v>1537</v>
      </c>
      <c r="H6" s="733" t="s">
        <v>1538</v>
      </c>
      <c r="I6" s="734" t="str">
        <f>I$25</f>
        <v>2018(E)</v>
      </c>
      <c r="J6" s="735" t="str">
        <f>J$25</f>
        <v>2019(E)</v>
      </c>
      <c r="K6" s="736" t="str">
        <f>K$25</f>
        <v>2020(E)</v>
      </c>
      <c r="L6" s="737" t="s">
        <v>1539</v>
      </c>
      <c r="M6" s="738" t="s">
        <v>1540</v>
      </c>
      <c r="N6" s="724" t="s">
        <v>1541</v>
      </c>
      <c r="O6" s="724" t="s">
        <v>1542</v>
      </c>
      <c r="P6" s="739" t="s">
        <v>819</v>
      </c>
      <c r="Q6" s="965"/>
      <c r="R6" s="966" t="s">
        <v>231</v>
      </c>
      <c r="S6" s="967" t="s">
        <v>232</v>
      </c>
      <c r="T6" s="966" t="s">
        <v>233</v>
      </c>
      <c r="U6" s="967" t="s">
        <v>234</v>
      </c>
      <c r="V6" s="968" t="s">
        <v>235</v>
      </c>
    </row>
    <row r="7" spans="1:22" ht="15">
      <c r="B7" s="740" t="s">
        <v>1543</v>
      </c>
      <c r="C7" s="741"/>
      <c r="D7" s="741"/>
      <c r="E7" s="741"/>
      <c r="F7" s="741"/>
      <c r="G7" s="741"/>
      <c r="H7" s="741"/>
      <c r="I7" s="742"/>
      <c r="J7" s="743"/>
      <c r="K7" s="744"/>
      <c r="L7" s="745"/>
      <c r="M7" s="746"/>
      <c r="P7" s="739"/>
      <c r="Q7" s="969"/>
      <c r="R7" s="970"/>
      <c r="S7" s="971"/>
      <c r="T7" s="970"/>
      <c r="U7" s="972" t="s">
        <v>237</v>
      </c>
      <c r="V7" s="969"/>
    </row>
    <row r="8" spans="1:22" ht="14">
      <c r="B8" s="747" t="s">
        <v>1544</v>
      </c>
      <c r="C8" s="919">
        <f t="shared" ref="C8:K8" si="0">C64</f>
        <v>7.6311111797747255</v>
      </c>
      <c r="D8" s="919">
        <f t="shared" si="0"/>
        <v>7.2616869635907815</v>
      </c>
      <c r="E8" s="919">
        <f t="shared" si="0"/>
        <v>7.9819838678104329</v>
      </c>
      <c r="F8" s="919">
        <f t="shared" si="0"/>
        <v>7.1171966443611794</v>
      </c>
      <c r="G8" s="919">
        <f t="shared" si="0"/>
        <v>8.4392390931276928</v>
      </c>
      <c r="H8" s="919">
        <f t="shared" si="0"/>
        <v>9.589610500876109</v>
      </c>
      <c r="I8" s="749">
        <f>I64</f>
        <v>9.7411910590995401</v>
      </c>
      <c r="J8" s="750">
        <f t="shared" si="0"/>
        <v>9.8295743584796931</v>
      </c>
      <c r="K8" s="750">
        <f t="shared" si="0"/>
        <v>7.7354288895848615</v>
      </c>
      <c r="L8" s="751">
        <f>AVERAGE(I8:K8)</f>
        <v>9.1020647690546976</v>
      </c>
      <c r="M8" s="752" t="s">
        <v>2126</v>
      </c>
      <c r="N8" s="724" t="str">
        <f>구NCP!H10</f>
        <v>AA</v>
      </c>
      <c r="O8" s="753" t="b">
        <f>M8=N8</f>
        <v>0</v>
      </c>
      <c r="P8" s="724" t="str">
        <f>구NCP!F10</f>
        <v>AA</v>
      </c>
      <c r="Q8" s="541" t="s">
        <v>323</v>
      </c>
      <c r="R8" s="554" t="s">
        <v>1365</v>
      </c>
      <c r="S8" s="555" t="s">
        <v>637</v>
      </c>
      <c r="T8" s="554" t="s">
        <v>638</v>
      </c>
      <c r="U8" s="555" t="s">
        <v>639</v>
      </c>
      <c r="V8" s="556" t="s">
        <v>1369</v>
      </c>
    </row>
    <row r="9" spans="1:22">
      <c r="B9" s="754" t="s">
        <v>1545</v>
      </c>
      <c r="C9" s="920"/>
      <c r="D9" s="920"/>
      <c r="E9" s="920"/>
      <c r="F9" s="920"/>
      <c r="G9" s="920"/>
      <c r="H9" s="920"/>
      <c r="I9" s="756"/>
      <c r="J9" s="757"/>
      <c r="K9" s="758"/>
      <c r="L9" s="759"/>
      <c r="M9" s="759"/>
      <c r="Q9" s="541" t="s">
        <v>328</v>
      </c>
      <c r="R9" s="542" t="s">
        <v>1354</v>
      </c>
      <c r="S9" s="543" t="s">
        <v>1355</v>
      </c>
      <c r="T9" s="542" t="s">
        <v>1356</v>
      </c>
      <c r="U9" s="543" t="s">
        <v>332</v>
      </c>
      <c r="V9" s="544" t="s">
        <v>1357</v>
      </c>
    </row>
    <row r="10" spans="1:22">
      <c r="B10" s="747" t="s">
        <v>1546</v>
      </c>
      <c r="C10" s="921">
        <f t="shared" ref="C10:G10" si="1">C65</f>
        <v>0.88153176026586999</v>
      </c>
      <c r="D10" s="921">
        <f t="shared" si="1"/>
        <v>0.51482215476503446</v>
      </c>
      <c r="E10" s="921">
        <f t="shared" si="1"/>
        <v>1.0155999355878853</v>
      </c>
      <c r="F10" s="921">
        <f t="shared" si="1"/>
        <v>0.98545027227548088</v>
      </c>
      <c r="G10" s="921">
        <f t="shared" si="1"/>
        <v>0.79510455928738966</v>
      </c>
      <c r="H10" s="921">
        <f>H65</f>
        <v>1.3422790132847369</v>
      </c>
      <c r="I10" s="749">
        <f>I65</f>
        <v>0.90263254118894554</v>
      </c>
      <c r="J10" s="750">
        <f>J59/AVERAGE(I26:J26)*100</f>
        <v>0.69243785738406172</v>
      </c>
      <c r="K10" s="750">
        <f>K59/AVERAGE(J26:K26)*100</f>
        <v>0.18776466642263481</v>
      </c>
      <c r="L10" s="751">
        <f>AVERAGE(I10:K10)</f>
        <v>0.59427835499854742</v>
      </c>
      <c r="M10" s="760" t="s">
        <v>2106</v>
      </c>
      <c r="N10" s="724" t="str">
        <f>구NCP!H11</f>
        <v>A</v>
      </c>
      <c r="O10" s="753" t="b">
        <f>M10=N10</f>
        <v>0</v>
      </c>
      <c r="P10" s="724" t="str">
        <f>구NCP!F11</f>
        <v>AA</v>
      </c>
      <c r="Q10" s="541" t="s">
        <v>1352</v>
      </c>
      <c r="R10" s="542" t="s">
        <v>324</v>
      </c>
      <c r="S10" s="543" t="s">
        <v>325</v>
      </c>
      <c r="T10" s="542" t="s">
        <v>326</v>
      </c>
      <c r="U10" s="543" t="s">
        <v>1353</v>
      </c>
      <c r="V10" s="544" t="s">
        <v>327</v>
      </c>
    </row>
    <row r="11" spans="1:22">
      <c r="B11" s="747" t="s">
        <v>1547</v>
      </c>
      <c r="C11" s="921">
        <f t="shared" ref="C11:K11" si="2">C46/C54*100</f>
        <v>146.73178871745688</v>
      </c>
      <c r="D11" s="921">
        <f t="shared" si="2"/>
        <v>135.99680055821472</v>
      </c>
      <c r="E11" s="921">
        <f t="shared" si="2"/>
        <v>169.06138115316116</v>
      </c>
      <c r="F11" s="921">
        <f t="shared" si="2"/>
        <v>165.80829369368175</v>
      </c>
      <c r="G11" s="921">
        <f t="shared" si="2"/>
        <v>164.53900493446474</v>
      </c>
      <c r="H11" s="921">
        <f t="shared" si="2"/>
        <v>213.75220057966396</v>
      </c>
      <c r="I11" s="761">
        <f t="shared" si="2"/>
        <v>185.32998685797034</v>
      </c>
      <c r="J11" s="762">
        <f t="shared" si="2"/>
        <v>162.39095040304778</v>
      </c>
      <c r="K11" s="763">
        <f t="shared" si="2"/>
        <v>117.23183531067518</v>
      </c>
      <c r="L11" s="764">
        <f>AVERAGE(I11:K11)</f>
        <v>154.98425752389775</v>
      </c>
      <c r="M11" s="760" t="s">
        <v>686</v>
      </c>
      <c r="N11" s="765" t="str">
        <f>구NCP!H13</f>
        <v>AAA</v>
      </c>
      <c r="O11" s="753" t="b">
        <f>M11=N11</f>
        <v>0</v>
      </c>
      <c r="P11" s="765" t="str">
        <f>구NCP!F13</f>
        <v>AAA</v>
      </c>
      <c r="Q11" s="541" t="s">
        <v>334</v>
      </c>
      <c r="R11" s="554" t="s">
        <v>1370</v>
      </c>
      <c r="S11" s="555" t="s">
        <v>1371</v>
      </c>
      <c r="T11" s="554" t="s">
        <v>1372</v>
      </c>
      <c r="U11" s="555" t="s">
        <v>1373</v>
      </c>
      <c r="V11" s="556" t="s">
        <v>1374</v>
      </c>
    </row>
    <row r="12" spans="1:22">
      <c r="B12" s="766" t="s">
        <v>1548</v>
      </c>
      <c r="C12" s="920"/>
      <c r="D12" s="920"/>
      <c r="E12" s="920"/>
      <c r="F12" s="920"/>
      <c r="G12" s="920"/>
      <c r="H12" s="920"/>
      <c r="I12" s="756"/>
      <c r="J12" s="757"/>
      <c r="K12" s="758"/>
      <c r="L12" s="759"/>
      <c r="M12" s="767"/>
      <c r="O12" s="753"/>
      <c r="Q12" s="973" t="s">
        <v>335</v>
      </c>
      <c r="R12" s="974"/>
      <c r="S12" s="975"/>
      <c r="T12" s="974"/>
      <c r="U12" s="975"/>
      <c r="V12" s="976"/>
    </row>
    <row r="13" spans="1:22">
      <c r="B13" s="747" t="s">
        <v>1549</v>
      </c>
      <c r="C13" s="922">
        <f t="shared" ref="C13:K13" si="3">C83</f>
        <v>93.415683321088608</v>
      </c>
      <c r="D13" s="922">
        <f t="shared" si="3"/>
        <v>99.002154922568522</v>
      </c>
      <c r="E13" s="922">
        <f t="shared" si="3"/>
        <v>94.998867682366182</v>
      </c>
      <c r="F13" s="922">
        <f t="shared" si="3"/>
        <v>101.48056699372781</v>
      </c>
      <c r="G13" s="922">
        <f t="shared" si="3"/>
        <v>123.80934901171914</v>
      </c>
      <c r="H13" s="922">
        <f t="shared" si="3"/>
        <v>289.0339069506432</v>
      </c>
      <c r="I13" s="761">
        <f t="shared" si="3"/>
        <v>226.3</v>
      </c>
      <c r="J13" s="762">
        <f t="shared" si="3"/>
        <v>181.8</v>
      </c>
      <c r="K13" s="763">
        <f t="shared" si="3"/>
        <v>146.6</v>
      </c>
      <c r="L13" s="764">
        <f>AVERAGE(I13:K13)</f>
        <v>184.9</v>
      </c>
      <c r="M13" s="760" t="s">
        <v>2117</v>
      </c>
      <c r="N13" s="724" t="str">
        <f>구NCP!H16</f>
        <v>AAA</v>
      </c>
      <c r="O13" s="753" t="b">
        <f>M13=N13</f>
        <v>0</v>
      </c>
      <c r="P13" s="724" t="str">
        <f>구NCP!F16</f>
        <v>AAA</v>
      </c>
      <c r="Q13" s="977"/>
      <c r="R13" s="974"/>
      <c r="S13" s="975"/>
      <c r="T13" s="974"/>
      <c r="U13" s="975"/>
      <c r="V13" s="976"/>
    </row>
    <row r="14" spans="1:22">
      <c r="B14" s="747" t="s">
        <v>1550</v>
      </c>
      <c r="C14" s="922">
        <f t="shared" ref="C14:K14" si="4">(C75-C79)/C33*100</f>
        <v>0.27869744219039738</v>
      </c>
      <c r="D14" s="922">
        <f t="shared" si="4"/>
        <v>0.30170513997667719</v>
      </c>
      <c r="E14" s="922">
        <f t="shared" si="4"/>
        <v>0.23543060195427368</v>
      </c>
      <c r="F14" s="922">
        <f t="shared" si="4"/>
        <v>5.4567883754661317E-2</v>
      </c>
      <c r="G14" s="922">
        <f t="shared" si="4"/>
        <v>-9.9688977839784768E-2</v>
      </c>
      <c r="H14" s="922">
        <f t="shared" si="4"/>
        <v>-1.6538550914532442</v>
      </c>
      <c r="I14" s="769">
        <f t="shared" si="4"/>
        <v>-1.1567127985666041</v>
      </c>
      <c r="J14" s="770">
        <f t="shared" si="4"/>
        <v>-0.76877060136580144</v>
      </c>
      <c r="K14" s="771">
        <f t="shared" si="4"/>
        <v>-0.42961121539396607</v>
      </c>
      <c r="L14" s="764">
        <f>AVERAGE(I14:K14)</f>
        <v>-0.78503153844212392</v>
      </c>
      <c r="M14" s="760" t="s">
        <v>2106</v>
      </c>
      <c r="N14" s="724" t="str">
        <f>구NCP!H17</f>
        <v>AAA</v>
      </c>
      <c r="O14" s="753" t="b">
        <f>M14=N14</f>
        <v>0</v>
      </c>
      <c r="P14" s="724" t="str">
        <f>구NCP!F17</f>
        <v>AAA</v>
      </c>
      <c r="Q14" s="978" t="s">
        <v>338</v>
      </c>
      <c r="R14" s="549" t="s">
        <v>1375</v>
      </c>
      <c r="S14" s="550" t="s">
        <v>340</v>
      </c>
      <c r="T14" s="549" t="s">
        <v>341</v>
      </c>
      <c r="U14" s="550" t="s">
        <v>342</v>
      </c>
      <c r="V14" s="551" t="s">
        <v>1376</v>
      </c>
    </row>
    <row r="15" spans="1:22">
      <c r="B15" s="766" t="s">
        <v>774</v>
      </c>
      <c r="C15" s="920"/>
      <c r="D15" s="920"/>
      <c r="E15" s="920"/>
      <c r="F15" s="920"/>
      <c r="G15" s="920"/>
      <c r="H15" s="920"/>
      <c r="I15" s="756"/>
      <c r="J15" s="757"/>
      <c r="K15" s="758"/>
      <c r="L15" s="759"/>
      <c r="M15" s="767"/>
      <c r="O15" s="753"/>
      <c r="Q15" s="541" t="s">
        <v>344</v>
      </c>
      <c r="R15" s="542" t="s">
        <v>345</v>
      </c>
      <c r="S15" s="543" t="s">
        <v>346</v>
      </c>
      <c r="T15" s="542" t="s">
        <v>347</v>
      </c>
      <c r="U15" s="543" t="s">
        <v>348</v>
      </c>
      <c r="V15" s="544" t="s">
        <v>349</v>
      </c>
    </row>
    <row r="16" spans="1:22">
      <c r="B16" s="747" t="s">
        <v>1552</v>
      </c>
      <c r="C16" s="923" t="s">
        <v>1553</v>
      </c>
      <c r="D16" s="923" t="s">
        <v>1553</v>
      </c>
      <c r="E16" s="923" t="s">
        <v>1553</v>
      </c>
      <c r="F16" s="923">
        <f t="shared" ref="F16:K16" si="5">F89</f>
        <v>0</v>
      </c>
      <c r="G16" s="923">
        <f t="shared" si="5"/>
        <v>1479.2</v>
      </c>
      <c r="H16" s="923">
        <f t="shared" si="5"/>
        <v>1416.048</v>
      </c>
      <c r="I16" s="772">
        <f t="shared" si="5"/>
        <v>1132.5022393295183</v>
      </c>
      <c r="J16" s="748">
        <f t="shared" si="5"/>
        <v>1159.316849973593</v>
      </c>
      <c r="K16" s="773">
        <f t="shared" si="5"/>
        <v>1110.0335315389464</v>
      </c>
      <c r="L16" s="764">
        <f>AVERAGE(I16:K16)</f>
        <v>1133.9508736140194</v>
      </c>
      <c r="M16" s="774" t="s">
        <v>2117</v>
      </c>
      <c r="N16" s="724" t="str">
        <f>구NCP!H19</f>
        <v>AAA</v>
      </c>
      <c r="O16" s="753" t="b">
        <f>M16=N16</f>
        <v>0</v>
      </c>
      <c r="P16" s="724" t="str">
        <f>구NCP!F19</f>
        <v>AAA</v>
      </c>
      <c r="Q16" s="973" t="s">
        <v>350</v>
      </c>
      <c r="R16" s="974"/>
      <c r="S16" s="975"/>
      <c r="T16" s="974"/>
      <c r="U16" s="975"/>
      <c r="V16" s="976"/>
    </row>
    <row r="17" spans="1:22">
      <c r="B17" s="747" t="s">
        <v>1554</v>
      </c>
      <c r="C17" s="922">
        <f t="shared" ref="C17:K17" si="6">C26/C33*100</f>
        <v>603.33503211192408</v>
      </c>
      <c r="D17" s="922">
        <f t="shared" si="6"/>
        <v>644.01082120840078</v>
      </c>
      <c r="E17" s="922">
        <f t="shared" si="6"/>
        <v>736.24297959278351</v>
      </c>
      <c r="F17" s="922">
        <f t="shared" si="6"/>
        <v>864.36645695612469</v>
      </c>
      <c r="G17" s="922">
        <f t="shared" si="6"/>
        <v>805.97796181806541</v>
      </c>
      <c r="H17" s="922">
        <f t="shared" si="6"/>
        <v>885.12586092883066</v>
      </c>
      <c r="I17" s="769">
        <f t="shared" si="6"/>
        <v>869.62127451609967</v>
      </c>
      <c r="J17" s="770">
        <f t="shared" si="6"/>
        <v>867.95736322553034</v>
      </c>
      <c r="K17" s="771">
        <f t="shared" si="6"/>
        <v>897.24590769397037</v>
      </c>
      <c r="L17" s="764">
        <f>AVERAGE(I17:K17)</f>
        <v>878.27484847853339</v>
      </c>
      <c r="M17" s="775" t="s">
        <v>2117</v>
      </c>
      <c r="N17" s="724" t="str">
        <f>구NCP!H20</f>
        <v>BBB</v>
      </c>
      <c r="O17" s="753" t="b">
        <f>M17=N17</f>
        <v>0</v>
      </c>
      <c r="P17" s="724" t="str">
        <f>구NCP!F20</f>
        <v>A</v>
      </c>
      <c r="Q17" s="978" t="s">
        <v>1418</v>
      </c>
      <c r="R17" s="549" t="s">
        <v>1377</v>
      </c>
      <c r="S17" s="550" t="s">
        <v>1378</v>
      </c>
      <c r="T17" s="549" t="s">
        <v>1379</v>
      </c>
      <c r="U17" s="550" t="s">
        <v>1380</v>
      </c>
      <c r="V17" s="551" t="s">
        <v>1381</v>
      </c>
    </row>
    <row r="18" spans="1:22">
      <c r="B18" s="766" t="s">
        <v>267</v>
      </c>
      <c r="C18" s="920"/>
      <c r="D18" s="920"/>
      <c r="E18" s="920"/>
      <c r="F18" s="920"/>
      <c r="G18" s="920"/>
      <c r="H18" s="920"/>
      <c r="I18" s="756"/>
      <c r="J18" s="757"/>
      <c r="K18" s="758"/>
      <c r="L18" s="759"/>
      <c r="M18" s="767"/>
      <c r="O18" s="753"/>
      <c r="Q18" s="541" t="s">
        <v>750</v>
      </c>
      <c r="R18" s="542" t="s">
        <v>1382</v>
      </c>
      <c r="S18" s="552" t="s">
        <v>1383</v>
      </c>
      <c r="T18" s="553" t="s">
        <v>1384</v>
      </c>
      <c r="U18" s="552" t="s">
        <v>1385</v>
      </c>
      <c r="V18" s="544" t="s">
        <v>1386</v>
      </c>
    </row>
    <row r="19" spans="1:22">
      <c r="B19" s="747" t="s">
        <v>552</v>
      </c>
      <c r="C19" s="921">
        <f t="shared" ref="C19:K20" si="7">C98</f>
        <v>156.24915158594413</v>
      </c>
      <c r="D19" s="921">
        <f t="shared" si="7"/>
        <v>144.24527687541533</v>
      </c>
      <c r="E19" s="921">
        <f t="shared" si="7"/>
        <v>131.13026293695475</v>
      </c>
      <c r="F19" s="921">
        <f t="shared" si="7"/>
        <v>138.79125205067746</v>
      </c>
      <c r="G19" s="921">
        <f t="shared" si="7"/>
        <v>133.11711922354121</v>
      </c>
      <c r="H19" s="921">
        <f t="shared" si="7"/>
        <v>129.5881283439667</v>
      </c>
      <c r="I19" s="761">
        <f t="shared" si="7"/>
        <v>129.58857930893581</v>
      </c>
      <c r="J19" s="762">
        <f t="shared" si="7"/>
        <v>129.58868495372633</v>
      </c>
      <c r="K19" s="763">
        <f t="shared" si="7"/>
        <v>129.58892326187552</v>
      </c>
      <c r="L19" s="764">
        <f>AVERAGE(I19:K19)</f>
        <v>129.58872917484587</v>
      </c>
      <c r="M19" s="760" t="s">
        <v>2126</v>
      </c>
      <c r="N19" s="724" t="str">
        <f>구NCP!H22</f>
        <v>BBB</v>
      </c>
      <c r="O19" s="753" t="b">
        <f>M19=N19</f>
        <v>1</v>
      </c>
      <c r="P19" s="724" t="str">
        <f>구NCP!F22</f>
        <v>A</v>
      </c>
      <c r="Q19" s="973" t="s">
        <v>354</v>
      </c>
      <c r="R19" s="974"/>
      <c r="S19" s="975"/>
      <c r="T19" s="974"/>
      <c r="U19" s="975"/>
      <c r="V19" s="976"/>
    </row>
    <row r="20" spans="1:22" ht="14" thickBot="1">
      <c r="B20" s="747" t="s">
        <v>553</v>
      </c>
      <c r="C20" s="922">
        <f t="shared" si="7"/>
        <v>150.00243763778229</v>
      </c>
      <c r="D20" s="922">
        <f t="shared" si="7"/>
        <v>134.31373754441353</v>
      </c>
      <c r="E20" s="922">
        <f t="shared" si="7"/>
        <v>119.50901266495286</v>
      </c>
      <c r="F20" s="922">
        <f t="shared" si="7"/>
        <v>129.46629067439872</v>
      </c>
      <c r="G20" s="922">
        <f t="shared" si="7"/>
        <v>108.45569461138584</v>
      </c>
      <c r="H20" s="922">
        <f t="shared" si="7"/>
        <v>105.60164126850913</v>
      </c>
      <c r="I20" s="776">
        <f t="shared" si="7"/>
        <v>105.42630827165303</v>
      </c>
      <c r="J20" s="777">
        <f t="shared" si="7"/>
        <v>107.96542024276754</v>
      </c>
      <c r="K20" s="778">
        <f t="shared" si="7"/>
        <v>110.11734660179214</v>
      </c>
      <c r="L20" s="779">
        <f>AVERAGE(I20:K20)</f>
        <v>107.83635837207089</v>
      </c>
      <c r="M20" s="780" t="s">
        <v>2126</v>
      </c>
      <c r="N20" s="724" t="str">
        <f>구NCP!H23</f>
        <v>BBB</v>
      </c>
      <c r="O20" s="753" t="b">
        <f>M20=N20</f>
        <v>1</v>
      </c>
      <c r="P20" s="724" t="str">
        <f>구NCP!F23</f>
        <v>BBB</v>
      </c>
      <c r="Q20" s="541" t="s">
        <v>356</v>
      </c>
      <c r="R20" s="542" t="s">
        <v>1375</v>
      </c>
      <c r="S20" s="543" t="s">
        <v>357</v>
      </c>
      <c r="T20" s="542" t="s">
        <v>358</v>
      </c>
      <c r="U20" s="543" t="s">
        <v>359</v>
      </c>
      <c r="V20" s="544" t="s">
        <v>1387</v>
      </c>
    </row>
    <row r="21" spans="1:22">
      <c r="B21" s="766" t="s">
        <v>1555</v>
      </c>
      <c r="C21" s="920">
        <f t="shared" ref="C21:G21" si="8">C66</f>
        <v>5.0188521235546961</v>
      </c>
      <c r="D21" s="924">
        <f t="shared" si="8"/>
        <v>3.2089539166717262</v>
      </c>
      <c r="E21" s="920">
        <f t="shared" si="8"/>
        <v>7.0169477145336927</v>
      </c>
      <c r="F21" s="920">
        <f t="shared" si="8"/>
        <v>7.8967777953109719</v>
      </c>
      <c r="G21" s="920">
        <f t="shared" si="8"/>
        <v>6.6159939020548659</v>
      </c>
      <c r="H21" s="920">
        <f>H66</f>
        <v>11.360468829431163</v>
      </c>
      <c r="I21" s="755">
        <f>I66</f>
        <v>7.9181483434118682</v>
      </c>
      <c r="J21" s="757">
        <f t="shared" ref="J21:K21" si="9">J66</f>
        <v>6.01576359144034</v>
      </c>
      <c r="K21" s="757">
        <f t="shared" si="9"/>
        <v>1.657030000733406</v>
      </c>
      <c r="L21" s="757"/>
      <c r="M21" s="757"/>
      <c r="Q21" s="541" t="s">
        <v>360</v>
      </c>
      <c r="R21" s="542" t="s">
        <v>1388</v>
      </c>
      <c r="S21" s="543" t="s">
        <v>362</v>
      </c>
      <c r="T21" s="542" t="s">
        <v>363</v>
      </c>
      <c r="U21" s="543" t="s">
        <v>364</v>
      </c>
      <c r="V21" s="544" t="s">
        <v>1389</v>
      </c>
    </row>
    <row r="22" spans="1:22">
      <c r="Q22" s="541" t="s">
        <v>366</v>
      </c>
      <c r="R22" s="554" t="s">
        <v>1690</v>
      </c>
      <c r="S22" s="555" t="s">
        <v>825</v>
      </c>
      <c r="T22" s="554" t="s">
        <v>1691</v>
      </c>
      <c r="U22" s="555" t="s">
        <v>1692</v>
      </c>
      <c r="V22" s="556" t="s">
        <v>1693</v>
      </c>
    </row>
    <row r="23" spans="1:22" s="725" customFormat="1">
      <c r="B23" s="726" t="s">
        <v>1556</v>
      </c>
    </row>
    <row r="24" spans="1:22" ht="14" thickBot="1">
      <c r="G24" s="781"/>
      <c r="H24" s="781"/>
      <c r="I24" s="782"/>
      <c r="J24" s="782"/>
      <c r="K24" s="782"/>
      <c r="L24" s="730" t="s">
        <v>1533</v>
      </c>
    </row>
    <row r="25" spans="1:22">
      <c r="B25" s="731" t="s">
        <v>1534</v>
      </c>
      <c r="C25" s="732" t="str">
        <f t="shared" ref="C25:H25" si="10">C6</f>
        <v>FY12</v>
      </c>
      <c r="D25" s="732" t="str">
        <f t="shared" si="10"/>
        <v>FY13</v>
      </c>
      <c r="E25" s="732" t="str">
        <f t="shared" si="10"/>
        <v>FY14</v>
      </c>
      <c r="F25" s="732" t="str">
        <f t="shared" si="10"/>
        <v>FY15</v>
      </c>
      <c r="G25" s="732" t="str">
        <f t="shared" si="10"/>
        <v>FY16</v>
      </c>
      <c r="H25" s="732" t="str">
        <f t="shared" si="10"/>
        <v>FY17</v>
      </c>
      <c r="I25" s="734" t="s">
        <v>1557</v>
      </c>
      <c r="J25" s="783" t="s">
        <v>1558</v>
      </c>
      <c r="K25" s="736" t="s">
        <v>1559</v>
      </c>
      <c r="L25" s="736" t="s">
        <v>1560</v>
      </c>
    </row>
    <row r="26" spans="1:22">
      <c r="A26" s="784"/>
      <c r="B26" s="785" t="s">
        <v>1561</v>
      </c>
      <c r="C26" s="912">
        <f>Data!K$15</f>
        <v>192732.48</v>
      </c>
      <c r="D26" s="912">
        <f>Data!L$15</f>
        <v>198537.91</v>
      </c>
      <c r="E26" s="912">
        <f>Data!M$15</f>
        <v>234886.69</v>
      </c>
      <c r="F26" s="912">
        <f>Data!N$15</f>
        <v>284796.56</v>
      </c>
      <c r="G26" s="912">
        <f>Data!O$15</f>
        <v>328247.34000000003</v>
      </c>
      <c r="H26" s="912">
        <f>Data!P$15</f>
        <v>375451.36</v>
      </c>
      <c r="I26" s="787">
        <f>H26*(1+I140/100)</f>
        <v>382960.3872</v>
      </c>
      <c r="J26" s="786">
        <f>I26*(1+J140/100)</f>
        <v>390619.59494400001</v>
      </c>
      <c r="K26" s="788">
        <f>J26*(1+K140/100)</f>
        <v>398431.98684288003</v>
      </c>
      <c r="L26" s="788">
        <f>AVERAGE(I26:K26)</f>
        <v>390670.65632896003</v>
      </c>
    </row>
    <row r="27" spans="1:22">
      <c r="A27" s="784"/>
      <c r="B27" s="789" t="s">
        <v>1562</v>
      </c>
      <c r="C27" s="913">
        <f>Data!K$84</f>
        <v>138158.16205314</v>
      </c>
      <c r="D27" s="913">
        <f>Data!L$84</f>
        <v>141137.38937639</v>
      </c>
      <c r="E27" s="913">
        <f>Data!M$84</f>
        <v>151715.90287553999</v>
      </c>
      <c r="F27" s="913">
        <f>Data!N$84</f>
        <v>181381.28420828999</v>
      </c>
      <c r="G27" s="913">
        <f>Data!O$84</f>
        <v>214897.04632433</v>
      </c>
      <c r="H27" s="913">
        <f>Data!P$84</f>
        <v>258551.74957541001</v>
      </c>
      <c r="I27" s="792">
        <f t="shared" ref="I27:K28" si="11">ROUND(H27*(1+I141/100),0)</f>
        <v>268894</v>
      </c>
      <c r="J27" s="790">
        <f t="shared" si="11"/>
        <v>276961</v>
      </c>
      <c r="K27" s="793">
        <f t="shared" si="11"/>
        <v>282500</v>
      </c>
      <c r="L27" s="793">
        <f>AVERAGE(I27:K27)</f>
        <v>276118.33333333331</v>
      </c>
    </row>
    <row r="28" spans="1:22">
      <c r="A28" s="784"/>
      <c r="B28" s="789" t="s">
        <v>250</v>
      </c>
      <c r="C28" s="913">
        <f>Data!K$118</f>
        <v>14697.519643600001</v>
      </c>
      <c r="D28" s="913">
        <f>Data!L$118</f>
        <v>14787.290585070001</v>
      </c>
      <c r="E28" s="913">
        <f>Data!M$118</f>
        <v>13957.09317111</v>
      </c>
      <c r="F28" s="913">
        <f>Data!N$118</f>
        <v>17554.358424450002</v>
      </c>
      <c r="G28" s="913">
        <f>Data!O$118</f>
        <v>19972.17555177</v>
      </c>
      <c r="H28" s="913">
        <f>Data!P$118</f>
        <v>33520.247614970001</v>
      </c>
      <c r="I28" s="792">
        <f t="shared" si="11"/>
        <v>45252</v>
      </c>
      <c r="J28" s="790">
        <f t="shared" si="11"/>
        <v>54302</v>
      </c>
      <c r="K28" s="793">
        <f t="shared" si="11"/>
        <v>62447</v>
      </c>
      <c r="L28" s="793"/>
    </row>
    <row r="29" spans="1:22">
      <c r="A29" s="784"/>
      <c r="B29" s="789" t="s">
        <v>1564</v>
      </c>
      <c r="C29" s="914">
        <f t="shared" ref="C29:K29" si="12">C26-C27-C28</f>
        <v>39876.798303260017</v>
      </c>
      <c r="D29" s="914">
        <f t="shared" si="12"/>
        <v>42613.230038540001</v>
      </c>
      <c r="E29" s="914">
        <f t="shared" si="12"/>
        <v>69213.693953350012</v>
      </c>
      <c r="F29" s="914">
        <f t="shared" si="12"/>
        <v>85860.917367260001</v>
      </c>
      <c r="G29" s="914">
        <f t="shared" si="12"/>
        <v>93378.118123900029</v>
      </c>
      <c r="H29" s="914">
        <f t="shared" si="12"/>
        <v>83379.362809619983</v>
      </c>
      <c r="I29" s="792">
        <f t="shared" si="12"/>
        <v>68814.387199999997</v>
      </c>
      <c r="J29" s="790">
        <f t="shared" si="12"/>
        <v>59356.594944000011</v>
      </c>
      <c r="K29" s="793">
        <f t="shared" si="12"/>
        <v>53484.986842880026</v>
      </c>
      <c r="L29" s="793"/>
    </row>
    <row r="30" spans="1:22">
      <c r="B30" s="754" t="s">
        <v>1565</v>
      </c>
      <c r="C30" s="913">
        <f>Data!K$16</f>
        <v>160787.96</v>
      </c>
      <c r="D30" s="913">
        <f>Data!L$16</f>
        <v>167709.56</v>
      </c>
      <c r="E30" s="913">
        <f>Data!M$16</f>
        <v>202983.27</v>
      </c>
      <c r="F30" s="913">
        <f>Data!N$16</f>
        <v>251847.96</v>
      </c>
      <c r="G30" s="913">
        <f>Data!O$16</f>
        <v>287521</v>
      </c>
      <c r="H30" s="913">
        <f>Data!P$16</f>
        <v>333033.51</v>
      </c>
      <c r="I30" s="792">
        <f>I26-I33</f>
        <v>338922.78158678656</v>
      </c>
      <c r="J30" s="790">
        <f>J26-J33</f>
        <v>345615.12681063835</v>
      </c>
      <c r="K30" s="793">
        <f>K26-K33</f>
        <v>354025.87883767352</v>
      </c>
      <c r="L30" s="793">
        <f>AVERAGE(I30:K30)</f>
        <v>346187.92907836614</v>
      </c>
    </row>
    <row r="31" spans="1:22">
      <c r="A31" s="784"/>
      <c r="B31" s="747" t="s">
        <v>1566</v>
      </c>
      <c r="C31" s="916">
        <f>Data!K$142</f>
        <v>121441.57188047998</v>
      </c>
      <c r="D31" s="916">
        <f>Data!L$142</f>
        <v>139432.38650522</v>
      </c>
      <c r="E31" s="916">
        <f>Data!M$142</f>
        <v>162729.95110902999</v>
      </c>
      <c r="F31" s="916">
        <f>Data!N$142</f>
        <v>204770.71165647003</v>
      </c>
      <c r="G31" s="916">
        <f>Data!O$142</f>
        <v>236981.69017647998</v>
      </c>
      <c r="H31" s="916">
        <f>Data!P$142</f>
        <v>261635.20874783001</v>
      </c>
      <c r="I31" s="787">
        <f t="shared" ref="I31:K32" si="13">H31*(1+I144/100)</f>
        <v>266867.91292278661</v>
      </c>
      <c r="J31" s="794">
        <f t="shared" si="13"/>
        <v>272205.27118124237</v>
      </c>
      <c r="K31" s="788">
        <f t="shared" si="13"/>
        <v>277649.37660486723</v>
      </c>
      <c r="L31" s="788">
        <f>AVERAGE(I31:K31)</f>
        <v>272240.85356963211</v>
      </c>
    </row>
    <row r="32" spans="1:22">
      <c r="A32" s="784"/>
      <c r="B32" s="747" t="s">
        <v>1567</v>
      </c>
      <c r="C32" s="916">
        <f>Data!K$146</f>
        <v>17885.138986710001</v>
      </c>
      <c r="D32" s="916">
        <f>Data!L$146</f>
        <v>14704.423780720001</v>
      </c>
      <c r="E32" s="916">
        <f>Data!M$146</f>
        <v>14405.17172072</v>
      </c>
      <c r="F32" s="916">
        <f>Data!N$146</f>
        <v>14121.77355849</v>
      </c>
      <c r="G32" s="916">
        <f>Data!O$146</f>
        <v>14394.752296160001</v>
      </c>
      <c r="H32" s="916">
        <f>Data!P$146</f>
        <v>19082.40476804</v>
      </c>
      <c r="I32" s="787">
        <f t="shared" si="13"/>
        <v>19464.052863400801</v>
      </c>
      <c r="J32" s="794">
        <f t="shared" si="13"/>
        <v>19853.333920668818</v>
      </c>
      <c r="K32" s="788">
        <f t="shared" si="13"/>
        <v>20250.400599082193</v>
      </c>
      <c r="L32" s="788">
        <f>AVERAGE(I32:K32)</f>
        <v>19855.929127717271</v>
      </c>
    </row>
    <row r="33" spans="1:13" ht="14" thickBot="1">
      <c r="B33" s="785" t="s">
        <v>1568</v>
      </c>
      <c r="C33" s="916">
        <f>Data!K$17</f>
        <v>31944.52</v>
      </c>
      <c r="D33" s="916">
        <f>Data!L$17</f>
        <v>30828.35</v>
      </c>
      <c r="E33" s="916">
        <f>Data!M$17</f>
        <v>31903.42</v>
      </c>
      <c r="F33" s="916">
        <f>Data!N$17</f>
        <v>32948.589999999997</v>
      </c>
      <c r="G33" s="916">
        <f>Data!O$17</f>
        <v>40726.589999999997</v>
      </c>
      <c r="H33" s="916">
        <f>Data!P$17</f>
        <v>42417.85</v>
      </c>
      <c r="I33" s="795">
        <f>H33+I59-I71+I73</f>
        <v>44037.605613213418</v>
      </c>
      <c r="J33" s="796">
        <f>I33+J59-J71+J73</f>
        <v>45004.468133361668</v>
      </c>
      <c r="K33" s="797">
        <f>J33+K59-K71+K73</f>
        <v>44406.108005206515</v>
      </c>
      <c r="L33" s="797">
        <f>AVERAGE(I33:K33)</f>
        <v>44482.727250593867</v>
      </c>
    </row>
    <row r="34" spans="1:13">
      <c r="B34" s="724" t="s">
        <v>1569</v>
      </c>
      <c r="C34" s="917">
        <f t="shared" ref="C34:K34" si="14">C27+C28</f>
        <v>152855.68169674001</v>
      </c>
      <c r="D34" s="917">
        <f t="shared" si="14"/>
        <v>155924.67996146</v>
      </c>
      <c r="E34" s="917">
        <f t="shared" si="14"/>
        <v>165672.99604664999</v>
      </c>
      <c r="F34" s="917">
        <f t="shared" si="14"/>
        <v>198935.64263274</v>
      </c>
      <c r="G34" s="917">
        <f t="shared" si="14"/>
        <v>234869.2218761</v>
      </c>
      <c r="H34" s="917">
        <f t="shared" si="14"/>
        <v>292071.99719038</v>
      </c>
      <c r="I34" s="798">
        <f t="shared" si="14"/>
        <v>314146</v>
      </c>
      <c r="J34" s="799">
        <f t="shared" si="14"/>
        <v>331263</v>
      </c>
      <c r="K34" s="800">
        <f t="shared" si="14"/>
        <v>344947</v>
      </c>
      <c r="L34" s="800"/>
    </row>
    <row r="35" spans="1:13">
      <c r="B35" s="801" t="s">
        <v>1570</v>
      </c>
      <c r="C35" s="918">
        <f t="shared" ref="C35:K35" si="15">ROUND(C26/C27*100,1)</f>
        <v>139.5</v>
      </c>
      <c r="D35" s="918">
        <f t="shared" si="15"/>
        <v>140.69999999999999</v>
      </c>
      <c r="E35" s="918">
        <f t="shared" si="15"/>
        <v>154.80000000000001</v>
      </c>
      <c r="F35" s="918">
        <f t="shared" si="15"/>
        <v>157</v>
      </c>
      <c r="G35" s="918">
        <f t="shared" si="15"/>
        <v>152.69999999999999</v>
      </c>
      <c r="H35" s="918">
        <f t="shared" si="15"/>
        <v>145.19999999999999</v>
      </c>
      <c r="I35" s="803">
        <f t="shared" si="15"/>
        <v>142.4</v>
      </c>
      <c r="J35" s="802">
        <f t="shared" si="15"/>
        <v>141</v>
      </c>
      <c r="K35" s="804">
        <f t="shared" si="15"/>
        <v>141</v>
      </c>
      <c r="L35" s="804"/>
    </row>
    <row r="36" spans="1:13">
      <c r="B36" s="801" t="s">
        <v>1571</v>
      </c>
      <c r="C36" s="918">
        <f t="shared" ref="C36:K36" si="16">C77/C26*100</f>
        <v>8.3522490887265093</v>
      </c>
      <c r="D36" s="918">
        <f t="shared" si="16"/>
        <v>11.79194951165246</v>
      </c>
      <c r="E36" s="918">
        <f t="shared" si="16"/>
        <v>11.15983468720173</v>
      </c>
      <c r="F36" s="918">
        <f t="shared" si="16"/>
        <v>10.643200812109528</v>
      </c>
      <c r="G36" s="918">
        <f t="shared" si="16"/>
        <v>13.783229119047849</v>
      </c>
      <c r="H36" s="918">
        <f t="shared" si="16"/>
        <v>17.956589800641556</v>
      </c>
      <c r="I36" s="803">
        <f t="shared" si="16"/>
        <v>14.099891739403381</v>
      </c>
      <c r="J36" s="802">
        <f t="shared" si="16"/>
        <v>14.099907099615919</v>
      </c>
      <c r="K36" s="804">
        <f t="shared" si="16"/>
        <v>14.100022552193819</v>
      </c>
      <c r="L36" s="804"/>
    </row>
    <row r="37" spans="1:13">
      <c r="B37" s="801" t="s">
        <v>1572</v>
      </c>
      <c r="C37" s="918">
        <f t="shared" ref="C37:K37" si="17">ROUND(C31/C27*100,1)</f>
        <v>87.9</v>
      </c>
      <c r="D37" s="918">
        <f t="shared" si="17"/>
        <v>98.8</v>
      </c>
      <c r="E37" s="918">
        <f t="shared" si="17"/>
        <v>107.3</v>
      </c>
      <c r="F37" s="918">
        <f t="shared" si="17"/>
        <v>112.9</v>
      </c>
      <c r="G37" s="918">
        <f t="shared" si="17"/>
        <v>110.3</v>
      </c>
      <c r="H37" s="918">
        <f t="shared" si="17"/>
        <v>101.2</v>
      </c>
      <c r="I37" s="803">
        <f t="shared" si="17"/>
        <v>99.2</v>
      </c>
      <c r="J37" s="802">
        <f t="shared" si="17"/>
        <v>98.3</v>
      </c>
      <c r="K37" s="804">
        <f t="shared" si="17"/>
        <v>98.3</v>
      </c>
      <c r="L37" s="804"/>
    </row>
    <row r="38" spans="1:13">
      <c r="B38" s="801" t="s">
        <v>1573</v>
      </c>
      <c r="C38" s="918">
        <f t="shared" ref="C38:K38" si="18">C32/C26*100</f>
        <v>9.2797742169404973</v>
      </c>
      <c r="D38" s="918">
        <f t="shared" si="18"/>
        <v>7.4063556832647235</v>
      </c>
      <c r="E38" s="918">
        <f t="shared" si="18"/>
        <v>6.1328173685448073</v>
      </c>
      <c r="F38" s="918">
        <f t="shared" si="18"/>
        <v>4.9585477993449079</v>
      </c>
      <c r="G38" s="918">
        <f t="shared" si="18"/>
        <v>4.3853370742197031</v>
      </c>
      <c r="H38" s="918">
        <f t="shared" si="18"/>
        <v>5.0825238102853065</v>
      </c>
      <c r="I38" s="803">
        <f t="shared" si="18"/>
        <v>5.0825238102853065</v>
      </c>
      <c r="J38" s="802">
        <f t="shared" si="18"/>
        <v>5.0825238102853065</v>
      </c>
      <c r="K38" s="804">
        <f t="shared" si="18"/>
        <v>5.0825238102853056</v>
      </c>
      <c r="L38" s="804"/>
    </row>
    <row r="39" spans="1:13" ht="14" thickBot="1">
      <c r="B39" s="801" t="s">
        <v>1574</v>
      </c>
      <c r="C39" s="918"/>
      <c r="D39" s="918">
        <f t="shared" ref="D39:K39" si="19">ROUND((D27/C27-1)*100,0)</f>
        <v>2</v>
      </c>
      <c r="E39" s="918">
        <f t="shared" si="19"/>
        <v>7</v>
      </c>
      <c r="F39" s="918">
        <f t="shared" si="19"/>
        <v>20</v>
      </c>
      <c r="G39" s="918">
        <f t="shared" si="19"/>
        <v>18</v>
      </c>
      <c r="H39" s="918">
        <f t="shared" si="19"/>
        <v>20</v>
      </c>
      <c r="I39" s="805">
        <f>ROUND((I27/H27-1)*100,0)</f>
        <v>4</v>
      </c>
      <c r="J39" s="806">
        <f t="shared" si="19"/>
        <v>3</v>
      </c>
      <c r="K39" s="807">
        <f t="shared" si="19"/>
        <v>2</v>
      </c>
      <c r="L39" s="807"/>
    </row>
    <row r="40" spans="1:13">
      <c r="B40" s="808"/>
      <c r="C40" s="809"/>
      <c r="D40" s="809"/>
      <c r="E40" s="809"/>
      <c r="F40" s="809"/>
      <c r="G40" s="809"/>
      <c r="H40" s="809"/>
      <c r="I40" s="810"/>
      <c r="J40" s="810"/>
      <c r="K40" s="810"/>
      <c r="L40" s="811"/>
    </row>
    <row r="41" spans="1:13">
      <c r="B41" s="808"/>
      <c r="C41" s="809"/>
      <c r="D41" s="809"/>
      <c r="E41" s="809"/>
      <c r="F41" s="809"/>
      <c r="G41" s="809"/>
      <c r="H41" s="809"/>
      <c r="I41" s="809"/>
      <c r="J41" s="809"/>
      <c r="K41" s="809"/>
      <c r="L41" s="811"/>
      <c r="M41" s="809"/>
    </row>
    <row r="42" spans="1:13">
      <c r="C42" s="782"/>
      <c r="D42" s="782"/>
      <c r="E42" s="782"/>
      <c r="F42" s="782"/>
      <c r="G42" s="782"/>
      <c r="H42" s="782"/>
      <c r="I42" s="782"/>
      <c r="J42" s="782"/>
    </row>
    <row r="43" spans="1:13" s="725" customFormat="1">
      <c r="B43" s="726" t="s">
        <v>1575</v>
      </c>
    </row>
    <row r="44" spans="1:13" ht="14" thickBot="1">
      <c r="L44" s="730" t="s">
        <v>1533</v>
      </c>
    </row>
    <row r="45" spans="1:13">
      <c r="B45" s="731" t="s">
        <v>1534</v>
      </c>
      <c r="C45" s="732" t="str">
        <f t="shared" ref="C45:H45" si="20">C25</f>
        <v>FY12</v>
      </c>
      <c r="D45" s="732" t="str">
        <f t="shared" si="20"/>
        <v>FY13</v>
      </c>
      <c r="E45" s="732" t="str">
        <f t="shared" si="20"/>
        <v>FY14</v>
      </c>
      <c r="F45" s="732" t="str">
        <f t="shared" si="20"/>
        <v>FY15</v>
      </c>
      <c r="G45" s="732" t="str">
        <f t="shared" si="20"/>
        <v>FY16</v>
      </c>
      <c r="H45" s="732" t="str">
        <f t="shared" si="20"/>
        <v>FY17</v>
      </c>
      <c r="I45" s="734" t="str">
        <f>I$25</f>
        <v>2018(E)</v>
      </c>
      <c r="J45" s="735" t="str">
        <f>J$25</f>
        <v>2019(E)</v>
      </c>
      <c r="K45" s="736" t="str">
        <f>K$25</f>
        <v>2020(E)</v>
      </c>
      <c r="L45" s="737" t="s">
        <v>1560</v>
      </c>
    </row>
    <row r="46" spans="1:13">
      <c r="B46" s="785" t="s">
        <v>1576</v>
      </c>
      <c r="C46" s="925">
        <f t="shared" ref="C46:F46" si="21">C55+C54-C53</f>
        <v>6802.6105963199998</v>
      </c>
      <c r="D46" s="925">
        <f t="shared" si="21"/>
        <v>4074.1709232600001</v>
      </c>
      <c r="E46" s="925">
        <f t="shared" si="21"/>
        <v>7156.9628224399994</v>
      </c>
      <c r="F46" s="925">
        <f t="shared" si="21"/>
        <v>7968.6610414699999</v>
      </c>
      <c r="G46" s="925">
        <f>G55+G54-G53</f>
        <v>7658.8829083599994</v>
      </c>
      <c r="H46" s="925">
        <f>H55+H54-H53</f>
        <v>11381.578177279998</v>
      </c>
      <c r="I46" s="812">
        <f t="shared" ref="I46:K46" si="22">SUM(I47:I52)</f>
        <v>10174.105847215926</v>
      </c>
      <c r="J46" s="794">
        <f t="shared" si="22"/>
        <v>9547.7678545719555</v>
      </c>
      <c r="K46" s="813">
        <f t="shared" si="22"/>
        <v>7588.7965608488403</v>
      </c>
      <c r="L46" s="814">
        <f t="shared" ref="L46:L55" si="23">AVERAGE(I46:K46)</f>
        <v>9103.5567542122408</v>
      </c>
    </row>
    <row r="47" spans="1:13">
      <c r="A47" s="784"/>
      <c r="B47" s="789" t="s">
        <v>1577</v>
      </c>
      <c r="C47" s="913">
        <f>Data!K$211</f>
        <v>2549.5407356800001</v>
      </c>
      <c r="D47" s="913">
        <f>Data!L$211</f>
        <v>1775.4715371</v>
      </c>
      <c r="E47" s="913">
        <f>Data!M$211</f>
        <v>2254.4752445700001</v>
      </c>
      <c r="F47" s="913">
        <f>Data!N$211</f>
        <v>2804.3513719699999</v>
      </c>
      <c r="G47" s="913">
        <f>Data!O$211</f>
        <v>2288.01161146</v>
      </c>
      <c r="H47" s="913">
        <f>Data!P$211</f>
        <v>2355.3938719299999</v>
      </c>
      <c r="I47" s="792">
        <f>I117</f>
        <v>1272.8401031801291</v>
      </c>
      <c r="J47" s="791">
        <f>J117</f>
        <v>1095.9942712386221</v>
      </c>
      <c r="K47" s="815">
        <f>K117</f>
        <v>1062.0684775155073</v>
      </c>
      <c r="L47" s="816">
        <f t="shared" si="23"/>
        <v>1143.6342839780862</v>
      </c>
    </row>
    <row r="48" spans="1:13">
      <c r="A48" s="784"/>
      <c r="B48" s="789" t="s">
        <v>1578</v>
      </c>
      <c r="C48" s="913">
        <f>Data!K$215</f>
        <v>900.5811238</v>
      </c>
      <c r="D48" s="913">
        <f>Data!L$215</f>
        <v>645.21910138999999</v>
      </c>
      <c r="E48" s="913">
        <f>Data!M$215</f>
        <v>830.56379490999996</v>
      </c>
      <c r="F48" s="913">
        <f>Data!N$215</f>
        <v>1010.2729842700001</v>
      </c>
      <c r="G48" s="913">
        <f>Data!O$215</f>
        <v>1031.5412439900001</v>
      </c>
      <c r="H48" s="913">
        <f>Data!P$215</f>
        <v>1199.69167595</v>
      </c>
      <c r="I48" s="792">
        <f t="shared" ref="I48:K49" si="24">ROUND(H48*(1+I147/100),0)</f>
        <v>1164</v>
      </c>
      <c r="J48" s="791">
        <f t="shared" si="24"/>
        <v>1135</v>
      </c>
      <c r="K48" s="815">
        <f t="shared" si="24"/>
        <v>1107</v>
      </c>
      <c r="L48" s="816">
        <f t="shared" si="23"/>
        <v>1135.3333333333333</v>
      </c>
    </row>
    <row r="49" spans="1:12">
      <c r="A49" s="784"/>
      <c r="B49" s="789" t="s">
        <v>1579</v>
      </c>
      <c r="C49" s="913">
        <f>Data!K$216</f>
        <v>508.64304060000001</v>
      </c>
      <c r="D49" s="913">
        <f>Data!L$216</f>
        <v>402.81586871000002</v>
      </c>
      <c r="E49" s="913">
        <f>Data!M$216</f>
        <v>697.69222471</v>
      </c>
      <c r="F49" s="913">
        <f>Data!N$216</f>
        <v>867.94531057999995</v>
      </c>
      <c r="G49" s="913">
        <f>Data!O$216</f>
        <v>1406.1302848</v>
      </c>
      <c r="H49" s="913">
        <f>Data!P$216</f>
        <v>1741.6171613500001</v>
      </c>
      <c r="I49" s="792">
        <f t="shared" si="24"/>
        <v>1898</v>
      </c>
      <c r="J49" s="791">
        <f t="shared" si="24"/>
        <v>1746</v>
      </c>
      <c r="K49" s="815">
        <f t="shared" si="24"/>
        <v>1554</v>
      </c>
      <c r="L49" s="816">
        <f t="shared" si="23"/>
        <v>1732.6666666666667</v>
      </c>
    </row>
    <row r="50" spans="1:12">
      <c r="A50" s="784"/>
      <c r="B50" s="817" t="s">
        <v>1345</v>
      </c>
      <c r="C50" s="913">
        <f>Data!K$217</f>
        <v>-338.46550351000002</v>
      </c>
      <c r="D50" s="913">
        <f>Data!L$217</f>
        <v>-1219.66343338</v>
      </c>
      <c r="E50" s="913">
        <f>Data!M$217</f>
        <v>-418.70206307000001</v>
      </c>
      <c r="F50" s="913">
        <f>Data!N$217</f>
        <v>-1080.59307812</v>
      </c>
      <c r="G50" s="913">
        <f>Data!O$217</f>
        <v>-841.57422439000004</v>
      </c>
      <c r="H50" s="913">
        <f>Data!P$217</f>
        <v>814.88747707000005</v>
      </c>
      <c r="I50" s="792">
        <f>I123</f>
        <v>131.86143739385253</v>
      </c>
      <c r="J50" s="791">
        <f>J123</f>
        <v>136.46375</v>
      </c>
      <c r="K50" s="815">
        <f>K123</f>
        <v>-139.86525</v>
      </c>
      <c r="L50" s="816">
        <f t="shared" si="23"/>
        <v>42.819979131284164</v>
      </c>
    </row>
    <row r="51" spans="1:12">
      <c r="A51" s="784"/>
      <c r="B51" s="817" t="s">
        <v>1580</v>
      </c>
      <c r="C51" s="913">
        <f>Data!K$212</f>
        <v>3376.7798659700002</v>
      </c>
      <c r="D51" s="913">
        <f>Data!L$212</f>
        <v>2535.3586793600002</v>
      </c>
      <c r="E51" s="913">
        <f>Data!M$212</f>
        <v>3781.7952330200001</v>
      </c>
      <c r="F51" s="913">
        <f>Data!N$212</f>
        <v>4383.1420143100004</v>
      </c>
      <c r="G51" s="913">
        <f>Data!O$212</f>
        <v>4134.2741015299998</v>
      </c>
      <c r="H51" s="913">
        <f>Data!P$212</f>
        <v>5048.5961801900003</v>
      </c>
      <c r="I51" s="792">
        <f>I127</f>
        <v>5759.0709733086105</v>
      </c>
      <c r="J51" s="791">
        <f>J127</f>
        <v>5485.9765000000007</v>
      </c>
      <c r="K51" s="815">
        <f>K127</f>
        <v>4057.26</v>
      </c>
      <c r="L51" s="816">
        <f t="shared" si="23"/>
        <v>5100.7691577695377</v>
      </c>
    </row>
    <row r="52" spans="1:12">
      <c r="A52" s="784"/>
      <c r="B52" s="789" t="s">
        <v>1581</v>
      </c>
      <c r="C52" s="913">
        <f>Data!K$221</f>
        <v>-194.46866621999999</v>
      </c>
      <c r="D52" s="913">
        <f>Data!L$221</f>
        <v>-65.030829920000002</v>
      </c>
      <c r="E52" s="913">
        <f>Data!M$221</f>
        <v>11.138388300000001</v>
      </c>
      <c r="F52" s="913">
        <f>Data!N$221</f>
        <v>-16.45756154</v>
      </c>
      <c r="G52" s="913">
        <f>Data!O$221</f>
        <v>-359.50010902999998</v>
      </c>
      <c r="H52" s="913">
        <f>Data!P$221</f>
        <v>221.39181078999999</v>
      </c>
      <c r="I52" s="792">
        <f>I151</f>
        <v>-51.666666666666664</v>
      </c>
      <c r="J52" s="791">
        <f>J151</f>
        <v>-51.666666666666664</v>
      </c>
      <c r="K52" s="815">
        <f>K151</f>
        <v>-51.666666666666664</v>
      </c>
      <c r="L52" s="816">
        <f t="shared" si="23"/>
        <v>-51.666666666666664</v>
      </c>
    </row>
    <row r="53" spans="1:12">
      <c r="A53" s="784"/>
      <c r="B53" s="818" t="s">
        <v>1582</v>
      </c>
      <c r="C53" s="913">
        <f>Data!K$232</f>
        <v>-71.522228510000005</v>
      </c>
      <c r="D53" s="913">
        <f>Data!L$232</f>
        <v>-161.98782571999999</v>
      </c>
      <c r="E53" s="913">
        <f>Data!M$232</f>
        <v>39.585569409999998</v>
      </c>
      <c r="F53" s="913">
        <f>Data!N$232</f>
        <v>-18.27776158</v>
      </c>
      <c r="G53" s="913">
        <f>Data!O$232</f>
        <v>-6.0240624199999999</v>
      </c>
      <c r="H53" s="913">
        <f>Data!P$232</f>
        <v>-22.359034909999998</v>
      </c>
      <c r="I53" s="792">
        <f>-I80</f>
        <v>-168.54565154032503</v>
      </c>
      <c r="J53" s="790">
        <f>-J80</f>
        <v>-134.99250000000001</v>
      </c>
      <c r="K53" s="815">
        <f>-K80</f>
        <v>-137.6925</v>
      </c>
      <c r="L53" s="816">
        <f t="shared" si="23"/>
        <v>-147.07688384677502</v>
      </c>
    </row>
    <row r="54" spans="1:12">
      <c r="A54" s="784"/>
      <c r="B54" s="818" t="s">
        <v>1346</v>
      </c>
      <c r="C54" s="913">
        <f>Data!K$224</f>
        <v>4636.0851017900004</v>
      </c>
      <c r="D54" s="913">
        <f>Data!L$224</f>
        <v>2995.7843909100002</v>
      </c>
      <c r="E54" s="913">
        <f>Data!M$224</f>
        <v>4233.35168187</v>
      </c>
      <c r="F54" s="913">
        <f>Data!N$224</f>
        <v>4805.9484021899998</v>
      </c>
      <c r="G54" s="913">
        <f>Data!O$224</f>
        <v>4654.7521734499996</v>
      </c>
      <c r="H54" s="913">
        <f>Data!P$224</f>
        <v>5324.6601187799997</v>
      </c>
      <c r="I54" s="792">
        <f>H54*(1+I153/100)</f>
        <v>5489.7245824621796</v>
      </c>
      <c r="J54" s="791">
        <f>I54*(1+J153/100)</f>
        <v>5879.4950278169945</v>
      </c>
      <c r="K54" s="815">
        <f>J54*(1+K153/100)</f>
        <v>6473.3240256265108</v>
      </c>
      <c r="L54" s="816">
        <f t="shared" si="23"/>
        <v>5947.5145453018949</v>
      </c>
    </row>
    <row r="55" spans="1:12">
      <c r="B55" s="785" t="s">
        <v>1347</v>
      </c>
      <c r="C55" s="916">
        <f>Data!K$233</f>
        <v>2095.00326602</v>
      </c>
      <c r="D55" s="916">
        <f>Data!L$233</f>
        <v>916.39870662999999</v>
      </c>
      <c r="E55" s="916">
        <f>Data!M$233</f>
        <v>2963.1967099799999</v>
      </c>
      <c r="F55" s="916">
        <f>Data!N$233</f>
        <v>3144.4348777</v>
      </c>
      <c r="G55" s="916">
        <f>Data!O$233</f>
        <v>2998.1066724900002</v>
      </c>
      <c r="H55" s="916">
        <f>Data!P$233</f>
        <v>6034.5590235899999</v>
      </c>
      <c r="I55" s="812">
        <f>I46+I53-I54</f>
        <v>4515.8356132134204</v>
      </c>
      <c r="J55" s="794">
        <f>J46+J53-J54</f>
        <v>3533.2803267549607</v>
      </c>
      <c r="K55" s="813">
        <f>K46+K53-K54</f>
        <v>977.78003522232939</v>
      </c>
      <c r="L55" s="814">
        <f t="shared" si="23"/>
        <v>3008.9653250635697</v>
      </c>
    </row>
    <row r="56" spans="1:12" ht="12" customHeight="1">
      <c r="A56" s="784"/>
      <c r="B56" s="789" t="s">
        <v>1348</v>
      </c>
      <c r="C56" s="914">
        <f t="shared" ref="C56:G56" si="25">C57-C55</f>
        <v>-81.23982761000002</v>
      </c>
      <c r="D56" s="914">
        <f t="shared" si="25"/>
        <v>-1.1221016199999667</v>
      </c>
      <c r="E56" s="914">
        <f t="shared" si="25"/>
        <v>-148.91480453999975</v>
      </c>
      <c r="F56" s="914">
        <f t="shared" si="25"/>
        <v>32.283853869999803</v>
      </c>
      <c r="G56" s="914">
        <f t="shared" si="25"/>
        <v>65.179226169999765</v>
      </c>
      <c r="H56" s="914">
        <f>H57-H55</f>
        <v>-124.74285837000025</v>
      </c>
      <c r="I56" s="958">
        <v>0</v>
      </c>
      <c r="J56" s="959">
        <v>0</v>
      </c>
      <c r="K56" s="960">
        <v>0</v>
      </c>
      <c r="L56" s="816"/>
    </row>
    <row r="57" spans="1:12">
      <c r="B57" s="818" t="s">
        <v>1349</v>
      </c>
      <c r="C57" s="913">
        <f>Data!K252</f>
        <v>2013.7634384099999</v>
      </c>
      <c r="D57" s="913">
        <f>Data!L252</f>
        <v>915.27660501000003</v>
      </c>
      <c r="E57" s="913">
        <f>Data!M252</f>
        <v>2814.2819054400002</v>
      </c>
      <c r="F57" s="913">
        <f>Data!N252</f>
        <v>3176.7187315699998</v>
      </c>
      <c r="G57" s="913">
        <f>Data!O252</f>
        <v>3063.2858986599999</v>
      </c>
      <c r="H57" s="913">
        <f>Data!P252</f>
        <v>5909.8161652199997</v>
      </c>
      <c r="I57" s="822">
        <f>I55+I56</f>
        <v>4515.8356132134204</v>
      </c>
      <c r="J57" s="790">
        <f>J55+J56</f>
        <v>3533.2803267549607</v>
      </c>
      <c r="K57" s="815">
        <f>K55+K56</f>
        <v>977.78003522232939</v>
      </c>
      <c r="L57" s="816">
        <f>AVERAGE(I57:K57)</f>
        <v>3008.9653250635697</v>
      </c>
    </row>
    <row r="58" spans="1:12">
      <c r="A58" s="784"/>
      <c r="B58" s="789" t="s">
        <v>1583</v>
      </c>
      <c r="C58" s="913">
        <f>Data!K253</f>
        <v>423.5403086</v>
      </c>
      <c r="D58" s="913">
        <f>Data!L253</f>
        <v>159.89431918</v>
      </c>
      <c r="E58" s="913">
        <f>Data!M253</f>
        <v>613.35406317000002</v>
      </c>
      <c r="F58" s="913">
        <f>Data!N253</f>
        <v>616.10909491999996</v>
      </c>
      <c r="G58" s="913">
        <f>Data!O253</f>
        <v>626.11290087999998</v>
      </c>
      <c r="H58" s="913">
        <f>Data!P253</f>
        <v>1187.01657832</v>
      </c>
      <c r="I58" s="822">
        <f>ROUND(I57*I154/100,0)</f>
        <v>1093</v>
      </c>
      <c r="J58" s="790">
        <f>ROUND(J57*J154/100,0)</f>
        <v>855</v>
      </c>
      <c r="K58" s="815">
        <f>ROUND(K57*K154/100,0)</f>
        <v>237</v>
      </c>
      <c r="L58" s="816">
        <f>AVERAGE(I58:K58)</f>
        <v>728.33333333333337</v>
      </c>
    </row>
    <row r="59" spans="1:12">
      <c r="B59" s="785" t="s">
        <v>1350</v>
      </c>
      <c r="C59" s="916">
        <f>Data!K21</f>
        <v>1590.22</v>
      </c>
      <c r="D59" s="916">
        <f>Data!L21</f>
        <v>755.38</v>
      </c>
      <c r="E59" s="916">
        <f>Data!M21</f>
        <v>2200.9299999999998</v>
      </c>
      <c r="F59" s="916">
        <f>Data!N21</f>
        <v>2560.61</v>
      </c>
      <c r="G59" s="916">
        <f>Data!O21</f>
        <v>2437.17</v>
      </c>
      <c r="H59" s="916">
        <f>Data!P21</f>
        <v>4722.8</v>
      </c>
      <c r="I59" s="812">
        <f>I57-I58</f>
        <v>3422.8356132134204</v>
      </c>
      <c r="J59" s="794">
        <f>J57-J58</f>
        <v>2678.2803267549607</v>
      </c>
      <c r="K59" s="813">
        <f>K57-K58</f>
        <v>740.78003522232939</v>
      </c>
      <c r="L59" s="814">
        <f>AVERAGE(I59:K59)</f>
        <v>2280.6319917302367</v>
      </c>
    </row>
    <row r="60" spans="1:12">
      <c r="B60" s="823" t="s">
        <v>1584</v>
      </c>
      <c r="C60" s="927">
        <f t="shared" ref="C60:H60" si="26">C58/C57*100</f>
        <v>21.032277204040074</v>
      </c>
      <c r="D60" s="927">
        <f t="shared" si="26"/>
        <v>17.469507939433569</v>
      </c>
      <c r="E60" s="927">
        <f t="shared" si="26"/>
        <v>21.794336309535588</v>
      </c>
      <c r="F60" s="927">
        <f t="shared" si="26"/>
        <v>19.394511978575647</v>
      </c>
      <c r="G60" s="927">
        <f t="shared" si="26"/>
        <v>20.439257764150778</v>
      </c>
      <c r="H60" s="927">
        <f t="shared" si="26"/>
        <v>20.085507655986657</v>
      </c>
      <c r="I60" s="824"/>
      <c r="J60" s="823"/>
      <c r="K60" s="825"/>
      <c r="L60" s="826"/>
    </row>
    <row r="61" spans="1:12">
      <c r="B61" s="823" t="s">
        <v>1585</v>
      </c>
      <c r="C61" s="1004">
        <v>89143.12</v>
      </c>
      <c r="D61" s="1004">
        <v>56105.02</v>
      </c>
      <c r="E61" s="1004">
        <v>89663.96</v>
      </c>
      <c r="F61" s="1004">
        <v>111963.48</v>
      </c>
      <c r="G61" s="1004">
        <v>90753.24</v>
      </c>
      <c r="H61" s="1004">
        <v>118686.55328848</v>
      </c>
      <c r="I61" s="828">
        <f>H61*(1+I137/100)</f>
        <v>104444.16689386241</v>
      </c>
      <c r="J61" s="827">
        <f>I61*(1+J137/100)</f>
        <v>97133.075211292031</v>
      </c>
      <c r="K61" s="829">
        <f>J61*(1+K137/100)</f>
        <v>98104.405963404948</v>
      </c>
      <c r="L61" s="830">
        <f>AVERAGE(I61:K61)</f>
        <v>99893.882689519785</v>
      </c>
    </row>
    <row r="62" spans="1:12">
      <c r="B62" s="823" t="s">
        <v>1586</v>
      </c>
      <c r="C62" s="928" t="e">
        <f>(C61/#REF!-1)*100</f>
        <v>#REF!</v>
      </c>
      <c r="D62" s="928">
        <f>((D61*4/3)/C61-1)*100</f>
        <v>-16.082482491825132</v>
      </c>
      <c r="E62" s="928">
        <f>(E61/(D61*4/3)-1)*100</f>
        <v>19.860878759155611</v>
      </c>
      <c r="F62" s="928">
        <f>(F61/E61-1)*100</f>
        <v>24.870103885663752</v>
      </c>
      <c r="G62" s="928">
        <f>(G61/F61-1)*100</f>
        <v>-18.943891347428632</v>
      </c>
      <c r="H62" s="928">
        <f>(H61/G61-1)*100</f>
        <v>30.779411609414709</v>
      </c>
      <c r="I62" s="828"/>
      <c r="J62" s="827"/>
      <c r="K62" s="829"/>
      <c r="L62" s="830"/>
    </row>
    <row r="63" spans="1:12">
      <c r="B63" s="823" t="s">
        <v>1587</v>
      </c>
      <c r="C63" s="929">
        <f t="shared" ref="C63:K63" si="27">C46</f>
        <v>6802.6105963199998</v>
      </c>
      <c r="D63" s="929">
        <f t="shared" si="27"/>
        <v>4074.1709232600001</v>
      </c>
      <c r="E63" s="929">
        <f t="shared" si="27"/>
        <v>7156.9628224399994</v>
      </c>
      <c r="F63" s="929">
        <f t="shared" si="27"/>
        <v>7968.6610414699999</v>
      </c>
      <c r="G63" s="929">
        <f t="shared" si="27"/>
        <v>7658.8829083599994</v>
      </c>
      <c r="H63" s="929">
        <f t="shared" si="27"/>
        <v>11381.578177279998</v>
      </c>
      <c r="I63" s="828">
        <f t="shared" si="27"/>
        <v>10174.105847215926</v>
      </c>
      <c r="J63" s="827">
        <f t="shared" si="27"/>
        <v>9547.7678545719555</v>
      </c>
      <c r="K63" s="829">
        <f t="shared" si="27"/>
        <v>7588.7965608488403</v>
      </c>
      <c r="L63" s="830">
        <f>AVERAGE(I63:K63)</f>
        <v>9103.5567542122408</v>
      </c>
    </row>
    <row r="64" spans="1:12">
      <c r="B64" s="823" t="s">
        <v>1588</v>
      </c>
      <c r="C64" s="927">
        <f t="shared" ref="C64:K64" si="28">C46/C61*100</f>
        <v>7.6311111797747255</v>
      </c>
      <c r="D64" s="927">
        <f t="shared" si="28"/>
        <v>7.2616869635907815</v>
      </c>
      <c r="E64" s="927">
        <f t="shared" si="28"/>
        <v>7.9819838678104329</v>
      </c>
      <c r="F64" s="927">
        <f t="shared" si="28"/>
        <v>7.1171966443611794</v>
      </c>
      <c r="G64" s="927">
        <f t="shared" si="28"/>
        <v>8.4392390931276928</v>
      </c>
      <c r="H64" s="927">
        <f t="shared" si="28"/>
        <v>9.589610500876109</v>
      </c>
      <c r="I64" s="824">
        <f>I46/I61*100</f>
        <v>9.7411910590995401</v>
      </c>
      <c r="J64" s="823">
        <f t="shared" si="28"/>
        <v>9.8295743584796931</v>
      </c>
      <c r="K64" s="825">
        <f t="shared" si="28"/>
        <v>7.7354288895848615</v>
      </c>
      <c r="L64" s="831">
        <f>AVERAGE(I64:K64)</f>
        <v>9.1020647690546976</v>
      </c>
    </row>
    <row r="65" spans="1:12">
      <c r="B65" s="823" t="s">
        <v>1589</v>
      </c>
      <c r="C65" s="926">
        <f>Data!K352</f>
        <v>0.88153176026586999</v>
      </c>
      <c r="D65" s="926">
        <f>Data!L352</f>
        <v>0.51482215476503446</v>
      </c>
      <c r="E65" s="926">
        <f>Data!M352</f>
        <v>1.0155999355878853</v>
      </c>
      <c r="F65" s="926">
        <f>Data!N352</f>
        <v>0.98545027227548088</v>
      </c>
      <c r="G65" s="926">
        <f>Data!O352</f>
        <v>0.79510455928738966</v>
      </c>
      <c r="H65" s="926">
        <f>Data!P352</f>
        <v>1.3422790132847369</v>
      </c>
      <c r="I65" s="824">
        <f>I59/AVERAGE(H26:I26)*100</f>
        <v>0.90263254118894554</v>
      </c>
      <c r="J65" s="823">
        <f t="shared" ref="J65:K65" si="29">J59/AVERAGE(I26:J26)*100</f>
        <v>0.69243785738406172</v>
      </c>
      <c r="K65" s="825">
        <f t="shared" si="29"/>
        <v>0.18776466642263481</v>
      </c>
      <c r="L65" s="831">
        <f>AVERAGE(I65:K65)</f>
        <v>0.59427835499854742</v>
      </c>
    </row>
    <row r="66" spans="1:12" ht="14" thickBot="1">
      <c r="B66" s="823" t="s">
        <v>1590</v>
      </c>
      <c r="C66" s="926">
        <f>Data!K353</f>
        <v>5.0188521235546961</v>
      </c>
      <c r="D66" s="926">
        <f>Data!L353</f>
        <v>3.2089539166717262</v>
      </c>
      <c r="E66" s="926">
        <f>Data!M353</f>
        <v>7.0169477145336927</v>
      </c>
      <c r="F66" s="926">
        <f>Data!N353</f>
        <v>7.8967777953109719</v>
      </c>
      <c r="G66" s="926">
        <f>Data!O353</f>
        <v>6.6159939020548659</v>
      </c>
      <c r="H66" s="926">
        <f>Data!P353</f>
        <v>11.360468829431163</v>
      </c>
      <c r="I66" s="832">
        <f>I59/AVERAGE(H33:I33)*100</f>
        <v>7.9181483434118682</v>
      </c>
      <c r="J66" s="833">
        <f t="shared" ref="J66:K66" si="30">J59/AVERAGE(I33:J33)*100</f>
        <v>6.01576359144034</v>
      </c>
      <c r="K66" s="834">
        <f t="shared" si="30"/>
        <v>1.657030000733406</v>
      </c>
      <c r="L66" s="835">
        <f>AVERAGE(I66:K66)</f>
        <v>5.1969806451952048</v>
      </c>
    </row>
    <row r="67" spans="1:12">
      <c r="I67" s="836"/>
    </row>
    <row r="68" spans="1:12" s="725" customFormat="1">
      <c r="B68" s="726" t="s">
        <v>1591</v>
      </c>
    </row>
    <row r="69" spans="1:12" ht="14" thickBot="1">
      <c r="K69" s="730"/>
      <c r="L69" s="730" t="s">
        <v>1533</v>
      </c>
    </row>
    <row r="70" spans="1:12">
      <c r="B70" s="731" t="s">
        <v>1534</v>
      </c>
      <c r="C70" s="732" t="str">
        <f t="shared" ref="C70:H70" si="31">C45</f>
        <v>FY12</v>
      </c>
      <c r="D70" s="732" t="str">
        <f t="shared" si="31"/>
        <v>FY13</v>
      </c>
      <c r="E70" s="732" t="str">
        <f t="shared" si="31"/>
        <v>FY14</v>
      </c>
      <c r="F70" s="732" t="str">
        <f t="shared" si="31"/>
        <v>FY15</v>
      </c>
      <c r="G70" s="732" t="str">
        <f t="shared" si="31"/>
        <v>FY16</v>
      </c>
      <c r="H70" s="732" t="str">
        <f t="shared" si="31"/>
        <v>FY17</v>
      </c>
      <c r="I70" s="734" t="str">
        <f>I$25</f>
        <v>2018(E)</v>
      </c>
      <c r="J70" s="735" t="str">
        <f>J$25</f>
        <v>2019(E)</v>
      </c>
      <c r="K70" s="736" t="str">
        <f>K$25</f>
        <v>2020(E)</v>
      </c>
      <c r="L70" s="737" t="s">
        <v>1560</v>
      </c>
    </row>
    <row r="71" spans="1:12">
      <c r="A71" s="784"/>
      <c r="B71" s="837" t="s">
        <v>1594</v>
      </c>
      <c r="C71" s="916">
        <f>Data!K$34</f>
        <v>1000.75</v>
      </c>
      <c r="D71" s="916">
        <f>Data!L$34</f>
        <v>1801.35</v>
      </c>
      <c r="E71" s="916">
        <f>Data!M$34</f>
        <v>600.45000000000005</v>
      </c>
      <c r="F71" s="916">
        <f>Data!N$34</f>
        <v>1601.2</v>
      </c>
      <c r="G71" s="916">
        <f>Data!O$34</f>
        <v>2001.5</v>
      </c>
      <c r="H71" s="916">
        <f>Data!P$34</f>
        <v>10823</v>
      </c>
      <c r="I71" s="1261">
        <f>Data!AJ$34</f>
        <v>1803.08</v>
      </c>
      <c r="J71" s="794">
        <f>J72*I59/100</f>
        <v>1711.41780660671</v>
      </c>
      <c r="K71" s="813">
        <f>K72*J59/100</f>
        <v>1339.1401633774803</v>
      </c>
      <c r="L71" s="838">
        <f>AVERAGE(I71:K71)</f>
        <v>1617.8793233280633</v>
      </c>
    </row>
    <row r="72" spans="1:12">
      <c r="B72" s="839" t="s">
        <v>1595</v>
      </c>
      <c r="C72" s="930" t="e">
        <f>C71/#REF!*100</f>
        <v>#REF!</v>
      </c>
      <c r="D72" s="930">
        <f t="shared" ref="D72:I72" si="32">D71/C59*100</f>
        <v>113.27677931355409</v>
      </c>
      <c r="E72" s="930">
        <f t="shared" si="32"/>
        <v>79.48979321665918</v>
      </c>
      <c r="F72" s="930">
        <f t="shared" si="32"/>
        <v>72.751064322809</v>
      </c>
      <c r="G72" s="930">
        <f t="shared" si="32"/>
        <v>78.164968503598757</v>
      </c>
      <c r="H72" s="930">
        <f t="shared" si="32"/>
        <v>444.08063450641515</v>
      </c>
      <c r="I72" s="1152">
        <f t="shared" si="32"/>
        <v>38.17819937325315</v>
      </c>
      <c r="J72" s="904">
        <f>J155</f>
        <v>50</v>
      </c>
      <c r="K72" s="1263">
        <f t="shared" ref="K72" si="33">K155</f>
        <v>50</v>
      </c>
      <c r="L72" s="838">
        <f>AVERAGE(I72:K72)</f>
        <v>46.059399791084388</v>
      </c>
    </row>
    <row r="73" spans="1:12">
      <c r="A73" s="784"/>
      <c r="B73" s="837" t="s">
        <v>1596</v>
      </c>
      <c r="C73" s="916">
        <f>Data!K$35</f>
        <v>0</v>
      </c>
      <c r="D73" s="916">
        <f>Data!L$35</f>
        <v>0</v>
      </c>
      <c r="E73" s="916">
        <f>Data!M$35</f>
        <v>0</v>
      </c>
      <c r="F73" s="916">
        <f>Data!N$35</f>
        <v>0</v>
      </c>
      <c r="G73" s="916">
        <f>Data!O$35</f>
        <v>16919.98</v>
      </c>
      <c r="H73" s="916">
        <f>Data!P$35</f>
        <v>0</v>
      </c>
      <c r="I73" s="961">
        <v>0</v>
      </c>
      <c r="J73" s="962">
        <v>0</v>
      </c>
      <c r="K73" s="963">
        <v>0</v>
      </c>
      <c r="L73" s="814">
        <f>AVERAGE(I73:K73)</f>
        <v>0</v>
      </c>
    </row>
    <row r="74" spans="1:12">
      <c r="A74" s="784"/>
      <c r="B74" s="785" t="s">
        <v>1597</v>
      </c>
      <c r="C74" s="916">
        <f>Data!K292</f>
        <v>371.06824460999997</v>
      </c>
      <c r="D74" s="916">
        <f>Data!L292</f>
        <v>769.13248494999993</v>
      </c>
      <c r="E74" s="916">
        <f>Data!M292</f>
        <v>609.73959902000001</v>
      </c>
      <c r="F74" s="916">
        <f>Data!N292</f>
        <v>646.04203123000002</v>
      </c>
      <c r="G74" s="916">
        <f>Data!O292</f>
        <v>373.69789374000004</v>
      </c>
      <c r="H74" s="916">
        <f>Data!P292</f>
        <v>371.11319571000001</v>
      </c>
      <c r="I74" s="842">
        <f>ROUND(H74*(1+I156/100),0)</f>
        <v>438</v>
      </c>
      <c r="J74" s="843">
        <f>ROUND(I74*(1+J156/100),0)</f>
        <v>482</v>
      </c>
      <c r="K74" s="844">
        <f>ROUND(J74*(1+K156/100),0)</f>
        <v>521</v>
      </c>
      <c r="L74" s="814">
        <f>AVERAGE(I74:K74)</f>
        <v>480.33333333333331</v>
      </c>
    </row>
    <row r="75" spans="1:12">
      <c r="A75" s="784"/>
      <c r="B75" s="785" t="s">
        <v>1598</v>
      </c>
      <c r="C75" s="916">
        <f>Data!K293</f>
        <v>435.66449644999994</v>
      </c>
      <c r="D75" s="916">
        <f>Data!L293</f>
        <v>854.46845082999994</v>
      </c>
      <c r="E75" s="916">
        <f>Data!M293</f>
        <v>654.35612863000006</v>
      </c>
      <c r="F75" s="916">
        <f>Data!N293</f>
        <v>673.5864646</v>
      </c>
      <c r="G75" s="916">
        <f>Data!O293</f>
        <v>422.07300823000003</v>
      </c>
      <c r="H75" s="916">
        <f>Data!P293</f>
        <v>371.11319686000002</v>
      </c>
      <c r="I75" s="842">
        <f>I74*I76</f>
        <v>481.8</v>
      </c>
      <c r="J75" s="843">
        <f>J74*J76</f>
        <v>530.20000000000005</v>
      </c>
      <c r="K75" s="844">
        <f>K74*K76</f>
        <v>573.1</v>
      </c>
      <c r="L75" s="814">
        <f>AVERAGE(I75:K75)</f>
        <v>528.36666666666667</v>
      </c>
    </row>
    <row r="76" spans="1:12">
      <c r="A76" s="784"/>
      <c r="B76" s="785" t="s">
        <v>1599</v>
      </c>
      <c r="C76" s="931">
        <f t="shared" ref="C76:H76" si="34">C75/C74</f>
        <v>1.1740818643963777</v>
      </c>
      <c r="D76" s="931">
        <f t="shared" si="34"/>
        <v>1.110950931796292</v>
      </c>
      <c r="E76" s="931">
        <f t="shared" si="34"/>
        <v>1.0731730884490849</v>
      </c>
      <c r="F76" s="931">
        <f t="shared" si="34"/>
        <v>1.042635667709666</v>
      </c>
      <c r="G76" s="932">
        <f t="shared" si="34"/>
        <v>1.1294497916642177</v>
      </c>
      <c r="H76" s="932">
        <f t="shared" si="34"/>
        <v>1.000000003098785</v>
      </c>
      <c r="I76" s="769">
        <f>I157</f>
        <v>1.1000000000000001</v>
      </c>
      <c r="J76" s="770">
        <f>J157</f>
        <v>1.1000000000000001</v>
      </c>
      <c r="K76" s="771">
        <f>K157</f>
        <v>1.1000000000000001</v>
      </c>
      <c r="L76" s="814"/>
    </row>
    <row r="77" spans="1:12">
      <c r="A77" s="784"/>
      <c r="B77" s="785" t="s">
        <v>1600</v>
      </c>
      <c r="C77" s="916">
        <f>Data!K269</f>
        <v>16097.496804480001</v>
      </c>
      <c r="D77" s="916">
        <f>Data!L269</f>
        <v>23411.490108689999</v>
      </c>
      <c r="E77" s="916">
        <f>Data!M269</f>
        <v>26212.96630624</v>
      </c>
      <c r="F77" s="916">
        <f>Data!N269</f>
        <v>30311.469786779999</v>
      </c>
      <c r="G77" s="916">
        <f>Data!O269</f>
        <v>45243.082949379997</v>
      </c>
      <c r="H77" s="916">
        <f>Data!P269</f>
        <v>67418.260616130006</v>
      </c>
      <c r="I77" s="812">
        <f>ROUND(I26*I146/100,0)</f>
        <v>53997</v>
      </c>
      <c r="J77" s="794">
        <f>ROUND(J26*J146/100,0)</f>
        <v>55077</v>
      </c>
      <c r="K77" s="813">
        <f>ROUND(K26*K146/100,0)</f>
        <v>56179</v>
      </c>
      <c r="L77" s="814">
        <f>AVERAGE(I77:K77)</f>
        <v>55084.333333333336</v>
      </c>
    </row>
    <row r="78" spans="1:12">
      <c r="A78" s="784"/>
      <c r="B78" s="845" t="s">
        <v>1679</v>
      </c>
      <c r="C78" s="918">
        <f t="shared" ref="C78:K78" si="35">C74/C77*100</f>
        <v>2.3051301026301809</v>
      </c>
      <c r="D78" s="918">
        <f t="shared" si="35"/>
        <v>3.2852777904320978</v>
      </c>
      <c r="E78" s="918">
        <f t="shared" si="35"/>
        <v>2.3260991979944348</v>
      </c>
      <c r="F78" s="918">
        <f t="shared" si="35"/>
        <v>2.1313451171271276</v>
      </c>
      <c r="G78" s="918">
        <f t="shared" si="35"/>
        <v>0.82597796033950666</v>
      </c>
      <c r="H78" s="918">
        <f t="shared" si="35"/>
        <v>0.55046391336475708</v>
      </c>
      <c r="I78" s="846">
        <f t="shared" si="35"/>
        <v>0.8111561753430746</v>
      </c>
      <c r="J78" s="802">
        <f t="shared" si="35"/>
        <v>0.87513844254407458</v>
      </c>
      <c r="K78" s="804">
        <f t="shared" si="35"/>
        <v>0.92739279802061281</v>
      </c>
      <c r="L78" s="847">
        <f>AVERAGE(I78:K78)</f>
        <v>0.87122913863592066</v>
      </c>
    </row>
    <row r="79" spans="1:12">
      <c r="B79" s="785" t="s">
        <v>1601</v>
      </c>
      <c r="C79" s="916">
        <f>Data!K359</f>
        <v>346.63593629000002</v>
      </c>
      <c r="D79" s="916">
        <f>Data!L359</f>
        <v>761.45773430999998</v>
      </c>
      <c r="E79" s="916">
        <f>Data!M359</f>
        <v>579.24571487999992</v>
      </c>
      <c r="F79" s="916">
        <f>Data!N359</f>
        <v>655.60711631000004</v>
      </c>
      <c r="G79" s="916">
        <f>Data!O359</f>
        <v>462.67292951000002</v>
      </c>
      <c r="H79" s="916">
        <f>Data!P359</f>
        <v>1072.6429687699999</v>
      </c>
      <c r="I79" s="812">
        <f>H79+I80-I82</f>
        <v>991.18862031032495</v>
      </c>
      <c r="J79" s="794">
        <f>I79+J80-J82</f>
        <v>876.18112031032501</v>
      </c>
      <c r="K79" s="813">
        <f>J79+K80-K82</f>
        <v>763.87362031032501</v>
      </c>
      <c r="L79" s="814">
        <f>AVERAGE(I79:K79)</f>
        <v>877.08112031032499</v>
      </c>
    </row>
    <row r="80" spans="1:12">
      <c r="A80" s="784"/>
      <c r="B80" s="845" t="s">
        <v>1602</v>
      </c>
      <c r="C80" s="908">
        <f t="shared" ref="C80:H80" si="36">-C53</f>
        <v>71.522228510000005</v>
      </c>
      <c r="D80" s="908">
        <f t="shared" si="36"/>
        <v>161.98782571999999</v>
      </c>
      <c r="E80" s="908">
        <f t="shared" si="36"/>
        <v>-39.585569409999998</v>
      </c>
      <c r="F80" s="908">
        <f t="shared" si="36"/>
        <v>18.27776158</v>
      </c>
      <c r="G80" s="933">
        <f t="shared" si="36"/>
        <v>6.0240624199999999</v>
      </c>
      <c r="H80" s="933">
        <f t="shared" si="36"/>
        <v>22.359034909999998</v>
      </c>
      <c r="I80" s="819">
        <f>I81/100*H77</f>
        <v>168.54565154032503</v>
      </c>
      <c r="J80" s="820">
        <f>J81/100*I77</f>
        <v>134.99250000000001</v>
      </c>
      <c r="K80" s="821">
        <f>K81/100*J77</f>
        <v>137.6925</v>
      </c>
      <c r="L80" s="848">
        <f>AVERAGE(I80:K80)</f>
        <v>147.07688384677502</v>
      </c>
    </row>
    <row r="81" spans="1:12">
      <c r="A81" s="784"/>
      <c r="B81" s="845" t="s">
        <v>1603</v>
      </c>
      <c r="C81" s="820"/>
      <c r="D81" s="904">
        <f>D80/C77*100</f>
        <v>1.0062920197314038</v>
      </c>
      <c r="E81" s="904">
        <f>E80/D77*100</f>
        <v>-0.16908607365964468</v>
      </c>
      <c r="F81" s="904">
        <f>F80/E77*100</f>
        <v>6.9727940617117332E-2</v>
      </c>
      <c r="G81" s="934">
        <f>G80/F77*100</f>
        <v>1.9873871054010474E-2</v>
      </c>
      <c r="H81" s="934">
        <f>H80/G77*100</f>
        <v>4.9419786301955364E-2</v>
      </c>
      <c r="I81" s="849">
        <f>I152</f>
        <v>0.25</v>
      </c>
      <c r="J81" s="840">
        <f>J152</f>
        <v>0.25</v>
      </c>
      <c r="K81" s="841">
        <f>K152</f>
        <v>0.25</v>
      </c>
      <c r="L81" s="848"/>
    </row>
    <row r="82" spans="1:12">
      <c r="A82" s="784"/>
      <c r="B82" s="845" t="s">
        <v>1604</v>
      </c>
      <c r="C82" s="908" t="e">
        <f>#REF!+C80-C79</f>
        <v>#REF!</v>
      </c>
      <c r="D82" s="908">
        <f t="shared" ref="D82:H82" si="37">C79+D80-D79</f>
        <v>-252.83397229999997</v>
      </c>
      <c r="E82" s="908">
        <f t="shared" si="37"/>
        <v>142.62645002000011</v>
      </c>
      <c r="F82" s="908">
        <f t="shared" si="37"/>
        <v>-58.083639850000168</v>
      </c>
      <c r="G82" s="933">
        <f t="shared" si="37"/>
        <v>198.95824921999997</v>
      </c>
      <c r="H82" s="933">
        <f t="shared" si="37"/>
        <v>-587.61100434999992</v>
      </c>
      <c r="I82" s="850">
        <f>I158</f>
        <v>250</v>
      </c>
      <c r="J82" s="851">
        <f>J158</f>
        <v>250</v>
      </c>
      <c r="K82" s="852">
        <f>K158</f>
        <v>250</v>
      </c>
      <c r="L82" s="848">
        <f>AVERAGE(I82:K82)</f>
        <v>250</v>
      </c>
    </row>
    <row r="83" spans="1:12">
      <c r="A83" s="784"/>
      <c r="B83" s="785" t="s">
        <v>1605</v>
      </c>
      <c r="C83" s="922">
        <f t="shared" ref="C83:H83" si="38">C79/C74*100</f>
        <v>93.415683321088608</v>
      </c>
      <c r="D83" s="922">
        <f t="shared" si="38"/>
        <v>99.002154922568522</v>
      </c>
      <c r="E83" s="922">
        <f t="shared" si="38"/>
        <v>94.998867682366182</v>
      </c>
      <c r="F83" s="922">
        <f t="shared" si="38"/>
        <v>101.48056699372781</v>
      </c>
      <c r="G83" s="922">
        <f t="shared" si="38"/>
        <v>123.80934901171914</v>
      </c>
      <c r="H83" s="922">
        <f t="shared" si="38"/>
        <v>289.0339069506432</v>
      </c>
      <c r="I83" s="769">
        <f>ROUND(I79/I74*100,1)</f>
        <v>226.3</v>
      </c>
      <c r="J83" s="768">
        <f>ROUND(J79/J74*100,1)</f>
        <v>181.8</v>
      </c>
      <c r="K83" s="771">
        <f>ROUND(K79/K74*100,1)</f>
        <v>146.6</v>
      </c>
      <c r="L83" s="853">
        <f>AVERAGE(I83:K83)</f>
        <v>184.9</v>
      </c>
    </row>
    <row r="84" spans="1:12">
      <c r="A84" s="784"/>
      <c r="B84" s="785" t="s">
        <v>1606</v>
      </c>
      <c r="C84" s="916">
        <f>Data!K271</f>
        <v>22794.47025857</v>
      </c>
      <c r="D84" s="916">
        <f>Data!L271</f>
        <v>20855.915167409999</v>
      </c>
      <c r="E84" s="916">
        <f>Data!M271</f>
        <v>22354.537245849999</v>
      </c>
      <c r="F84" s="916">
        <f>Data!N271</f>
        <v>23319.710716400001</v>
      </c>
      <c r="G84" s="916">
        <f>Data!O271</f>
        <v>28375.460349509998</v>
      </c>
      <c r="H84" s="916">
        <f>Data!P271</f>
        <v>32236.587257679999</v>
      </c>
      <c r="I84" s="812">
        <f>I85/100*I33</f>
        <v>28624.443648588724</v>
      </c>
      <c r="J84" s="794">
        <f>J85/100*J33</f>
        <v>29252.904286685087</v>
      </c>
      <c r="K84" s="813">
        <f>K85/100*K33</f>
        <v>28863.970203384237</v>
      </c>
      <c r="L84" s="814">
        <f>AVERAGE(I84:K84)</f>
        <v>28913.772712886013</v>
      </c>
    </row>
    <row r="85" spans="1:12">
      <c r="A85" s="784"/>
      <c r="B85" s="854" t="s">
        <v>1607</v>
      </c>
      <c r="C85" s="935">
        <f t="shared" ref="C85:H85" si="39">C84/C33*100</f>
        <v>71.356433775088817</v>
      </c>
      <c r="D85" s="935">
        <f t="shared" si="39"/>
        <v>67.651739932270132</v>
      </c>
      <c r="E85" s="935">
        <f t="shared" si="39"/>
        <v>70.069407122653303</v>
      </c>
      <c r="F85" s="935">
        <f t="shared" si="39"/>
        <v>70.776050557550434</v>
      </c>
      <c r="G85" s="936">
        <f t="shared" si="39"/>
        <v>69.673057207858562</v>
      </c>
      <c r="H85" s="936">
        <f t="shared" si="39"/>
        <v>75.997692616858231</v>
      </c>
      <c r="I85" s="857">
        <f>I159</f>
        <v>65</v>
      </c>
      <c r="J85" s="855">
        <f>J159</f>
        <v>65</v>
      </c>
      <c r="K85" s="858">
        <f>K159</f>
        <v>65</v>
      </c>
      <c r="L85" s="859"/>
    </row>
    <row r="86" spans="1:12">
      <c r="A86" s="784"/>
      <c r="B86" s="785" t="s">
        <v>1608</v>
      </c>
      <c r="C86" s="916">
        <f>Data!K272</f>
        <v>5051.4945556499997</v>
      </c>
      <c r="D86" s="916">
        <f>Data!L272</f>
        <v>4901.8826767299997</v>
      </c>
      <c r="E86" s="916">
        <f>Data!M272</f>
        <v>5582.8472829900002</v>
      </c>
      <c r="F86" s="916">
        <f>Data!N272</f>
        <v>7284.4561459799997</v>
      </c>
      <c r="G86" s="916">
        <f>Data!O272</f>
        <v>8494.8518345899993</v>
      </c>
      <c r="H86" s="916">
        <f>Data!P272</f>
        <v>13204.90249022</v>
      </c>
      <c r="I86" s="812">
        <f>I87*I26/100</f>
        <v>13403.613552000001</v>
      </c>
      <c r="J86" s="794">
        <f>J87*J26/100</f>
        <v>13671.685823039999</v>
      </c>
      <c r="K86" s="813">
        <f>K87*K26/100</f>
        <v>13945.119539500802</v>
      </c>
      <c r="L86" s="814">
        <f>AVERAGE(I86:K86)</f>
        <v>13673.4729715136</v>
      </c>
    </row>
    <row r="87" spans="1:12">
      <c r="A87" s="784"/>
      <c r="B87" s="854" t="s">
        <v>1609</v>
      </c>
      <c r="C87" s="936">
        <f t="shared" ref="C87:H87" si="40">C86/C26*100</f>
        <v>2.6209876797361811</v>
      </c>
      <c r="D87" s="936">
        <f t="shared" si="40"/>
        <v>2.4689907719538295</v>
      </c>
      <c r="E87" s="936">
        <f t="shared" si="40"/>
        <v>2.3768257294570416</v>
      </c>
      <c r="F87" s="936">
        <f t="shared" si="40"/>
        <v>2.5577753277567679</v>
      </c>
      <c r="G87" s="936">
        <f t="shared" si="40"/>
        <v>2.5879423225760179</v>
      </c>
      <c r="H87" s="936">
        <f t="shared" si="40"/>
        <v>3.5170740865661001</v>
      </c>
      <c r="I87" s="857">
        <f>I160</f>
        <v>3.5</v>
      </c>
      <c r="J87" s="856">
        <f>J160</f>
        <v>3.5</v>
      </c>
      <c r="K87" s="858">
        <f>K160</f>
        <v>3.5</v>
      </c>
      <c r="L87" s="859"/>
    </row>
    <row r="88" spans="1:12" hidden="1">
      <c r="B88" s="845" t="s">
        <v>1610</v>
      </c>
      <c r="C88" s="802">
        <f t="shared" ref="C88:K88" si="41">C84/C86*100</f>
        <v>451.24210285597206</v>
      </c>
      <c r="D88" s="802">
        <f t="shared" si="41"/>
        <v>425.46744879097724</v>
      </c>
      <c r="E88" s="802">
        <f t="shared" si="41"/>
        <v>400.41462917963975</v>
      </c>
      <c r="F88" s="802">
        <f t="shared" si="41"/>
        <v>320.12974268874166</v>
      </c>
      <c r="G88" s="802">
        <f t="shared" si="41"/>
        <v>334.0312568368596</v>
      </c>
      <c r="H88" s="802">
        <f t="shared" si="41"/>
        <v>244.12590158507808</v>
      </c>
      <c r="I88" s="860">
        <f t="shared" si="41"/>
        <v>213.55766142867921</v>
      </c>
      <c r="J88" s="802">
        <f t="shared" si="41"/>
        <v>213.96706057556619</v>
      </c>
      <c r="K88" s="804">
        <f t="shared" si="41"/>
        <v>206.98259431641625</v>
      </c>
      <c r="L88" s="861">
        <f t="shared" ref="L88:L99" si="42">AVERAGE(I88:K88)</f>
        <v>211.50243877355388</v>
      </c>
    </row>
    <row r="89" spans="1:12">
      <c r="B89" s="845" t="s">
        <v>1611</v>
      </c>
      <c r="C89" s="937"/>
      <c r="D89" s="937"/>
      <c r="E89" s="937"/>
      <c r="F89" s="937">
        <f>Data!N275</f>
        <v>0</v>
      </c>
      <c r="G89" s="937">
        <f>Data!O275</f>
        <v>1479.2</v>
      </c>
      <c r="H89" s="937">
        <f>Data!P275</f>
        <v>1416.048</v>
      </c>
      <c r="I89" s="860">
        <f>I90/I91*100</f>
        <v>1132.5022393295183</v>
      </c>
      <c r="J89" s="862">
        <f>J90/J91*100</f>
        <v>1159.316849973593</v>
      </c>
      <c r="K89" s="863">
        <f>K90/K91*100</f>
        <v>1110.0335315389464</v>
      </c>
      <c r="L89" s="861">
        <f t="shared" si="42"/>
        <v>1133.9508736140194</v>
      </c>
    </row>
    <row r="90" spans="1:12">
      <c r="B90" s="845" t="s">
        <v>1612</v>
      </c>
      <c r="C90" s="938">
        <f t="shared" ref="C90:K90" si="43">C84-C86</f>
        <v>17742.975702920001</v>
      </c>
      <c r="D90" s="938">
        <f t="shared" si="43"/>
        <v>15954.03249068</v>
      </c>
      <c r="E90" s="938">
        <f t="shared" si="43"/>
        <v>16771.68996286</v>
      </c>
      <c r="F90" s="938">
        <f t="shared" si="43"/>
        <v>16035.254570420002</v>
      </c>
      <c r="G90" s="938">
        <f t="shared" si="43"/>
        <v>19880.608514920001</v>
      </c>
      <c r="H90" s="938">
        <f t="shared" si="43"/>
        <v>19031.684767459999</v>
      </c>
      <c r="I90" s="865">
        <f t="shared" si="43"/>
        <v>15220.830096588723</v>
      </c>
      <c r="J90" s="864">
        <f t="shared" si="43"/>
        <v>15581.218463645087</v>
      </c>
      <c r="K90" s="866">
        <f t="shared" si="43"/>
        <v>14918.850663883435</v>
      </c>
      <c r="L90" s="867">
        <f t="shared" si="42"/>
        <v>15240.299741372415</v>
      </c>
    </row>
    <row r="91" spans="1:12">
      <c r="B91" s="845" t="s">
        <v>1613</v>
      </c>
      <c r="C91" s="868"/>
      <c r="D91" s="868"/>
      <c r="E91" s="939"/>
      <c r="F91" s="939">
        <f>Data!N274</f>
        <v>2688</v>
      </c>
      <c r="G91" s="939">
        <f>Data!O274</f>
        <v>1344</v>
      </c>
      <c r="H91" s="939">
        <f>Data!P274</f>
        <v>1343.9999999999998</v>
      </c>
      <c r="I91" s="958">
        <f>H91</f>
        <v>1343.9999999999998</v>
      </c>
      <c r="J91" s="1083">
        <f>I91</f>
        <v>1343.9999999999998</v>
      </c>
      <c r="K91" s="1084">
        <f>J91</f>
        <v>1343.9999999999998</v>
      </c>
      <c r="L91" s="867">
        <f t="shared" si="42"/>
        <v>1343.9999999999998</v>
      </c>
    </row>
    <row r="92" spans="1:12">
      <c r="A92" s="784"/>
      <c r="B92" s="785" t="s">
        <v>1614</v>
      </c>
      <c r="C92" s="916">
        <f>Data!K306</f>
        <v>138087.74935345</v>
      </c>
      <c r="D92" s="916">
        <f>Data!L306</f>
        <v>138148.11877413001</v>
      </c>
      <c r="E92" s="916">
        <f>Data!M306</f>
        <v>144624.18772923999</v>
      </c>
      <c r="F92" s="916">
        <f>Data!N306</f>
        <v>205813.76232923</v>
      </c>
      <c r="G92" s="916">
        <f>Data!O306</f>
        <v>138920.33412539001</v>
      </c>
      <c r="H92" s="916">
        <f>Data!P306</f>
        <v>182857.40900121999</v>
      </c>
      <c r="I92" s="812">
        <f>ROUND(H92*(1+I161/100),0)</f>
        <v>202972</v>
      </c>
      <c r="J92" s="794">
        <f>ROUND(I92*(1+$I$161/100),0)</f>
        <v>225299</v>
      </c>
      <c r="K92" s="813">
        <f>ROUND(J92*(1+$I$161/100),0)</f>
        <v>250082</v>
      </c>
      <c r="L92" s="814">
        <f t="shared" si="42"/>
        <v>226117.66666666666</v>
      </c>
    </row>
    <row r="93" spans="1:12">
      <c r="A93" s="784"/>
      <c r="B93" s="854" t="s">
        <v>1615</v>
      </c>
      <c r="C93" s="940" t="e">
        <f>(C92/#REF!-1)*100</f>
        <v>#REF!</v>
      </c>
      <c r="D93" s="940">
        <f t="shared" ref="D93:H93" si="44">(D92/C92-1)*100</f>
        <v>4.3718158173100541E-2</v>
      </c>
      <c r="E93" s="940">
        <f t="shared" si="44"/>
        <v>4.6877720902578801</v>
      </c>
      <c r="F93" s="940">
        <f t="shared" si="44"/>
        <v>42.309364402133639</v>
      </c>
      <c r="G93" s="911">
        <f t="shared" si="44"/>
        <v>-32.501921857311913</v>
      </c>
      <c r="H93" s="911">
        <f t="shared" si="44"/>
        <v>31.627533256702513</v>
      </c>
      <c r="I93" s="857">
        <f>(I92/H92-1)*100</f>
        <v>11.00015094200848</v>
      </c>
      <c r="J93" s="869">
        <f t="shared" ref="J93:K93" si="45">(J92/I92-1)*100</f>
        <v>11.000039414303453</v>
      </c>
      <c r="K93" s="871">
        <f t="shared" si="45"/>
        <v>11.000048824007202</v>
      </c>
      <c r="L93" s="859"/>
    </row>
    <row r="94" spans="1:12">
      <c r="A94" s="784"/>
      <c r="B94" s="785" t="s">
        <v>1616</v>
      </c>
      <c r="C94" s="916">
        <f>Data!K307</f>
        <v>88376.639458100006</v>
      </c>
      <c r="D94" s="916">
        <f>Data!L307</f>
        <v>95773.062221960005</v>
      </c>
      <c r="E94" s="916">
        <f>Data!M307</f>
        <v>110290.47337362</v>
      </c>
      <c r="F94" s="916">
        <f>Data!N307</f>
        <v>148290.15466629001</v>
      </c>
      <c r="G94" s="916">
        <f>Data!O307</f>
        <v>104359.48053541</v>
      </c>
      <c r="H94" s="916">
        <f>Data!P307</f>
        <v>141106.60547226999</v>
      </c>
      <c r="I94" s="812">
        <f>ROUND(H94*(1+I162/100),0)</f>
        <v>156628</v>
      </c>
      <c r="J94" s="794">
        <f>ROUND(I94*(1+J162/100),0)</f>
        <v>173857</v>
      </c>
      <c r="K94" s="813">
        <f>ROUND(J94*(1+K162/100),0)</f>
        <v>192981</v>
      </c>
      <c r="L94" s="814">
        <f t="shared" si="42"/>
        <v>174488.66666666666</v>
      </c>
    </row>
    <row r="95" spans="1:12">
      <c r="A95" s="784"/>
      <c r="B95" s="854" t="s">
        <v>1615</v>
      </c>
      <c r="C95" s="940" t="e">
        <f>(C94/#REF!-1)*100</f>
        <v>#REF!</v>
      </c>
      <c r="D95" s="940">
        <f t="shared" ref="D95:K95" si="46">(D94/C94-1)*100</f>
        <v>8.36920571908224</v>
      </c>
      <c r="E95" s="940">
        <f t="shared" si="46"/>
        <v>15.158136134370427</v>
      </c>
      <c r="F95" s="940">
        <f t="shared" si="46"/>
        <v>34.454182786887031</v>
      </c>
      <c r="G95" s="911">
        <f t="shared" si="46"/>
        <v>-29.624808356118415</v>
      </c>
      <c r="H95" s="911">
        <f t="shared" si="46"/>
        <v>35.21206195003186</v>
      </c>
      <c r="I95" s="857">
        <f t="shared" si="46"/>
        <v>10.999764664298617</v>
      </c>
      <c r="J95" s="869">
        <f t="shared" si="46"/>
        <v>10.999948923564107</v>
      </c>
      <c r="K95" s="871">
        <f t="shared" si="46"/>
        <v>10.999844699954565</v>
      </c>
      <c r="L95" s="859"/>
    </row>
    <row r="96" spans="1:12">
      <c r="A96" s="784"/>
      <c r="B96" s="785" t="s">
        <v>1617</v>
      </c>
      <c r="C96" s="916">
        <f>Data!K299</f>
        <v>3680.3640999999998</v>
      </c>
      <c r="D96" s="916">
        <f>Data!L299</f>
        <v>7081.7323059999999</v>
      </c>
      <c r="E96" s="916">
        <f>Data!M299</f>
        <v>10724.824556</v>
      </c>
      <c r="F96" s="916">
        <f>Data!N299</f>
        <v>10680.77225</v>
      </c>
      <c r="G96" s="916">
        <f>Data!O299</f>
        <v>23729.99842018</v>
      </c>
      <c r="H96" s="916">
        <f>Data!P299</f>
        <v>32051.128446160001</v>
      </c>
      <c r="I96" s="812">
        <f>ROUND(H96*(1+I163/100),0)</f>
        <v>35897</v>
      </c>
      <c r="J96" s="794">
        <f>ROUND(I96*(1+J163/100),0)</f>
        <v>34820</v>
      </c>
      <c r="K96" s="813">
        <f>ROUND(J96*(1+K163/100),0)</f>
        <v>34124</v>
      </c>
      <c r="L96" s="814">
        <f t="shared" si="42"/>
        <v>34947</v>
      </c>
    </row>
    <row r="97" spans="1:13">
      <c r="A97" s="784"/>
      <c r="B97" s="854" t="s">
        <v>1615</v>
      </c>
      <c r="C97" s="940" t="e">
        <f>(C96/#REF!-1)*100</f>
        <v>#REF!</v>
      </c>
      <c r="D97" s="940">
        <f t="shared" ref="D97:K97" si="47">(D96/C96-1)*100</f>
        <v>92.419339869117863</v>
      </c>
      <c r="E97" s="940">
        <f t="shared" si="47"/>
        <v>51.443518232302978</v>
      </c>
      <c r="F97" s="940">
        <f t="shared" si="47"/>
        <v>-0.41075083112063204</v>
      </c>
      <c r="G97" s="911">
        <f t="shared" si="47"/>
        <v>122.17493140704315</v>
      </c>
      <c r="H97" s="911">
        <f t="shared" si="47"/>
        <v>35.065868436399519</v>
      </c>
      <c r="I97" s="872">
        <f t="shared" si="47"/>
        <v>11.999176753793094</v>
      </c>
      <c r="J97" s="870">
        <f t="shared" si="47"/>
        <v>-3.000250717330144</v>
      </c>
      <c r="K97" s="871">
        <f t="shared" si="47"/>
        <v>-1.9988512349224608</v>
      </c>
      <c r="L97" s="859"/>
    </row>
    <row r="98" spans="1:13">
      <c r="B98" s="873" t="s">
        <v>552</v>
      </c>
      <c r="C98" s="941">
        <f t="shared" ref="C98:K98" si="48">C92/C94*100</f>
        <v>156.24915158594413</v>
      </c>
      <c r="D98" s="941">
        <f t="shared" si="48"/>
        <v>144.24527687541533</v>
      </c>
      <c r="E98" s="941">
        <f t="shared" si="48"/>
        <v>131.13026293695475</v>
      </c>
      <c r="F98" s="941">
        <f t="shared" si="48"/>
        <v>138.79125205067746</v>
      </c>
      <c r="G98" s="941">
        <f t="shared" si="48"/>
        <v>133.11711922354121</v>
      </c>
      <c r="H98" s="941">
        <f t="shared" si="48"/>
        <v>129.5881283439667</v>
      </c>
      <c r="I98" s="875">
        <f t="shared" si="48"/>
        <v>129.58857930893581</v>
      </c>
      <c r="J98" s="874">
        <f t="shared" si="48"/>
        <v>129.58868495372633</v>
      </c>
      <c r="K98" s="876">
        <f t="shared" si="48"/>
        <v>129.58892326187552</v>
      </c>
      <c r="L98" s="877">
        <f t="shared" si="42"/>
        <v>129.58872917484587</v>
      </c>
    </row>
    <row r="99" spans="1:13" ht="14" thickBot="1">
      <c r="B99" s="873" t="s">
        <v>553</v>
      </c>
      <c r="C99" s="941">
        <f t="shared" ref="C99:K99" si="49">C92/(C94+C96)*100</f>
        <v>150.00243763778229</v>
      </c>
      <c r="D99" s="941">
        <f t="shared" si="49"/>
        <v>134.31373754441353</v>
      </c>
      <c r="E99" s="941">
        <f t="shared" si="49"/>
        <v>119.50901266495286</v>
      </c>
      <c r="F99" s="941">
        <f t="shared" si="49"/>
        <v>129.46629067439872</v>
      </c>
      <c r="G99" s="941">
        <f t="shared" si="49"/>
        <v>108.45569461138584</v>
      </c>
      <c r="H99" s="941">
        <f t="shared" si="49"/>
        <v>105.60164126850913</v>
      </c>
      <c r="I99" s="878">
        <f t="shared" si="49"/>
        <v>105.42630827165303</v>
      </c>
      <c r="J99" s="879">
        <f t="shared" si="49"/>
        <v>107.96542024276754</v>
      </c>
      <c r="K99" s="880">
        <f t="shared" si="49"/>
        <v>110.11734660179214</v>
      </c>
      <c r="L99" s="881">
        <f t="shared" si="42"/>
        <v>107.83635837207089</v>
      </c>
    </row>
    <row r="100" spans="1:13">
      <c r="B100" s="882"/>
      <c r="C100" s="809"/>
      <c r="D100" s="809"/>
      <c r="E100" s="809"/>
      <c r="F100" s="809"/>
      <c r="G100" s="809"/>
      <c r="H100" s="809"/>
      <c r="I100" s="883"/>
      <c r="J100" s="883"/>
      <c r="K100" s="883"/>
    </row>
    <row r="101" spans="1:13">
      <c r="A101" s="725"/>
      <c r="B101" s="726" t="s">
        <v>1577</v>
      </c>
      <c r="C101" s="725"/>
      <c r="D101" s="725"/>
      <c r="E101" s="725"/>
      <c r="F101" s="725"/>
      <c r="G101" s="725"/>
      <c r="H101" s="725"/>
      <c r="I101" s="725"/>
      <c r="J101" s="725"/>
      <c r="K101" s="725"/>
      <c r="L101" s="725"/>
      <c r="M101" s="725"/>
    </row>
    <row r="102" spans="1:13" ht="14" thickBot="1"/>
    <row r="103" spans="1:13">
      <c r="B103" s="1007" t="s">
        <v>1534</v>
      </c>
      <c r="C103" s="1008" t="str">
        <f t="shared" ref="C103:K103" si="50">C$25</f>
        <v>FY12</v>
      </c>
      <c r="D103" s="1008" t="str">
        <f t="shared" si="50"/>
        <v>FY13</v>
      </c>
      <c r="E103" s="1008" t="str">
        <f t="shared" si="50"/>
        <v>FY14</v>
      </c>
      <c r="F103" s="1008" t="str">
        <f t="shared" si="50"/>
        <v>FY15</v>
      </c>
      <c r="G103" s="1008" t="str">
        <f t="shared" si="50"/>
        <v>FY16</v>
      </c>
      <c r="H103" s="1008" t="str">
        <f t="shared" si="50"/>
        <v>FY17</v>
      </c>
      <c r="I103" s="734" t="str">
        <f t="shared" si="50"/>
        <v>2018(E)</v>
      </c>
      <c r="J103" s="735" t="str">
        <f t="shared" si="50"/>
        <v>2019(E)</v>
      </c>
      <c r="K103" s="736" t="str">
        <f t="shared" si="50"/>
        <v>2020(E)</v>
      </c>
      <c r="L103" s="910" t="s">
        <v>1560</v>
      </c>
    </row>
    <row r="104" spans="1:13">
      <c r="A104" s="724" t="s">
        <v>1618</v>
      </c>
      <c r="B104" s="1020" t="s">
        <v>1619</v>
      </c>
      <c r="C104" s="1245">
        <f>추정!C110</f>
        <v>28923479.309999999</v>
      </c>
      <c r="D104" s="1245">
        <f>추정!D110</f>
        <v>19727399.559999999</v>
      </c>
      <c r="E104" s="1245">
        <f>추정!E110</f>
        <v>25766154.300000001</v>
      </c>
      <c r="F104" s="1245">
        <f>추정!F110</f>
        <v>39107266.159999996</v>
      </c>
      <c r="G104" s="1245">
        <f>추정!G110</f>
        <v>34436498.689999998</v>
      </c>
      <c r="H104" s="1245">
        <f>추정!H110</f>
        <v>37020563.359999999</v>
      </c>
      <c r="I104" s="1045">
        <f>I106*I105*2</f>
        <v>29246245.054400004</v>
      </c>
      <c r="J104" s="884">
        <f>J106*J105*2</f>
        <v>26906545.450048007</v>
      </c>
      <c r="K104" s="1046">
        <f>K106*K105*2</f>
        <v>27982807.268049929</v>
      </c>
      <c r="L104" s="1021"/>
    </row>
    <row r="105" spans="1:13">
      <c r="A105" s="724" t="s">
        <v>1620</v>
      </c>
      <c r="B105" s="1022" t="s">
        <v>1621</v>
      </c>
      <c r="C105" s="1245">
        <f>추정!C111</f>
        <v>247</v>
      </c>
      <c r="D105" s="1245">
        <f>추정!D111</f>
        <v>186</v>
      </c>
      <c r="E105" s="1245">
        <f>추정!E111</f>
        <v>245</v>
      </c>
      <c r="F105" s="1245">
        <f>추정!F111</f>
        <v>248</v>
      </c>
      <c r="G105" s="1245">
        <f>추정!G111</f>
        <v>246</v>
      </c>
      <c r="H105" s="1245">
        <f>추정!H111</f>
        <v>246</v>
      </c>
      <c r="I105" s="1047">
        <v>246</v>
      </c>
      <c r="J105" s="943">
        <v>246</v>
      </c>
      <c r="K105" s="1048">
        <v>246</v>
      </c>
      <c r="L105" s="1023">
        <f>AVERAGE(I105:K105)</f>
        <v>246</v>
      </c>
    </row>
    <row r="106" spans="1:13">
      <c r="B106" s="1022" t="s">
        <v>1622</v>
      </c>
      <c r="C106" s="944">
        <f t="shared" ref="C106:H106" si="51">C104/C105/2</f>
        <v>58549.553259109307</v>
      </c>
      <c r="D106" s="944">
        <f t="shared" si="51"/>
        <v>53030.64397849462</v>
      </c>
      <c r="E106" s="944">
        <f t="shared" si="51"/>
        <v>52583.988367346938</v>
      </c>
      <c r="F106" s="944">
        <f t="shared" si="51"/>
        <v>78845.294677419341</v>
      </c>
      <c r="G106" s="944">
        <f t="shared" si="51"/>
        <v>69992.883516260161</v>
      </c>
      <c r="H106" s="944">
        <f t="shared" si="51"/>
        <v>75245.047479674802</v>
      </c>
      <c r="I106" s="1049">
        <f>H106*(1+I107/100)</f>
        <v>59443.587508943099</v>
      </c>
      <c r="J106" s="886">
        <f>I106*(1+J107/100)</f>
        <v>54688.100508227653</v>
      </c>
      <c r="K106" s="1023">
        <f>J106*(1+K107/100)</f>
        <v>56875.624528556764</v>
      </c>
      <c r="L106" s="1023">
        <f>AVERAGE(I106:K106)</f>
        <v>57002.437515242513</v>
      </c>
    </row>
    <row r="107" spans="1:13">
      <c r="B107" s="1022" t="s">
        <v>1623</v>
      </c>
      <c r="C107" s="886"/>
      <c r="D107" s="945">
        <f>(D106/C106-1)*100</f>
        <v>-9.4260484895434153</v>
      </c>
      <c r="E107" s="945">
        <f>(E106/D106-1)*100</f>
        <v>-0.8422594515895665</v>
      </c>
      <c r="F107" s="945">
        <f>(F106/E106-1)*100</f>
        <v>49.941640270063424</v>
      </c>
      <c r="G107" s="945">
        <f>(G106/F106-1)*100</f>
        <v>-11.227570646260066</v>
      </c>
      <c r="H107" s="945">
        <f>(H106/G106-1)*100</f>
        <v>7.5038542485458493</v>
      </c>
      <c r="I107" s="1050">
        <f>I135</f>
        <v>-21</v>
      </c>
      <c r="J107" s="887">
        <f>J135</f>
        <v>-8</v>
      </c>
      <c r="K107" s="1051">
        <f>K135</f>
        <v>4</v>
      </c>
      <c r="L107" s="1023"/>
    </row>
    <row r="108" spans="1:13">
      <c r="B108" s="1022" t="s">
        <v>1624</v>
      </c>
      <c r="C108" s="943">
        <v>31837.57</v>
      </c>
      <c r="D108" s="1245">
        <f>추정!D114</f>
        <v>22539.62</v>
      </c>
      <c r="E108" s="1245">
        <f>추정!E114</f>
        <v>28398.99</v>
      </c>
      <c r="F108" s="1245">
        <f>추정!F114</f>
        <v>40139.14</v>
      </c>
      <c r="G108" s="1245">
        <f>추정!G114</f>
        <v>31851.25</v>
      </c>
      <c r="H108" s="1245">
        <f>추정!H114</f>
        <v>34485.74</v>
      </c>
      <c r="I108" s="1049">
        <f>I104*I109/100</f>
        <v>22519.608691888003</v>
      </c>
      <c r="J108" s="886">
        <f>J104*J109/100</f>
        <v>19372.712724034562</v>
      </c>
      <c r="K108" s="1023">
        <f>K104*K109/100</f>
        <v>18748.480869593452</v>
      </c>
      <c r="L108" s="1023">
        <f>AVERAGE(I108:K108)</f>
        <v>20213.600761838668</v>
      </c>
    </row>
    <row r="109" spans="1:13">
      <c r="B109" s="1024" t="s">
        <v>1625</v>
      </c>
      <c r="C109" s="946">
        <f t="shared" ref="C109:H109" si="52">C108/C104*100</f>
        <v>0.11007517338687703</v>
      </c>
      <c r="D109" s="946">
        <f t="shared" si="52"/>
        <v>0.11425540366558076</v>
      </c>
      <c r="E109" s="946">
        <f t="shared" si="52"/>
        <v>0.11021819426114357</v>
      </c>
      <c r="F109" s="946">
        <f t="shared" si="52"/>
        <v>0.10263857318938707</v>
      </c>
      <c r="G109" s="946">
        <f t="shared" si="52"/>
        <v>9.2492707480883563E-2</v>
      </c>
      <c r="H109" s="946">
        <f t="shared" si="52"/>
        <v>9.3152931425298541E-2</v>
      </c>
      <c r="I109" s="1052">
        <f>I136</f>
        <v>7.6999999999999999E-2</v>
      </c>
      <c r="J109" s="888">
        <f>J136</f>
        <v>7.1999999999999995E-2</v>
      </c>
      <c r="K109" s="1053">
        <f>K136</f>
        <v>6.699999999999999E-2</v>
      </c>
      <c r="L109" s="1025"/>
    </row>
    <row r="110" spans="1:13">
      <c r="B110" s="1022"/>
      <c r="C110" s="885"/>
      <c r="D110" s="885"/>
      <c r="E110" s="885"/>
      <c r="F110" s="885"/>
      <c r="G110" s="885"/>
      <c r="H110" s="885"/>
      <c r="I110" s="1022"/>
      <c r="J110" s="885"/>
      <c r="K110" s="1039"/>
      <c r="L110" s="1023"/>
    </row>
    <row r="111" spans="1:13">
      <c r="A111" s="724" t="s">
        <v>1626</v>
      </c>
      <c r="B111" s="1026" t="s">
        <v>1627</v>
      </c>
      <c r="C111" s="1235">
        <f>추정!C117</f>
        <v>1854837.74</v>
      </c>
      <c r="D111" s="1235">
        <f>추정!D117</f>
        <v>1211374.26</v>
      </c>
      <c r="E111" s="1235">
        <f>추정!E117</f>
        <v>1196815.19</v>
      </c>
      <c r="F111" s="1235">
        <f>추정!F117</f>
        <v>2393153.9300000002</v>
      </c>
      <c r="G111" s="1235">
        <f>추정!G117</f>
        <v>2010506.59</v>
      </c>
      <c r="H111" s="1235">
        <f>추정!H117</f>
        <v>2315948.69</v>
      </c>
      <c r="I111" s="1054">
        <f>I112/100*I104</f>
        <v>1754189.7783629124</v>
      </c>
      <c r="J111" s="889">
        <f>J112/100*J104</f>
        <v>1611163.9415488748</v>
      </c>
      <c r="K111" s="1027">
        <f>K112/100*K104</f>
        <v>1672812.218484025</v>
      </c>
      <c r="L111" s="1027">
        <f>AVERAGE(I111:K111)</f>
        <v>1679388.6461319374</v>
      </c>
    </row>
    <row r="112" spans="1:13">
      <c r="B112" s="1022" t="s">
        <v>1628</v>
      </c>
      <c r="C112" s="948">
        <f t="shared" ref="C112:H112" si="53">C111/C104*100</f>
        <v>6.4129136060014353</v>
      </c>
      <c r="D112" s="948">
        <f t="shared" si="53"/>
        <v>6.1405673683227215</v>
      </c>
      <c r="E112" s="948">
        <f t="shared" si="53"/>
        <v>4.6449119882822405</v>
      </c>
      <c r="F112" s="948">
        <f t="shared" si="53"/>
        <v>6.1194610745963747</v>
      </c>
      <c r="G112" s="948">
        <f t="shared" si="53"/>
        <v>5.8383014141441461</v>
      </c>
      <c r="H112" s="948">
        <f t="shared" si="53"/>
        <v>6.2558439953464831</v>
      </c>
      <c r="I112" s="1055">
        <f t="shared" ref="I112:K113" si="54">I138</f>
        <v>5.9980000000000002</v>
      </c>
      <c r="J112" s="890">
        <f t="shared" si="54"/>
        <v>5.9880000000000004</v>
      </c>
      <c r="K112" s="1056">
        <f t="shared" si="54"/>
        <v>5.9780000000000006</v>
      </c>
      <c r="L112" s="1023"/>
    </row>
    <row r="113" spans="1:13">
      <c r="B113" s="1022" t="s">
        <v>1629</v>
      </c>
      <c r="C113" s="949">
        <f t="shared" ref="C113:H113" si="55">C114/C111*100</f>
        <v>0.13526948927025823</v>
      </c>
      <c r="D113" s="949">
        <f t="shared" si="55"/>
        <v>0.15128495345938753</v>
      </c>
      <c r="E113" s="949">
        <f t="shared" si="55"/>
        <v>0.19460865468376951</v>
      </c>
      <c r="F113" s="949">
        <f t="shared" si="55"/>
        <v>0.12462428902724196</v>
      </c>
      <c r="G113" s="949">
        <f t="shared" si="55"/>
        <v>0.125166710960644</v>
      </c>
      <c r="H113" s="949">
        <f t="shared" si="55"/>
        <v>0.11215963538898611</v>
      </c>
      <c r="I113" s="1057">
        <f t="shared" si="54"/>
        <v>0.08</v>
      </c>
      <c r="J113" s="891">
        <f t="shared" si="54"/>
        <v>7.4999999999999997E-2</v>
      </c>
      <c r="K113" s="1058">
        <f t="shared" si="54"/>
        <v>6.9999999999999993E-2</v>
      </c>
      <c r="L113" s="1023"/>
    </row>
    <row r="114" spans="1:13">
      <c r="B114" s="1022" t="s">
        <v>1630</v>
      </c>
      <c r="C114" s="950">
        <f>Data!K192</f>
        <v>2509.0295376899999</v>
      </c>
      <c r="D114" s="950">
        <f>Data!L192</f>
        <v>1832.62698546</v>
      </c>
      <c r="E114" s="950">
        <f>Data!M192</f>
        <v>2329.1059403099998</v>
      </c>
      <c r="F114" s="950">
        <f>Data!N192</f>
        <v>2982.4510705900002</v>
      </c>
      <c r="G114" s="950">
        <f>Data!O192</f>
        <v>2516.4849723500001</v>
      </c>
      <c r="H114" s="950">
        <f>Data!P192</f>
        <v>2597.5596065</v>
      </c>
      <c r="I114" s="1049">
        <f>I113*I111/100</f>
        <v>1403.3518226903298</v>
      </c>
      <c r="J114" s="886">
        <f>J113*J111/100</f>
        <v>1208.372956161656</v>
      </c>
      <c r="K114" s="1023">
        <f>K113*K111/100</f>
        <v>1170.9685529388173</v>
      </c>
      <c r="L114" s="1023">
        <f>AVERAGE(I114:K114)</f>
        <v>1260.897777263601</v>
      </c>
    </row>
    <row r="115" spans="1:13">
      <c r="B115" s="1022" t="s">
        <v>1631</v>
      </c>
      <c r="C115" s="951">
        <f t="shared" ref="C115:H115" si="56">C114-C47</f>
        <v>-40.511197990000255</v>
      </c>
      <c r="D115" s="951">
        <f t="shared" si="56"/>
        <v>57.155448360000037</v>
      </c>
      <c r="E115" s="951">
        <f t="shared" si="56"/>
        <v>74.630695739999737</v>
      </c>
      <c r="F115" s="951">
        <f t="shared" si="56"/>
        <v>178.09969862000025</v>
      </c>
      <c r="G115" s="951">
        <f t="shared" si="56"/>
        <v>228.47336089000009</v>
      </c>
      <c r="H115" s="951">
        <f t="shared" si="56"/>
        <v>242.16573457000004</v>
      </c>
      <c r="I115" s="1049">
        <f>I114*I116/100</f>
        <v>130.51171951020066</v>
      </c>
      <c r="J115" s="886">
        <f>J114*J116/100</f>
        <v>112.37868492303402</v>
      </c>
      <c r="K115" s="1023">
        <f>K114*K116/100</f>
        <v>108.90007542331003</v>
      </c>
      <c r="L115" s="1023">
        <f>AVERAGE(I115:K115)</f>
        <v>117.26349328551491</v>
      </c>
    </row>
    <row r="116" spans="1:13">
      <c r="B116" s="1022" t="s">
        <v>1632</v>
      </c>
      <c r="C116" s="952">
        <f t="shared" ref="C116:H116" si="57">C115/C114*100</f>
        <v>-1.6146162243788447</v>
      </c>
      <c r="D116" s="952">
        <f t="shared" si="57"/>
        <v>3.1187715128866604</v>
      </c>
      <c r="E116" s="952">
        <f t="shared" si="57"/>
        <v>3.2042636811130425</v>
      </c>
      <c r="F116" s="952">
        <f t="shared" si="57"/>
        <v>5.9715882810700354</v>
      </c>
      <c r="G116" s="952">
        <f t="shared" si="57"/>
        <v>9.0790671671145322</v>
      </c>
      <c r="H116" s="952">
        <f t="shared" si="57"/>
        <v>9.3228172306043291</v>
      </c>
      <c r="I116" s="1059">
        <f>I164</f>
        <v>9.3000000000000007</v>
      </c>
      <c r="J116" s="964">
        <f>I116</f>
        <v>9.3000000000000007</v>
      </c>
      <c r="K116" s="1060">
        <f>J116</f>
        <v>9.3000000000000007</v>
      </c>
      <c r="L116" s="1023"/>
    </row>
    <row r="117" spans="1:13">
      <c r="B117" s="1028" t="s">
        <v>1633</v>
      </c>
      <c r="C117" s="953">
        <f t="shared" ref="C117:K117" si="58">C114-C115</f>
        <v>2549.5407356800001</v>
      </c>
      <c r="D117" s="953">
        <f t="shared" si="58"/>
        <v>1775.4715371</v>
      </c>
      <c r="E117" s="953">
        <f t="shared" si="58"/>
        <v>2254.4752445700001</v>
      </c>
      <c r="F117" s="953">
        <f t="shared" si="58"/>
        <v>2804.3513719699999</v>
      </c>
      <c r="G117" s="953">
        <f t="shared" si="58"/>
        <v>2288.01161146</v>
      </c>
      <c r="H117" s="953">
        <f t="shared" si="58"/>
        <v>2355.3938719299999</v>
      </c>
      <c r="I117" s="1061">
        <f t="shared" si="58"/>
        <v>1272.8401031801291</v>
      </c>
      <c r="J117" s="954">
        <f t="shared" si="58"/>
        <v>1095.9942712386221</v>
      </c>
      <c r="K117" s="1062">
        <f t="shared" si="58"/>
        <v>1062.0684775155073</v>
      </c>
      <c r="L117" s="1029">
        <f>AVERAGE(I117:K117)</f>
        <v>1143.6342839780862</v>
      </c>
    </row>
    <row r="118" spans="1:13" ht="14" thickBot="1">
      <c r="B118" s="1030" t="s">
        <v>1623</v>
      </c>
      <c r="C118" s="1031"/>
      <c r="D118" s="1081">
        <f>(D117*4/3/C117-1)*100</f>
        <v>-7.1481639939905754</v>
      </c>
      <c r="E118" s="1032">
        <f>(E117/(D117*4/3)-1)*100</f>
        <v>-4.7657820418066326</v>
      </c>
      <c r="F118" s="1032">
        <f>(F117/E117-1)*100</f>
        <v>24.390426496117001</v>
      </c>
      <c r="G118" s="1032">
        <f>(G117/F117-1)*100</f>
        <v>-18.412092210373832</v>
      </c>
      <c r="H118" s="1032">
        <f>(H117/G117-1)*100</f>
        <v>2.9450139209303616</v>
      </c>
      <c r="I118" s="1063">
        <f>(I117/H117-1)*100</f>
        <v>-45.960626018901493</v>
      </c>
      <c r="J118" s="1033">
        <f t="shared" ref="J118:K118" si="59">(J117/I117-1)*100</f>
        <v>-13.893797932644192</v>
      </c>
      <c r="K118" s="1064">
        <f t="shared" si="59"/>
        <v>-3.0954353150746017</v>
      </c>
      <c r="L118" s="1034"/>
    </row>
    <row r="119" spans="1:13">
      <c r="J119" s="836"/>
      <c r="K119" s="836"/>
    </row>
    <row r="120" spans="1:13">
      <c r="A120" s="725"/>
      <c r="B120" s="726" t="s">
        <v>1634</v>
      </c>
      <c r="C120" s="725"/>
      <c r="D120" s="725"/>
      <c r="E120" s="725"/>
      <c r="F120" s="725"/>
      <c r="G120" s="725"/>
      <c r="H120" s="725"/>
      <c r="I120" s="725"/>
      <c r="J120" s="725"/>
      <c r="K120" s="725"/>
      <c r="L120" s="725"/>
      <c r="M120" s="725"/>
    </row>
    <row r="121" spans="1:13" ht="14" thickBot="1"/>
    <row r="122" spans="1:13">
      <c r="B122" s="1035" t="s">
        <v>1534</v>
      </c>
      <c r="C122" s="1011" t="str">
        <f t="shared" ref="C122:K122" si="60">C$25</f>
        <v>FY12</v>
      </c>
      <c r="D122" s="1011" t="str">
        <f t="shared" si="60"/>
        <v>FY13</v>
      </c>
      <c r="E122" s="1011" t="str">
        <f t="shared" si="60"/>
        <v>FY14</v>
      </c>
      <c r="F122" s="1011" t="str">
        <f t="shared" si="60"/>
        <v>FY15</v>
      </c>
      <c r="G122" s="1011" t="str">
        <f t="shared" si="60"/>
        <v>FY16</v>
      </c>
      <c r="H122" s="1011" t="str">
        <f t="shared" si="60"/>
        <v>FY17</v>
      </c>
      <c r="I122" s="893" t="str">
        <f t="shared" si="60"/>
        <v>2018(E)</v>
      </c>
      <c r="J122" s="783" t="str">
        <f t="shared" si="60"/>
        <v>2019(E)</v>
      </c>
      <c r="K122" s="1066" t="str">
        <f t="shared" si="60"/>
        <v>2020(E)</v>
      </c>
      <c r="L122" s="1065" t="s">
        <v>1635</v>
      </c>
    </row>
    <row r="123" spans="1:13">
      <c r="B123" s="1026" t="s">
        <v>1636</v>
      </c>
      <c r="C123" s="956">
        <f t="shared" ref="C123:H123" si="61">C50</f>
        <v>-338.46550351000002</v>
      </c>
      <c r="D123" s="956">
        <f t="shared" si="61"/>
        <v>-1219.66343338</v>
      </c>
      <c r="E123" s="956">
        <f t="shared" si="61"/>
        <v>-418.70206307000001</v>
      </c>
      <c r="F123" s="956">
        <f t="shared" si="61"/>
        <v>-1080.59307812</v>
      </c>
      <c r="G123" s="956">
        <f t="shared" si="61"/>
        <v>-841.57422439000004</v>
      </c>
      <c r="H123" s="956">
        <f t="shared" si="61"/>
        <v>814.88747707000005</v>
      </c>
      <c r="I123" s="1067">
        <f>AVERAGE(H124:I124)*I125/100</f>
        <v>131.86143739385253</v>
      </c>
      <c r="J123" s="894">
        <f>AVERAGE(I124:J124)*J125/100</f>
        <v>136.46375</v>
      </c>
      <c r="K123" s="1036">
        <f>AVERAGE(J124:K124)*K125/100</f>
        <v>-139.86525</v>
      </c>
      <c r="L123" s="1036">
        <f>AVERAGE(I123:K123)</f>
        <v>42.819979131284164</v>
      </c>
    </row>
    <row r="124" spans="1:13">
      <c r="B124" s="1022" t="s">
        <v>1637</v>
      </c>
      <c r="C124" s="957">
        <f t="shared" ref="C124:K124" si="62">C27</f>
        <v>138158.16205314</v>
      </c>
      <c r="D124" s="957">
        <f t="shared" si="62"/>
        <v>141137.38937639</v>
      </c>
      <c r="E124" s="957">
        <f t="shared" si="62"/>
        <v>151715.90287553999</v>
      </c>
      <c r="F124" s="957">
        <f t="shared" si="62"/>
        <v>181381.28420828999</v>
      </c>
      <c r="G124" s="957">
        <f t="shared" si="62"/>
        <v>214897.04632433</v>
      </c>
      <c r="H124" s="957">
        <f t="shared" si="62"/>
        <v>258551.74957541001</v>
      </c>
      <c r="I124" s="798">
        <f t="shared" si="62"/>
        <v>268894</v>
      </c>
      <c r="J124" s="799">
        <f t="shared" si="62"/>
        <v>276961</v>
      </c>
      <c r="K124" s="800">
        <f t="shared" si="62"/>
        <v>282500</v>
      </c>
      <c r="L124" s="800">
        <f>AVERAGE(I124:K124)</f>
        <v>276118.33333333331</v>
      </c>
    </row>
    <row r="125" spans="1:13">
      <c r="A125" s="784"/>
      <c r="B125" s="1037" t="s">
        <v>1638</v>
      </c>
      <c r="C125" s="955">
        <f>C123/AVERAGE(C124:C124)*100</f>
        <v>-0.24498408091142343</v>
      </c>
      <c r="D125" s="1082">
        <f>(D123*4/3)/AVERAGE(C124:D124)*100</f>
        <v>-1.1645140087980597</v>
      </c>
      <c r="E125" s="955">
        <f t="shared" ref="E125:H125" si="63">E123/AVERAGE(D124:E124)*100</f>
        <v>-0.28594663208348525</v>
      </c>
      <c r="F125" s="955">
        <f t="shared" si="63"/>
        <v>-0.64881549290780949</v>
      </c>
      <c r="G125" s="955">
        <f t="shared" si="63"/>
        <v>-0.42473895721670063</v>
      </c>
      <c r="H125" s="955">
        <f t="shared" si="63"/>
        <v>0.34423468139628127</v>
      </c>
      <c r="I125" s="1068">
        <f>I149</f>
        <v>0.05</v>
      </c>
      <c r="J125" s="895">
        <f>J149</f>
        <v>0.05</v>
      </c>
      <c r="K125" s="1038">
        <f>K149</f>
        <v>-0.05</v>
      </c>
      <c r="L125" s="1038">
        <f>AVERAGE(I125:K125)</f>
        <v>1.6666666666666666E-2</v>
      </c>
    </row>
    <row r="126" spans="1:13">
      <c r="B126" s="1022"/>
      <c r="C126" s="885"/>
      <c r="D126" s="885"/>
      <c r="E126" s="885"/>
      <c r="F126" s="885"/>
      <c r="G126" s="885"/>
      <c r="H126" s="885"/>
      <c r="I126" s="1022"/>
      <c r="J126" s="885"/>
      <c r="K126" s="1039"/>
      <c r="L126" s="1039"/>
    </row>
    <row r="127" spans="1:13">
      <c r="B127" s="1026" t="s">
        <v>1639</v>
      </c>
      <c r="C127" s="956">
        <f t="shared" ref="C127:H127" si="64">C51</f>
        <v>3376.7798659700002</v>
      </c>
      <c r="D127" s="956">
        <f t="shared" si="64"/>
        <v>2535.3586793600002</v>
      </c>
      <c r="E127" s="956">
        <f t="shared" si="64"/>
        <v>3781.7952330200001</v>
      </c>
      <c r="F127" s="956">
        <f t="shared" si="64"/>
        <v>4383.1420143100004</v>
      </c>
      <c r="G127" s="956">
        <f t="shared" si="64"/>
        <v>4134.2741015299998</v>
      </c>
      <c r="H127" s="956">
        <f t="shared" si="64"/>
        <v>5048.5961801900003</v>
      </c>
      <c r="I127" s="1067">
        <f>AVERAGE(H128:I128)*I129/100</f>
        <v>5759.0709733086105</v>
      </c>
      <c r="J127" s="894">
        <f>AVERAGE(I128:J128)*J129/100</f>
        <v>5485.9765000000007</v>
      </c>
      <c r="K127" s="1036">
        <f>AVERAGE(J128:K128)*K129/100</f>
        <v>4057.26</v>
      </c>
      <c r="L127" s="1036">
        <f>AVERAGE(I127:K127)</f>
        <v>5100.7691577695377</v>
      </c>
    </row>
    <row r="128" spans="1:13">
      <c r="B128" s="1022" t="s">
        <v>1640</v>
      </c>
      <c r="C128" s="957">
        <f t="shared" ref="C128:K128" si="65">C27+C28</f>
        <v>152855.68169674001</v>
      </c>
      <c r="D128" s="957">
        <f t="shared" si="65"/>
        <v>155924.67996146</v>
      </c>
      <c r="E128" s="957">
        <f t="shared" si="65"/>
        <v>165672.99604664999</v>
      </c>
      <c r="F128" s="957">
        <f t="shared" si="65"/>
        <v>198935.64263274</v>
      </c>
      <c r="G128" s="957">
        <f t="shared" si="65"/>
        <v>234869.2218761</v>
      </c>
      <c r="H128" s="957">
        <f t="shared" si="65"/>
        <v>292071.99719038</v>
      </c>
      <c r="I128" s="798">
        <f t="shared" si="65"/>
        <v>314146</v>
      </c>
      <c r="J128" s="799">
        <f t="shared" si="65"/>
        <v>331263</v>
      </c>
      <c r="K128" s="800">
        <f t="shared" si="65"/>
        <v>344947</v>
      </c>
      <c r="L128" s="800">
        <f>AVERAGE(I128:K128)</f>
        <v>330118.66666666669</v>
      </c>
    </row>
    <row r="129" spans="1:14" ht="14" thickBot="1">
      <c r="A129" s="784"/>
      <c r="B129" s="1040" t="s">
        <v>1641</v>
      </c>
      <c r="C129" s="1041">
        <f>C127/AVERAGE(C128:C128)*100</f>
        <v>2.2091294405852744</v>
      </c>
      <c r="D129" s="1042">
        <f>D127/AVERAGE(C128:D128)*100*(4/3)</f>
        <v>2.1895681584106947</v>
      </c>
      <c r="E129" s="1041">
        <f t="shared" ref="E129:H129" si="66">E127/AVERAGE(D128:E128)*100</f>
        <v>2.3518797025912783</v>
      </c>
      <c r="F129" s="1041">
        <f t="shared" si="66"/>
        <v>2.4042995965129688</v>
      </c>
      <c r="G129" s="1041">
        <f t="shared" si="66"/>
        <v>1.906052439596722</v>
      </c>
      <c r="H129" s="1041">
        <f t="shared" si="66"/>
        <v>1.9161895093855086</v>
      </c>
      <c r="I129" s="1069">
        <f>I150</f>
        <v>1.9</v>
      </c>
      <c r="J129" s="1043">
        <f>J150</f>
        <v>1.7</v>
      </c>
      <c r="K129" s="1070">
        <f>K150</f>
        <v>1.2</v>
      </c>
      <c r="L129" s="1044">
        <f>AVERAGE(I129:K129)</f>
        <v>1.5999999999999999</v>
      </c>
    </row>
    <row r="130" spans="1:14">
      <c r="B130" s="885"/>
      <c r="C130" s="885"/>
      <c r="D130" s="885"/>
      <c r="E130" s="885"/>
      <c r="F130" s="885"/>
      <c r="G130" s="885"/>
      <c r="H130" s="885"/>
      <c r="I130" s="885"/>
      <c r="J130" s="885"/>
      <c r="K130" s="885"/>
      <c r="L130" s="885"/>
      <c r="M130" s="885"/>
    </row>
    <row r="132" spans="1:14" s="725" customFormat="1">
      <c r="B132" s="726" t="s">
        <v>1695</v>
      </c>
    </row>
    <row r="133" spans="1:14" ht="14" thickBot="1"/>
    <row r="134" spans="1:14">
      <c r="B134" s="1007" t="s">
        <v>1534</v>
      </c>
      <c r="C134" s="1009" t="s">
        <v>1643</v>
      </c>
      <c r="D134" s="1010" t="str">
        <f t="shared" ref="D134:H134" si="67">D$25</f>
        <v>FY13</v>
      </c>
      <c r="E134" s="1011" t="str">
        <f t="shared" si="67"/>
        <v>FY14</v>
      </c>
      <c r="F134" s="1011" t="str">
        <f t="shared" si="67"/>
        <v>FY15</v>
      </c>
      <c r="G134" s="1011" t="str">
        <f t="shared" si="67"/>
        <v>FY16</v>
      </c>
      <c r="H134" s="1011" t="str">
        <f t="shared" si="67"/>
        <v>FY17</v>
      </c>
      <c r="I134" s="1035" t="s">
        <v>1644</v>
      </c>
      <c r="J134" s="1094" t="s">
        <v>1645</v>
      </c>
      <c r="K134" s="1093" t="s">
        <v>1646</v>
      </c>
      <c r="N134" s="892" t="s">
        <v>1642</v>
      </c>
    </row>
    <row r="135" spans="1:14">
      <c r="B135" s="1013" t="s">
        <v>1647</v>
      </c>
      <c r="C135" s="979">
        <f>ROUND(((H106/C106)^(1/5)-1)*100,0)</f>
        <v>5</v>
      </c>
      <c r="D135" s="980">
        <f t="shared" ref="D135:G135" si="68">(D106/C106-1)*100</f>
        <v>-9.4260484895434153</v>
      </c>
      <c r="E135" s="981">
        <f t="shared" si="68"/>
        <v>-0.8422594515895665</v>
      </c>
      <c r="F135" s="981">
        <f t="shared" si="68"/>
        <v>49.941640270063424</v>
      </c>
      <c r="G135" s="981">
        <f t="shared" si="68"/>
        <v>-11.227570646260066</v>
      </c>
      <c r="H135" s="1071">
        <f>(H106/G106-1)*100</f>
        <v>7.5038542485458493</v>
      </c>
      <c r="I135" s="1085">
        <f>추정_master!G6</f>
        <v>-21</v>
      </c>
      <c r="J135" s="1086">
        <f>추정_master!H6</f>
        <v>-8</v>
      </c>
      <c r="K135" s="1135">
        <f>추정_master!I6</f>
        <v>4</v>
      </c>
      <c r="N135" s="724" t="s">
        <v>2108</v>
      </c>
    </row>
    <row r="136" spans="1:14">
      <c r="B136" s="1013" t="s">
        <v>1649</v>
      </c>
      <c r="C136" s="982">
        <f>AVERAGE(D109:H109)</f>
        <v>0.1025515620044587</v>
      </c>
      <c r="D136" s="983">
        <f>'2.추정(부정)'!D109</f>
        <v>0.11425540366558076</v>
      </c>
      <c r="E136" s="983">
        <f>'2.추정(부정)'!E109</f>
        <v>0.11021819426114357</v>
      </c>
      <c r="F136" s="983">
        <f>'2.추정(부정)'!F109</f>
        <v>0.10263857318938707</v>
      </c>
      <c r="G136" s="983">
        <f>'2.추정(부정)'!G109</f>
        <v>9.2492707480883563E-2</v>
      </c>
      <c r="H136" s="1072">
        <f>'2.추정(부정)'!H109</f>
        <v>9.3152931425298541E-2</v>
      </c>
      <c r="I136" s="1087">
        <f>추정_master!G7</f>
        <v>7.6999999999999999E-2</v>
      </c>
      <c r="J136" s="1088">
        <f>추정_master!H7</f>
        <v>7.1999999999999995E-2</v>
      </c>
      <c r="K136" s="1136">
        <f>추정_master!I7</f>
        <v>6.699999999999999E-2</v>
      </c>
      <c r="N136" s="724" t="s">
        <v>2148</v>
      </c>
    </row>
    <row r="137" spans="1:14">
      <c r="B137" s="1014" t="s">
        <v>1650</v>
      </c>
      <c r="C137" s="984">
        <f>ROUND(((H61/C61)^(1/5)-1)*100,1)</f>
        <v>5.9</v>
      </c>
      <c r="D137" s="980">
        <f>(D61/C61-1)*100</f>
        <v>-37.061861868868853</v>
      </c>
      <c r="E137" s="981">
        <f>(E61/D61-1)*100</f>
        <v>59.814505012207484</v>
      </c>
      <c r="F137" s="981">
        <f>(F61/E61-1)*100</f>
        <v>24.870103885663752</v>
      </c>
      <c r="G137" s="981">
        <f>(G61/F61-1)*100</f>
        <v>-18.943891347428632</v>
      </c>
      <c r="H137" s="1071">
        <f>(H61/G61-1)*100</f>
        <v>30.779411609414709</v>
      </c>
      <c r="I137" s="1089">
        <f>추정_master!G8</f>
        <v>-12</v>
      </c>
      <c r="J137" s="1090">
        <f>추정_master!H8</f>
        <v>-7</v>
      </c>
      <c r="K137" s="1137">
        <f>추정_master!I8</f>
        <v>1</v>
      </c>
      <c r="N137" s="724" t="s">
        <v>2108</v>
      </c>
    </row>
    <row r="138" spans="1:14">
      <c r="B138" s="1015" t="s">
        <v>1652</v>
      </c>
      <c r="C138" s="899">
        <f>AVERAGE(D138:H138)</f>
        <v>5.7998171681383939</v>
      </c>
      <c r="D138" s="901">
        <f t="shared" ref="D138:F139" si="69">D112</f>
        <v>6.1405673683227215</v>
      </c>
      <c r="E138" s="901">
        <f t="shared" si="69"/>
        <v>4.6449119882822405</v>
      </c>
      <c r="F138" s="901">
        <f>F112</f>
        <v>6.1194610745963747</v>
      </c>
      <c r="G138" s="901">
        <f>G112</f>
        <v>5.8383014141441461</v>
      </c>
      <c r="H138" s="1073">
        <f>H112</f>
        <v>6.2558439953464831</v>
      </c>
      <c r="I138" s="1138">
        <f>추정_master!G9</f>
        <v>5.9980000000000002</v>
      </c>
      <c r="J138" s="1139">
        <f>추정_master!H9</f>
        <v>5.9880000000000004</v>
      </c>
      <c r="K138" s="1140">
        <f>추정_master!I9</f>
        <v>5.9780000000000006</v>
      </c>
      <c r="N138" s="724" t="s">
        <v>2127</v>
      </c>
    </row>
    <row r="139" spans="1:14">
      <c r="B139" s="1015" t="s">
        <v>1653</v>
      </c>
      <c r="C139" s="899">
        <f>AVERAGE(D139:H139)</f>
        <v>0.14156884870400582</v>
      </c>
      <c r="D139" s="900">
        <f t="shared" si="69"/>
        <v>0.15128495345938753</v>
      </c>
      <c r="E139" s="900">
        <f t="shared" si="69"/>
        <v>0.19460865468376951</v>
      </c>
      <c r="F139" s="900">
        <f t="shared" si="69"/>
        <v>0.12462428902724196</v>
      </c>
      <c r="G139" s="900">
        <f>G113</f>
        <v>0.125166710960644</v>
      </c>
      <c r="H139" s="1074">
        <f>H113</f>
        <v>0.11215963538898611</v>
      </c>
      <c r="I139" s="1132">
        <f>추정_master!G10</f>
        <v>0.08</v>
      </c>
      <c r="J139" s="1133">
        <f>추정_master!H10</f>
        <v>7.4999999999999997E-2</v>
      </c>
      <c r="K139" s="1134">
        <f>추정_master!I10</f>
        <v>6.9999999999999993E-2</v>
      </c>
      <c r="N139" s="724" t="s">
        <v>2127</v>
      </c>
    </row>
    <row r="140" spans="1:14" ht="13.5" customHeight="1">
      <c r="A140" s="784"/>
      <c r="B140" s="1015" t="s">
        <v>1654</v>
      </c>
      <c r="C140" s="896">
        <f>ROUND(((H26/C26)^(1/5)-1)*100,0)</f>
        <v>14</v>
      </c>
      <c r="D140" s="897">
        <f t="shared" ref="D140:H142" si="70">(D26/C26-1)*100</f>
        <v>3.0121700296701359</v>
      </c>
      <c r="E140" s="898">
        <f t="shared" si="70"/>
        <v>18.308231410313525</v>
      </c>
      <c r="F140" s="898">
        <f t="shared" si="70"/>
        <v>21.248487941143026</v>
      </c>
      <c r="G140" s="898">
        <f t="shared" si="70"/>
        <v>15.256778382435531</v>
      </c>
      <c r="H140" s="1075">
        <f t="shared" si="70"/>
        <v>14.38062529310975</v>
      </c>
      <c r="I140" s="1089">
        <f>추정_master!G11</f>
        <v>2</v>
      </c>
      <c r="J140" s="1090">
        <f>추정_master!H11</f>
        <v>2</v>
      </c>
      <c r="K140" s="1137">
        <f>추정_master!I11</f>
        <v>2</v>
      </c>
      <c r="N140" s="724" t="s">
        <v>2152</v>
      </c>
    </row>
    <row r="141" spans="1:14">
      <c r="A141" s="784"/>
      <c r="B141" s="1015" t="s">
        <v>1655</v>
      </c>
      <c r="C141" s="896">
        <f>ROUND(((H27/C27)^(1/5)-1)*100,0)</f>
        <v>13</v>
      </c>
      <c r="D141" s="897">
        <f t="shared" si="70"/>
        <v>2.1563889378494405</v>
      </c>
      <c r="E141" s="898">
        <f t="shared" si="70"/>
        <v>7.4951885860229828</v>
      </c>
      <c r="F141" s="898">
        <f t="shared" si="70"/>
        <v>19.553244432843652</v>
      </c>
      <c r="G141" s="898">
        <f t="shared" si="70"/>
        <v>18.478070801148405</v>
      </c>
      <c r="H141" s="1075">
        <f t="shared" si="70"/>
        <v>20.314240701658992</v>
      </c>
      <c r="I141" s="1141">
        <v>4</v>
      </c>
      <c r="J141" s="1142">
        <v>3</v>
      </c>
      <c r="K141" s="1143">
        <v>2</v>
      </c>
    </row>
    <row r="142" spans="1:14">
      <c r="A142" s="784"/>
      <c r="B142" s="1015" t="s">
        <v>1656</v>
      </c>
      <c r="C142" s="896">
        <f>ROUND(((H28/C28)^(1/5)-1)*100,0)</f>
        <v>18</v>
      </c>
      <c r="D142" s="897">
        <f t="shared" si="70"/>
        <v>0.61078973627424205</v>
      </c>
      <c r="E142" s="898">
        <f t="shared" si="70"/>
        <v>-5.6142632024707044</v>
      </c>
      <c r="F142" s="898">
        <f t="shared" si="70"/>
        <v>25.773742492355332</v>
      </c>
      <c r="G142" s="898">
        <f t="shared" si="70"/>
        <v>13.773315258006935</v>
      </c>
      <c r="H142" s="1075">
        <f t="shared" si="70"/>
        <v>67.834733517547747</v>
      </c>
      <c r="I142" s="1141">
        <v>35</v>
      </c>
      <c r="J142" s="1142">
        <v>20</v>
      </c>
      <c r="K142" s="1143">
        <v>15</v>
      </c>
      <c r="N142" s="724" t="s">
        <v>2153</v>
      </c>
    </row>
    <row r="143" spans="1:14" hidden="1">
      <c r="A143" s="784"/>
      <c r="B143" s="1015" t="s">
        <v>1657</v>
      </c>
      <c r="C143" s="896" t="e">
        <f>ROUND(((G29/#REF!)^(1/5)-1)*100,0)</f>
        <v>#REF!</v>
      </c>
      <c r="D143" s="902"/>
      <c r="E143" s="903"/>
      <c r="F143" s="903"/>
      <c r="G143" s="903"/>
      <c r="H143" s="1076"/>
      <c r="I143" s="849"/>
      <c r="J143" s="840"/>
      <c r="K143" s="1091"/>
    </row>
    <row r="144" spans="1:14">
      <c r="A144" s="784"/>
      <c r="B144" s="1015" t="s">
        <v>1658</v>
      </c>
      <c r="C144" s="896">
        <f>ROUND(((H31/C31)^(1/5)-1)*100,0)</f>
        <v>17</v>
      </c>
      <c r="D144" s="897">
        <f t="shared" ref="D144:H145" si="71">(D31/C31-1)*100</f>
        <v>14.81437891996833</v>
      </c>
      <c r="E144" s="898">
        <f t="shared" si="71"/>
        <v>16.708861683965925</v>
      </c>
      <c r="F144" s="898">
        <f t="shared" si="71"/>
        <v>25.834679025542439</v>
      </c>
      <c r="G144" s="898">
        <f t="shared" si="71"/>
        <v>15.730266432852048</v>
      </c>
      <c r="H144" s="1075">
        <f t="shared" si="71"/>
        <v>10.403132222152101</v>
      </c>
      <c r="I144" s="1080">
        <f>I140</f>
        <v>2</v>
      </c>
      <c r="J144" s="904">
        <f t="shared" ref="J144:K144" si="72">J140</f>
        <v>2</v>
      </c>
      <c r="K144" s="1092">
        <f t="shared" si="72"/>
        <v>2</v>
      </c>
    </row>
    <row r="145" spans="1:14">
      <c r="A145" s="784"/>
      <c r="B145" s="1015" t="s">
        <v>1659</v>
      </c>
      <c r="C145" s="896">
        <f>ROUND(((H32/C32)^(1/5)-1)*100,0)</f>
        <v>1</v>
      </c>
      <c r="D145" s="897">
        <f t="shared" si="71"/>
        <v>-17.784123502498417</v>
      </c>
      <c r="E145" s="898">
        <f t="shared" si="71"/>
        <v>-2.0351158567149752</v>
      </c>
      <c r="F145" s="898">
        <f t="shared" si="71"/>
        <v>-1.9673362298234021</v>
      </c>
      <c r="G145" s="898">
        <f t="shared" si="71"/>
        <v>1.9330343780076031</v>
      </c>
      <c r="H145" s="1075">
        <f t="shared" si="71"/>
        <v>32.565009632923633</v>
      </c>
      <c r="I145" s="1080">
        <f>I140</f>
        <v>2</v>
      </c>
      <c r="J145" s="904">
        <f t="shared" ref="J145:K145" si="73">J140</f>
        <v>2</v>
      </c>
      <c r="K145" s="1092">
        <f t="shared" si="73"/>
        <v>2</v>
      </c>
    </row>
    <row r="146" spans="1:14">
      <c r="A146" s="784"/>
      <c r="B146" s="1015" t="s">
        <v>1571</v>
      </c>
      <c r="C146" s="896">
        <f>AVERAGE(F36:H36)</f>
        <v>14.12767324393298</v>
      </c>
      <c r="D146" s="897">
        <f t="shared" ref="D146:G146" si="74">D36</f>
        <v>11.79194951165246</v>
      </c>
      <c r="E146" s="898">
        <f t="shared" si="74"/>
        <v>11.15983468720173</v>
      </c>
      <c r="F146" s="898">
        <f t="shared" si="74"/>
        <v>10.643200812109528</v>
      </c>
      <c r="G146" s="898">
        <f t="shared" si="74"/>
        <v>13.783229119047849</v>
      </c>
      <c r="H146" s="1075">
        <f>H36</f>
        <v>17.956589800641556</v>
      </c>
      <c r="I146" s="1141">
        <v>14.1</v>
      </c>
      <c r="J146" s="1142">
        <v>14.1</v>
      </c>
      <c r="K146" s="1143">
        <v>14.1</v>
      </c>
    </row>
    <row r="147" spans="1:14">
      <c r="A147" s="784"/>
      <c r="B147" s="1015" t="s">
        <v>1660</v>
      </c>
      <c r="C147" s="896">
        <f>ROUND(((H48/C48)^(1/5)-1)*100,0)</f>
        <v>6</v>
      </c>
      <c r="D147" s="897">
        <f t="shared" ref="D147:H148" si="75">(D48/C48-1)*100</f>
        <v>-28.355249256446836</v>
      </c>
      <c r="E147" s="898">
        <f t="shared" si="75"/>
        <v>28.725853453611428</v>
      </c>
      <c r="F147" s="898">
        <f t="shared" si="75"/>
        <v>21.637012167075433</v>
      </c>
      <c r="G147" s="898">
        <f t="shared" si="75"/>
        <v>2.1051992927800578</v>
      </c>
      <c r="H147" s="1075">
        <f t="shared" si="75"/>
        <v>16.300892760195818</v>
      </c>
      <c r="I147" s="1089">
        <f>추정_master!G15</f>
        <v>-3</v>
      </c>
      <c r="J147" s="1090">
        <f>추정_master!H15</f>
        <v>-2.5</v>
      </c>
      <c r="K147" s="1137">
        <f>추정_master!I15</f>
        <v>-2.5</v>
      </c>
    </row>
    <row r="148" spans="1:14">
      <c r="A148" s="784"/>
      <c r="B148" s="1015" t="s">
        <v>1661</v>
      </c>
      <c r="C148" s="896">
        <f>ROUND(((H49/C49)^(1/5)-1)*100,0)</f>
        <v>28</v>
      </c>
      <c r="D148" s="897">
        <f t="shared" si="75"/>
        <v>-20.805783907937737</v>
      </c>
      <c r="E148" s="898">
        <f t="shared" si="75"/>
        <v>73.203758566992022</v>
      </c>
      <c r="F148" s="898">
        <f t="shared" si="75"/>
        <v>24.402319509976866</v>
      </c>
      <c r="G148" s="898">
        <f t="shared" si="75"/>
        <v>62.006784028864772</v>
      </c>
      <c r="H148" s="1075">
        <f t="shared" si="75"/>
        <v>23.858875680052492</v>
      </c>
      <c r="I148" s="1089">
        <f>추정_master!G16</f>
        <v>9</v>
      </c>
      <c r="J148" s="1090">
        <f>추정_master!H16</f>
        <v>-8</v>
      </c>
      <c r="K148" s="1137">
        <f>추정_master!I16</f>
        <v>-11</v>
      </c>
      <c r="N148" s="724" t="s">
        <v>2154</v>
      </c>
    </row>
    <row r="149" spans="1:14">
      <c r="A149" s="784"/>
      <c r="B149" s="1015" t="s">
        <v>1662</v>
      </c>
      <c r="C149" s="899">
        <f>AVERAGE(D149:H149)</f>
        <v>-0.43595608192195473</v>
      </c>
      <c r="D149" s="897">
        <f>D125</f>
        <v>-1.1645140087980597</v>
      </c>
      <c r="E149" s="898">
        <f>E125</f>
        <v>-0.28594663208348525</v>
      </c>
      <c r="F149" s="898">
        <f>F125</f>
        <v>-0.64881549290780949</v>
      </c>
      <c r="G149" s="898">
        <f>G125</f>
        <v>-0.42473895721670063</v>
      </c>
      <c r="H149" s="1075">
        <f>H125</f>
        <v>0.34423468139628127</v>
      </c>
      <c r="I149" s="1089">
        <f>추정_master!G13</f>
        <v>0.05</v>
      </c>
      <c r="J149" s="1090">
        <f>추정_master!H13</f>
        <v>0.05</v>
      </c>
      <c r="K149" s="1137">
        <f>추정_master!I13</f>
        <v>-0.05</v>
      </c>
      <c r="N149" s="724" t="s">
        <v>2155</v>
      </c>
    </row>
    <row r="150" spans="1:14">
      <c r="A150" s="784"/>
      <c r="B150" s="1015" t="s">
        <v>1663</v>
      </c>
      <c r="C150" s="896">
        <f>AVERAGE(F129:H129)</f>
        <v>2.0755138484983999</v>
      </c>
      <c r="D150" s="897">
        <f>D129</f>
        <v>2.1895681584106947</v>
      </c>
      <c r="E150" s="898">
        <f>E129</f>
        <v>2.3518797025912783</v>
      </c>
      <c r="F150" s="898">
        <f>F129</f>
        <v>2.4042995965129688</v>
      </c>
      <c r="G150" s="898">
        <f>G129</f>
        <v>1.906052439596722</v>
      </c>
      <c r="H150" s="1075">
        <f>H129</f>
        <v>1.9161895093855086</v>
      </c>
      <c r="I150" s="1089">
        <f>추정_master!G14</f>
        <v>1.9</v>
      </c>
      <c r="J150" s="1090">
        <f>추정_master!H14</f>
        <v>1.7</v>
      </c>
      <c r="K150" s="1137">
        <f>추정_master!I14</f>
        <v>1.2</v>
      </c>
      <c r="N150" s="724" t="s">
        <v>2156</v>
      </c>
    </row>
    <row r="151" spans="1:14">
      <c r="A151" s="784"/>
      <c r="B151" s="1015" t="s">
        <v>1664</v>
      </c>
      <c r="C151" s="905">
        <f>AVERAGE(F52:H52)</f>
        <v>-51.521953260000004</v>
      </c>
      <c r="D151" s="906">
        <f>D52</f>
        <v>-65.030829920000002</v>
      </c>
      <c r="E151" s="907">
        <f>E52</f>
        <v>11.138388300000001</v>
      </c>
      <c r="F151" s="907">
        <f>F52</f>
        <v>-16.45756154</v>
      </c>
      <c r="G151" s="907">
        <f>G52</f>
        <v>-359.50010902999998</v>
      </c>
      <c r="H151" s="1077">
        <f>H52</f>
        <v>221.39181078999999</v>
      </c>
      <c r="I151" s="1144">
        <v>-51.666666666666664</v>
      </c>
      <c r="J151" s="1145">
        <v>-51.666666666666664</v>
      </c>
      <c r="K151" s="1146">
        <v>-51.666666666666664</v>
      </c>
      <c r="N151" s="724" t="s">
        <v>2157</v>
      </c>
    </row>
    <row r="152" spans="1:14">
      <c r="A152" s="784"/>
      <c r="B152" s="1015" t="s">
        <v>1665</v>
      </c>
      <c r="C152" s="896">
        <f>AVERAGE(D152:H152)</f>
        <v>0.19524550880896846</v>
      </c>
      <c r="D152" s="897">
        <f>D81</f>
        <v>1.0062920197314038</v>
      </c>
      <c r="E152" s="898">
        <f>E81</f>
        <v>-0.16908607365964468</v>
      </c>
      <c r="F152" s="898">
        <f>F81</f>
        <v>6.9727940617117332E-2</v>
      </c>
      <c r="G152" s="898">
        <f>G81</f>
        <v>1.9873871054010474E-2</v>
      </c>
      <c r="H152" s="1075">
        <f>H81</f>
        <v>4.9419786301955364E-2</v>
      </c>
      <c r="I152" s="1089">
        <f>추정_master!G18</f>
        <v>0.25</v>
      </c>
      <c r="J152" s="1090">
        <f>추정_master!H18</f>
        <v>0.25</v>
      </c>
      <c r="K152" s="1137">
        <f>추정_master!I18</f>
        <v>0.25</v>
      </c>
      <c r="N152" s="724" t="s">
        <v>2157</v>
      </c>
    </row>
    <row r="153" spans="1:14">
      <c r="A153" s="784"/>
      <c r="B153" s="1016" t="s">
        <v>1666</v>
      </c>
      <c r="C153" s="909">
        <f>ROUND(((H54/C54)^(1/5)-1)*100,0)</f>
        <v>3</v>
      </c>
      <c r="D153" s="897">
        <f>(D54/C54-1)*100</f>
        <v>-35.381160502137398</v>
      </c>
      <c r="E153" s="898">
        <f>(E54/D54-1)*100</f>
        <v>41.310292380022595</v>
      </c>
      <c r="F153" s="898">
        <f>(F54/E54-1)*100</f>
        <v>13.525848154128939</v>
      </c>
      <c r="G153" s="898">
        <f>(G54/F54-1)*100</f>
        <v>-3.1460227219897385</v>
      </c>
      <c r="H153" s="1075">
        <f>(H54/G54-1)*100</f>
        <v>14.391914335440958</v>
      </c>
      <c r="I153" s="1089">
        <f>추정_master!G12</f>
        <v>3.1</v>
      </c>
      <c r="J153" s="1090">
        <f>추정_master!H12</f>
        <v>7.1</v>
      </c>
      <c r="K153" s="1137">
        <f>추정_master!I12</f>
        <v>10.1</v>
      </c>
      <c r="N153" s="724" t="s">
        <v>2158</v>
      </c>
    </row>
    <row r="154" spans="1:14">
      <c r="A154" s="784"/>
      <c r="B154" s="1016" t="s">
        <v>1667</v>
      </c>
      <c r="C154" s="896">
        <f>AVERAGE(D60:H60)</f>
        <v>19.836624329536448</v>
      </c>
      <c r="D154" s="897">
        <f>D60</f>
        <v>17.469507939433569</v>
      </c>
      <c r="E154" s="898">
        <f>E60</f>
        <v>21.794336309535588</v>
      </c>
      <c r="F154" s="898">
        <f>F60</f>
        <v>19.394511978575647</v>
      </c>
      <c r="G154" s="898">
        <f>G60</f>
        <v>20.439257764150778</v>
      </c>
      <c r="H154" s="1075">
        <f>H60</f>
        <v>20.085507655986657</v>
      </c>
      <c r="I154" s="1141">
        <v>24.2</v>
      </c>
      <c r="J154" s="1142">
        <f>I154</f>
        <v>24.2</v>
      </c>
      <c r="K154" s="1143">
        <f>J154</f>
        <v>24.2</v>
      </c>
    </row>
    <row r="155" spans="1:14">
      <c r="A155" s="784"/>
      <c r="B155" s="1016" t="s">
        <v>1668</v>
      </c>
      <c r="C155" s="896">
        <f>AVERAGE(D72:H72)</f>
        <v>157.55264797260725</v>
      </c>
      <c r="D155" s="897">
        <f t="shared" ref="D155:I155" si="76">D72</f>
        <v>113.27677931355409</v>
      </c>
      <c r="E155" s="898">
        <f t="shared" si="76"/>
        <v>79.48979321665918</v>
      </c>
      <c r="F155" s="898">
        <f t="shared" si="76"/>
        <v>72.751064322809</v>
      </c>
      <c r="G155" s="898">
        <f t="shared" si="76"/>
        <v>78.164968503598757</v>
      </c>
      <c r="H155" s="1075">
        <f t="shared" si="76"/>
        <v>444.08063450641515</v>
      </c>
      <c r="I155" s="1151">
        <f t="shared" si="76"/>
        <v>38.17819937325315</v>
      </c>
      <c r="J155" s="1142">
        <v>50</v>
      </c>
      <c r="K155" s="1153">
        <v>50</v>
      </c>
      <c r="N155" s="724" t="s">
        <v>2159</v>
      </c>
    </row>
    <row r="156" spans="1:14">
      <c r="A156" s="784"/>
      <c r="B156" s="1016" t="s">
        <v>1669</v>
      </c>
      <c r="C156" s="896">
        <f>ROUND(((H74/C74)^(1/5)-1)*100,1)</f>
        <v>0</v>
      </c>
      <c r="D156" s="897">
        <f>(D74/C74-1)*100</f>
        <v>107.27521045579454</v>
      </c>
      <c r="E156" s="898">
        <f>(E74/D74-1)*100</f>
        <v>-20.72372303197697</v>
      </c>
      <c r="F156" s="898">
        <f>(F74/E74-1)*100</f>
        <v>5.9537599769388105</v>
      </c>
      <c r="G156" s="898">
        <f>(G74/F74-1)*100</f>
        <v>-42.155792398132938</v>
      </c>
      <c r="H156" s="1075">
        <f>(H74/G74-1)*100</f>
        <v>-0.69165442816178091</v>
      </c>
      <c r="I156" s="1089">
        <f>추정_master!G17</f>
        <v>18</v>
      </c>
      <c r="J156" s="1090">
        <f>추정_master!H17</f>
        <v>10</v>
      </c>
      <c r="K156" s="1137">
        <f>추정_master!I17</f>
        <v>8</v>
      </c>
      <c r="N156" s="724" t="s">
        <v>2160</v>
      </c>
    </row>
    <row r="157" spans="1:14">
      <c r="A157" s="784"/>
      <c r="B157" s="1016" t="s">
        <v>1670</v>
      </c>
      <c r="C157" s="896">
        <f>AVERAGE(D76:H76)</f>
        <v>1.0712418965436092</v>
      </c>
      <c r="D157" s="897">
        <f>D76</f>
        <v>1.110950931796292</v>
      </c>
      <c r="E157" s="898">
        <f>E76</f>
        <v>1.0731730884490849</v>
      </c>
      <c r="F157" s="898">
        <f>F76</f>
        <v>1.042635667709666</v>
      </c>
      <c r="G157" s="898">
        <f>G76</f>
        <v>1.1294497916642177</v>
      </c>
      <c r="H157" s="1075">
        <f>H76</f>
        <v>1.000000003098785</v>
      </c>
      <c r="I157" s="1141">
        <v>1.1000000000000001</v>
      </c>
      <c r="J157" s="1142">
        <v>1.1000000000000001</v>
      </c>
      <c r="K157" s="1143">
        <v>1.1000000000000001</v>
      </c>
    </row>
    <row r="158" spans="1:14">
      <c r="A158" s="784"/>
      <c r="B158" s="1016" t="s">
        <v>1671</v>
      </c>
      <c r="C158" s="905">
        <f>AVERAGE(D82:H82)</f>
        <v>-111.38878345200001</v>
      </c>
      <c r="D158" s="906">
        <f>D82</f>
        <v>-252.83397229999997</v>
      </c>
      <c r="E158" s="907">
        <f>E82</f>
        <v>142.62645002000011</v>
      </c>
      <c r="F158" s="907">
        <f>F82</f>
        <v>-58.083639850000168</v>
      </c>
      <c r="G158" s="907">
        <f>G82</f>
        <v>198.95824921999997</v>
      </c>
      <c r="H158" s="1077">
        <f>H82</f>
        <v>-587.61100434999992</v>
      </c>
      <c r="I158" s="1144">
        <v>250</v>
      </c>
      <c r="J158" s="1145">
        <v>250</v>
      </c>
      <c r="K158" s="1146">
        <v>250</v>
      </c>
      <c r="N158" s="724" t="s">
        <v>2161</v>
      </c>
    </row>
    <row r="159" spans="1:14">
      <c r="A159" s="784"/>
      <c r="B159" s="1016" t="s">
        <v>1672</v>
      </c>
      <c r="C159" s="896">
        <f>AVERAGE(D85:H85)</f>
        <v>70.833589487438132</v>
      </c>
      <c r="D159" s="897">
        <f>D85</f>
        <v>67.651739932270132</v>
      </c>
      <c r="E159" s="898">
        <f>E85</f>
        <v>70.069407122653303</v>
      </c>
      <c r="F159" s="898">
        <f>F85</f>
        <v>70.776050557550434</v>
      </c>
      <c r="G159" s="898">
        <f>G85</f>
        <v>69.673057207858562</v>
      </c>
      <c r="H159" s="1075">
        <f>H85</f>
        <v>75.997692616858231</v>
      </c>
      <c r="I159" s="1141">
        <v>65</v>
      </c>
      <c r="J159" s="1142">
        <v>65</v>
      </c>
      <c r="K159" s="1143">
        <v>65</v>
      </c>
      <c r="N159" s="724" t="s">
        <v>2162</v>
      </c>
    </row>
    <row r="160" spans="1:14">
      <c r="A160" s="784"/>
      <c r="B160" s="1016" t="s">
        <v>1673</v>
      </c>
      <c r="C160" s="896">
        <f>AVERAGE(D87:H87)</f>
        <v>2.7017216476619517</v>
      </c>
      <c r="D160" s="897">
        <f>D87</f>
        <v>2.4689907719538295</v>
      </c>
      <c r="E160" s="898">
        <f>E87</f>
        <v>2.3768257294570416</v>
      </c>
      <c r="F160" s="898">
        <f>F87</f>
        <v>2.5577753277567679</v>
      </c>
      <c r="G160" s="898">
        <f>G87</f>
        <v>2.5879423225760179</v>
      </c>
      <c r="H160" s="1075">
        <f>H87</f>
        <v>3.5170740865661001</v>
      </c>
      <c r="I160" s="1141">
        <v>3.5</v>
      </c>
      <c r="J160" s="1142">
        <v>3.5</v>
      </c>
      <c r="K160" s="1143">
        <v>3.5</v>
      </c>
      <c r="N160" s="724" t="s">
        <v>2163</v>
      </c>
    </row>
    <row r="161" spans="1:14">
      <c r="A161" s="784"/>
      <c r="B161" s="1016" t="s">
        <v>1674</v>
      </c>
      <c r="C161" s="896">
        <f>ROUND(((H92/C92)^(1/5)-1)*100,1)</f>
        <v>5.8</v>
      </c>
      <c r="D161" s="897">
        <f>(D92/C92-1)*100</f>
        <v>4.3718158173100541E-2</v>
      </c>
      <c r="E161" s="898">
        <f>(E92/D92-1)*100</f>
        <v>4.6877720902578801</v>
      </c>
      <c r="F161" s="898">
        <f>(F92/E92-1)*100</f>
        <v>42.309364402133639</v>
      </c>
      <c r="G161" s="898">
        <f>(G92/F92-1)*100</f>
        <v>-32.501921857311913</v>
      </c>
      <c r="H161" s="1075">
        <f>(H92/G92-1)*100</f>
        <v>31.627533256702513</v>
      </c>
      <c r="I161" s="1089">
        <f>추정_master!G20</f>
        <v>11</v>
      </c>
      <c r="J161" s="1090">
        <f>추정_master!H20</f>
        <v>11</v>
      </c>
      <c r="K161" s="1137">
        <f>추정_master!I20</f>
        <v>11</v>
      </c>
    </row>
    <row r="162" spans="1:14">
      <c r="A162" s="784"/>
      <c r="B162" s="1016" t="s">
        <v>1675</v>
      </c>
      <c r="C162" s="896">
        <f>ROUND(((H94/C94)^(1/5)-1)*100,1)</f>
        <v>9.8000000000000007</v>
      </c>
      <c r="D162" s="897">
        <f>(D94/C94-1)*100</f>
        <v>8.36920571908224</v>
      </c>
      <c r="E162" s="898">
        <f>(E94/D94-1)*100</f>
        <v>15.158136134370427</v>
      </c>
      <c r="F162" s="898">
        <f>(F94/E94-1)*100</f>
        <v>34.454182786887031</v>
      </c>
      <c r="G162" s="898">
        <f>(G94/F94-1)*100</f>
        <v>-29.624808356118415</v>
      </c>
      <c r="H162" s="1075">
        <f>(H94/G94-1)*100</f>
        <v>35.21206195003186</v>
      </c>
      <c r="I162" s="1089">
        <f>추정_master!G21</f>
        <v>11</v>
      </c>
      <c r="J162" s="1090">
        <f>추정_master!H21</f>
        <v>11</v>
      </c>
      <c r="K162" s="1137">
        <f>추정_master!I21</f>
        <v>11</v>
      </c>
    </row>
    <row r="163" spans="1:14">
      <c r="A163" s="784"/>
      <c r="B163" s="1016" t="s">
        <v>1676</v>
      </c>
      <c r="C163" s="896">
        <f>ROUND(((H96/C96)^(1/5)-1)*100,1)</f>
        <v>54.2</v>
      </c>
      <c r="D163" s="897">
        <f>(D96/C96-1)*100</f>
        <v>92.419339869117863</v>
      </c>
      <c r="E163" s="898">
        <f>(E96/D96-1)*100</f>
        <v>51.443518232302978</v>
      </c>
      <c r="F163" s="898">
        <f>(F96/E96-1)*100</f>
        <v>-0.41075083112063204</v>
      </c>
      <c r="G163" s="898">
        <f>(G96/F96-1)*100</f>
        <v>122.17493140704315</v>
      </c>
      <c r="H163" s="1075">
        <f>(H96/G96-1)*100</f>
        <v>35.065868436399519</v>
      </c>
      <c r="I163" s="1089">
        <f>추정_master!G19</f>
        <v>12</v>
      </c>
      <c r="J163" s="1090">
        <f>추정_master!H19</f>
        <v>-3</v>
      </c>
      <c r="K163" s="1137">
        <f>추정_master!I19</f>
        <v>-2</v>
      </c>
      <c r="N163" s="724" t="s">
        <v>2164</v>
      </c>
    </row>
    <row r="164" spans="1:14" ht="14" thickBot="1">
      <c r="B164" s="1017" t="s">
        <v>1689</v>
      </c>
      <c r="C164" s="1018">
        <f>AVERAGE(D116:H116)</f>
        <v>6.1393015745577202</v>
      </c>
      <c r="D164" s="1019">
        <f t="shared" ref="D164:G164" si="77">D116</f>
        <v>3.1187715128866604</v>
      </c>
      <c r="E164" s="1019">
        <f t="shared" si="77"/>
        <v>3.2042636811130425</v>
      </c>
      <c r="F164" s="1019">
        <f t="shared" si="77"/>
        <v>5.9715882810700354</v>
      </c>
      <c r="G164" s="1019">
        <f t="shared" si="77"/>
        <v>9.0790671671145322</v>
      </c>
      <c r="H164" s="1078">
        <f>H116</f>
        <v>9.3228172306043291</v>
      </c>
      <c r="I164" s="1246">
        <v>9.3000000000000007</v>
      </c>
      <c r="J164" s="1247">
        <v>9.3000000000000007</v>
      </c>
      <c r="K164" s="1248">
        <v>9.3000000000000007</v>
      </c>
      <c r="N164" s="724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00B050"/>
  </sheetPr>
  <dimension ref="A1:Z290"/>
  <sheetViews>
    <sheetView view="pageBreakPreview" topLeftCell="A67" zoomScale="115" zoomScaleNormal="100" zoomScaleSheetLayoutView="115" workbookViewId="0">
      <selection activeCell="K20" sqref="K20"/>
    </sheetView>
  </sheetViews>
  <sheetFormatPr baseColWidth="10" defaultColWidth="9.1640625" defaultRowHeight="14" outlineLevelRow="1"/>
  <cols>
    <col min="1" max="1" width="27.1640625" style="579" customWidth="1"/>
    <col min="2" max="2" width="9.83203125" style="579" customWidth="1"/>
    <col min="3" max="3" width="9" style="579" customWidth="1"/>
    <col min="4" max="4" width="9.6640625" style="579" customWidth="1"/>
    <col min="5" max="5" width="9.5" style="579" customWidth="1"/>
    <col min="6" max="6" width="9" style="579" customWidth="1"/>
    <col min="7" max="7" width="9.83203125" style="579" customWidth="1"/>
    <col min="8" max="8" width="9.5" style="579" customWidth="1"/>
    <col min="9" max="10" width="9.1640625" style="579" customWidth="1"/>
    <col min="11" max="11" width="9.5" style="579" customWidth="1"/>
    <col min="12" max="12" width="9.6640625" style="579" customWidth="1"/>
    <col min="13" max="13" width="9.83203125" style="579" customWidth="1"/>
    <col min="14" max="14" width="9.1640625" style="579"/>
    <col min="15" max="15" width="9.33203125" style="985" bestFit="1" customWidth="1"/>
    <col min="16" max="16" width="10.1640625" style="985" bestFit="1" customWidth="1"/>
    <col min="17" max="17" width="9.1640625" style="985"/>
    <col min="18" max="16384" width="9.1640625" style="579"/>
  </cols>
  <sheetData>
    <row r="1" spans="1:18">
      <c r="A1" s="577" t="str">
        <f>Data!A1</f>
        <v>한국투자증권</v>
      </c>
      <c r="B1" s="578"/>
    </row>
    <row r="2" spans="1:18">
      <c r="P2" s="985" t="s">
        <v>1697</v>
      </c>
    </row>
    <row r="3" spans="1:18" ht="15" thickBot="1">
      <c r="A3" s="580" t="s">
        <v>1419</v>
      </c>
      <c r="P3" s="1236" t="s">
        <v>2110</v>
      </c>
      <c r="Q3" s="1236" t="s">
        <v>2109</v>
      </c>
    </row>
    <row r="4" spans="1:18" ht="13.5" customHeight="1">
      <c r="A4" s="1884" t="s">
        <v>1420</v>
      </c>
      <c r="B4" s="1885" t="s">
        <v>1421</v>
      </c>
      <c r="C4" s="1886"/>
      <c r="D4" s="1886"/>
      <c r="E4" s="1887"/>
      <c r="G4" s="1885" t="s">
        <v>1422</v>
      </c>
      <c r="H4" s="1886"/>
      <c r="I4" s="1887"/>
      <c r="J4" s="1885" t="s">
        <v>1423</v>
      </c>
      <c r="K4" s="1886"/>
      <c r="L4" s="1887"/>
      <c r="M4" s="1885" t="s">
        <v>1424</v>
      </c>
      <c r="N4" s="1886"/>
      <c r="O4" s="1887"/>
      <c r="P4" s="986"/>
      <c r="R4" s="985"/>
    </row>
    <row r="5" spans="1:18">
      <c r="A5" s="1884"/>
      <c r="B5" s="581">
        <v>2014</v>
      </c>
      <c r="C5" s="582">
        <v>2015</v>
      </c>
      <c r="D5" s="582">
        <v>2016</v>
      </c>
      <c r="E5" s="583">
        <v>2017</v>
      </c>
      <c r="F5" s="583">
        <v>2018</v>
      </c>
      <c r="G5" s="584" t="str">
        <f>J5</f>
        <v>2019(E)</v>
      </c>
      <c r="H5" s="585" t="str">
        <f>K5</f>
        <v>2020(E)</v>
      </c>
      <c r="I5" s="586" t="str">
        <f>L5</f>
        <v>2021(E)</v>
      </c>
      <c r="J5" s="584" t="s">
        <v>1425</v>
      </c>
      <c r="K5" s="585" t="s">
        <v>1446</v>
      </c>
      <c r="L5" s="586" t="s">
        <v>2416</v>
      </c>
      <c r="M5" s="584" t="str">
        <f>J5</f>
        <v>2019(E)</v>
      </c>
      <c r="N5" s="585" t="str">
        <f>K5</f>
        <v>2020(E)</v>
      </c>
      <c r="O5" s="586" t="str">
        <f>L5</f>
        <v>2021(E)</v>
      </c>
      <c r="R5" s="985"/>
    </row>
    <row r="6" spans="1:18">
      <c r="A6" s="587" t="s">
        <v>1426</v>
      </c>
      <c r="B6" s="588">
        <f>추정!E113</f>
        <v>-0.8422594515895665</v>
      </c>
      <c r="C6" s="589">
        <f>추정!F113</f>
        <v>49.941640270063424</v>
      </c>
      <c r="D6" s="589">
        <f>추정!G113</f>
        <v>-11.227570646260066</v>
      </c>
      <c r="E6" s="590">
        <f>추정!H113</f>
        <v>7.5038542485458493</v>
      </c>
      <c r="F6" s="590">
        <f>추정!I113</f>
        <v>34.390843358505194</v>
      </c>
      <c r="G6" s="588">
        <f t="shared" ref="G6:G21" si="0">J6+$P6</f>
        <v>-21</v>
      </c>
      <c r="H6" s="589">
        <f t="shared" ref="H6:H21" si="1">K6+$P6</f>
        <v>-8</v>
      </c>
      <c r="I6" s="590">
        <f t="shared" ref="I6:I21" si="2">L6+$P6</f>
        <v>4</v>
      </c>
      <c r="J6" s="591">
        <f>추정!J141</f>
        <v>-20</v>
      </c>
      <c r="K6" s="592">
        <f>추정!K141</f>
        <v>-7</v>
      </c>
      <c r="L6" s="593">
        <f>추정!L141</f>
        <v>5</v>
      </c>
      <c r="M6" s="588">
        <f t="shared" ref="M6:M21" si="3">J6+$Q6</f>
        <v>-19</v>
      </c>
      <c r="N6" s="589">
        <f t="shared" ref="N6:N21" si="4">K6+$Q6</f>
        <v>-6</v>
      </c>
      <c r="O6" s="590">
        <f t="shared" ref="O6:O21" si="5">L6+$Q6</f>
        <v>6</v>
      </c>
      <c r="P6" s="985">
        <v>-1</v>
      </c>
      <c r="Q6" s="985">
        <v>1</v>
      </c>
      <c r="R6" s="985"/>
    </row>
    <row r="7" spans="1:18">
      <c r="A7" s="587" t="s">
        <v>1427</v>
      </c>
      <c r="B7" s="594">
        <f>추정!E115</f>
        <v>0.11021819426114357</v>
      </c>
      <c r="C7" s="595">
        <f>추정!F115</f>
        <v>0.10263857318938707</v>
      </c>
      <c r="D7" s="595">
        <f>추정!G115</f>
        <v>9.2492707480883563E-2</v>
      </c>
      <c r="E7" s="596">
        <f>추정!H115</f>
        <v>9.3152931425298541E-2</v>
      </c>
      <c r="F7" s="596">
        <f>추정!I115</f>
        <v>8.0551623850384696E-2</v>
      </c>
      <c r="G7" s="597">
        <f t="shared" si="0"/>
        <v>7.6999999999999999E-2</v>
      </c>
      <c r="H7" s="598">
        <f t="shared" si="1"/>
        <v>7.1999999999999995E-2</v>
      </c>
      <c r="I7" s="599">
        <f t="shared" si="2"/>
        <v>6.699999999999999E-2</v>
      </c>
      <c r="J7" s="600">
        <f>추정!J142</f>
        <v>8.6999999999999994E-2</v>
      </c>
      <c r="K7" s="601">
        <f>추정!K142</f>
        <v>8.199999999999999E-2</v>
      </c>
      <c r="L7" s="602">
        <f>추정!L142</f>
        <v>7.6999999999999985E-2</v>
      </c>
      <c r="M7" s="597">
        <f t="shared" si="3"/>
        <v>9.6999999999999989E-2</v>
      </c>
      <c r="N7" s="598">
        <f t="shared" si="4"/>
        <v>9.1999999999999985E-2</v>
      </c>
      <c r="O7" s="599">
        <f t="shared" si="5"/>
        <v>8.699999999999998E-2</v>
      </c>
      <c r="P7" s="1000">
        <v>-0.01</v>
      </c>
      <c r="Q7" s="1000">
        <v>0.01</v>
      </c>
      <c r="R7" s="985"/>
    </row>
    <row r="8" spans="1:18">
      <c r="A8" s="587" t="s">
        <v>1428</v>
      </c>
      <c r="B8" s="588">
        <f>추정!E63</f>
        <v>19.860878759155611</v>
      </c>
      <c r="C8" s="589">
        <f>추정!F63</f>
        <v>24.870103885663752</v>
      </c>
      <c r="D8" s="589">
        <f>추정!G63</f>
        <v>-18.943891347428632</v>
      </c>
      <c r="E8" s="590">
        <f>추정!H63</f>
        <v>30.779411609414709</v>
      </c>
      <c r="F8" s="590">
        <f>추정!I63</f>
        <v>9.4434006220381903</v>
      </c>
      <c r="G8" s="603">
        <f t="shared" si="0"/>
        <v>-12</v>
      </c>
      <c r="H8" s="589">
        <f t="shared" si="1"/>
        <v>-7</v>
      </c>
      <c r="I8" s="590">
        <f t="shared" si="2"/>
        <v>1</v>
      </c>
      <c r="J8" s="591">
        <f>추정!J143</f>
        <v>-10</v>
      </c>
      <c r="K8" s="592">
        <f>추정!K143</f>
        <v>-5</v>
      </c>
      <c r="L8" s="593">
        <f>추정!L143</f>
        <v>3</v>
      </c>
      <c r="M8" s="603">
        <f t="shared" si="3"/>
        <v>-8</v>
      </c>
      <c r="N8" s="589">
        <f t="shared" si="4"/>
        <v>-3</v>
      </c>
      <c r="O8" s="590">
        <f t="shared" si="5"/>
        <v>5</v>
      </c>
      <c r="P8" s="985">
        <v>-2</v>
      </c>
      <c r="Q8" s="985">
        <v>2</v>
      </c>
      <c r="R8" s="985"/>
    </row>
    <row r="9" spans="1:18">
      <c r="A9" s="604" t="s">
        <v>1429</v>
      </c>
      <c r="B9" s="1002">
        <f>추정!E118</f>
        <v>4.6449119882822405</v>
      </c>
      <c r="C9" s="1003">
        <f>추정!F118</f>
        <v>6.1194610745963747</v>
      </c>
      <c r="D9" s="1003">
        <f>추정!G118</f>
        <v>5.8383014141441461</v>
      </c>
      <c r="E9" s="1003">
        <f>추정!H118</f>
        <v>6.2558439953464831</v>
      </c>
      <c r="F9" s="1003">
        <f>추정!I118</f>
        <v>5.5592373169135403</v>
      </c>
      <c r="G9" s="1095">
        <f t="shared" si="0"/>
        <v>5.9980000000000002</v>
      </c>
      <c r="H9" s="1096">
        <f t="shared" si="1"/>
        <v>5.9880000000000004</v>
      </c>
      <c r="I9" s="1097">
        <f t="shared" si="2"/>
        <v>5.9780000000000006</v>
      </c>
      <c r="J9" s="605">
        <f>추정!J144</f>
        <v>6</v>
      </c>
      <c r="K9" s="606">
        <f>추정!K144</f>
        <v>5.99</v>
      </c>
      <c r="L9" s="607">
        <f>추정!L144</f>
        <v>5.98</v>
      </c>
      <c r="M9" s="1095">
        <f t="shared" si="3"/>
        <v>6.0010000000000003</v>
      </c>
      <c r="N9" s="1096">
        <f t="shared" si="4"/>
        <v>5.9910000000000005</v>
      </c>
      <c r="O9" s="1097">
        <f t="shared" si="5"/>
        <v>5.9810000000000008</v>
      </c>
      <c r="P9" s="1262">
        <v>-2E-3</v>
      </c>
      <c r="Q9" s="1262">
        <v>1E-3</v>
      </c>
      <c r="R9" s="985"/>
    </row>
    <row r="10" spans="1:18">
      <c r="A10" s="604" t="s">
        <v>1430</v>
      </c>
      <c r="B10" s="1002">
        <f>추정!E119</f>
        <v>0.19460865468376951</v>
      </c>
      <c r="C10" s="1003">
        <f>추정!F119</f>
        <v>0.12462428902724196</v>
      </c>
      <c r="D10" s="1003">
        <f>추정!G119</f>
        <v>0.125166710960644</v>
      </c>
      <c r="E10" s="1003">
        <f>추정!H119</f>
        <v>0.11215963538898611</v>
      </c>
      <c r="F10" s="1003">
        <f>추정!I119</f>
        <v>0.10598889694839241</v>
      </c>
      <c r="G10" s="1095">
        <f t="shared" si="0"/>
        <v>0.08</v>
      </c>
      <c r="H10" s="1096">
        <f t="shared" si="1"/>
        <v>7.4999999999999997E-2</v>
      </c>
      <c r="I10" s="1097">
        <f t="shared" si="2"/>
        <v>6.9999999999999993E-2</v>
      </c>
      <c r="J10" s="605">
        <f>추정!J145</f>
        <v>0.09</v>
      </c>
      <c r="K10" s="606">
        <f>추정!K145</f>
        <v>8.4999999999999992E-2</v>
      </c>
      <c r="L10" s="607">
        <f>추정!L145</f>
        <v>7.9999999999999988E-2</v>
      </c>
      <c r="M10" s="1095">
        <f t="shared" si="3"/>
        <v>9.5000000000000001E-2</v>
      </c>
      <c r="N10" s="1096">
        <f t="shared" si="4"/>
        <v>0.09</v>
      </c>
      <c r="O10" s="1097">
        <f t="shared" si="5"/>
        <v>8.4999999999999992E-2</v>
      </c>
      <c r="P10" s="1000">
        <v>-0.01</v>
      </c>
      <c r="Q10" s="1000">
        <v>5.0000000000000001E-3</v>
      </c>
      <c r="R10" s="985"/>
    </row>
    <row r="11" spans="1:18">
      <c r="A11" s="604" t="s">
        <v>1431</v>
      </c>
      <c r="B11" s="1002">
        <f>추정!E146</f>
        <v>18.308231410313525</v>
      </c>
      <c r="C11" s="1003">
        <f>추정!F146</f>
        <v>21.248487941143026</v>
      </c>
      <c r="D11" s="1003">
        <f>추정!G146</f>
        <v>15.256778382435531</v>
      </c>
      <c r="E11" s="1001">
        <f>추정!H146</f>
        <v>14.38062529310975</v>
      </c>
      <c r="F11" s="1001">
        <f>추정!I146</f>
        <v>18.128041938641548</v>
      </c>
      <c r="G11" s="1098">
        <f t="shared" si="0"/>
        <v>2</v>
      </c>
      <c r="H11" s="1099">
        <f t="shared" si="1"/>
        <v>2</v>
      </c>
      <c r="I11" s="1100">
        <f t="shared" si="2"/>
        <v>2</v>
      </c>
      <c r="J11" s="608">
        <f>추정!J146</f>
        <v>3</v>
      </c>
      <c r="K11" s="609">
        <f>추정!K146</f>
        <v>3</v>
      </c>
      <c r="L11" s="610">
        <f>추정!L146</f>
        <v>3</v>
      </c>
      <c r="M11" s="1098">
        <f t="shared" si="3"/>
        <v>4</v>
      </c>
      <c r="N11" s="1099">
        <f t="shared" si="4"/>
        <v>4</v>
      </c>
      <c r="O11" s="1100">
        <f t="shared" si="5"/>
        <v>4</v>
      </c>
      <c r="P11" s="985">
        <v>-1</v>
      </c>
      <c r="Q11" s="985">
        <v>1</v>
      </c>
      <c r="R11" s="985"/>
    </row>
    <row r="12" spans="1:18">
      <c r="A12" s="604" t="s">
        <v>1432</v>
      </c>
      <c r="B12" s="608">
        <f>추정!E159</f>
        <v>41.310292380022595</v>
      </c>
      <c r="C12" s="609">
        <f>추정!F159</f>
        <v>13.525848154128939</v>
      </c>
      <c r="D12" s="609">
        <f>추정!G159</f>
        <v>-3.1460227219897385</v>
      </c>
      <c r="E12" s="610">
        <f>추정!H159</f>
        <v>14.391914335440958</v>
      </c>
      <c r="F12" s="610">
        <f>추정!I159</f>
        <v>12.147475313000822</v>
      </c>
      <c r="G12" s="1098">
        <f t="shared" si="0"/>
        <v>3.1</v>
      </c>
      <c r="H12" s="1099">
        <f t="shared" si="1"/>
        <v>7.1</v>
      </c>
      <c r="I12" s="1100">
        <f t="shared" si="2"/>
        <v>10.1</v>
      </c>
      <c r="J12" s="608">
        <f>추정!J159</f>
        <v>3</v>
      </c>
      <c r="K12" s="609">
        <f>추정!K159</f>
        <v>7</v>
      </c>
      <c r="L12" s="610">
        <f>추정!L159</f>
        <v>10</v>
      </c>
      <c r="M12" s="1098">
        <f t="shared" si="3"/>
        <v>2.9</v>
      </c>
      <c r="N12" s="1099">
        <f t="shared" si="4"/>
        <v>6.9</v>
      </c>
      <c r="O12" s="1100">
        <f t="shared" si="5"/>
        <v>9.9</v>
      </c>
      <c r="P12" s="985">
        <v>0.1</v>
      </c>
      <c r="Q12" s="985">
        <v>-0.1</v>
      </c>
      <c r="R12" s="985"/>
    </row>
    <row r="13" spans="1:18" ht="15">
      <c r="A13" s="611" t="s">
        <v>1433</v>
      </c>
      <c r="B13" s="608">
        <f>추정!E131</f>
        <v>-0.28594663208348525</v>
      </c>
      <c r="C13" s="1110">
        <f>추정!F131</f>
        <v>-0.64881549290780949</v>
      </c>
      <c r="D13" s="1110">
        <f>추정!G131</f>
        <v>-0.42473895721670063</v>
      </c>
      <c r="E13" s="1111">
        <f>추정!H131</f>
        <v>0.34423468139628127</v>
      </c>
      <c r="F13" s="1111">
        <f>추정!I131</f>
        <v>-7.8523475604912268E-2</v>
      </c>
      <c r="G13" s="1154">
        <f t="shared" si="0"/>
        <v>0.05</v>
      </c>
      <c r="H13" s="1155">
        <f t="shared" si="1"/>
        <v>0.05</v>
      </c>
      <c r="I13" s="1156">
        <f t="shared" si="2"/>
        <v>-0.05</v>
      </c>
      <c r="J13" s="608">
        <f>추정!J155</f>
        <v>0.1</v>
      </c>
      <c r="K13" s="609">
        <f>추정!K155</f>
        <v>0.1</v>
      </c>
      <c r="L13" s="610">
        <f>추정!L155</f>
        <v>0</v>
      </c>
      <c r="M13" s="1154">
        <f t="shared" si="3"/>
        <v>0.13</v>
      </c>
      <c r="N13" s="1155">
        <f t="shared" si="4"/>
        <v>0.13</v>
      </c>
      <c r="O13" s="1156">
        <f t="shared" si="5"/>
        <v>0.03</v>
      </c>
      <c r="P13" s="1000">
        <v>-0.05</v>
      </c>
      <c r="Q13" s="1000">
        <v>0.03</v>
      </c>
      <c r="R13" s="985"/>
    </row>
    <row r="14" spans="1:18" ht="30">
      <c r="A14" s="611" t="s">
        <v>1434</v>
      </c>
      <c r="B14" s="608">
        <f>추정!E135</f>
        <v>2.3518797025912783</v>
      </c>
      <c r="C14" s="1110">
        <f>추정!F135</f>
        <v>2.4042995965129688</v>
      </c>
      <c r="D14" s="1110">
        <f>추정!G135</f>
        <v>1.906052439596722</v>
      </c>
      <c r="E14" s="1111">
        <f>추정!H135</f>
        <v>1.9161895093855086</v>
      </c>
      <c r="F14" s="1111">
        <f>추정!I135</f>
        <v>2.2270637741093484</v>
      </c>
      <c r="G14" s="1101">
        <f t="shared" si="0"/>
        <v>1.9</v>
      </c>
      <c r="H14" s="1102">
        <f t="shared" si="1"/>
        <v>1.7</v>
      </c>
      <c r="I14" s="1103">
        <f t="shared" si="2"/>
        <v>1.2</v>
      </c>
      <c r="J14" s="608">
        <f>추정!J156</f>
        <v>2</v>
      </c>
      <c r="K14" s="609">
        <f>추정!K156</f>
        <v>1.8</v>
      </c>
      <c r="L14" s="610">
        <f>추정!L156</f>
        <v>1.3</v>
      </c>
      <c r="M14" s="1101">
        <f t="shared" si="3"/>
        <v>2.0499999999999998</v>
      </c>
      <c r="N14" s="1102">
        <f t="shared" si="4"/>
        <v>1.85</v>
      </c>
      <c r="O14" s="1103">
        <f t="shared" si="5"/>
        <v>1.35</v>
      </c>
      <c r="P14" s="985">
        <v>-0.1</v>
      </c>
      <c r="Q14" s="985">
        <v>0.05</v>
      </c>
      <c r="R14" s="985"/>
    </row>
    <row r="15" spans="1:18" ht="15">
      <c r="A15" s="611" t="s">
        <v>1435</v>
      </c>
      <c r="B15" s="608">
        <f>추정!E153</f>
        <v>28.725853453611428</v>
      </c>
      <c r="C15" s="609">
        <f>추정!F153</f>
        <v>21.637012167075433</v>
      </c>
      <c r="D15" s="609">
        <f>추정!G153</f>
        <v>2.1051992927800578</v>
      </c>
      <c r="E15" s="610">
        <f>추정!H153</f>
        <v>16.300892760195818</v>
      </c>
      <c r="F15" s="610">
        <f>추정!I153</f>
        <v>7.1126292930581592</v>
      </c>
      <c r="G15" s="1098">
        <f t="shared" si="0"/>
        <v>-3</v>
      </c>
      <c r="H15" s="1099">
        <f t="shared" si="1"/>
        <v>-2.5</v>
      </c>
      <c r="I15" s="1100">
        <f t="shared" si="2"/>
        <v>-2.5</v>
      </c>
      <c r="J15" s="608">
        <f>추정!J153</f>
        <v>-2</v>
      </c>
      <c r="K15" s="609">
        <f>추정!K153</f>
        <v>-1.5</v>
      </c>
      <c r="L15" s="610">
        <f>추정!L153</f>
        <v>-1.5</v>
      </c>
      <c r="M15" s="1098">
        <f t="shared" si="3"/>
        <v>-1</v>
      </c>
      <c r="N15" s="1099">
        <f t="shared" si="4"/>
        <v>-0.5</v>
      </c>
      <c r="O15" s="1100">
        <f t="shared" si="5"/>
        <v>-0.5</v>
      </c>
      <c r="P15" s="985">
        <v>-1</v>
      </c>
      <c r="Q15" s="985">
        <v>1</v>
      </c>
      <c r="R15" s="985"/>
    </row>
    <row r="16" spans="1:18" ht="15">
      <c r="A16" s="611" t="s">
        <v>1694</v>
      </c>
      <c r="B16" s="608">
        <f>추정!E154</f>
        <v>73.203758566992022</v>
      </c>
      <c r="C16" s="609">
        <f>추정!F154</f>
        <v>24.402319509976866</v>
      </c>
      <c r="D16" s="609">
        <f>추정!G154</f>
        <v>62.006784028864772</v>
      </c>
      <c r="E16" s="610">
        <f>추정!H154</f>
        <v>23.858875680052492</v>
      </c>
      <c r="F16" s="610">
        <f>추정!I154</f>
        <v>16.884826253207951</v>
      </c>
      <c r="G16" s="1098">
        <f t="shared" si="0"/>
        <v>9</v>
      </c>
      <c r="H16" s="1099">
        <f t="shared" si="1"/>
        <v>-8</v>
      </c>
      <c r="I16" s="1100">
        <f t="shared" si="2"/>
        <v>-11</v>
      </c>
      <c r="J16" s="608">
        <f>추정!J154</f>
        <v>10</v>
      </c>
      <c r="K16" s="609">
        <f>추정!K154</f>
        <v>-7</v>
      </c>
      <c r="L16" s="610">
        <f>추정!L154</f>
        <v>-10</v>
      </c>
      <c r="M16" s="1098">
        <f t="shared" si="3"/>
        <v>11</v>
      </c>
      <c r="N16" s="1099">
        <f t="shared" si="4"/>
        <v>-6</v>
      </c>
      <c r="O16" s="1100">
        <f t="shared" si="5"/>
        <v>-9</v>
      </c>
      <c r="P16" s="985">
        <v>-1</v>
      </c>
      <c r="Q16" s="985">
        <v>1</v>
      </c>
      <c r="R16" s="985"/>
    </row>
    <row r="17" spans="1:18" ht="15">
      <c r="A17" s="611" t="s">
        <v>1436</v>
      </c>
      <c r="B17" s="608">
        <f>추정!E162</f>
        <v>-20.72372303197697</v>
      </c>
      <c r="C17" s="609">
        <f>추정!F162</f>
        <v>5.9537599769388105</v>
      </c>
      <c r="D17" s="609">
        <f>추정!G162</f>
        <v>-42.155792398132938</v>
      </c>
      <c r="E17" s="610">
        <f>추정!H162</f>
        <v>-0.69165442816178091</v>
      </c>
      <c r="F17" s="610">
        <f>추정!I162</f>
        <v>25.855034991797908</v>
      </c>
      <c r="G17" s="1098">
        <f t="shared" si="0"/>
        <v>18</v>
      </c>
      <c r="H17" s="1099">
        <f t="shared" si="1"/>
        <v>10</v>
      </c>
      <c r="I17" s="1100">
        <f t="shared" si="2"/>
        <v>8</v>
      </c>
      <c r="J17" s="608">
        <f>추정!J162</f>
        <v>15</v>
      </c>
      <c r="K17" s="609">
        <f>추정!K162</f>
        <v>7</v>
      </c>
      <c r="L17" s="610">
        <f>추정!L162</f>
        <v>5</v>
      </c>
      <c r="M17" s="1098">
        <f t="shared" si="3"/>
        <v>12</v>
      </c>
      <c r="N17" s="1099">
        <f t="shared" si="4"/>
        <v>4</v>
      </c>
      <c r="O17" s="1100">
        <f t="shared" si="5"/>
        <v>2</v>
      </c>
      <c r="P17" s="985">
        <v>3</v>
      </c>
      <c r="Q17" s="985">
        <v>-3</v>
      </c>
      <c r="R17" s="985"/>
    </row>
    <row r="18" spans="1:18" ht="30">
      <c r="A18" s="611" t="s">
        <v>1437</v>
      </c>
      <c r="B18" s="608">
        <f>추정!E82</f>
        <v>-0.16908607365964468</v>
      </c>
      <c r="C18" s="609">
        <f>추정!F82</f>
        <v>6.9727940617117332E-2</v>
      </c>
      <c r="D18" s="609">
        <f>추정!G82</f>
        <v>1.9873871054010474E-2</v>
      </c>
      <c r="E18" s="610">
        <f>추정!H82</f>
        <v>4.9419786301955364E-2</v>
      </c>
      <c r="F18" s="610">
        <f>추정!I82</f>
        <v>0.19979894836944581</v>
      </c>
      <c r="G18" s="1098">
        <f t="shared" si="0"/>
        <v>0.25</v>
      </c>
      <c r="H18" s="1099">
        <f t="shared" si="1"/>
        <v>0.25</v>
      </c>
      <c r="I18" s="1100">
        <f t="shared" si="2"/>
        <v>0.25</v>
      </c>
      <c r="J18" s="608">
        <f>추정!J158</f>
        <v>0.2</v>
      </c>
      <c r="K18" s="609">
        <f>추정!K158</f>
        <v>0.2</v>
      </c>
      <c r="L18" s="610">
        <f>추정!L158</f>
        <v>0.2</v>
      </c>
      <c r="M18" s="1098">
        <f t="shared" si="3"/>
        <v>0.15000000000000002</v>
      </c>
      <c r="N18" s="1099">
        <f t="shared" si="4"/>
        <v>0.15000000000000002</v>
      </c>
      <c r="O18" s="1100">
        <f t="shared" si="5"/>
        <v>0.15000000000000002</v>
      </c>
      <c r="P18" s="1000">
        <v>0.05</v>
      </c>
      <c r="Q18" s="1000">
        <v>-0.05</v>
      </c>
      <c r="R18" s="985"/>
    </row>
    <row r="19" spans="1:18">
      <c r="A19" s="612" t="s">
        <v>1438</v>
      </c>
      <c r="B19" s="1112">
        <f>추정!E103</f>
        <v>51.443518232302978</v>
      </c>
      <c r="C19" s="1113">
        <f>추정!F103</f>
        <v>-0.41075083112063204</v>
      </c>
      <c r="D19" s="1113">
        <f>추정!G103</f>
        <v>122.17493140704315</v>
      </c>
      <c r="E19" s="1114">
        <f>추정!H103</f>
        <v>35.065868436399519</v>
      </c>
      <c r="F19" s="1114">
        <f>추정!I103</f>
        <v>22.897782283229628</v>
      </c>
      <c r="G19" s="1098">
        <f t="shared" si="0"/>
        <v>12</v>
      </c>
      <c r="H19" s="1099">
        <f t="shared" si="1"/>
        <v>-3</v>
      </c>
      <c r="I19" s="1100">
        <f t="shared" si="2"/>
        <v>-2</v>
      </c>
      <c r="J19" s="608">
        <f>추정!J169</f>
        <v>10</v>
      </c>
      <c r="K19" s="609">
        <f>추정!K169</f>
        <v>-5</v>
      </c>
      <c r="L19" s="610">
        <f>추정!L169</f>
        <v>-4</v>
      </c>
      <c r="M19" s="1098">
        <f t="shared" si="3"/>
        <v>8</v>
      </c>
      <c r="N19" s="1099">
        <f t="shared" si="4"/>
        <v>-7</v>
      </c>
      <c r="O19" s="1100">
        <f t="shared" si="5"/>
        <v>-6</v>
      </c>
      <c r="P19" s="985">
        <v>2</v>
      </c>
      <c r="Q19" s="985">
        <v>-2</v>
      </c>
      <c r="R19" s="985"/>
    </row>
    <row r="20" spans="1:18">
      <c r="A20" s="612" t="s">
        <v>1439</v>
      </c>
      <c r="B20" s="1112">
        <f>추정!E99</f>
        <v>4.6877720902578801</v>
      </c>
      <c r="C20" s="1113">
        <f>추정!F99</f>
        <v>42.309364402133639</v>
      </c>
      <c r="D20" s="1113">
        <f>추정!G99</f>
        <v>-32.501921857311913</v>
      </c>
      <c r="E20" s="1114">
        <f>추정!H99</f>
        <v>31.627533256702513</v>
      </c>
      <c r="F20" s="1114">
        <f>추정!I99</f>
        <v>-5.1513997567509744</v>
      </c>
      <c r="G20" s="1104">
        <f t="shared" si="0"/>
        <v>11</v>
      </c>
      <c r="H20" s="1105">
        <f t="shared" si="1"/>
        <v>11</v>
      </c>
      <c r="I20" s="1106">
        <f t="shared" si="2"/>
        <v>11</v>
      </c>
      <c r="J20" s="608">
        <f>추정!J167</f>
        <v>12</v>
      </c>
      <c r="K20" s="609">
        <f>추정!K167</f>
        <v>12</v>
      </c>
      <c r="L20" s="610">
        <f>추정!L167</f>
        <v>12</v>
      </c>
      <c r="M20" s="1098">
        <f t="shared" si="3"/>
        <v>13</v>
      </c>
      <c r="N20" s="1099">
        <f t="shared" si="4"/>
        <v>13</v>
      </c>
      <c r="O20" s="1100">
        <f t="shared" si="5"/>
        <v>13</v>
      </c>
      <c r="P20" s="985">
        <v>-1</v>
      </c>
      <c r="Q20" s="985">
        <v>1</v>
      </c>
      <c r="R20" s="985"/>
    </row>
    <row r="21" spans="1:18" ht="15" thickBot="1">
      <c r="A21" s="612" t="s">
        <v>1440</v>
      </c>
      <c r="B21" s="613">
        <f>추정!E101</f>
        <v>15.158136134370427</v>
      </c>
      <c r="C21" s="614">
        <f>추정!F101</f>
        <v>34.454182786887031</v>
      </c>
      <c r="D21" s="614">
        <f>추정!G101</f>
        <v>-29.624808356118415</v>
      </c>
      <c r="E21" s="615">
        <f>추정!H101</f>
        <v>35.21206195003186</v>
      </c>
      <c r="F21" s="615">
        <f>추정!I101</f>
        <v>15.886678730143068</v>
      </c>
      <c r="G21" s="1107">
        <f t="shared" si="0"/>
        <v>11</v>
      </c>
      <c r="H21" s="1108">
        <f t="shared" si="1"/>
        <v>11</v>
      </c>
      <c r="I21" s="1109">
        <f t="shared" si="2"/>
        <v>11</v>
      </c>
      <c r="J21" s="613">
        <f>추정!J168</f>
        <v>10</v>
      </c>
      <c r="K21" s="614">
        <f>추정!K168</f>
        <v>10</v>
      </c>
      <c r="L21" s="615">
        <f>추정!L168</f>
        <v>10</v>
      </c>
      <c r="M21" s="1107">
        <f t="shared" si="3"/>
        <v>9</v>
      </c>
      <c r="N21" s="1108">
        <f t="shared" si="4"/>
        <v>9</v>
      </c>
      <c r="O21" s="1109">
        <f t="shared" si="5"/>
        <v>9</v>
      </c>
      <c r="P21" s="985">
        <v>1</v>
      </c>
      <c r="Q21" s="985">
        <v>-1</v>
      </c>
      <c r="R21" s="985"/>
    </row>
    <row r="22" spans="1:18" ht="12" customHeight="1" outlineLevel="1">
      <c r="A22" s="616"/>
      <c r="B22" s="617"/>
      <c r="C22" s="617"/>
      <c r="D22" s="617"/>
      <c r="E22" s="617"/>
      <c r="G22" s="618"/>
      <c r="H22" s="616"/>
      <c r="I22" s="617"/>
      <c r="J22" s="617"/>
      <c r="K22" s="617"/>
      <c r="L22" s="618"/>
      <c r="M22" s="616"/>
      <c r="N22" s="617"/>
      <c r="O22" s="617"/>
      <c r="R22" s="985"/>
    </row>
    <row r="23" spans="1:18" ht="12.75" customHeight="1" outlineLevel="1" thickBot="1">
      <c r="A23" s="580" t="s">
        <v>1441</v>
      </c>
      <c r="M23" s="619"/>
      <c r="O23" s="579"/>
      <c r="R23" s="985"/>
    </row>
    <row r="24" spans="1:18" ht="13.5" customHeight="1" outlineLevel="1">
      <c r="A24" s="1888" t="s">
        <v>1442</v>
      </c>
      <c r="B24" s="1890" t="s">
        <v>1443</v>
      </c>
      <c r="C24" s="1891"/>
      <c r="D24" s="1891"/>
      <c r="E24" s="1892"/>
      <c r="G24" s="1885" t="str">
        <f>G4</f>
        <v>부정적</v>
      </c>
      <c r="H24" s="1886"/>
      <c r="I24" s="1893"/>
      <c r="J24" s="1885" t="s">
        <v>1444</v>
      </c>
      <c r="K24" s="1886"/>
      <c r="L24" s="1887"/>
      <c r="M24" s="1894" t="s">
        <v>1445</v>
      </c>
      <c r="N24" s="1886"/>
      <c r="O24" s="1887"/>
      <c r="R24" s="985"/>
    </row>
    <row r="25" spans="1:18" ht="12" customHeight="1" outlineLevel="1">
      <c r="A25" s="1889"/>
      <c r="B25" s="581">
        <f>B5</f>
        <v>2014</v>
      </c>
      <c r="C25" s="582">
        <f>C5</f>
        <v>2015</v>
      </c>
      <c r="D25" s="582">
        <f>D5</f>
        <v>2016</v>
      </c>
      <c r="E25" s="583">
        <f>E5</f>
        <v>2017</v>
      </c>
      <c r="F25" s="583">
        <v>2018</v>
      </c>
      <c r="G25" s="584" t="str">
        <f>J25</f>
        <v>2019(E)</v>
      </c>
      <c r="H25" s="585" t="str">
        <f>K25</f>
        <v>2020(E)</v>
      </c>
      <c r="I25" s="620" t="str">
        <f>L25</f>
        <v>2021(E)</v>
      </c>
      <c r="J25" s="584" t="s">
        <v>1425</v>
      </c>
      <c r="K25" s="585" t="s">
        <v>1446</v>
      </c>
      <c r="L25" s="586" t="s">
        <v>2415</v>
      </c>
      <c r="M25" s="621" t="str">
        <f>J25</f>
        <v>2019(E)</v>
      </c>
      <c r="N25" s="585" t="str">
        <f>K25</f>
        <v>2020(E)</v>
      </c>
      <c r="O25" s="586" t="str">
        <f>L25</f>
        <v>2021(E)</v>
      </c>
      <c r="R25" s="985"/>
    </row>
    <row r="26" spans="1:18" ht="12" customHeight="1" outlineLevel="1">
      <c r="A26" s="622" t="s">
        <v>1447</v>
      </c>
      <c r="B26" s="1115">
        <f>추정!E$27</f>
        <v>234886.69</v>
      </c>
      <c r="C26" s="1115">
        <f>추정!F$27</f>
        <v>284796.56</v>
      </c>
      <c r="D26" s="1115">
        <f>추정!G$27</f>
        <v>328247.34000000003</v>
      </c>
      <c r="E26" s="1115">
        <f>추정!H$27</f>
        <v>375451.36</v>
      </c>
      <c r="F26" s="1115">
        <f>추정!I$27</f>
        <v>443513.34</v>
      </c>
      <c r="G26" s="1122">
        <f>'2.추정(부정)'!I$26</f>
        <v>382960.3872</v>
      </c>
      <c r="H26" s="1115">
        <f>'2.추정(부정)'!J$26</f>
        <v>390619.59494400001</v>
      </c>
      <c r="I26" s="1123">
        <f>'2.추정(부정)'!K$26</f>
        <v>398431.98684288003</v>
      </c>
      <c r="J26" s="1122">
        <f>추정!J$27</f>
        <v>456818.74020000006</v>
      </c>
      <c r="K26" s="1115">
        <f>추정!K$27</f>
        <v>470523.30240600009</v>
      </c>
      <c r="L26" s="1123">
        <f>추정!L$27</f>
        <v>484639.00147818011</v>
      </c>
      <c r="M26" s="1122">
        <f>'2.추정(긍정)'!I$26</f>
        <v>390469.41440000001</v>
      </c>
      <c r="N26" s="1115">
        <f>'2.추정(긍정)'!J$26</f>
        <v>406088.19097600004</v>
      </c>
      <c r="O26" s="1123">
        <f>'2.추정(긍정)'!K$26</f>
        <v>422331.71861504007</v>
      </c>
      <c r="R26" s="985"/>
    </row>
    <row r="27" spans="1:18" ht="12" customHeight="1" outlineLevel="1">
      <c r="A27" s="622" t="s">
        <v>1448</v>
      </c>
      <c r="B27" s="1115">
        <f>추정!E$34</f>
        <v>31903.42</v>
      </c>
      <c r="C27" s="1115">
        <f>추정!F$34</f>
        <v>32948.589999999997</v>
      </c>
      <c r="D27" s="1115">
        <f>추정!G$34</f>
        <v>40726.589999999997</v>
      </c>
      <c r="E27" s="1115">
        <f>추정!H$34</f>
        <v>42417.85</v>
      </c>
      <c r="F27" s="1115">
        <f>추정!I$34</f>
        <v>43504.98</v>
      </c>
      <c r="G27" s="1122">
        <f>'2.추정(부정)'!I$33</f>
        <v>44037.605613213418</v>
      </c>
      <c r="H27" s="1115">
        <f>'2.추정(부정)'!J$33</f>
        <v>45004.468133361668</v>
      </c>
      <c r="I27" s="1123">
        <f>'2.추정(부정)'!K$33</f>
        <v>44406.108005206515</v>
      </c>
      <c r="J27" s="1122">
        <f>추정!J$34</f>
        <v>46511.502456092865</v>
      </c>
      <c r="K27" s="1115">
        <f>추정!K$34</f>
        <v>47989.157272241646</v>
      </c>
      <c r="L27" s="1123">
        <f>추정!L$34</f>
        <v>47751.395371590828</v>
      </c>
      <c r="M27" s="1122">
        <f>'2.추정(긍정)'!I$33</f>
        <v>44856.680080471189</v>
      </c>
      <c r="N27" s="1115">
        <f>'2.추정(긍정)'!J$33</f>
        <v>46306.181003138467</v>
      </c>
      <c r="O27" s="1123">
        <f>'2.추정(긍정)'!K$33</f>
        <v>46248.968282265552</v>
      </c>
      <c r="R27" s="985"/>
    </row>
    <row r="28" spans="1:18" ht="12" customHeight="1" outlineLevel="1">
      <c r="A28" s="622" t="s">
        <v>1449</v>
      </c>
      <c r="B28" s="1115">
        <f>추정!E$102</f>
        <v>10724.824556</v>
      </c>
      <c r="C28" s="1115">
        <f>추정!F$102</f>
        <v>10680.77225</v>
      </c>
      <c r="D28" s="1115">
        <f>추정!G$102</f>
        <v>23729.99842018</v>
      </c>
      <c r="E28" s="1115">
        <f>추정!H$102</f>
        <v>32051.128446160001</v>
      </c>
      <c r="F28" s="1115">
        <f>추정!I$102</f>
        <v>39390.12605708</v>
      </c>
      <c r="G28" s="1122">
        <f>'2.추정(부정)'!I$96</f>
        <v>35897</v>
      </c>
      <c r="H28" s="1115">
        <f>'2.추정(부정)'!J$96</f>
        <v>34820</v>
      </c>
      <c r="I28" s="1123">
        <f>'2.추정(부정)'!K$96</f>
        <v>34124</v>
      </c>
      <c r="J28" s="1122">
        <f>추정!J$102</f>
        <v>43329</v>
      </c>
      <c r="K28" s="1115">
        <f>추정!K$102</f>
        <v>41163</v>
      </c>
      <c r="L28" s="1123">
        <f>추정!L$102</f>
        <v>39516</v>
      </c>
      <c r="M28" s="1122">
        <f>'2.추정(긍정)'!I$96</f>
        <v>34615</v>
      </c>
      <c r="N28" s="1115">
        <f>'2.추정(긍정)'!J$96</f>
        <v>32192</v>
      </c>
      <c r="O28" s="1123">
        <f>'2.추정(긍정)'!K$96</f>
        <v>30260</v>
      </c>
      <c r="R28" s="985"/>
    </row>
    <row r="29" spans="1:18" ht="12" customHeight="1" outlineLevel="1">
      <c r="A29" s="623" t="s">
        <v>1450</v>
      </c>
      <c r="B29" s="1115">
        <f>추정!E$47</f>
        <v>7156.9628224399994</v>
      </c>
      <c r="C29" s="1115">
        <f>추정!F$47</f>
        <v>7968.6610414699999</v>
      </c>
      <c r="D29" s="1115">
        <f>추정!G$47</f>
        <v>7658.8829083599994</v>
      </c>
      <c r="E29" s="1115">
        <f>추정!H$47</f>
        <v>11381.578177279998</v>
      </c>
      <c r="F29" s="1115">
        <f>추정!I$47</f>
        <v>12812.620863119999</v>
      </c>
      <c r="G29" s="1122">
        <f>'2.추정(부정)'!I$46</f>
        <v>10174.105847215926</v>
      </c>
      <c r="H29" s="1115">
        <f>'2.추정(부정)'!J$46</f>
        <v>9547.7678545719555</v>
      </c>
      <c r="I29" s="1123">
        <f>'2.추정(부정)'!K$46</f>
        <v>7588.7965608488403</v>
      </c>
      <c r="J29" s="1122">
        <f>추정!J$47</f>
        <v>12661.198326975624</v>
      </c>
      <c r="K29" s="1115">
        <f>추정!K$47</f>
        <v>11858.933216599857</v>
      </c>
      <c r="L29" s="1123">
        <f>추정!L$47</f>
        <v>9646.7192110918986</v>
      </c>
      <c r="M29" s="1122">
        <f>'2.추정(긍정)'!I$46</f>
        <v>11176.112733620004</v>
      </c>
      <c r="N29" s="1115">
        <f>'2.추정(긍정)'!J$46</f>
        <v>10650.333418220987</v>
      </c>
      <c r="O29" s="1123">
        <f>'2.추정(긍정)'!K$46</f>
        <v>8803.0592299731306</v>
      </c>
      <c r="R29" s="985"/>
    </row>
    <row r="30" spans="1:18" ht="12" customHeight="1" outlineLevel="1">
      <c r="A30" s="623" t="s">
        <v>1451</v>
      </c>
      <c r="B30" s="1115">
        <f>추정!E$55</f>
        <v>4233.35168187</v>
      </c>
      <c r="C30" s="1115">
        <f>추정!F$55</f>
        <v>4805.9484021899998</v>
      </c>
      <c r="D30" s="1115">
        <f>추정!G$55</f>
        <v>4654.7521734499996</v>
      </c>
      <c r="E30" s="1115">
        <f>추정!H$55</f>
        <v>5324.6601187799997</v>
      </c>
      <c r="F30" s="1115">
        <f>추정!I$55</f>
        <v>5971.4718922100001</v>
      </c>
      <c r="G30" s="1122">
        <f>'2.추정(부정)'!I$54</f>
        <v>5489.7245824621796</v>
      </c>
      <c r="H30" s="1115">
        <f>'2.추정(부정)'!J$54</f>
        <v>5879.4950278169945</v>
      </c>
      <c r="I30" s="1123">
        <f>'2.추정(부정)'!K$54</f>
        <v>6473.3240256265108</v>
      </c>
      <c r="J30" s="1122">
        <f>추정!J$55</f>
        <v>6150.6160489763006</v>
      </c>
      <c r="K30" s="1115">
        <f>추정!K$55</f>
        <v>6581.159172404642</v>
      </c>
      <c r="L30" s="1123">
        <f>추정!L$55</f>
        <v>7239.2750896451071</v>
      </c>
      <c r="M30" s="1122">
        <f>'2.추정(긍정)'!I$54</f>
        <v>5479.0752622246191</v>
      </c>
      <c r="N30" s="1115">
        <f>'2.추정(긍정)'!J$54</f>
        <v>5857.1314553181173</v>
      </c>
      <c r="O30" s="1123">
        <f>'2.추정(긍정)'!K$54</f>
        <v>6436.9874693946113</v>
      </c>
      <c r="R30" s="985"/>
    </row>
    <row r="31" spans="1:18" ht="12" customHeight="1" outlineLevel="1">
      <c r="A31" s="624" t="s">
        <v>1452</v>
      </c>
      <c r="B31" s="1116">
        <f>추정!E$58</f>
        <v>2814.2819054400002</v>
      </c>
      <c r="C31" s="1116">
        <f>추정!F$58</f>
        <v>3176.7187315699998</v>
      </c>
      <c r="D31" s="1116">
        <f>추정!G$58</f>
        <v>3063.2858986599999</v>
      </c>
      <c r="E31" s="1116">
        <f>추정!H$58</f>
        <v>5909.8161652199997</v>
      </c>
      <c r="F31" s="1116">
        <f>추정!I$58</f>
        <v>6594.4490606500003</v>
      </c>
      <c r="G31" s="1124">
        <f>'2.추정(부정)'!I$57</f>
        <v>4515.8356132134204</v>
      </c>
      <c r="H31" s="1116">
        <f>'2.추정(부정)'!J$57</f>
        <v>3533.2803267549607</v>
      </c>
      <c r="I31" s="1125">
        <f>'2.추정(부정)'!K$57</f>
        <v>977.78003522232939</v>
      </c>
      <c r="J31" s="1124">
        <f>추정!J$58</f>
        <v>6344.6024560928636</v>
      </c>
      <c r="K31" s="1116">
        <f>추정!K$58</f>
        <v>5122.4560441952153</v>
      </c>
      <c r="L31" s="1125">
        <f>추정!L$58</f>
        <v>2247.4661214467924</v>
      </c>
      <c r="M31" s="1124">
        <f>'2.추정(긍정)'!I$57</f>
        <v>5595.9100804711898</v>
      </c>
      <c r="N31" s="1116">
        <f>'2.추정(긍정)'!J$57</f>
        <v>4710.4559629028709</v>
      </c>
      <c r="O31" s="1125">
        <f>'2.추정(긍정)'!K$57</f>
        <v>2280.0152605785188</v>
      </c>
      <c r="R31" s="985"/>
    </row>
    <row r="32" spans="1:18" ht="12.75" customHeight="1" outlineLevel="1">
      <c r="A32" s="624" t="s">
        <v>1453</v>
      </c>
      <c r="B32" s="1116">
        <f>추정!E$60</f>
        <v>2200.9299999999998</v>
      </c>
      <c r="C32" s="1116">
        <f>추정!F$60</f>
        <v>2560.61</v>
      </c>
      <c r="D32" s="1116">
        <f>추정!G$60</f>
        <v>2437.17</v>
      </c>
      <c r="E32" s="1116">
        <f>추정!H$60</f>
        <v>4722.8</v>
      </c>
      <c r="F32" s="1116">
        <f>추정!I$60</f>
        <v>5035.1000000000004</v>
      </c>
      <c r="G32" s="1124">
        <f>'2.추정(부정)'!I$59</f>
        <v>3422.8356132134204</v>
      </c>
      <c r="H32" s="1116">
        <f>'2.추정(부정)'!J$59</f>
        <v>2678.2803267549607</v>
      </c>
      <c r="I32" s="1125">
        <f>'2.추정(부정)'!K$59</f>
        <v>740.78003522232939</v>
      </c>
      <c r="J32" s="1124">
        <f>추정!J$60</f>
        <v>4809.6024560928636</v>
      </c>
      <c r="K32" s="1116">
        <f>추정!K$60</f>
        <v>3882.4560441952153</v>
      </c>
      <c r="L32" s="1125">
        <f>추정!L$60</f>
        <v>1703.4661214467924</v>
      </c>
      <c r="M32" s="1124">
        <f>'2.추정(긍정)'!I$59</f>
        <v>4241.9100804711898</v>
      </c>
      <c r="N32" s="1116">
        <f>'2.추정(긍정)'!J$59</f>
        <v>3570.4559629028709</v>
      </c>
      <c r="O32" s="1125">
        <f>'2.추정(긍정)'!K$59</f>
        <v>1728.0152605785188</v>
      </c>
      <c r="R32" s="985"/>
    </row>
    <row r="33" spans="1:26" ht="12.75" customHeight="1" outlineLevel="1">
      <c r="A33" s="623" t="s">
        <v>1454</v>
      </c>
      <c r="B33" s="1117">
        <f>추정!E$65</f>
        <v>7.9819838678104329</v>
      </c>
      <c r="C33" s="1117">
        <f>추정!F$65</f>
        <v>7.1171966443611794</v>
      </c>
      <c r="D33" s="1117">
        <f>추정!G$65</f>
        <v>8.4392390931276928</v>
      </c>
      <c r="E33" s="1118">
        <f>추정!H$65</f>
        <v>9.589610500876109</v>
      </c>
      <c r="F33" s="1118">
        <f>추정!I$65</f>
        <v>9.8638595161923579</v>
      </c>
      <c r="G33" s="1126">
        <f>'2.추정(부정)'!I$8</f>
        <v>9.7411910590995401</v>
      </c>
      <c r="H33" s="1117">
        <f>'2.추정(부정)'!J$8</f>
        <v>9.8295743584796931</v>
      </c>
      <c r="I33" s="1127">
        <f>'2.추정(부정)'!K$8</f>
        <v>7.7354288895848615</v>
      </c>
      <c r="J33" s="1126">
        <f>추정!J$8</f>
        <v>10.830317920132188</v>
      </c>
      <c r="K33" s="1117">
        <f>추정!K$8</f>
        <v>10.677963001815748</v>
      </c>
      <c r="L33" s="1127">
        <f>추정!L$8</f>
        <v>8.4330602139076056</v>
      </c>
      <c r="M33" s="1126">
        <f>'2.추정(긍정)'!I$8</f>
        <v>10.23532008211002</v>
      </c>
      <c r="N33" s="1117">
        <f>'2.추정(긍정)'!J$8</f>
        <v>10.055464206756591</v>
      </c>
      <c r="O33" s="1127">
        <f>'2.추정(긍정)'!K$8</f>
        <v>7.9155891647854038</v>
      </c>
      <c r="R33" s="985"/>
    </row>
    <row r="34" spans="1:26" ht="12.75" customHeight="1" outlineLevel="1">
      <c r="A34" s="623" t="s">
        <v>1455</v>
      </c>
      <c r="B34" s="1117">
        <f>추정!E$12</f>
        <v>169.06138115316116</v>
      </c>
      <c r="C34" s="1117">
        <f>추정!F$12</f>
        <v>165.80829369368175</v>
      </c>
      <c r="D34" s="1117">
        <f>추정!G$12</f>
        <v>164.53900493446474</v>
      </c>
      <c r="E34" s="1117">
        <f>추정!H$12</f>
        <v>213.75220057966396</v>
      </c>
      <c r="F34" s="1117">
        <f>추정!I$12</f>
        <v>214.56386456134081</v>
      </c>
      <c r="G34" s="1126">
        <f>'2.추정(부정)'!I$11</f>
        <v>185.32998685797034</v>
      </c>
      <c r="H34" s="1117">
        <f>'2.추정(부정)'!J$11</f>
        <v>162.39095040304778</v>
      </c>
      <c r="I34" s="1127">
        <f>'2.추정(부정)'!K$11</f>
        <v>117.23183531067518</v>
      </c>
      <c r="J34" s="1126">
        <f>추정!J$12</f>
        <v>205.85252316445496</v>
      </c>
      <c r="K34" s="1117">
        <f>추정!K$12</f>
        <v>180.19520430876932</v>
      </c>
      <c r="L34" s="1127">
        <f>추정!L$12</f>
        <v>133.2553203412638</v>
      </c>
      <c r="M34" s="1126">
        <f>'2.추정(긍정)'!I$11</f>
        <v>203.97808386888755</v>
      </c>
      <c r="N34" s="1117">
        <f>'2.추정(긍정)'!J$11</f>
        <v>181.8353147691567</v>
      </c>
      <c r="O34" s="1127">
        <f>'2.추정(긍정)'!K$11</f>
        <v>136.75743928084799</v>
      </c>
      <c r="R34" s="985"/>
    </row>
    <row r="35" spans="1:26" ht="12" customHeight="1" outlineLevel="1">
      <c r="A35" s="623" t="s">
        <v>1456</v>
      </c>
      <c r="B35" s="1117">
        <f>추정!E$66</f>
        <v>1.0155999355878853</v>
      </c>
      <c r="C35" s="1117">
        <f>추정!F$66</f>
        <v>0.98545027227548088</v>
      </c>
      <c r="D35" s="1117">
        <f>추정!G$66</f>
        <v>0.79510455928738966</v>
      </c>
      <c r="E35" s="1117">
        <f>추정!H$66</f>
        <v>1.3422790132847369</v>
      </c>
      <c r="F35" s="1117">
        <f>추정!I$66</f>
        <v>1.2296256503352065</v>
      </c>
      <c r="G35" s="1126">
        <f>'2.추정(부정)'!I$65</f>
        <v>0.90263254118894554</v>
      </c>
      <c r="H35" s="1117">
        <f>'2.추정(부정)'!J$65</f>
        <v>0.69243785738406172</v>
      </c>
      <c r="I35" s="1127">
        <f>'2.추정(부정)'!K$65</f>
        <v>0.18776466642263481</v>
      </c>
      <c r="J35" s="1126">
        <f>추정!J$66</f>
        <v>1.0684063273685542</v>
      </c>
      <c r="K35" s="1117">
        <f>추정!K$66</f>
        <v>0.83732988817908149</v>
      </c>
      <c r="L35" s="1127">
        <f>추정!L$66</f>
        <v>0.35668621228447239</v>
      </c>
      <c r="M35" s="1126">
        <f>'2.추정(긍정)'!I$65</f>
        <v>1.1076628868812648</v>
      </c>
      <c r="N35" s="1117">
        <f>'2.추정(긍정)'!J$65</f>
        <v>0.89647150157269651</v>
      </c>
      <c r="O35" s="1127">
        <f>'2.추정(긍정)'!K$65</f>
        <v>0.41718342125108399</v>
      </c>
      <c r="R35" s="985"/>
    </row>
    <row r="36" spans="1:26" ht="12" customHeight="1" outlineLevel="1">
      <c r="A36" s="623" t="s">
        <v>1457</v>
      </c>
      <c r="B36" s="1117">
        <f>추정!E$67</f>
        <v>7.0169477145336927</v>
      </c>
      <c r="C36" s="1117">
        <f>추정!F$67</f>
        <v>7.8967777953109719</v>
      </c>
      <c r="D36" s="1117">
        <f>추정!G$67</f>
        <v>6.6159939020548659</v>
      </c>
      <c r="E36" s="1117">
        <f>추정!H$67</f>
        <v>11.360468829431163</v>
      </c>
      <c r="F36" s="1117">
        <f>추정!I$67</f>
        <v>11.720051652172799</v>
      </c>
      <c r="G36" s="1126">
        <f>'2.추정(부정)'!I$66</f>
        <v>7.9181483434118682</v>
      </c>
      <c r="H36" s="1117">
        <f>'2.추정(부정)'!J$66</f>
        <v>6.01576359144034</v>
      </c>
      <c r="I36" s="1127">
        <f>'2.추정(부정)'!K$66</f>
        <v>1.657030000733406</v>
      </c>
      <c r="J36" s="1126">
        <f>추정!J$67</f>
        <v>10.686048432160925</v>
      </c>
      <c r="K36" s="1117">
        <f>추정!K$67</f>
        <v>8.2167808253535881</v>
      </c>
      <c r="L36" s="1127">
        <f>추정!L$67</f>
        <v>3.5585048851428964</v>
      </c>
      <c r="M36" s="1126">
        <f>'2.추정(긍정)'!I$66</f>
        <v>9.720843129283999</v>
      </c>
      <c r="N36" s="1117">
        <f>'2.추정(긍정)'!J$66</f>
        <v>7.8331371360278856</v>
      </c>
      <c r="O36" s="1127">
        <f>'2.추정(긍정)'!K$66</f>
        <v>3.7340229558703282</v>
      </c>
      <c r="R36" s="985"/>
    </row>
    <row r="37" spans="1:26" ht="12" customHeight="1" outlineLevel="1">
      <c r="A37" s="623" t="s">
        <v>1458</v>
      </c>
      <c r="B37" s="1117">
        <f>추정!E$84</f>
        <v>94.998867682366182</v>
      </c>
      <c r="C37" s="1117">
        <f>추정!F$84</f>
        <v>101.48056699372781</v>
      </c>
      <c r="D37" s="1117">
        <f>추정!G$84</f>
        <v>123.80934901171914</v>
      </c>
      <c r="E37" s="1117">
        <f>추정!H$84</f>
        <v>289.0339069506432</v>
      </c>
      <c r="F37" s="1117">
        <f>추정!I$84</f>
        <v>280.74806847648432</v>
      </c>
      <c r="G37" s="1126">
        <f>'2.추정(부정)'!I$13</f>
        <v>226.3</v>
      </c>
      <c r="H37" s="1117">
        <f>'2.추정(부정)'!J$13</f>
        <v>181.8</v>
      </c>
      <c r="I37" s="1127">
        <f>'2.추정(부정)'!K$13</f>
        <v>146.6</v>
      </c>
      <c r="J37" s="1126">
        <f>추정!J$14</f>
        <v>303</v>
      </c>
      <c r="K37" s="1117">
        <f>추정!K$14</f>
        <v>336.1</v>
      </c>
      <c r="L37" s="1127">
        <f>추정!L$14</f>
        <v>371.3</v>
      </c>
      <c r="M37" s="1126">
        <f>'2.추정(긍정)'!I$13</f>
        <v>252.1</v>
      </c>
      <c r="N37" s="1117">
        <f>'2.추정(긍정)'!J$13</f>
        <v>232.5</v>
      </c>
      <c r="O37" s="1127">
        <f>'2.추정(긍정)'!K$13</f>
        <v>218.9</v>
      </c>
      <c r="R37" s="985"/>
    </row>
    <row r="38" spans="1:26" ht="12" customHeight="1" outlineLevel="1">
      <c r="A38" s="623" t="s">
        <v>248</v>
      </c>
      <c r="B38" s="1117">
        <f>추정!E$15</f>
        <v>0.23543060195427368</v>
      </c>
      <c r="C38" s="1117">
        <f>추정!F$15</f>
        <v>5.4567883754661317E-2</v>
      </c>
      <c r="D38" s="1117">
        <f>추정!G$15</f>
        <v>-9.9688977839784768E-2</v>
      </c>
      <c r="E38" s="1117">
        <f>추정!H$15</f>
        <v>-1.6538550914532442</v>
      </c>
      <c r="F38" s="1117">
        <f>추정!I$15</f>
        <v>-1.9404912254413171</v>
      </c>
      <c r="G38" s="1126">
        <f>'2.추정(부정)'!I$14</f>
        <v>-1.1567127985666041</v>
      </c>
      <c r="H38" s="1117">
        <f>'2.추정(부정)'!J$14</f>
        <v>-0.76877060136580144</v>
      </c>
      <c r="I38" s="1127">
        <f>'2.추정(부정)'!K$14</f>
        <v>-0.42961121539396607</v>
      </c>
      <c r="J38" s="1126">
        <f>추정!J$15</f>
        <v>-2.2285987960396976</v>
      </c>
      <c r="K38" s="1117">
        <f>추정!K$15</f>
        <v>-2.7090969245014453</v>
      </c>
      <c r="L38" s="1127">
        <f>추정!L$15</f>
        <v>-3.3049312412247613</v>
      </c>
      <c r="M38" s="1126">
        <f>'2.추정(긍정)'!I$14</f>
        <v>-1.3179093027697493</v>
      </c>
      <c r="N38" s="1117">
        <f>'2.추정(긍정)'!J$14</f>
        <v>-1.1450228634882649</v>
      </c>
      <c r="O38" s="1127">
        <f>'2.추정(긍정)'!K$14</f>
        <v>-1.0408294013312729</v>
      </c>
      <c r="R38" s="985"/>
    </row>
    <row r="39" spans="1:26" ht="12" customHeight="1" outlineLevel="1">
      <c r="A39" s="623" t="s">
        <v>1459</v>
      </c>
      <c r="B39" s="1117" t="s">
        <v>1696</v>
      </c>
      <c r="C39" s="1117">
        <f>추정!F$95</f>
        <v>0</v>
      </c>
      <c r="D39" s="1117">
        <f>추정!G$95</f>
        <v>1479.2</v>
      </c>
      <c r="E39" s="1117">
        <f>추정!H$95</f>
        <v>1416.048</v>
      </c>
      <c r="F39" s="1117">
        <f>추정!I$95</f>
        <v>875.2</v>
      </c>
      <c r="G39" s="1126">
        <f>'2.추정(부정)'!I$16</f>
        <v>1132.5022393295183</v>
      </c>
      <c r="H39" s="1117">
        <f>'2.추정(부정)'!J$16</f>
        <v>1159.316849973593</v>
      </c>
      <c r="I39" s="1127">
        <f>'2.추정(부정)'!K$16</f>
        <v>1110.0335315389464</v>
      </c>
      <c r="J39" s="1126">
        <f>추정!J$17</f>
        <v>878.64583333333337</v>
      </c>
      <c r="K39" s="1117">
        <f>추정!K$17</f>
        <v>791.81547619047615</v>
      </c>
      <c r="L39" s="1127">
        <f>추정!L$17</f>
        <v>779.98511904761904</v>
      </c>
      <c r="M39" s="1126">
        <f>'2.추정(긍정)'!I$16</f>
        <v>1384.4806296669572</v>
      </c>
      <c r="N39" s="1117">
        <f>'2.추정(긍정)'!J$16</f>
        <v>1423.1858903924362</v>
      </c>
      <c r="O39" s="1127">
        <f>'2.추정(긍정)'!K$16</f>
        <v>1387.7659320610353</v>
      </c>
      <c r="R39" s="985"/>
    </row>
    <row r="40" spans="1:26" ht="12" customHeight="1" outlineLevel="1">
      <c r="A40" s="623" t="s">
        <v>1460</v>
      </c>
      <c r="B40" s="1117">
        <f>추정!E$19</f>
        <v>736.24297959278351</v>
      </c>
      <c r="C40" s="1117">
        <f>추정!F$19</f>
        <v>864.36645695612469</v>
      </c>
      <c r="D40" s="1117">
        <f>추정!G$19</f>
        <v>805.97796181806541</v>
      </c>
      <c r="E40" s="1117">
        <f>추정!H$19</f>
        <v>885.12586092883066</v>
      </c>
      <c r="F40" s="1117">
        <f>추정!I$19</f>
        <v>1019.454186624152</v>
      </c>
      <c r="G40" s="1126">
        <f>'2.추정(부정)'!I$17</f>
        <v>869.62127451609967</v>
      </c>
      <c r="H40" s="1117">
        <f>'2.추정(부정)'!J$17</f>
        <v>867.95736322553034</v>
      </c>
      <c r="I40" s="1127">
        <f>'2.추정(부정)'!K$17</f>
        <v>897.24590769397037</v>
      </c>
      <c r="J40" s="1126">
        <f>추정!J$19</f>
        <v>982.1629405139937</v>
      </c>
      <c r="K40" s="1117">
        <f>추정!K$19</f>
        <v>980.47836042781432</v>
      </c>
      <c r="L40" s="1127">
        <f>추정!L$19</f>
        <v>1014.9211299624362</v>
      </c>
      <c r="M40" s="1126">
        <f>'2.추정(긍정)'!I$17</f>
        <v>870.48219729929338</v>
      </c>
      <c r="N40" s="1117">
        <f>'2.추정(긍정)'!J$17</f>
        <v>876.96325237548058</v>
      </c>
      <c r="O40" s="1127">
        <f>'2.추정(긍정)'!K$17</f>
        <v>913.17003232910099</v>
      </c>
      <c r="R40" s="985"/>
    </row>
    <row r="41" spans="1:26" ht="12" customHeight="1" outlineLevel="1">
      <c r="A41" s="623" t="s">
        <v>1461</v>
      </c>
      <c r="B41" s="1005">
        <f t="shared" ref="B41:D41" si="6">B28/B27*100</f>
        <v>33.616535644140974</v>
      </c>
      <c r="C41" s="1005">
        <f t="shared" si="6"/>
        <v>32.41647745776072</v>
      </c>
      <c r="D41" s="1005">
        <f t="shared" si="6"/>
        <v>58.266597866848166</v>
      </c>
      <c r="E41" s="1005">
        <f t="shared" ref="E41:F41" si="7">E28/E27*100</f>
        <v>75.560473824486635</v>
      </c>
      <c r="F41" s="1005">
        <f t="shared" si="7"/>
        <v>90.541648466635309</v>
      </c>
      <c r="G41" s="1130">
        <f t="shared" ref="G41:O41" si="8">G28/G27*100</f>
        <v>81.514422730624474</v>
      </c>
      <c r="H41" s="1005">
        <f t="shared" si="8"/>
        <v>77.370095557663191</v>
      </c>
      <c r="I41" s="1131">
        <f t="shared" si="8"/>
        <v>76.845284427986883</v>
      </c>
      <c r="J41" s="1130">
        <f t="shared" si="8"/>
        <v>93.1576012641235</v>
      </c>
      <c r="K41" s="1005">
        <f t="shared" si="8"/>
        <v>85.775625869991885</v>
      </c>
      <c r="L41" s="1131">
        <f t="shared" si="8"/>
        <v>82.753602680079197</v>
      </c>
      <c r="M41" s="1130">
        <f t="shared" si="8"/>
        <v>77.167993569524086</v>
      </c>
      <c r="N41" s="1005">
        <f t="shared" si="8"/>
        <v>69.519876834192274</v>
      </c>
      <c r="O41" s="1131">
        <f t="shared" si="8"/>
        <v>65.428486567133604</v>
      </c>
      <c r="R41" s="985"/>
      <c r="Z41" s="625"/>
    </row>
    <row r="42" spans="1:26" ht="12" customHeight="1" outlineLevel="1">
      <c r="A42" s="623" t="s">
        <v>1462</v>
      </c>
      <c r="B42" s="1119">
        <f>추정!E$104</f>
        <v>131.13026293695475</v>
      </c>
      <c r="C42" s="1119">
        <f>추정!F$104</f>
        <v>138.79125205067746</v>
      </c>
      <c r="D42" s="1119">
        <f>추정!G$104</f>
        <v>133.11711922354121</v>
      </c>
      <c r="E42" s="1117">
        <f>추정!H$104</f>
        <v>129.5881283439667</v>
      </c>
      <c r="F42" s="1117">
        <f>추정!I$104</f>
        <v>106.0626874137061</v>
      </c>
      <c r="G42" s="1126">
        <f>'2.추정(부정)'!I$19</f>
        <v>129.58857930893581</v>
      </c>
      <c r="H42" s="1117">
        <f>'2.추정(부정)'!J$19</f>
        <v>129.58868495372633</v>
      </c>
      <c r="I42" s="1127">
        <f>'2.추정(부정)'!K$19</f>
        <v>129.58892326187552</v>
      </c>
      <c r="J42" s="1126">
        <f>추정!J$21</f>
        <v>107.99106050835019</v>
      </c>
      <c r="K42" s="1117">
        <f>추정!K$21</f>
        <v>109.95431205272308</v>
      </c>
      <c r="L42" s="1127">
        <f>추정!L$21</f>
        <v>111.9535952216862</v>
      </c>
      <c r="M42" s="1126">
        <f>'2.추정(긍정)'!I$19</f>
        <v>134.34391376149176</v>
      </c>
      <c r="N42" s="1117">
        <f>'2.추정(긍정)'!J$19</f>
        <v>139.27372069025165</v>
      </c>
      <c r="O42" s="1127">
        <f>'2.추정(긍정)'!K$19</f>
        <v>144.38509989766715</v>
      </c>
      <c r="R42" s="985"/>
      <c r="Z42" s="625"/>
    </row>
    <row r="43" spans="1:26" ht="12.75" customHeight="1" outlineLevel="1" thickBot="1">
      <c r="A43" s="1006" t="s">
        <v>1463</v>
      </c>
      <c r="B43" s="1120">
        <f>추정!E$105</f>
        <v>119.50901266495286</v>
      </c>
      <c r="C43" s="1120">
        <f>추정!F$105</f>
        <v>129.46629067439872</v>
      </c>
      <c r="D43" s="1120">
        <f>추정!G$105</f>
        <v>108.45569461138584</v>
      </c>
      <c r="E43" s="1121">
        <f>추정!H$105</f>
        <v>105.60164126850913</v>
      </c>
      <c r="F43" s="1121">
        <f>추정!I$105</f>
        <v>85.473546186358092</v>
      </c>
      <c r="G43" s="1128">
        <f>'2.추정(부정)'!I$20</f>
        <v>105.42630827165303</v>
      </c>
      <c r="H43" s="1121">
        <f>'2.추정(부정)'!J$20</f>
        <v>107.96542024276754</v>
      </c>
      <c r="I43" s="1129">
        <f>'2.추정(부정)'!K$20</f>
        <v>110.11734660179214</v>
      </c>
      <c r="J43" s="1128" t="e">
        <f>추정!#REF!</f>
        <v>#REF!</v>
      </c>
      <c r="K43" s="1121" t="e">
        <f>추정!#REF!</f>
        <v>#REF!</v>
      </c>
      <c r="L43" s="1129" t="e">
        <f>추정!#REF!</f>
        <v>#REF!</v>
      </c>
      <c r="M43" s="1128">
        <f>'2.추정(긍정)'!I$20</f>
        <v>109.66346638644313</v>
      </c>
      <c r="N43" s="1121">
        <f>'2.추정(긍정)'!J$20</f>
        <v>116.83838651728125</v>
      </c>
      <c r="O43" s="1129">
        <f>'2.추정(긍정)'!K$20</f>
        <v>123.87263670380332</v>
      </c>
      <c r="R43" s="985"/>
      <c r="Z43" s="625"/>
    </row>
    <row r="44" spans="1:26" ht="12" customHeight="1" outlineLevel="1"/>
    <row r="45" spans="1:26" ht="12" customHeight="1" outlineLevel="1"/>
    <row r="46" spans="1:26" ht="12" customHeight="1" outlineLevel="1"/>
    <row r="47" spans="1:26" ht="12" customHeight="1" outlineLevel="1"/>
    <row r="48" spans="1:26" ht="12" customHeight="1" outlineLevel="1"/>
    <row r="49" spans="1:14" ht="12" customHeight="1" outlineLevel="1"/>
    <row r="50" spans="1:14" ht="12" customHeight="1" outlineLevel="1">
      <c r="D50" s="625"/>
      <c r="H50" s="625"/>
      <c r="I50" s="625"/>
      <c r="J50" s="625"/>
      <c r="K50" s="625"/>
      <c r="L50" s="625"/>
      <c r="M50" s="625"/>
      <c r="N50" s="625"/>
    </row>
    <row r="51" spans="1:14" ht="12" customHeight="1" outlineLevel="1">
      <c r="D51" s="625"/>
      <c r="H51" s="625"/>
      <c r="I51" s="625"/>
      <c r="J51" s="625"/>
      <c r="K51" s="625"/>
      <c r="L51" s="625"/>
      <c r="M51" s="625"/>
      <c r="N51" s="625"/>
    </row>
    <row r="52" spans="1:14" ht="12.75" customHeight="1" outlineLevel="1" thickBot="1">
      <c r="A52" s="626" t="s">
        <v>1464</v>
      </c>
      <c r="D52" s="625"/>
      <c r="H52" s="625"/>
      <c r="I52" s="625"/>
      <c r="J52" s="625"/>
      <c r="K52" s="625"/>
      <c r="L52" s="625"/>
      <c r="M52" s="625"/>
      <c r="N52" s="625"/>
    </row>
    <row r="53" spans="1:14" ht="12.75" customHeight="1" outlineLevel="1" thickBot="1">
      <c r="A53" s="627"/>
      <c r="B53" s="628" t="s">
        <v>1465</v>
      </c>
      <c r="C53" s="628" t="s">
        <v>1466</v>
      </c>
      <c r="D53" s="629" t="s">
        <v>1467</v>
      </c>
      <c r="E53" s="628" t="s">
        <v>1468</v>
      </c>
      <c r="F53" s="628" t="s">
        <v>1469</v>
      </c>
      <c r="H53" s="625"/>
      <c r="I53" s="625"/>
      <c r="J53" s="625"/>
      <c r="K53" s="625"/>
      <c r="L53" s="625"/>
      <c r="M53" s="625"/>
      <c r="N53" s="625"/>
    </row>
    <row r="54" spans="1:14" ht="12" customHeight="1" outlineLevel="1">
      <c r="A54" s="630" t="s">
        <v>1470</v>
      </c>
      <c r="B54" s="631">
        <f>B69/10000</f>
        <v>28.479655999999999</v>
      </c>
      <c r="C54" s="631">
        <f>C69/10000</f>
        <v>32.824733999999999</v>
      </c>
      <c r="D54" s="631">
        <f>D69/10000</f>
        <v>37.545135999999999</v>
      </c>
      <c r="E54" s="632">
        <f>J26/10000</f>
        <v>45.681874020000009</v>
      </c>
      <c r="F54" s="632">
        <f>K26/10000</f>
        <v>47.052330240600007</v>
      </c>
      <c r="H54" s="625"/>
      <c r="I54" s="625"/>
      <c r="J54" s="625"/>
      <c r="K54" s="625"/>
      <c r="L54" s="625"/>
      <c r="M54" s="625"/>
      <c r="N54" s="625"/>
    </row>
    <row r="55" spans="1:14" ht="12" customHeight="1" outlineLevel="1">
      <c r="A55" s="630" t="s">
        <v>1471</v>
      </c>
      <c r="B55" s="633">
        <f t="shared" ref="B55:D59" si="9">B70</f>
        <v>7968.6610414699999</v>
      </c>
      <c r="C55" s="633">
        <f t="shared" si="9"/>
        <v>7658.8829083599994</v>
      </c>
      <c r="D55" s="633">
        <f t="shared" si="9"/>
        <v>11381.578177279998</v>
      </c>
      <c r="E55" s="634">
        <f>ROUND(J29,-1)</f>
        <v>12660</v>
      </c>
      <c r="F55" s="634">
        <f>ROUND(K29,-1)</f>
        <v>11860</v>
      </c>
      <c r="H55" s="625"/>
      <c r="I55" s="625"/>
      <c r="J55" s="625"/>
      <c r="K55" s="625"/>
      <c r="L55" s="625"/>
      <c r="M55" s="625"/>
      <c r="N55" s="625"/>
    </row>
    <row r="56" spans="1:14" ht="12" customHeight="1" outlineLevel="1">
      <c r="A56" s="630" t="s">
        <v>1472</v>
      </c>
      <c r="B56" s="633">
        <f t="shared" si="9"/>
        <v>2560.61</v>
      </c>
      <c r="C56" s="633">
        <f t="shared" si="9"/>
        <v>2437.17</v>
      </c>
      <c r="D56" s="633">
        <f t="shared" si="9"/>
        <v>4722.8</v>
      </c>
      <c r="E56" s="633">
        <f>ROUND(J32,-1)</f>
        <v>4810</v>
      </c>
      <c r="F56" s="633">
        <f>ROUND(K32,-1)</f>
        <v>3880</v>
      </c>
      <c r="H56" s="625"/>
      <c r="I56" s="625"/>
      <c r="J56" s="625"/>
      <c r="K56" s="625"/>
      <c r="L56" s="625"/>
      <c r="M56" s="625"/>
      <c r="N56" s="625"/>
    </row>
    <row r="57" spans="1:14" ht="12" customHeight="1" outlineLevel="1">
      <c r="A57" s="630" t="s">
        <v>1473</v>
      </c>
      <c r="B57" s="635">
        <f t="shared" si="9"/>
        <v>0</v>
      </c>
      <c r="C57" s="635">
        <f t="shared" si="9"/>
        <v>1479.2</v>
      </c>
      <c r="D57" s="635">
        <f t="shared" si="9"/>
        <v>1416.048</v>
      </c>
      <c r="E57" s="633">
        <f>J39</f>
        <v>878.64583333333337</v>
      </c>
      <c r="F57" s="633">
        <f>K39</f>
        <v>791.81547619047615</v>
      </c>
      <c r="H57" s="625"/>
      <c r="I57" s="625"/>
      <c r="J57" s="625"/>
      <c r="K57" s="625"/>
      <c r="L57" s="625"/>
      <c r="M57" s="625"/>
      <c r="N57" s="625"/>
    </row>
    <row r="58" spans="1:14" ht="12" customHeight="1" outlineLevel="1">
      <c r="A58" s="630" t="s">
        <v>1474</v>
      </c>
      <c r="B58" s="635">
        <f t="shared" si="9"/>
        <v>101.48056699372781</v>
      </c>
      <c r="C58" s="635">
        <f t="shared" si="9"/>
        <v>123.80934901171914</v>
      </c>
      <c r="D58" s="635">
        <f t="shared" si="9"/>
        <v>289.0339069506432</v>
      </c>
      <c r="E58" s="633">
        <f>J37</f>
        <v>303</v>
      </c>
      <c r="F58" s="633">
        <f>K37</f>
        <v>336.1</v>
      </c>
      <c r="H58" s="625"/>
      <c r="I58" s="625"/>
      <c r="J58" s="625"/>
      <c r="K58" s="625"/>
      <c r="L58" s="625"/>
      <c r="M58" s="625"/>
      <c r="N58" s="625"/>
    </row>
    <row r="59" spans="1:14" ht="12.75" customHeight="1" outlineLevel="1" thickBot="1">
      <c r="A59" s="630" t="s">
        <v>1475</v>
      </c>
      <c r="B59" s="635">
        <f t="shared" si="9"/>
        <v>32.41647745776072</v>
      </c>
      <c r="C59" s="635">
        <f t="shared" si="9"/>
        <v>58.266597866848166</v>
      </c>
      <c r="D59" s="635">
        <f t="shared" si="9"/>
        <v>75.560473824486635</v>
      </c>
      <c r="E59" s="635">
        <f>J41</f>
        <v>93.1576012641235</v>
      </c>
      <c r="F59" s="635">
        <f>K41</f>
        <v>85.775625869991885</v>
      </c>
      <c r="H59" s="625"/>
      <c r="I59" s="625"/>
      <c r="J59" s="625"/>
      <c r="K59" s="625"/>
      <c r="L59" s="625"/>
      <c r="M59" s="625"/>
      <c r="N59" s="625"/>
    </row>
    <row r="60" spans="1:14" ht="12" customHeight="1" outlineLevel="1">
      <c r="A60" s="636" t="s">
        <v>1476</v>
      </c>
      <c r="B60" s="637">
        <f>B79</f>
        <v>0.98545027227548088</v>
      </c>
      <c r="C60" s="637">
        <f>C79</f>
        <v>0.79510455928738966</v>
      </c>
      <c r="D60" s="637">
        <f>D79</f>
        <v>1.3422790132847369</v>
      </c>
      <c r="E60" s="638">
        <f>J35</f>
        <v>1.0684063273685542</v>
      </c>
      <c r="F60" s="638">
        <f>K35</f>
        <v>0.83732988817908149</v>
      </c>
      <c r="H60" s="625"/>
      <c r="I60" s="625"/>
      <c r="J60" s="625"/>
      <c r="K60" s="625"/>
      <c r="L60" s="625"/>
      <c r="M60" s="625"/>
      <c r="N60" s="625"/>
    </row>
    <row r="61" spans="1:14" ht="12.75" customHeight="1" outlineLevel="1" thickBot="1">
      <c r="A61" s="639" t="s">
        <v>1477</v>
      </c>
      <c r="B61" s="640">
        <f>B75</f>
        <v>165.80829369368175</v>
      </c>
      <c r="C61" s="640">
        <f>C75</f>
        <v>164.53900493446474</v>
      </c>
      <c r="D61" s="640">
        <f>D75</f>
        <v>213.75220057966396</v>
      </c>
      <c r="E61" s="641">
        <f>J34</f>
        <v>205.85252316445496</v>
      </c>
      <c r="F61" s="641">
        <f>K34</f>
        <v>180.19520430876932</v>
      </c>
      <c r="H61" s="625"/>
      <c r="I61" s="625"/>
      <c r="J61" s="625"/>
      <c r="K61" s="625"/>
      <c r="L61" s="625"/>
      <c r="M61" s="625"/>
      <c r="N61" s="625"/>
    </row>
    <row r="62" spans="1:14" ht="12" customHeight="1" outlineLevel="1">
      <c r="A62" s="579" t="s">
        <v>1478</v>
      </c>
      <c r="B62" s="642">
        <f>C40</f>
        <v>864.36645695612469</v>
      </c>
      <c r="C62" s="642">
        <f>D40</f>
        <v>805.97796181806541</v>
      </c>
      <c r="D62" s="642">
        <f>E40</f>
        <v>885.12586092883066</v>
      </c>
      <c r="E62" s="642">
        <f>J40</f>
        <v>982.1629405139937</v>
      </c>
      <c r="F62" s="642">
        <f>K40</f>
        <v>980.47836042781432</v>
      </c>
      <c r="H62" s="625"/>
      <c r="I62" s="625"/>
      <c r="J62" s="625"/>
      <c r="K62" s="625"/>
      <c r="L62" s="625"/>
      <c r="M62" s="625"/>
      <c r="N62" s="625"/>
    </row>
    <row r="63" spans="1:14" ht="12" customHeight="1" outlineLevel="1">
      <c r="A63" s="579" t="s">
        <v>356</v>
      </c>
      <c r="B63" s="642">
        <f t="shared" ref="B63:D64" si="10">C42</f>
        <v>138.79125205067746</v>
      </c>
      <c r="C63" s="642">
        <f t="shared" si="10"/>
        <v>133.11711922354121</v>
      </c>
      <c r="D63" s="642">
        <f t="shared" si="10"/>
        <v>129.5881283439667</v>
      </c>
      <c r="E63" s="642">
        <f>J42</f>
        <v>107.99106050835019</v>
      </c>
      <c r="F63" s="642">
        <f>K42</f>
        <v>109.95431205272308</v>
      </c>
      <c r="H63" s="625"/>
      <c r="I63" s="625"/>
      <c r="J63" s="625"/>
      <c r="K63" s="625"/>
      <c r="L63" s="625"/>
      <c r="M63" s="625"/>
      <c r="N63" s="625"/>
    </row>
    <row r="64" spans="1:14" ht="12" customHeight="1" outlineLevel="1">
      <c r="A64" s="579" t="s">
        <v>360</v>
      </c>
      <c r="B64" s="642">
        <f t="shared" si="10"/>
        <v>129.46629067439872</v>
      </c>
      <c r="C64" s="642">
        <f t="shared" si="10"/>
        <v>108.45569461138584</v>
      </c>
      <c r="D64" s="642">
        <f t="shared" si="10"/>
        <v>105.60164126850913</v>
      </c>
      <c r="E64" s="642" t="e">
        <f>J43</f>
        <v>#REF!</v>
      </c>
      <c r="F64" s="642" t="e">
        <f>K43</f>
        <v>#REF!</v>
      </c>
      <c r="H64" s="625"/>
      <c r="I64" s="625"/>
      <c r="J64" s="625"/>
      <c r="K64" s="625"/>
      <c r="L64" s="625"/>
      <c r="M64" s="625"/>
      <c r="N64" s="625"/>
    </row>
    <row r="65" spans="1:14" ht="12" customHeight="1" outlineLevel="1">
      <c r="D65" s="625"/>
      <c r="H65" s="625"/>
      <c r="I65" s="625"/>
      <c r="J65" s="625"/>
      <c r="K65" s="625"/>
      <c r="L65" s="625"/>
      <c r="M65" s="625"/>
      <c r="N65" s="625"/>
    </row>
    <row r="66" spans="1:14" ht="12.75" customHeight="1" outlineLevel="1" thickBot="1">
      <c r="D66" s="625"/>
      <c r="H66" s="625"/>
      <c r="I66" s="625"/>
      <c r="J66" s="625"/>
      <c r="K66" s="625"/>
      <c r="L66" s="625"/>
      <c r="M66" s="625"/>
      <c r="N66" s="625"/>
    </row>
    <row r="67" spans="1:14" ht="12.75" customHeight="1" outlineLevel="1" thickBot="1">
      <c r="F67" s="1882" t="s">
        <v>1479</v>
      </c>
      <c r="G67" s="1883"/>
      <c r="H67" s="1882" t="s">
        <v>1480</v>
      </c>
      <c r="I67" s="1883"/>
    </row>
    <row r="68" spans="1:14" ht="12.75" customHeight="1" outlineLevel="1" thickBot="1">
      <c r="A68" s="643" t="s">
        <v>1481</v>
      </c>
      <c r="B68" s="644" t="s">
        <v>1465</v>
      </c>
      <c r="C68" s="644" t="s">
        <v>1466</v>
      </c>
      <c r="D68" s="645" t="s">
        <v>1482</v>
      </c>
      <c r="E68" s="645" t="s">
        <v>2418</v>
      </c>
      <c r="F68" s="646" t="s">
        <v>1483</v>
      </c>
      <c r="G68" s="647" t="s">
        <v>1484</v>
      </c>
      <c r="H68" s="646" t="s">
        <v>1483</v>
      </c>
      <c r="I68" s="647" t="s">
        <v>1484</v>
      </c>
    </row>
    <row r="69" spans="1:14" ht="12" customHeight="1" outlineLevel="1">
      <c r="A69" s="648" t="s">
        <v>78</v>
      </c>
      <c r="B69" s="649">
        <f>C26</f>
        <v>284796.56</v>
      </c>
      <c r="C69" s="649">
        <f>D26</f>
        <v>328247.34000000003</v>
      </c>
      <c r="D69" s="649">
        <f>E26</f>
        <v>375451.36</v>
      </c>
      <c r="E69" s="649">
        <f>F26</f>
        <v>443513.34</v>
      </c>
      <c r="F69" s="650">
        <f>G26</f>
        <v>382960.3872</v>
      </c>
      <c r="G69" s="651">
        <f>M26</f>
        <v>390469.41440000001</v>
      </c>
      <c r="H69" s="650">
        <f>H26</f>
        <v>390619.59494400001</v>
      </c>
      <c r="I69" s="651">
        <f>N26</f>
        <v>406088.19097600004</v>
      </c>
    </row>
    <row r="70" spans="1:14" ht="12" customHeight="1" outlineLevel="1">
      <c r="A70" s="648" t="s">
        <v>1485</v>
      </c>
      <c r="B70" s="649">
        <f>C29</f>
        <v>7968.6610414699999</v>
      </c>
      <c r="C70" s="649">
        <f>D29</f>
        <v>7658.8829083599994</v>
      </c>
      <c r="D70" s="649">
        <f>E29</f>
        <v>11381.578177279998</v>
      </c>
      <c r="E70" s="649">
        <f>F29</f>
        <v>12812.620863119999</v>
      </c>
      <c r="F70" s="650">
        <f>G29</f>
        <v>10174.105847215926</v>
      </c>
      <c r="G70" s="651">
        <f>M29</f>
        <v>11176.112733620004</v>
      </c>
      <c r="H70" s="650">
        <f>H29</f>
        <v>9547.7678545719555</v>
      </c>
      <c r="I70" s="651">
        <f>N29</f>
        <v>10650.333418220987</v>
      </c>
    </row>
    <row r="71" spans="1:14" ht="12" customHeight="1" outlineLevel="1">
      <c r="A71" s="648" t="s">
        <v>1486</v>
      </c>
      <c r="B71" s="652">
        <f>C32</f>
        <v>2560.61</v>
      </c>
      <c r="C71" s="652">
        <f>D32</f>
        <v>2437.17</v>
      </c>
      <c r="D71" s="652">
        <f>E32</f>
        <v>4722.8</v>
      </c>
      <c r="E71" s="652">
        <f>F32</f>
        <v>5035.1000000000004</v>
      </c>
      <c r="F71" s="653">
        <f>G32</f>
        <v>3422.8356132134204</v>
      </c>
      <c r="G71" s="654">
        <f>M32</f>
        <v>4241.9100804711898</v>
      </c>
      <c r="H71" s="653">
        <f>H32</f>
        <v>2678.2803267549607</v>
      </c>
      <c r="I71" s="654">
        <f>N32</f>
        <v>3570.4559629028709</v>
      </c>
    </row>
    <row r="72" spans="1:14" ht="12" customHeight="1" outlineLevel="1">
      <c r="A72" s="648" t="s">
        <v>1487</v>
      </c>
      <c r="B72" s="655">
        <f>C39</f>
        <v>0</v>
      </c>
      <c r="C72" s="655">
        <f>D39</f>
        <v>1479.2</v>
      </c>
      <c r="D72" s="655">
        <f>E39</f>
        <v>1416.048</v>
      </c>
      <c r="E72" s="655">
        <f>F39</f>
        <v>875.2</v>
      </c>
      <c r="F72" s="656">
        <f>G39</f>
        <v>1132.5022393295183</v>
      </c>
      <c r="G72" s="657">
        <f>M39</f>
        <v>1384.4806296669572</v>
      </c>
      <c r="H72" s="656">
        <f>H39</f>
        <v>1159.316849973593</v>
      </c>
      <c r="I72" s="657">
        <f>N39</f>
        <v>1423.1858903924362</v>
      </c>
    </row>
    <row r="73" spans="1:14" ht="12" customHeight="1" outlineLevel="1">
      <c r="A73" s="648" t="s">
        <v>1488</v>
      </c>
      <c r="B73" s="658">
        <f>C37</f>
        <v>101.48056699372781</v>
      </c>
      <c r="C73" s="658">
        <f>D37</f>
        <v>123.80934901171914</v>
      </c>
      <c r="D73" s="658">
        <f>E37</f>
        <v>289.0339069506432</v>
      </c>
      <c r="E73" s="658">
        <f>F37</f>
        <v>280.74806847648432</v>
      </c>
      <c r="F73" s="659">
        <f>G37</f>
        <v>226.3</v>
      </c>
      <c r="G73" s="660">
        <f>M37</f>
        <v>252.1</v>
      </c>
      <c r="H73" s="659">
        <f>H37</f>
        <v>181.8</v>
      </c>
      <c r="I73" s="660">
        <f>N37</f>
        <v>232.5</v>
      </c>
    </row>
    <row r="74" spans="1:14" ht="12" customHeight="1" outlineLevel="1">
      <c r="A74" s="648" t="s">
        <v>1489</v>
      </c>
      <c r="B74" s="658">
        <f>C41</f>
        <v>32.41647745776072</v>
      </c>
      <c r="C74" s="658">
        <f>D41</f>
        <v>58.266597866848166</v>
      </c>
      <c r="D74" s="658">
        <f>E41</f>
        <v>75.560473824486635</v>
      </c>
      <c r="E74" s="658">
        <f>F41</f>
        <v>90.541648466635309</v>
      </c>
      <c r="F74" s="659">
        <f>M41</f>
        <v>77.167993569524086</v>
      </c>
      <c r="G74" s="660">
        <f>G41</f>
        <v>81.514422730624474</v>
      </c>
      <c r="H74" s="659">
        <f>N41</f>
        <v>69.519876834192274</v>
      </c>
      <c r="I74" s="660">
        <f>H41</f>
        <v>77.370095557663191</v>
      </c>
    </row>
    <row r="75" spans="1:14" ht="12" customHeight="1" outlineLevel="1">
      <c r="A75" s="648" t="s">
        <v>1490</v>
      </c>
      <c r="B75" s="658">
        <f>C34</f>
        <v>165.80829369368175</v>
      </c>
      <c r="C75" s="658">
        <f>D34</f>
        <v>164.53900493446474</v>
      </c>
      <c r="D75" s="658">
        <f>E34</f>
        <v>213.75220057966396</v>
      </c>
      <c r="E75" s="658">
        <f>F34</f>
        <v>214.56386456134081</v>
      </c>
      <c r="F75" s="659">
        <f>G34</f>
        <v>185.32998685797034</v>
      </c>
      <c r="G75" s="660">
        <f>M34</f>
        <v>203.97808386888755</v>
      </c>
      <c r="H75" s="659">
        <f>H34</f>
        <v>162.39095040304778</v>
      </c>
      <c r="I75" s="660">
        <f>N34</f>
        <v>181.8353147691567</v>
      </c>
    </row>
    <row r="76" spans="1:14" ht="12" customHeight="1" outlineLevel="1">
      <c r="A76" s="648" t="s">
        <v>1454</v>
      </c>
      <c r="B76" s="658">
        <f>C33</f>
        <v>7.1171966443611794</v>
      </c>
      <c r="C76" s="658">
        <f>D33</f>
        <v>8.4392390931276928</v>
      </c>
      <c r="D76" s="658">
        <f>E33</f>
        <v>9.589610500876109</v>
      </c>
      <c r="E76" s="658">
        <f>F33</f>
        <v>9.8638595161923579</v>
      </c>
      <c r="F76" s="659">
        <f>G33</f>
        <v>9.7411910590995401</v>
      </c>
      <c r="G76" s="660">
        <f>M33</f>
        <v>10.23532008211002</v>
      </c>
      <c r="H76" s="659">
        <f>H33</f>
        <v>9.8295743584796931</v>
      </c>
      <c r="I76" s="660">
        <f>N33</f>
        <v>10.055464206756591</v>
      </c>
    </row>
    <row r="77" spans="1:14" ht="12" customHeight="1" outlineLevel="1">
      <c r="A77" s="648" t="s">
        <v>1478</v>
      </c>
      <c r="B77" s="658">
        <f t="shared" ref="B77:D78" si="11">B62</f>
        <v>864.36645695612469</v>
      </c>
      <c r="C77" s="658">
        <f t="shared" si="11"/>
        <v>805.97796181806541</v>
      </c>
      <c r="D77" s="658">
        <f t="shared" si="11"/>
        <v>885.12586092883066</v>
      </c>
      <c r="E77" s="658">
        <f t="shared" ref="E77" si="12">E62</f>
        <v>982.1629405139937</v>
      </c>
      <c r="F77" s="659">
        <f>M40</f>
        <v>870.48219729929338</v>
      </c>
      <c r="G77" s="660">
        <f>G40</f>
        <v>869.62127451609967</v>
      </c>
      <c r="H77" s="659">
        <f>N40</f>
        <v>876.96325237548058</v>
      </c>
      <c r="I77" s="660">
        <f>H40</f>
        <v>867.95736322553034</v>
      </c>
    </row>
    <row r="78" spans="1:14" ht="12.75" customHeight="1" outlineLevel="1" thickBot="1">
      <c r="A78" s="648" t="s">
        <v>1491</v>
      </c>
      <c r="B78" s="658">
        <f t="shared" si="11"/>
        <v>138.79125205067746</v>
      </c>
      <c r="C78" s="658">
        <f t="shared" si="11"/>
        <v>133.11711922354121</v>
      </c>
      <c r="D78" s="658">
        <f t="shared" si="11"/>
        <v>129.5881283439667</v>
      </c>
      <c r="E78" s="658">
        <f t="shared" ref="E78" si="13">E63</f>
        <v>107.99106050835019</v>
      </c>
      <c r="F78" s="659">
        <f>G42</f>
        <v>129.58857930893581</v>
      </c>
      <c r="G78" s="660">
        <f>M42</f>
        <v>134.34391376149176</v>
      </c>
      <c r="H78" s="659">
        <f>H42</f>
        <v>129.58868495372633</v>
      </c>
      <c r="I78" s="660">
        <f>N42</f>
        <v>139.27372069025165</v>
      </c>
    </row>
    <row r="79" spans="1:14" ht="12" customHeight="1" outlineLevel="1">
      <c r="A79" s="661" t="s">
        <v>1476</v>
      </c>
      <c r="B79" s="662">
        <f>C35</f>
        <v>0.98545027227548088</v>
      </c>
      <c r="C79" s="662">
        <f>D35</f>
        <v>0.79510455928738966</v>
      </c>
      <c r="D79" s="662">
        <f>E35</f>
        <v>1.3422790132847369</v>
      </c>
      <c r="E79" s="662">
        <f>F35</f>
        <v>1.2296256503352065</v>
      </c>
      <c r="F79" s="663">
        <f>G35</f>
        <v>0.90263254118894554</v>
      </c>
      <c r="G79" s="664">
        <f>M35</f>
        <v>1.1076628868812648</v>
      </c>
      <c r="H79" s="663">
        <f>H35</f>
        <v>0.69243785738406172</v>
      </c>
      <c r="I79" s="664">
        <f>N35</f>
        <v>0.89647150157269651</v>
      </c>
    </row>
    <row r="80" spans="1:14" ht="12.75" customHeight="1" outlineLevel="1" thickBot="1">
      <c r="A80" s="665" t="s">
        <v>1492</v>
      </c>
      <c r="B80" s="666">
        <f>B64</f>
        <v>129.46629067439872</v>
      </c>
      <c r="C80" s="666">
        <f>C64</f>
        <v>108.45569461138584</v>
      </c>
      <c r="D80" s="666">
        <f>D64</f>
        <v>105.60164126850913</v>
      </c>
      <c r="E80" s="666" t="e">
        <f>E64</f>
        <v>#REF!</v>
      </c>
      <c r="F80" s="667">
        <f>G43</f>
        <v>105.42630827165303</v>
      </c>
      <c r="G80" s="668">
        <f>M43</f>
        <v>109.66346638644313</v>
      </c>
      <c r="H80" s="667">
        <f>H43</f>
        <v>107.96542024276754</v>
      </c>
      <c r="I80" s="668">
        <f>N43</f>
        <v>116.83838651728125</v>
      </c>
    </row>
    <row r="81" spans="1:17" ht="12" customHeight="1" outlineLevel="1"/>
    <row r="82" spans="1:17" ht="12" customHeight="1" outlineLevel="1">
      <c r="O82" s="579"/>
      <c r="P82" s="579"/>
      <c r="Q82" s="579"/>
    </row>
    <row r="83" spans="1:17" ht="12" customHeight="1" outlineLevel="1">
      <c r="C83" s="674"/>
      <c r="D83" s="674"/>
      <c r="E83" s="1705" t="s">
        <v>1479</v>
      </c>
      <c r="F83" s="1706"/>
      <c r="G83" s="1707" t="s">
        <v>1480</v>
      </c>
      <c r="H83" s="1708"/>
      <c r="O83" s="579"/>
      <c r="P83" s="579"/>
      <c r="Q83" s="579"/>
    </row>
    <row r="84" spans="1:17" ht="12" customHeight="1" outlineLevel="1">
      <c r="C84" s="1184" t="s">
        <v>1466</v>
      </c>
      <c r="D84" s="1185" t="s">
        <v>1482</v>
      </c>
      <c r="E84" s="1186" t="s">
        <v>1483</v>
      </c>
      <c r="F84" s="1187" t="s">
        <v>1484</v>
      </c>
      <c r="G84" s="1188" t="s">
        <v>1483</v>
      </c>
      <c r="H84" s="1189" t="s">
        <v>1484</v>
      </c>
      <c r="O84" s="579"/>
      <c r="P84" s="579"/>
      <c r="Q84" s="579"/>
    </row>
    <row r="85" spans="1:17" ht="12" customHeight="1" outlineLevel="1">
      <c r="A85" s="619" t="s">
        <v>78</v>
      </c>
      <c r="C85" s="1167">
        <f>C69/10000</f>
        <v>32.824733999999999</v>
      </c>
      <c r="D85" s="1164">
        <f>D69/10000</f>
        <v>37.545135999999999</v>
      </c>
      <c r="E85" s="1170">
        <f>ROUND(F69,0)/10000</f>
        <v>38.295999999999999</v>
      </c>
      <c r="F85" s="1171">
        <f>ROUND(G69,0)/10000</f>
        <v>39.046900000000001</v>
      </c>
      <c r="G85" s="1170">
        <f>ROUND(H69,0)/10000</f>
        <v>39.061999999999998</v>
      </c>
      <c r="H85" s="1171">
        <f>ROUND(I69,0)/10000</f>
        <v>40.608800000000002</v>
      </c>
      <c r="O85" s="579"/>
      <c r="P85" s="579"/>
      <c r="Q85" s="579"/>
    </row>
    <row r="86" spans="1:17" ht="12" customHeight="1" outlineLevel="1">
      <c r="A86" s="619" t="s">
        <v>64</v>
      </c>
      <c r="C86" s="1168">
        <f t="shared" ref="C86:D87" si="14">C70</f>
        <v>7658.8829083599994</v>
      </c>
      <c r="D86" s="1165">
        <f t="shared" si="14"/>
        <v>11381.578177279998</v>
      </c>
      <c r="E86" s="1174">
        <f>ROUND(F70,-2)</f>
        <v>10200</v>
      </c>
      <c r="F86" s="1175">
        <f>ROUND(G70,-2)</f>
        <v>11200</v>
      </c>
      <c r="G86" s="1174">
        <f>ROUND(H70,-2)</f>
        <v>9500</v>
      </c>
      <c r="H86" s="1175">
        <f>ROUND(I70,-2)</f>
        <v>10700</v>
      </c>
      <c r="O86" s="579"/>
      <c r="P86" s="579"/>
      <c r="Q86" s="579"/>
    </row>
    <row r="87" spans="1:17" ht="12" customHeight="1" outlineLevel="1">
      <c r="A87" s="619" t="s">
        <v>69</v>
      </c>
      <c r="C87" s="1169">
        <f t="shared" si="14"/>
        <v>2437.17</v>
      </c>
      <c r="D87" s="1166">
        <f t="shared" si="14"/>
        <v>4722.8</v>
      </c>
      <c r="E87" s="1174">
        <f>ROUND(F71,-1)</f>
        <v>3420</v>
      </c>
      <c r="F87" s="1175">
        <f>ROUND(G71,-1)</f>
        <v>4240</v>
      </c>
      <c r="G87" s="1174">
        <f>ROUND(H71,-1)</f>
        <v>2680</v>
      </c>
      <c r="H87" s="1175">
        <f>ROUND(I71,-1)</f>
        <v>3570</v>
      </c>
      <c r="O87" s="579"/>
      <c r="P87" s="579"/>
      <c r="Q87" s="579"/>
    </row>
    <row r="88" spans="1:17" ht="12" customHeight="1" outlineLevel="1">
      <c r="A88" s="579" t="s">
        <v>1418</v>
      </c>
      <c r="C88" s="1176">
        <f>C72</f>
        <v>1479.2</v>
      </c>
      <c r="D88" s="1177">
        <f>D72</f>
        <v>1416.048</v>
      </c>
      <c r="E88" s="1170">
        <f>ROUND(F72,0)</f>
        <v>1133</v>
      </c>
      <c r="F88" s="1171">
        <f>ROUND(G72,0)</f>
        <v>1384</v>
      </c>
      <c r="G88" s="1170">
        <f>ROUND(H72,0)</f>
        <v>1159</v>
      </c>
      <c r="H88" s="1171">
        <f>ROUND(I72,0)</f>
        <v>1423</v>
      </c>
      <c r="O88" s="579"/>
      <c r="P88" s="579"/>
      <c r="Q88" s="579"/>
    </row>
    <row r="89" spans="1:17" ht="12" customHeight="1" outlineLevel="1">
      <c r="A89" s="619" t="s">
        <v>1706</v>
      </c>
      <c r="C89" s="1178">
        <f>C74</f>
        <v>58.266597866848166</v>
      </c>
      <c r="D89" s="1179">
        <f>D74</f>
        <v>75.560473824486635</v>
      </c>
      <c r="E89" s="1170">
        <f>ROUND(F74,0)</f>
        <v>77</v>
      </c>
      <c r="F89" s="1171">
        <f>ROUND(G74,0)</f>
        <v>82</v>
      </c>
      <c r="G89" s="1170">
        <f>ROUND(H74,0)</f>
        <v>70</v>
      </c>
      <c r="H89" s="1171">
        <f>ROUND(I74,0)</f>
        <v>77</v>
      </c>
      <c r="O89" s="579"/>
      <c r="P89" s="579"/>
      <c r="Q89" s="579"/>
    </row>
    <row r="90" spans="1:17" ht="12" customHeight="1" outlineLevel="1">
      <c r="A90" s="579" t="s">
        <v>1476</v>
      </c>
      <c r="C90" s="1180">
        <f>C79</f>
        <v>0.79510455928738966</v>
      </c>
      <c r="D90" s="1181">
        <f>D79</f>
        <v>1.3422790132847369</v>
      </c>
      <c r="E90" s="1170">
        <f>ROUND(F79,1)</f>
        <v>0.9</v>
      </c>
      <c r="F90" s="1171">
        <f>ROUND(G79,1)</f>
        <v>1.1000000000000001</v>
      </c>
      <c r="G90" s="1170">
        <f>ROUND(H79,1)</f>
        <v>0.7</v>
      </c>
      <c r="H90" s="1171">
        <f>ROUND(I79,1)</f>
        <v>0.9</v>
      </c>
      <c r="O90" s="579"/>
      <c r="P90" s="579"/>
      <c r="Q90" s="579"/>
    </row>
    <row r="91" spans="1:17" ht="12" customHeight="1" outlineLevel="1">
      <c r="A91" s="579" t="s">
        <v>360</v>
      </c>
      <c r="C91" s="1182">
        <f>C80</f>
        <v>108.45569461138584</v>
      </c>
      <c r="D91" s="1183">
        <f>D80</f>
        <v>105.60164126850913</v>
      </c>
      <c r="E91" s="1172">
        <f>ROUND(F80,0)</f>
        <v>105</v>
      </c>
      <c r="F91" s="1173">
        <f>ROUND(G80,0)</f>
        <v>110</v>
      </c>
      <c r="G91" s="1172">
        <f>ROUND(H80,0)</f>
        <v>108</v>
      </c>
      <c r="H91" s="1173">
        <f>ROUND(I80,0)</f>
        <v>117</v>
      </c>
    </row>
    <row r="92" spans="1:17" ht="12" customHeight="1" outlineLevel="1">
      <c r="C92" s="1178"/>
      <c r="D92" s="1179"/>
      <c r="E92" s="1170"/>
      <c r="F92" s="1264"/>
      <c r="G92" s="1170"/>
      <c r="H92" s="1264"/>
    </row>
    <row r="93" spans="1:17" ht="12" customHeight="1" outlineLevel="1">
      <c r="A93" s="619" t="s">
        <v>1708</v>
      </c>
      <c r="C93" s="1178">
        <f>C77</f>
        <v>805.97796181806541</v>
      </c>
      <c r="D93" s="1179">
        <f>D77</f>
        <v>885.12586092883066</v>
      </c>
      <c r="E93" s="1170">
        <f>ROUND(F77,0)</f>
        <v>870</v>
      </c>
      <c r="F93" s="1171">
        <f>ROUND(G77,0)</f>
        <v>870</v>
      </c>
      <c r="G93" s="1170">
        <f>ROUND(H77,0)</f>
        <v>877</v>
      </c>
      <c r="H93" s="1171">
        <f>ROUND(I77,0)</f>
        <v>868</v>
      </c>
    </row>
    <row r="94" spans="1:17" ht="12" customHeight="1" outlineLevel="1">
      <c r="A94" s="619" t="s">
        <v>2131</v>
      </c>
      <c r="C94" s="1178">
        <f>C76</f>
        <v>8.4392390931276928</v>
      </c>
      <c r="D94" s="1179">
        <f>D76</f>
        <v>9.589610500876109</v>
      </c>
      <c r="E94" s="1170">
        <f>ROUND(F76,1)</f>
        <v>9.6999999999999993</v>
      </c>
      <c r="F94" s="1171">
        <f>ROUND(G76,1)</f>
        <v>10.199999999999999</v>
      </c>
      <c r="G94" s="1170">
        <f>ROUND(H76,1)</f>
        <v>9.8000000000000007</v>
      </c>
      <c r="H94" s="1171">
        <f>ROUND(I76,1)</f>
        <v>10.1</v>
      </c>
      <c r="O94" s="579"/>
      <c r="P94" s="579"/>
      <c r="Q94" s="579"/>
    </row>
    <row r="95" spans="1:17" ht="12" customHeight="1" outlineLevel="1">
      <c r="A95" s="579" t="s">
        <v>1458</v>
      </c>
      <c r="C95" s="1178">
        <f>C73</f>
        <v>123.80934901171914</v>
      </c>
      <c r="D95" s="1179">
        <f>D73</f>
        <v>289.0339069506432</v>
      </c>
      <c r="E95" s="1170">
        <f>ROUND(F73,0)</f>
        <v>226</v>
      </c>
      <c r="F95" s="1171">
        <f>ROUND(G73,0)</f>
        <v>252</v>
      </c>
      <c r="G95" s="1170">
        <f>ROUND(H73,0)</f>
        <v>182</v>
      </c>
      <c r="H95" s="1171">
        <f>ROUND(I73,0)</f>
        <v>233</v>
      </c>
    </row>
    <row r="96" spans="1:17" ht="12" customHeight="1" outlineLevel="1">
      <c r="A96" s="579" t="s">
        <v>1477</v>
      </c>
      <c r="C96" s="1178">
        <f>C75</f>
        <v>164.53900493446474</v>
      </c>
      <c r="D96" s="1179">
        <f>D75</f>
        <v>213.75220057966396</v>
      </c>
      <c r="E96" s="1170">
        <f>ROUND(F75,0)</f>
        <v>185</v>
      </c>
      <c r="F96" s="1171">
        <f>ROUND(G75,0)</f>
        <v>204</v>
      </c>
      <c r="G96" s="1170">
        <f>ROUND(H75,0)</f>
        <v>162</v>
      </c>
      <c r="H96" s="1171">
        <f>ROUND(I75,0)</f>
        <v>182</v>
      </c>
    </row>
    <row r="97" spans="1:16" ht="12" customHeight="1" outlineLevel="1">
      <c r="A97" s="579" t="s">
        <v>1707</v>
      </c>
      <c r="C97" s="1178">
        <f>C76</f>
        <v>8.4392390931276928</v>
      </c>
      <c r="D97" s="1179">
        <f>D76</f>
        <v>9.589610500876109</v>
      </c>
      <c r="E97" s="1170">
        <f>ROUND(F76,1)</f>
        <v>9.6999999999999993</v>
      </c>
      <c r="F97" s="1171">
        <f>ROUND(G76,1)</f>
        <v>10.199999999999999</v>
      </c>
      <c r="G97" s="1170">
        <f>ROUND(H76,1)</f>
        <v>9.8000000000000007</v>
      </c>
      <c r="H97" s="1171">
        <f>ROUND(I76,1)</f>
        <v>10.1</v>
      </c>
    </row>
    <row r="98" spans="1:16" ht="12" customHeight="1" outlineLevel="1">
      <c r="A98" s="579" t="s">
        <v>356</v>
      </c>
      <c r="C98" s="1178">
        <f>C78</f>
        <v>133.11711922354121</v>
      </c>
      <c r="D98" s="1179">
        <f>D78</f>
        <v>129.5881283439667</v>
      </c>
      <c r="E98" s="1170">
        <f>ROUND(F78,0)</f>
        <v>130</v>
      </c>
      <c r="F98" s="1171">
        <f>ROUND(G78,0)</f>
        <v>134</v>
      </c>
      <c r="G98" s="1170">
        <f>ROUND(H78,0)</f>
        <v>130</v>
      </c>
      <c r="H98" s="1171">
        <f>ROUND(I78,0)</f>
        <v>139</v>
      </c>
    </row>
    <row r="99" spans="1:16" ht="12" customHeight="1" outlineLevel="1">
      <c r="C99" s="1190"/>
      <c r="D99" s="1190"/>
      <c r="E99" s="988"/>
      <c r="F99" s="988"/>
      <c r="G99" s="988"/>
      <c r="H99" s="988"/>
    </row>
    <row r="100" spans="1:16" ht="12" customHeight="1" outlineLevel="1">
      <c r="C100" s="1190"/>
      <c r="D100" s="1190"/>
      <c r="E100" s="988"/>
      <c r="F100" s="988"/>
      <c r="G100" s="988"/>
      <c r="H100" s="988"/>
    </row>
    <row r="101" spans="1:16" ht="12" customHeight="1" outlineLevel="1">
      <c r="C101" s="1190"/>
      <c r="D101" s="1190"/>
      <c r="E101" s="988"/>
      <c r="F101" s="988"/>
      <c r="G101" s="988"/>
      <c r="H101" s="988"/>
    </row>
    <row r="102" spans="1:16" ht="12" customHeight="1" outlineLevel="1">
      <c r="C102" s="1190"/>
      <c r="D102" s="1190"/>
      <c r="E102" s="988"/>
      <c r="F102" s="988"/>
      <c r="G102" s="988"/>
      <c r="H102" s="988"/>
    </row>
    <row r="103" spans="1:16" ht="12" customHeight="1" outlineLevel="1">
      <c r="C103" s="1190"/>
      <c r="D103" s="1190"/>
      <c r="E103" s="988"/>
      <c r="F103" s="988"/>
      <c r="G103" s="988"/>
      <c r="H103" s="988"/>
    </row>
    <row r="104" spans="1:16">
      <c r="C104" s="1190"/>
      <c r="D104" s="1190"/>
      <c r="E104" s="988"/>
      <c r="F104" s="988"/>
      <c r="G104" s="988"/>
      <c r="H104" s="988"/>
    </row>
    <row r="106" spans="1:16">
      <c r="A106" s="619" t="s">
        <v>1493</v>
      </c>
      <c r="P106" s="579"/>
    </row>
    <row r="118" spans="1:17" ht="15" thickBot="1">
      <c r="P118" s="579"/>
      <c r="Q118" s="579"/>
    </row>
    <row r="119" spans="1:17">
      <c r="A119" s="669" t="s">
        <v>1493</v>
      </c>
      <c r="B119" s="670"/>
      <c r="C119" s="670"/>
      <c r="D119" s="670"/>
      <c r="E119" s="670"/>
      <c r="F119" s="670"/>
      <c r="G119" s="670"/>
      <c r="H119" s="670"/>
      <c r="I119" s="671"/>
      <c r="O119" s="579"/>
      <c r="P119" s="579"/>
      <c r="Q119" s="579"/>
    </row>
    <row r="120" spans="1:17">
      <c r="A120" s="673"/>
      <c r="B120" s="674"/>
      <c r="C120" s="674"/>
      <c r="D120" s="674"/>
      <c r="E120" s="674"/>
      <c r="F120" s="674"/>
      <c r="G120" s="674"/>
      <c r="H120" s="674"/>
      <c r="I120" s="675"/>
      <c r="O120" s="579"/>
      <c r="P120" s="579"/>
      <c r="Q120" s="579"/>
    </row>
    <row r="121" spans="1:17" ht="15" thickBot="1">
      <c r="A121" s="676"/>
      <c r="B121" s="677" t="s">
        <v>1496</v>
      </c>
      <c r="C121" s="1191"/>
      <c r="D121" s="1191"/>
      <c r="E121" s="1191" t="s">
        <v>1497</v>
      </c>
      <c r="F121" s="1191" t="s">
        <v>1498</v>
      </c>
      <c r="G121" s="1191" t="s">
        <v>1499</v>
      </c>
      <c r="H121" s="1191" t="s">
        <v>1500</v>
      </c>
      <c r="I121" s="1192"/>
      <c r="O121" s="579"/>
      <c r="P121" s="579"/>
      <c r="Q121" s="579"/>
    </row>
    <row r="122" spans="1:17" ht="16" thickTop="1" thickBot="1">
      <c r="A122" s="676"/>
      <c r="B122" s="677"/>
      <c r="C122" s="1191"/>
      <c r="D122" s="1191"/>
      <c r="E122" s="1193">
        <v>1</v>
      </c>
      <c r="F122" s="1194">
        <v>0.5</v>
      </c>
      <c r="G122" s="1195"/>
      <c r="H122" s="1195"/>
      <c r="I122" s="1192"/>
      <c r="O122" s="579"/>
      <c r="P122" s="579"/>
      <c r="Q122" s="579"/>
    </row>
    <row r="123" spans="1:17" ht="15" thickTop="1">
      <c r="A123" s="683" t="s">
        <v>1503</v>
      </c>
      <c r="B123" s="684">
        <f>추정!E11</f>
        <v>1.0155999355878853</v>
      </c>
      <c r="C123" s="1196"/>
      <c r="D123" s="1196"/>
      <c r="E123" s="1196">
        <f t="shared" ref="E123:F129" si="15">E122</f>
        <v>1</v>
      </c>
      <c r="F123" s="1196">
        <f t="shared" si="15"/>
        <v>0.5</v>
      </c>
      <c r="G123" s="1197">
        <f>B123</f>
        <v>1.0155999355878853</v>
      </c>
      <c r="H123" s="1197">
        <f>B123</f>
        <v>1.0155999355878853</v>
      </c>
      <c r="I123" s="1192"/>
      <c r="O123" s="579"/>
      <c r="P123" s="579"/>
      <c r="Q123" s="579"/>
    </row>
    <row r="124" spans="1:17">
      <c r="A124" s="683" t="s">
        <v>1505</v>
      </c>
      <c r="B124" s="689">
        <f>추정!F11</f>
        <v>0.98545027227548088</v>
      </c>
      <c r="C124" s="1196"/>
      <c r="D124" s="1196"/>
      <c r="E124" s="1196">
        <f t="shared" si="15"/>
        <v>1</v>
      </c>
      <c r="F124" s="1196">
        <f t="shared" si="15"/>
        <v>0.5</v>
      </c>
      <c r="G124" s="1197">
        <f>B124</f>
        <v>0.98545027227548088</v>
      </c>
      <c r="H124" s="1197">
        <f>B124</f>
        <v>0.98545027227548088</v>
      </c>
      <c r="I124" s="1192"/>
      <c r="O124" s="579"/>
      <c r="P124" s="579"/>
      <c r="Q124" s="579"/>
    </row>
    <row r="125" spans="1:17">
      <c r="A125" s="683" t="s">
        <v>1506</v>
      </c>
      <c r="B125" s="689">
        <f>추정!G11</f>
        <v>0.79510455928738966</v>
      </c>
      <c r="C125" s="1196"/>
      <c r="D125" s="1196"/>
      <c r="E125" s="1196">
        <f t="shared" si="15"/>
        <v>1</v>
      </c>
      <c r="F125" s="1196">
        <f t="shared" si="15"/>
        <v>0.5</v>
      </c>
      <c r="G125" s="1197">
        <f>B125</f>
        <v>0.79510455928738966</v>
      </c>
      <c r="H125" s="1197">
        <f>B125</f>
        <v>0.79510455928738966</v>
      </c>
      <c r="I125" s="1192"/>
      <c r="O125" s="579"/>
      <c r="P125" s="579"/>
      <c r="Q125" s="579"/>
    </row>
    <row r="126" spans="1:17" ht="15" thickBot="1">
      <c r="A126" s="683" t="s">
        <v>1507</v>
      </c>
      <c r="B126" s="691">
        <f>추정!H11</f>
        <v>1.3422790132847369</v>
      </c>
      <c r="C126" s="1196"/>
      <c r="D126" s="1196"/>
      <c r="E126" s="1196">
        <f t="shared" si="15"/>
        <v>1</v>
      </c>
      <c r="F126" s="1196">
        <f t="shared" si="15"/>
        <v>0.5</v>
      </c>
      <c r="G126" s="1197">
        <f>B126</f>
        <v>1.3422790132847369</v>
      </c>
      <c r="H126" s="1197">
        <f>B126</f>
        <v>1.3422790132847369</v>
      </c>
      <c r="I126" s="1192" t="s">
        <v>1508</v>
      </c>
      <c r="O126" s="579"/>
      <c r="P126" s="579"/>
      <c r="Q126" s="579"/>
    </row>
    <row r="127" spans="1:17" ht="16" thickTop="1">
      <c r="A127" s="683" t="s">
        <v>1509</v>
      </c>
      <c r="B127" s="693"/>
      <c r="C127" s="1196">
        <f>G127</f>
        <v>0.90263254118894554</v>
      </c>
      <c r="D127" s="1196">
        <f>H127-G127</f>
        <v>0.20503034569231926</v>
      </c>
      <c r="E127" s="1196">
        <f t="shared" si="15"/>
        <v>1</v>
      </c>
      <c r="F127" s="1196">
        <f t="shared" si="15"/>
        <v>0.5</v>
      </c>
      <c r="G127" s="1198">
        <f>F79</f>
        <v>0.90263254118894554</v>
      </c>
      <c r="H127" s="1199">
        <f>G79</f>
        <v>1.1076628868812648</v>
      </c>
      <c r="I127" s="1192">
        <f>AVERAGE(G127:H127)</f>
        <v>1.0051477140351053</v>
      </c>
      <c r="O127" s="579"/>
      <c r="P127" s="579"/>
      <c r="Q127" s="579"/>
    </row>
    <row r="128" spans="1:17" ht="16" thickBot="1">
      <c r="A128" s="683" t="s">
        <v>1510</v>
      </c>
      <c r="B128" s="693"/>
      <c r="C128" s="1196">
        <f>G128</f>
        <v>0.69243785738406172</v>
      </c>
      <c r="D128" s="1196">
        <f>ABS(H128-G128)</f>
        <v>0.20403364418863479</v>
      </c>
      <c r="E128" s="1196">
        <f t="shared" si="15"/>
        <v>1</v>
      </c>
      <c r="F128" s="1196">
        <f t="shared" si="15"/>
        <v>0.5</v>
      </c>
      <c r="G128" s="1200">
        <f>H79</f>
        <v>0.69243785738406172</v>
      </c>
      <c r="H128" s="1201">
        <f>I79</f>
        <v>0.89647150157269651</v>
      </c>
      <c r="I128" s="1192">
        <f>AVERAGE(G128:H128)</f>
        <v>0.79445467947837911</v>
      </c>
      <c r="O128" s="579"/>
      <c r="P128" s="579"/>
      <c r="Q128" s="579"/>
    </row>
    <row r="129" spans="1:17" ht="16" thickTop="1" thickBot="1">
      <c r="A129" s="702"/>
      <c r="B129" s="703"/>
      <c r="C129" s="704"/>
      <c r="D129" s="704"/>
      <c r="E129" s="704">
        <f t="shared" si="15"/>
        <v>1</v>
      </c>
      <c r="F129" s="704">
        <f t="shared" si="15"/>
        <v>0.5</v>
      </c>
      <c r="G129" s="705"/>
      <c r="H129" s="705"/>
      <c r="I129" s="706"/>
      <c r="O129" s="579"/>
      <c r="P129" s="579"/>
      <c r="Q129" s="579"/>
    </row>
    <row r="130" spans="1:17">
      <c r="A130" s="708"/>
      <c r="B130" s="708"/>
      <c r="C130" s="708"/>
      <c r="D130" s="708"/>
      <c r="E130" s="708"/>
      <c r="F130" s="708"/>
      <c r="G130" s="708"/>
      <c r="H130" s="708"/>
      <c r="I130" s="708"/>
      <c r="P130" s="579"/>
      <c r="Q130" s="579"/>
    </row>
    <row r="131" spans="1:17">
      <c r="A131" s="619" t="s">
        <v>1520</v>
      </c>
    </row>
    <row r="146" spans="1:9" ht="15" thickBot="1">
      <c r="A146" s="619" t="s">
        <v>1520</v>
      </c>
      <c r="E146" s="985"/>
      <c r="F146" s="985"/>
      <c r="G146" s="985"/>
    </row>
    <row r="147" spans="1:9">
      <c r="A147" s="709"/>
      <c r="B147" s="670"/>
      <c r="C147" s="670"/>
      <c r="D147" s="670"/>
      <c r="E147" s="987"/>
      <c r="F147" s="987"/>
      <c r="G147" s="987"/>
      <c r="H147" s="670"/>
      <c r="I147" s="671"/>
    </row>
    <row r="148" spans="1:9" ht="15" thickBot="1">
      <c r="A148" s="676"/>
      <c r="B148" s="988"/>
      <c r="C148" s="989"/>
      <c r="D148" s="989"/>
      <c r="E148" s="989" t="s">
        <v>1501</v>
      </c>
      <c r="F148" s="989" t="s">
        <v>1502</v>
      </c>
      <c r="G148" s="989" t="s">
        <v>1499</v>
      </c>
      <c r="H148" s="989" t="s">
        <v>1500</v>
      </c>
      <c r="I148" s="1202"/>
    </row>
    <row r="149" spans="1:9" ht="16" thickTop="1" thickBot="1">
      <c r="A149" s="676"/>
      <c r="B149" s="989"/>
      <c r="C149" s="989"/>
      <c r="D149" s="989"/>
      <c r="E149" s="990">
        <v>700</v>
      </c>
      <c r="F149" s="991">
        <v>900</v>
      </c>
      <c r="G149" s="992"/>
      <c r="H149" s="992"/>
      <c r="I149" s="1202"/>
    </row>
    <row r="150" spans="1:9" ht="15" thickTop="1">
      <c r="A150" s="683" t="s">
        <v>1504</v>
      </c>
      <c r="B150" s="1203">
        <f>추정!E19</f>
        <v>736.24297959278351</v>
      </c>
      <c r="C150" s="993"/>
      <c r="D150" s="993"/>
      <c r="E150" s="993">
        <f t="shared" ref="E150:F156" si="16">E149</f>
        <v>700</v>
      </c>
      <c r="F150" s="993">
        <f t="shared" si="16"/>
        <v>900</v>
      </c>
      <c r="G150" s="994">
        <f>B150</f>
        <v>736.24297959278351</v>
      </c>
      <c r="H150" s="994">
        <f>B150</f>
        <v>736.24297959278351</v>
      </c>
      <c r="I150" s="1202"/>
    </row>
    <row r="151" spans="1:9">
      <c r="A151" s="683" t="s">
        <v>1505</v>
      </c>
      <c r="B151" s="1204">
        <f>추정!F19</f>
        <v>864.36645695612469</v>
      </c>
      <c r="C151" s="993"/>
      <c r="D151" s="993"/>
      <c r="E151" s="993">
        <f t="shared" si="16"/>
        <v>700</v>
      </c>
      <c r="F151" s="993">
        <f t="shared" si="16"/>
        <v>900</v>
      </c>
      <c r="G151" s="994">
        <f>B151</f>
        <v>864.36645695612469</v>
      </c>
      <c r="H151" s="994">
        <f>B151</f>
        <v>864.36645695612469</v>
      </c>
      <c r="I151" s="1202"/>
    </row>
    <row r="152" spans="1:9">
      <c r="A152" s="683" t="s">
        <v>1506</v>
      </c>
      <c r="B152" s="1204">
        <f>추정!G19</f>
        <v>805.97796181806541</v>
      </c>
      <c r="C152" s="993"/>
      <c r="D152" s="993"/>
      <c r="E152" s="993">
        <f t="shared" si="16"/>
        <v>700</v>
      </c>
      <c r="F152" s="993">
        <f t="shared" si="16"/>
        <v>900</v>
      </c>
      <c r="G152" s="994">
        <f>B152</f>
        <v>805.97796181806541</v>
      </c>
      <c r="H152" s="994">
        <f>B152</f>
        <v>805.97796181806541</v>
      </c>
      <c r="I152" s="1202"/>
    </row>
    <row r="153" spans="1:9" ht="15" thickBot="1">
      <c r="A153" s="683" t="s">
        <v>1507</v>
      </c>
      <c r="B153" s="1205">
        <f>추정!H19</f>
        <v>885.12586092883066</v>
      </c>
      <c r="C153" s="993"/>
      <c r="D153" s="993"/>
      <c r="E153" s="993">
        <f t="shared" si="16"/>
        <v>700</v>
      </c>
      <c r="F153" s="993">
        <f t="shared" si="16"/>
        <v>900</v>
      </c>
      <c r="G153" s="994">
        <f>B153</f>
        <v>885.12586092883066</v>
      </c>
      <c r="H153" s="994">
        <f>B153</f>
        <v>885.12586092883066</v>
      </c>
      <c r="I153" s="1202" t="s">
        <v>1508</v>
      </c>
    </row>
    <row r="154" spans="1:9" ht="16" thickTop="1">
      <c r="A154" s="683" t="s">
        <v>1509</v>
      </c>
      <c r="B154" s="989"/>
      <c r="C154" s="993">
        <f>G154</f>
        <v>870.48219729929338</v>
      </c>
      <c r="D154" s="993">
        <f>H154-G154</f>
        <v>-0.86092278319370052</v>
      </c>
      <c r="E154" s="993">
        <f t="shared" si="16"/>
        <v>700</v>
      </c>
      <c r="F154" s="993">
        <f t="shared" si="16"/>
        <v>900</v>
      </c>
      <c r="G154" s="995">
        <f>F77</f>
        <v>870.48219729929338</v>
      </c>
      <c r="H154" s="1206">
        <f>G77</f>
        <v>869.62127451609967</v>
      </c>
      <c r="I154" s="1202">
        <f>AVERAGE(G154:H154)</f>
        <v>870.05173590769652</v>
      </c>
    </row>
    <row r="155" spans="1:9" ht="16" thickBot="1">
      <c r="A155" s="683" t="s">
        <v>1510</v>
      </c>
      <c r="B155" s="989"/>
      <c r="C155" s="993">
        <f>G155</f>
        <v>876.96325237548058</v>
      </c>
      <c r="D155" s="993">
        <f>H155-G155</f>
        <v>-9.0058891499502352</v>
      </c>
      <c r="E155" s="993">
        <f t="shared" si="16"/>
        <v>700</v>
      </c>
      <c r="F155" s="993">
        <f t="shared" si="16"/>
        <v>900</v>
      </c>
      <c r="G155" s="996">
        <f>H77</f>
        <v>876.96325237548058</v>
      </c>
      <c r="H155" s="1207">
        <f>I77</f>
        <v>867.95736322553034</v>
      </c>
      <c r="I155" s="1202">
        <f>AVERAGE(G155:H155)</f>
        <v>872.46030780050546</v>
      </c>
    </row>
    <row r="156" spans="1:9" ht="16" thickTop="1" thickBot="1">
      <c r="A156" s="702"/>
      <c r="B156" s="703"/>
      <c r="C156" s="704"/>
      <c r="D156" s="704"/>
      <c r="E156" s="997">
        <f t="shared" si="16"/>
        <v>700</v>
      </c>
      <c r="F156" s="997">
        <f t="shared" si="16"/>
        <v>900</v>
      </c>
      <c r="G156" s="998"/>
      <c r="H156" s="705"/>
      <c r="I156" s="706"/>
    </row>
    <row r="157" spans="1:9">
      <c r="A157" s="677"/>
      <c r="B157" s="677"/>
      <c r="C157" s="685"/>
      <c r="D157" s="685"/>
      <c r="E157" s="993"/>
      <c r="F157" s="993"/>
      <c r="G157" s="992"/>
      <c r="H157" s="681"/>
      <c r="I157" s="677"/>
    </row>
    <row r="158" spans="1:9">
      <c r="A158" s="677"/>
      <c r="B158" s="677"/>
      <c r="C158" s="685"/>
      <c r="D158" s="685"/>
      <c r="E158" s="993"/>
      <c r="F158" s="993"/>
      <c r="G158" s="992"/>
      <c r="H158" s="681"/>
      <c r="I158" s="677"/>
    </row>
    <row r="159" spans="1:9">
      <c r="A159" s="677"/>
      <c r="B159" s="677"/>
      <c r="C159" s="685"/>
      <c r="D159" s="685"/>
      <c r="E159" s="993"/>
      <c r="F159" s="993"/>
      <c r="G159" s="992"/>
      <c r="H159" s="681"/>
      <c r="I159" s="677"/>
    </row>
    <row r="160" spans="1:9">
      <c r="A160" s="619" t="s">
        <v>1494</v>
      </c>
      <c r="B160" s="677"/>
      <c r="C160" s="685"/>
      <c r="D160" s="685"/>
      <c r="E160" s="993"/>
      <c r="F160" s="993"/>
      <c r="G160" s="992"/>
      <c r="H160" s="681"/>
      <c r="I160" s="677"/>
    </row>
    <row r="161" spans="1:9">
      <c r="A161" s="677"/>
      <c r="B161" s="677"/>
      <c r="C161" s="685"/>
      <c r="D161" s="685"/>
      <c r="E161" s="993"/>
      <c r="F161" s="993"/>
      <c r="G161" s="992"/>
      <c r="H161" s="681"/>
      <c r="I161" s="677"/>
    </row>
    <row r="162" spans="1:9">
      <c r="A162" s="677"/>
      <c r="B162" s="677"/>
      <c r="C162" s="685"/>
      <c r="D162" s="685"/>
      <c r="E162" s="993"/>
      <c r="F162" s="993"/>
      <c r="G162" s="992"/>
      <c r="H162" s="681"/>
      <c r="I162" s="677"/>
    </row>
    <row r="163" spans="1:9">
      <c r="A163" s="677"/>
      <c r="B163" s="677"/>
      <c r="C163" s="685"/>
      <c r="D163" s="685"/>
      <c r="E163" s="993"/>
      <c r="F163" s="993"/>
      <c r="G163" s="992"/>
      <c r="H163" s="681"/>
      <c r="I163" s="677"/>
    </row>
    <row r="164" spans="1:9">
      <c r="A164" s="677"/>
      <c r="B164" s="677"/>
      <c r="C164" s="685"/>
      <c r="D164" s="685"/>
      <c r="E164" s="993"/>
      <c r="F164" s="993"/>
      <c r="G164" s="992"/>
      <c r="H164" s="681"/>
      <c r="I164" s="677"/>
    </row>
    <row r="165" spans="1:9">
      <c r="A165" s="677"/>
      <c r="B165" s="677"/>
      <c r="C165" s="685"/>
      <c r="D165" s="685"/>
      <c r="E165" s="993"/>
      <c r="F165" s="993"/>
      <c r="G165" s="992"/>
      <c r="H165" s="681"/>
      <c r="I165" s="677"/>
    </row>
    <row r="166" spans="1:9">
      <c r="A166" s="677"/>
      <c r="B166" s="677"/>
      <c r="C166" s="685"/>
      <c r="D166" s="685"/>
      <c r="E166" s="993"/>
      <c r="F166" s="993"/>
      <c r="G166" s="992"/>
      <c r="H166" s="681"/>
      <c r="I166" s="677"/>
    </row>
    <row r="167" spans="1:9">
      <c r="A167" s="677"/>
      <c r="B167" s="677"/>
      <c r="C167" s="685"/>
      <c r="D167" s="685"/>
      <c r="E167" s="993"/>
      <c r="F167" s="993"/>
      <c r="G167" s="992"/>
      <c r="H167" s="681"/>
      <c r="I167" s="677"/>
    </row>
    <row r="168" spans="1:9">
      <c r="A168" s="677"/>
      <c r="B168" s="677"/>
      <c r="C168" s="685"/>
      <c r="D168" s="685"/>
      <c r="E168" s="993"/>
      <c r="F168" s="993"/>
      <c r="G168" s="992"/>
      <c r="H168" s="681"/>
      <c r="I168" s="677"/>
    </row>
    <row r="169" spans="1:9">
      <c r="A169" s="677"/>
      <c r="B169" s="677"/>
      <c r="C169" s="685"/>
      <c r="D169" s="685"/>
      <c r="E169" s="993"/>
      <c r="F169" s="993"/>
      <c r="G169" s="992"/>
      <c r="H169" s="681"/>
      <c r="I169" s="677"/>
    </row>
    <row r="170" spans="1:9">
      <c r="A170" s="677"/>
      <c r="B170" s="677"/>
      <c r="C170" s="685"/>
      <c r="D170" s="685"/>
      <c r="E170" s="993"/>
      <c r="F170" s="993"/>
      <c r="G170" s="992"/>
      <c r="H170" s="681"/>
      <c r="I170" s="677"/>
    </row>
    <row r="171" spans="1:9">
      <c r="A171" s="677"/>
      <c r="B171" s="677"/>
      <c r="C171" s="685"/>
      <c r="D171" s="685"/>
      <c r="E171" s="993"/>
      <c r="F171" s="993"/>
      <c r="G171" s="992"/>
      <c r="H171" s="681"/>
      <c r="I171" s="677"/>
    </row>
    <row r="172" spans="1:9">
      <c r="A172" s="677"/>
      <c r="B172" s="677"/>
      <c r="C172" s="685"/>
      <c r="D172" s="685"/>
      <c r="E172" s="993"/>
      <c r="F172" s="993"/>
      <c r="G172" s="992"/>
      <c r="H172" s="681"/>
      <c r="I172" s="677"/>
    </row>
    <row r="173" spans="1:9">
      <c r="A173" s="677"/>
      <c r="B173" s="677"/>
      <c r="C173" s="685"/>
      <c r="D173" s="685"/>
      <c r="E173" s="993"/>
      <c r="F173" s="993"/>
      <c r="G173" s="992"/>
      <c r="H173" s="681"/>
      <c r="I173" s="677"/>
    </row>
    <row r="174" spans="1:9" ht="15" thickBot="1">
      <c r="A174" s="677"/>
      <c r="B174" s="677"/>
      <c r="C174" s="685"/>
      <c r="D174" s="685"/>
      <c r="E174" s="993"/>
      <c r="F174" s="993"/>
      <c r="G174" s="992"/>
      <c r="H174" s="681"/>
      <c r="I174" s="677"/>
    </row>
    <row r="175" spans="1:9">
      <c r="A175" s="672" t="s">
        <v>1495</v>
      </c>
      <c r="B175" s="670"/>
      <c r="C175" s="670"/>
      <c r="D175" s="670"/>
      <c r="E175" s="987"/>
      <c r="F175" s="987"/>
      <c r="G175" s="987"/>
      <c r="H175" s="671"/>
    </row>
    <row r="176" spans="1:9">
      <c r="A176" s="673"/>
      <c r="B176" s="674"/>
      <c r="C176" s="674"/>
      <c r="D176" s="674"/>
      <c r="E176" s="988"/>
      <c r="F176" s="988"/>
      <c r="G176" s="988"/>
      <c r="H176" s="675"/>
    </row>
    <row r="177" spans="1:8" ht="15" thickBot="1">
      <c r="A177" s="676"/>
      <c r="B177" s="674"/>
      <c r="C177" s="677"/>
      <c r="D177" s="677"/>
      <c r="E177" s="989" t="s">
        <v>1501</v>
      </c>
      <c r="F177" s="989" t="s">
        <v>1502</v>
      </c>
      <c r="G177" s="989" t="s">
        <v>1499</v>
      </c>
      <c r="H177" s="678" t="s">
        <v>1500</v>
      </c>
    </row>
    <row r="178" spans="1:8" ht="16" thickTop="1" thickBot="1">
      <c r="A178" s="676"/>
      <c r="B178" s="677"/>
      <c r="C178" s="677"/>
      <c r="D178" s="677"/>
      <c r="E178" s="990">
        <v>2</v>
      </c>
      <c r="F178" s="991">
        <v>0.5</v>
      </c>
      <c r="G178" s="992"/>
      <c r="H178" s="682"/>
    </row>
    <row r="179" spans="1:8" ht="15" thickTop="1">
      <c r="A179" s="683" t="s">
        <v>1504</v>
      </c>
      <c r="B179" s="687">
        <f>추정!$E$8</f>
        <v>7.9819838678104329</v>
      </c>
      <c r="C179" s="685"/>
      <c r="D179" s="685"/>
      <c r="E179" s="993">
        <f t="shared" ref="E179:F185" si="17">E178</f>
        <v>2</v>
      </c>
      <c r="F179" s="993">
        <f t="shared" si="17"/>
        <v>0.5</v>
      </c>
      <c r="G179" s="994">
        <f>B179</f>
        <v>7.9819838678104329</v>
      </c>
      <c r="H179" s="688">
        <f>B179</f>
        <v>7.9819838678104329</v>
      </c>
    </row>
    <row r="180" spans="1:8">
      <c r="A180" s="683" t="s">
        <v>1505</v>
      </c>
      <c r="B180" s="690">
        <f>추정!$F$8</f>
        <v>7.1171966443611794</v>
      </c>
      <c r="C180" s="685"/>
      <c r="D180" s="685"/>
      <c r="E180" s="993">
        <f t="shared" si="17"/>
        <v>2</v>
      </c>
      <c r="F180" s="993">
        <f t="shared" si="17"/>
        <v>0.5</v>
      </c>
      <c r="G180" s="994">
        <f>B180</f>
        <v>7.1171966443611794</v>
      </c>
      <c r="H180" s="688">
        <f>B180</f>
        <v>7.1171966443611794</v>
      </c>
    </row>
    <row r="181" spans="1:8">
      <c r="A181" s="683" t="s">
        <v>1506</v>
      </c>
      <c r="B181" s="690">
        <f>추정!$G$8</f>
        <v>8.4392390931276928</v>
      </c>
      <c r="C181" s="685"/>
      <c r="D181" s="685"/>
      <c r="E181" s="993">
        <f t="shared" si="17"/>
        <v>2</v>
      </c>
      <c r="F181" s="993">
        <f t="shared" si="17"/>
        <v>0.5</v>
      </c>
      <c r="G181" s="994">
        <f>B181</f>
        <v>8.4392390931276928</v>
      </c>
      <c r="H181" s="688">
        <f>B181</f>
        <v>8.4392390931276928</v>
      </c>
    </row>
    <row r="182" spans="1:8" ht="15" thickBot="1">
      <c r="A182" s="683" t="s">
        <v>1507</v>
      </c>
      <c r="B182" s="692">
        <f>추정!$H$8</f>
        <v>9.589610500876109</v>
      </c>
      <c r="C182" s="685"/>
      <c r="D182" s="685"/>
      <c r="E182" s="993">
        <f t="shared" si="17"/>
        <v>2</v>
      </c>
      <c r="F182" s="993">
        <f t="shared" si="17"/>
        <v>0.5</v>
      </c>
      <c r="G182" s="994">
        <f>B182</f>
        <v>9.589610500876109</v>
      </c>
      <c r="H182" s="688">
        <f>B182</f>
        <v>9.589610500876109</v>
      </c>
    </row>
    <row r="183" spans="1:8" ht="16" thickTop="1">
      <c r="A183" s="683" t="s">
        <v>1509</v>
      </c>
      <c r="B183" s="693"/>
      <c r="C183" s="694">
        <f>G183</f>
        <v>9.7411910590995401</v>
      </c>
      <c r="D183" s="694">
        <f>H183-G183</f>
        <v>0.49412902301047978</v>
      </c>
      <c r="E183" s="993">
        <f t="shared" si="17"/>
        <v>2</v>
      </c>
      <c r="F183" s="993">
        <f t="shared" si="17"/>
        <v>0.5</v>
      </c>
      <c r="G183" s="995">
        <f>F76</f>
        <v>9.7411910590995401</v>
      </c>
      <c r="H183" s="698">
        <f>G76</f>
        <v>10.23532008211002</v>
      </c>
    </row>
    <row r="184" spans="1:8" ht="16" thickBot="1">
      <c r="A184" s="683" t="s">
        <v>1510</v>
      </c>
      <c r="B184" s="693"/>
      <c r="C184" s="694">
        <f>G184</f>
        <v>9.8295743584796931</v>
      </c>
      <c r="D184" s="694">
        <f>H184-G184</f>
        <v>0.22588984827689806</v>
      </c>
      <c r="E184" s="993">
        <f t="shared" si="17"/>
        <v>2</v>
      </c>
      <c r="F184" s="993">
        <f t="shared" si="17"/>
        <v>0.5</v>
      </c>
      <c r="G184" s="996">
        <f>H76</f>
        <v>9.8295743584796931</v>
      </c>
      <c r="H184" s="701">
        <f>I76</f>
        <v>10.055464206756591</v>
      </c>
    </row>
    <row r="185" spans="1:8" ht="16" thickTop="1" thickBot="1">
      <c r="A185" s="702"/>
      <c r="B185" s="703"/>
      <c r="C185" s="704"/>
      <c r="D185" s="704"/>
      <c r="E185" s="997">
        <f t="shared" si="17"/>
        <v>2</v>
      </c>
      <c r="F185" s="997">
        <f t="shared" si="17"/>
        <v>0.5</v>
      </c>
      <c r="G185" s="998"/>
      <c r="H185" s="707"/>
    </row>
    <row r="187" spans="1:8">
      <c r="A187" s="985"/>
      <c r="B187" s="985"/>
    </row>
    <row r="195" spans="1:7">
      <c r="A195" s="619" t="s">
        <v>1511</v>
      </c>
      <c r="G195" s="619" t="s">
        <v>1512</v>
      </c>
    </row>
    <row r="209" spans="1:19" ht="15" thickBot="1"/>
    <row r="210" spans="1:19">
      <c r="A210" s="669" t="s">
        <v>1511</v>
      </c>
      <c r="B210" s="670"/>
      <c r="C210" s="670"/>
      <c r="D210" s="670"/>
      <c r="E210" s="670"/>
      <c r="F210" s="670"/>
      <c r="G210" s="670"/>
      <c r="H210" s="670"/>
      <c r="I210" s="671"/>
      <c r="K210" s="669" t="s">
        <v>1512</v>
      </c>
      <c r="L210" s="670"/>
      <c r="M210" s="670"/>
      <c r="N210" s="670"/>
      <c r="O210" s="987"/>
      <c r="P210" s="987"/>
      <c r="Q210" s="987"/>
      <c r="R210" s="670"/>
      <c r="S210" s="671"/>
    </row>
    <row r="211" spans="1:19">
      <c r="A211" s="673"/>
      <c r="B211" s="674"/>
      <c r="C211" s="674"/>
      <c r="D211" s="674"/>
      <c r="E211" s="674"/>
      <c r="F211" s="674"/>
      <c r="G211" s="674"/>
      <c r="H211" s="674"/>
      <c r="I211" s="675"/>
      <c r="K211" s="673"/>
      <c r="L211" s="674"/>
      <c r="M211" s="674"/>
      <c r="N211" s="674"/>
      <c r="O211" s="988"/>
      <c r="P211" s="988"/>
      <c r="Q211" s="988"/>
      <c r="R211" s="674"/>
      <c r="S211" s="675"/>
    </row>
    <row r="212" spans="1:19" ht="15" thickBot="1">
      <c r="A212" s="676"/>
      <c r="B212" s="677" t="s">
        <v>1458</v>
      </c>
      <c r="C212" s="677"/>
      <c r="D212" s="677"/>
      <c r="E212" s="677" t="s">
        <v>1501</v>
      </c>
      <c r="F212" s="677" t="s">
        <v>1502</v>
      </c>
      <c r="G212" s="677" t="s">
        <v>1499</v>
      </c>
      <c r="H212" s="677" t="s">
        <v>1500</v>
      </c>
      <c r="I212" s="678"/>
      <c r="K212" s="676"/>
      <c r="L212" s="677" t="s">
        <v>1487</v>
      </c>
      <c r="M212" s="677"/>
      <c r="N212" s="677"/>
      <c r="O212" s="989" t="s">
        <v>1501</v>
      </c>
      <c r="P212" s="989" t="s">
        <v>1502</v>
      </c>
      <c r="Q212" s="989" t="s">
        <v>1499</v>
      </c>
      <c r="R212" s="677" t="s">
        <v>1500</v>
      </c>
      <c r="S212" s="678"/>
    </row>
    <row r="213" spans="1:19" ht="16" thickTop="1" thickBot="1">
      <c r="A213" s="676"/>
      <c r="B213" s="677"/>
      <c r="C213" s="677"/>
      <c r="D213" s="677"/>
      <c r="E213" s="679">
        <v>90</v>
      </c>
      <c r="F213" s="680">
        <v>70</v>
      </c>
      <c r="G213" s="681"/>
      <c r="H213" s="681"/>
      <c r="I213" s="678"/>
      <c r="K213" s="676"/>
      <c r="L213" s="677"/>
      <c r="M213" s="677"/>
      <c r="N213" s="677"/>
      <c r="O213" s="990">
        <v>500</v>
      </c>
      <c r="P213" s="991">
        <v>350</v>
      </c>
      <c r="Q213" s="992"/>
      <c r="R213" s="681"/>
      <c r="S213" s="678"/>
    </row>
    <row r="214" spans="1:19" ht="15" thickTop="1">
      <c r="A214" s="683" t="s">
        <v>1504</v>
      </c>
      <c r="B214" s="684">
        <f>추정!E14</f>
        <v>94.998867682366182</v>
      </c>
      <c r="C214" s="685"/>
      <c r="D214" s="685"/>
      <c r="E214" s="685">
        <f t="shared" ref="E214:F220" si="18">E213</f>
        <v>90</v>
      </c>
      <c r="F214" s="685">
        <f t="shared" si="18"/>
        <v>70</v>
      </c>
      <c r="G214" s="686">
        <f>B214</f>
        <v>94.998867682366182</v>
      </c>
      <c r="H214" s="686">
        <f>B214</f>
        <v>94.998867682366182</v>
      </c>
      <c r="I214" s="678"/>
      <c r="K214" s="683" t="s">
        <v>1504</v>
      </c>
      <c r="L214" s="684"/>
      <c r="M214" s="685"/>
      <c r="N214" s="685"/>
      <c r="O214" s="993">
        <f t="shared" ref="O214:P220" si="19">O213</f>
        <v>500</v>
      </c>
      <c r="P214" s="993">
        <f t="shared" si="19"/>
        <v>350</v>
      </c>
      <c r="Q214" s="994">
        <f>L214</f>
        <v>0</v>
      </c>
      <c r="R214" s="686">
        <f>L214</f>
        <v>0</v>
      </c>
      <c r="S214" s="678"/>
    </row>
    <row r="215" spans="1:19">
      <c r="A215" s="683" t="s">
        <v>1505</v>
      </c>
      <c r="B215" s="689">
        <f>추정!F14</f>
        <v>101.48056699372781</v>
      </c>
      <c r="C215" s="685"/>
      <c r="D215" s="685"/>
      <c r="E215" s="685">
        <f t="shared" si="18"/>
        <v>90</v>
      </c>
      <c r="F215" s="685">
        <f t="shared" si="18"/>
        <v>70</v>
      </c>
      <c r="G215" s="686">
        <f>B215</f>
        <v>101.48056699372781</v>
      </c>
      <c r="H215" s="686">
        <f>B215</f>
        <v>101.48056699372781</v>
      </c>
      <c r="I215" s="678"/>
      <c r="K215" s="683" t="s">
        <v>1505</v>
      </c>
      <c r="L215" s="689"/>
      <c r="M215" s="685"/>
      <c r="N215" s="685"/>
      <c r="O215" s="993">
        <f t="shared" si="19"/>
        <v>500</v>
      </c>
      <c r="P215" s="993">
        <f t="shared" si="19"/>
        <v>350</v>
      </c>
      <c r="Q215" s="994">
        <f>L215</f>
        <v>0</v>
      </c>
      <c r="R215" s="686">
        <f>L215</f>
        <v>0</v>
      </c>
      <c r="S215" s="678"/>
    </row>
    <row r="216" spans="1:19">
      <c r="A216" s="683" t="s">
        <v>1513</v>
      </c>
      <c r="B216" s="689">
        <f>추정!G14</f>
        <v>123.80934901171914</v>
      </c>
      <c r="C216" s="685"/>
      <c r="D216" s="685"/>
      <c r="E216" s="685">
        <f t="shared" si="18"/>
        <v>90</v>
      </c>
      <c r="F216" s="685">
        <f t="shared" si="18"/>
        <v>70</v>
      </c>
      <c r="G216" s="686">
        <f>B216</f>
        <v>123.80934901171914</v>
      </c>
      <c r="H216" s="686">
        <f>B216</f>
        <v>123.80934901171914</v>
      </c>
      <c r="I216" s="678"/>
      <c r="K216" s="683" t="s">
        <v>1513</v>
      </c>
      <c r="L216" s="689"/>
      <c r="M216" s="685"/>
      <c r="N216" s="685"/>
      <c r="O216" s="993">
        <f t="shared" si="19"/>
        <v>500</v>
      </c>
      <c r="P216" s="993">
        <f t="shared" si="19"/>
        <v>350</v>
      </c>
      <c r="Q216" s="994"/>
      <c r="R216" s="686"/>
      <c r="S216" s="678"/>
    </row>
    <row r="217" spans="1:19" ht="15" thickBot="1">
      <c r="A217" s="683" t="s">
        <v>1514</v>
      </c>
      <c r="B217" s="691">
        <f>추정!H14</f>
        <v>289.0339069506432</v>
      </c>
      <c r="C217" s="685"/>
      <c r="D217" s="685"/>
      <c r="E217" s="685">
        <f t="shared" si="18"/>
        <v>90</v>
      </c>
      <c r="F217" s="685">
        <f t="shared" si="18"/>
        <v>70</v>
      </c>
      <c r="G217" s="686">
        <f>B217</f>
        <v>289.0339069506432</v>
      </c>
      <c r="H217" s="686">
        <f>B217</f>
        <v>289.0339069506432</v>
      </c>
      <c r="I217" s="678" t="s">
        <v>1515</v>
      </c>
      <c r="K217" s="683" t="s">
        <v>1516</v>
      </c>
      <c r="L217" s="691">
        <f>C72</f>
        <v>1479.2</v>
      </c>
      <c r="M217" s="685"/>
      <c r="N217" s="685"/>
      <c r="O217" s="993">
        <f t="shared" si="19"/>
        <v>500</v>
      </c>
      <c r="P217" s="993">
        <f t="shared" si="19"/>
        <v>350</v>
      </c>
      <c r="Q217" s="994">
        <f>L217</f>
        <v>1479.2</v>
      </c>
      <c r="R217" s="686">
        <f>L217</f>
        <v>1479.2</v>
      </c>
      <c r="S217" s="678" t="s">
        <v>1515</v>
      </c>
    </row>
    <row r="218" spans="1:19" ht="16" thickTop="1">
      <c r="A218" s="683" t="s">
        <v>1517</v>
      </c>
      <c r="B218" s="693"/>
      <c r="C218" s="694">
        <f>G218</f>
        <v>226.3</v>
      </c>
      <c r="D218" s="694">
        <f>H218-G218</f>
        <v>25.799999999999983</v>
      </c>
      <c r="E218" s="685">
        <f t="shared" si="18"/>
        <v>90</v>
      </c>
      <c r="F218" s="685">
        <f t="shared" si="18"/>
        <v>70</v>
      </c>
      <c r="G218" s="695">
        <f>G37</f>
        <v>226.3</v>
      </c>
      <c r="H218" s="696">
        <f>M37</f>
        <v>252.1</v>
      </c>
      <c r="I218" s="697">
        <f>AVERAGE(G218:H218)</f>
        <v>239.2</v>
      </c>
      <c r="K218" s="683" t="s">
        <v>1517</v>
      </c>
      <c r="L218" s="693"/>
      <c r="M218" s="694">
        <f>Q218</f>
        <v>1132.5022393295183</v>
      </c>
      <c r="N218" s="694">
        <f>R218-Q218</f>
        <v>251.9783903374389</v>
      </c>
      <c r="O218" s="993">
        <f t="shared" si="19"/>
        <v>500</v>
      </c>
      <c r="P218" s="993">
        <f t="shared" si="19"/>
        <v>350</v>
      </c>
      <c r="Q218" s="995">
        <f>F72</f>
        <v>1132.5022393295183</v>
      </c>
      <c r="R218" s="696">
        <f>G72</f>
        <v>1384.4806296669572</v>
      </c>
      <c r="S218" s="697">
        <f>AVERAGE(Q218:R218)</f>
        <v>1258.4914344982376</v>
      </c>
    </row>
    <row r="219" spans="1:19" ht="16" thickBot="1">
      <c r="A219" s="683" t="s">
        <v>1518</v>
      </c>
      <c r="B219" s="693"/>
      <c r="C219" s="694">
        <f>G219</f>
        <v>181.8</v>
      </c>
      <c r="D219" s="694">
        <f>ABS(H219-G219)</f>
        <v>50.699999999999989</v>
      </c>
      <c r="E219" s="685">
        <f t="shared" si="18"/>
        <v>90</v>
      </c>
      <c r="F219" s="685">
        <f t="shared" si="18"/>
        <v>70</v>
      </c>
      <c r="G219" s="699">
        <f>H37</f>
        <v>181.8</v>
      </c>
      <c r="H219" s="700">
        <f>N37</f>
        <v>232.5</v>
      </c>
      <c r="I219" s="697">
        <f>AVERAGE(G219:H219)</f>
        <v>207.15</v>
      </c>
      <c r="K219" s="683" t="s">
        <v>1510</v>
      </c>
      <c r="L219" s="693"/>
      <c r="M219" s="694">
        <f>Q219</f>
        <v>1159.316849973593</v>
      </c>
      <c r="N219" s="694">
        <f>ABS(R219-Q219)</f>
        <v>263.86904041884327</v>
      </c>
      <c r="O219" s="993">
        <f t="shared" si="19"/>
        <v>500</v>
      </c>
      <c r="P219" s="993">
        <f t="shared" si="19"/>
        <v>350</v>
      </c>
      <c r="Q219" s="996">
        <f>H72</f>
        <v>1159.316849973593</v>
      </c>
      <c r="R219" s="700">
        <f>I72</f>
        <v>1423.1858903924362</v>
      </c>
      <c r="S219" s="697">
        <f>AVERAGE(Q219:R219)</f>
        <v>1291.2513701830146</v>
      </c>
    </row>
    <row r="220" spans="1:19" ht="16" thickTop="1" thickBot="1">
      <c r="A220" s="702"/>
      <c r="B220" s="703"/>
      <c r="C220" s="704"/>
      <c r="D220" s="704"/>
      <c r="E220" s="704">
        <f t="shared" si="18"/>
        <v>90</v>
      </c>
      <c r="F220" s="704">
        <f t="shared" si="18"/>
        <v>70</v>
      </c>
      <c r="G220" s="705"/>
      <c r="H220" s="705"/>
      <c r="I220" s="706"/>
      <c r="K220" s="702"/>
      <c r="L220" s="703"/>
      <c r="M220" s="704"/>
      <c r="N220" s="704"/>
      <c r="O220" s="997">
        <f t="shared" si="19"/>
        <v>500</v>
      </c>
      <c r="P220" s="997">
        <f t="shared" si="19"/>
        <v>350</v>
      </c>
      <c r="Q220" s="998"/>
      <c r="R220" s="705"/>
      <c r="S220" s="706"/>
    </row>
    <row r="222" spans="1:19">
      <c r="A222" s="619" t="s">
        <v>1519</v>
      </c>
    </row>
    <row r="223" spans="1:19">
      <c r="G223" s="619"/>
      <c r="K223" s="619"/>
    </row>
    <row r="236" spans="1:17" ht="15" thickBot="1">
      <c r="A236" s="619" t="s">
        <v>1519</v>
      </c>
      <c r="O236" s="579"/>
      <c r="P236" s="579"/>
      <c r="Q236" s="579"/>
    </row>
    <row r="237" spans="1:17">
      <c r="A237" s="709"/>
      <c r="B237" s="670"/>
      <c r="C237" s="670"/>
      <c r="D237" s="670"/>
      <c r="E237" s="670"/>
      <c r="F237" s="670"/>
      <c r="G237" s="670"/>
      <c r="H237" s="670"/>
      <c r="I237" s="671"/>
      <c r="O237" s="579"/>
      <c r="P237" s="579"/>
      <c r="Q237" s="579"/>
    </row>
    <row r="238" spans="1:17" ht="15" thickBot="1">
      <c r="A238" s="676"/>
      <c r="B238" s="674"/>
      <c r="C238" s="677"/>
      <c r="D238" s="677"/>
      <c r="E238" s="677" t="s">
        <v>1501</v>
      </c>
      <c r="F238" s="677" t="s">
        <v>1502</v>
      </c>
      <c r="G238" s="677" t="s">
        <v>1499</v>
      </c>
      <c r="H238" s="677" t="s">
        <v>1500</v>
      </c>
      <c r="I238" s="678"/>
      <c r="O238" s="579"/>
      <c r="P238" s="579"/>
      <c r="Q238" s="579"/>
    </row>
    <row r="239" spans="1:17" ht="16" thickTop="1" thickBot="1">
      <c r="A239" s="676"/>
      <c r="B239" s="677"/>
      <c r="C239" s="677"/>
      <c r="D239" s="677"/>
      <c r="E239" s="679">
        <v>110</v>
      </c>
      <c r="F239" s="680">
        <v>100</v>
      </c>
      <c r="G239" s="681"/>
      <c r="H239" s="681"/>
      <c r="I239" s="678"/>
      <c r="O239" s="579"/>
      <c r="P239" s="579"/>
      <c r="Q239" s="579"/>
    </row>
    <row r="240" spans="1:17" ht="15" thickTop="1">
      <c r="A240" s="683" t="s">
        <v>1504</v>
      </c>
      <c r="B240" s="687">
        <f>추정!E12</f>
        <v>169.06138115316116</v>
      </c>
      <c r="C240" s="685"/>
      <c r="D240" s="685"/>
      <c r="E240" s="685">
        <f t="shared" ref="E240:F246" si="20">E239</f>
        <v>110</v>
      </c>
      <c r="F240" s="685">
        <f t="shared" si="20"/>
        <v>100</v>
      </c>
      <c r="G240" s="686">
        <f>B240</f>
        <v>169.06138115316116</v>
      </c>
      <c r="H240" s="686">
        <f>B240</f>
        <v>169.06138115316116</v>
      </c>
      <c r="I240" s="678"/>
      <c r="O240" s="579"/>
      <c r="P240" s="579"/>
      <c r="Q240" s="579"/>
    </row>
    <row r="241" spans="1:19">
      <c r="A241" s="683" t="s">
        <v>1505</v>
      </c>
      <c r="B241" s="690">
        <f>추정!F12</f>
        <v>165.80829369368175</v>
      </c>
      <c r="C241" s="685"/>
      <c r="D241" s="685"/>
      <c r="E241" s="685">
        <f t="shared" si="20"/>
        <v>110</v>
      </c>
      <c r="F241" s="685">
        <f t="shared" si="20"/>
        <v>100</v>
      </c>
      <c r="G241" s="686">
        <f>B241</f>
        <v>165.80829369368175</v>
      </c>
      <c r="H241" s="686">
        <f>B241</f>
        <v>165.80829369368175</v>
      </c>
      <c r="I241" s="678"/>
      <c r="O241" s="579"/>
      <c r="P241" s="579"/>
      <c r="Q241" s="579"/>
    </row>
    <row r="242" spans="1:19">
      <c r="A242" s="683" t="s">
        <v>1506</v>
      </c>
      <c r="B242" s="690">
        <f>추정!G12</f>
        <v>164.53900493446474</v>
      </c>
      <c r="C242" s="685"/>
      <c r="D242" s="685"/>
      <c r="E242" s="685">
        <f t="shared" si="20"/>
        <v>110</v>
      </c>
      <c r="F242" s="685">
        <f t="shared" si="20"/>
        <v>100</v>
      </c>
      <c r="G242" s="686">
        <f>B242</f>
        <v>164.53900493446474</v>
      </c>
      <c r="H242" s="686">
        <f>B242</f>
        <v>164.53900493446474</v>
      </c>
      <c r="I242" s="678"/>
      <c r="O242" s="579"/>
      <c r="P242" s="579"/>
      <c r="Q242" s="579"/>
    </row>
    <row r="243" spans="1:19" ht="15" thickBot="1">
      <c r="A243" s="683" t="s">
        <v>1507</v>
      </c>
      <c r="B243" s="692">
        <f>추정!H12</f>
        <v>213.75220057966396</v>
      </c>
      <c r="C243" s="685"/>
      <c r="D243" s="685"/>
      <c r="E243" s="685">
        <f t="shared" si="20"/>
        <v>110</v>
      </c>
      <c r="F243" s="685">
        <f t="shared" si="20"/>
        <v>100</v>
      </c>
      <c r="G243" s="686">
        <f>B243</f>
        <v>213.75220057966396</v>
      </c>
      <c r="H243" s="686">
        <f>B243</f>
        <v>213.75220057966396</v>
      </c>
      <c r="I243" s="678" t="s">
        <v>1508</v>
      </c>
      <c r="O243" s="579"/>
      <c r="P243" s="579"/>
      <c r="Q243" s="579"/>
    </row>
    <row r="244" spans="1:19" ht="16" thickTop="1">
      <c r="A244" s="683" t="s">
        <v>1509</v>
      </c>
      <c r="B244" s="693"/>
      <c r="C244" s="694">
        <f>G244</f>
        <v>185.32998685797034</v>
      </c>
      <c r="D244" s="694">
        <f>H244-G244</f>
        <v>18.648097010917212</v>
      </c>
      <c r="E244" s="685">
        <f t="shared" si="20"/>
        <v>110</v>
      </c>
      <c r="F244" s="685">
        <f t="shared" si="20"/>
        <v>100</v>
      </c>
      <c r="G244" s="710">
        <f>G34</f>
        <v>185.32998685797034</v>
      </c>
      <c r="H244" s="711">
        <f>M34</f>
        <v>203.97808386888755</v>
      </c>
      <c r="I244" s="697">
        <f>AVERAGE(G244:H244)</f>
        <v>194.65403536342893</v>
      </c>
      <c r="O244" s="579"/>
      <c r="P244" s="579"/>
      <c r="Q244" s="579"/>
    </row>
    <row r="245" spans="1:19" ht="16" thickBot="1">
      <c r="A245" s="683" t="s">
        <v>1510</v>
      </c>
      <c r="B245" s="693"/>
      <c r="C245" s="694">
        <f>G245</f>
        <v>162.39095040304778</v>
      </c>
      <c r="D245" s="694">
        <f>H245-G245</f>
        <v>19.444364366108914</v>
      </c>
      <c r="E245" s="685">
        <f t="shared" si="20"/>
        <v>110</v>
      </c>
      <c r="F245" s="685">
        <f t="shared" si="20"/>
        <v>100</v>
      </c>
      <c r="G245" s="712">
        <f>H34</f>
        <v>162.39095040304778</v>
      </c>
      <c r="H245" s="713">
        <f>N34</f>
        <v>181.8353147691567</v>
      </c>
      <c r="I245" s="697">
        <f>AVERAGE(G245:H245)</f>
        <v>172.11313258610224</v>
      </c>
      <c r="O245" s="579"/>
      <c r="P245" s="579"/>
      <c r="Q245" s="579"/>
    </row>
    <row r="246" spans="1:19" ht="16" thickTop="1" thickBot="1">
      <c r="A246" s="702"/>
      <c r="B246" s="703"/>
      <c r="C246" s="704"/>
      <c r="D246" s="704"/>
      <c r="E246" s="704">
        <f t="shared" si="20"/>
        <v>110</v>
      </c>
      <c r="F246" s="704">
        <f t="shared" si="20"/>
        <v>100</v>
      </c>
      <c r="G246" s="705"/>
      <c r="H246" s="705"/>
      <c r="I246" s="706"/>
      <c r="O246" s="579"/>
      <c r="P246" s="579"/>
      <c r="Q246" s="579"/>
    </row>
    <row r="247" spans="1:19">
      <c r="A247" s="677"/>
      <c r="B247" s="677"/>
      <c r="C247" s="685"/>
      <c r="D247" s="685"/>
      <c r="E247" s="685"/>
      <c r="F247" s="685"/>
      <c r="G247" s="681"/>
      <c r="H247" s="681"/>
      <c r="I247" s="677"/>
      <c r="O247" s="579"/>
      <c r="P247" s="579"/>
      <c r="Q247" s="579"/>
    </row>
    <row r="248" spans="1:19">
      <c r="A248" s="708" t="s">
        <v>1521</v>
      </c>
      <c r="B248" s="708"/>
      <c r="C248" s="708"/>
      <c r="D248" s="708"/>
      <c r="E248" s="708"/>
      <c r="F248" s="708"/>
      <c r="G248" s="708" t="s">
        <v>1522</v>
      </c>
      <c r="H248" s="708"/>
      <c r="I248" s="708"/>
      <c r="J248" s="708"/>
      <c r="O248" s="999"/>
      <c r="P248" s="999"/>
      <c r="Q248" s="999"/>
      <c r="R248" s="708"/>
      <c r="S248" s="708"/>
    </row>
    <row r="249" spans="1:19">
      <c r="A249" s="708"/>
      <c r="B249" s="708"/>
      <c r="C249" s="708"/>
      <c r="D249" s="708"/>
      <c r="E249" s="708"/>
      <c r="F249" s="708"/>
      <c r="G249" s="708"/>
      <c r="H249" s="708"/>
      <c r="I249" s="708"/>
      <c r="J249" s="708"/>
      <c r="O249" s="999"/>
      <c r="P249" s="999"/>
      <c r="Q249" s="999"/>
      <c r="R249" s="708"/>
      <c r="S249" s="708"/>
    </row>
    <row r="250" spans="1:19">
      <c r="A250" s="708"/>
      <c r="B250" s="708"/>
      <c r="C250" s="708"/>
      <c r="D250" s="708"/>
      <c r="E250" s="708"/>
      <c r="F250" s="708"/>
      <c r="G250" s="708"/>
      <c r="H250" s="708"/>
      <c r="I250" s="708"/>
      <c r="J250" s="708"/>
      <c r="O250" s="999"/>
      <c r="P250" s="999"/>
      <c r="Q250" s="999"/>
      <c r="R250" s="708"/>
      <c r="S250" s="708"/>
    </row>
    <row r="251" spans="1:19">
      <c r="A251" s="708"/>
      <c r="B251" s="708"/>
      <c r="C251" s="708"/>
      <c r="D251" s="708"/>
      <c r="E251" s="708"/>
      <c r="F251" s="708"/>
      <c r="G251" s="708"/>
      <c r="H251" s="708"/>
      <c r="I251" s="708"/>
      <c r="J251" s="708"/>
      <c r="O251" s="999"/>
      <c r="P251" s="999"/>
      <c r="Q251" s="999"/>
      <c r="R251" s="708"/>
      <c r="S251" s="708"/>
    </row>
    <row r="252" spans="1:19">
      <c r="A252" s="708"/>
      <c r="B252" s="708"/>
      <c r="C252" s="708"/>
      <c r="D252" s="708"/>
      <c r="E252" s="708"/>
      <c r="F252" s="708"/>
      <c r="G252" s="708"/>
      <c r="H252" s="708"/>
      <c r="I252" s="708"/>
      <c r="J252" s="708"/>
      <c r="O252" s="999"/>
      <c r="P252" s="999"/>
      <c r="Q252" s="999"/>
      <c r="R252" s="708"/>
      <c r="S252" s="708"/>
    </row>
    <row r="253" spans="1:19">
      <c r="A253" s="708"/>
      <c r="B253" s="708"/>
      <c r="C253" s="708"/>
      <c r="D253" s="708"/>
      <c r="E253" s="708"/>
      <c r="F253" s="708"/>
      <c r="G253" s="708"/>
      <c r="H253" s="708"/>
      <c r="I253" s="708"/>
      <c r="J253" s="708"/>
      <c r="O253" s="999"/>
      <c r="P253" s="999"/>
      <c r="Q253" s="999"/>
      <c r="R253" s="708"/>
      <c r="S253" s="708"/>
    </row>
    <row r="254" spans="1:19">
      <c r="A254" s="708"/>
      <c r="B254" s="708"/>
      <c r="C254" s="708"/>
      <c r="D254" s="708"/>
      <c r="E254" s="708"/>
      <c r="F254" s="708"/>
      <c r="G254" s="708"/>
      <c r="H254" s="708"/>
      <c r="I254" s="708"/>
      <c r="J254" s="708"/>
      <c r="O254" s="999"/>
      <c r="P254" s="999"/>
      <c r="Q254" s="999"/>
      <c r="R254" s="708"/>
      <c r="S254" s="708"/>
    </row>
    <row r="255" spans="1:19">
      <c r="A255" s="708"/>
      <c r="B255" s="708"/>
      <c r="C255" s="708"/>
      <c r="D255" s="708"/>
      <c r="E255" s="708"/>
      <c r="F255" s="708"/>
      <c r="G255" s="708"/>
      <c r="H255" s="708"/>
      <c r="I255" s="708"/>
      <c r="J255" s="708"/>
      <c r="O255" s="999"/>
      <c r="P255" s="999"/>
      <c r="Q255" s="999"/>
      <c r="R255" s="708"/>
      <c r="S255" s="708"/>
    </row>
    <row r="256" spans="1:19">
      <c r="A256" s="708"/>
      <c r="B256" s="708"/>
      <c r="C256" s="708"/>
      <c r="D256" s="708"/>
      <c r="E256" s="708"/>
      <c r="F256" s="708"/>
      <c r="G256" s="708"/>
      <c r="H256" s="708"/>
      <c r="I256" s="708"/>
      <c r="J256" s="708"/>
      <c r="O256" s="999"/>
      <c r="P256" s="999"/>
      <c r="Q256" s="999"/>
      <c r="R256" s="708"/>
      <c r="S256" s="708"/>
    </row>
    <row r="257" spans="1:19">
      <c r="A257" s="708"/>
      <c r="B257" s="708"/>
      <c r="C257" s="708"/>
      <c r="D257" s="708"/>
      <c r="E257" s="708"/>
      <c r="F257" s="708"/>
      <c r="G257" s="708"/>
      <c r="H257" s="708"/>
      <c r="I257" s="708"/>
      <c r="J257" s="708"/>
      <c r="O257" s="999"/>
      <c r="P257" s="999"/>
      <c r="Q257" s="999"/>
      <c r="R257" s="708"/>
      <c r="S257" s="708"/>
    </row>
    <row r="258" spans="1:19">
      <c r="A258" s="708"/>
      <c r="B258" s="708"/>
      <c r="C258" s="708"/>
      <c r="D258" s="708"/>
      <c r="E258" s="708"/>
      <c r="F258" s="708"/>
      <c r="G258" s="708"/>
      <c r="H258" s="708"/>
      <c r="I258" s="708"/>
      <c r="J258" s="708"/>
      <c r="O258" s="999"/>
      <c r="P258" s="999"/>
      <c r="Q258" s="999"/>
      <c r="R258" s="708"/>
      <c r="S258" s="708"/>
    </row>
    <row r="259" spans="1:19">
      <c r="A259" s="708"/>
      <c r="B259" s="708"/>
      <c r="C259" s="708"/>
      <c r="D259" s="708"/>
      <c r="E259" s="708"/>
      <c r="F259" s="708"/>
      <c r="G259" s="708"/>
      <c r="H259" s="708"/>
      <c r="I259" s="708"/>
      <c r="J259" s="708"/>
      <c r="O259" s="999"/>
      <c r="P259" s="999"/>
      <c r="Q259" s="999"/>
      <c r="R259" s="708"/>
      <c r="S259" s="708"/>
    </row>
    <row r="260" spans="1:19">
      <c r="A260" s="708"/>
      <c r="B260" s="708"/>
      <c r="C260" s="708"/>
      <c r="D260" s="708"/>
      <c r="E260" s="708"/>
      <c r="F260" s="708"/>
      <c r="G260" s="708"/>
      <c r="H260" s="708"/>
      <c r="I260" s="708"/>
      <c r="J260" s="708"/>
      <c r="O260" s="999"/>
      <c r="P260" s="999"/>
      <c r="Q260" s="999"/>
      <c r="R260" s="708"/>
      <c r="S260" s="708"/>
    </row>
    <row r="261" spans="1:19">
      <c r="A261" s="708"/>
      <c r="B261" s="708"/>
      <c r="C261" s="708"/>
      <c r="D261" s="708"/>
      <c r="E261" s="708"/>
      <c r="F261" s="708"/>
      <c r="G261" s="708"/>
      <c r="H261" s="708"/>
      <c r="I261" s="708"/>
      <c r="J261" s="708"/>
      <c r="K261" s="708"/>
      <c r="L261" s="708"/>
      <c r="M261" s="708"/>
      <c r="N261" s="708"/>
      <c r="O261" s="999"/>
      <c r="P261" s="999"/>
      <c r="Q261" s="999"/>
      <c r="R261" s="708"/>
      <c r="S261" s="708"/>
    </row>
    <row r="262" spans="1:19" ht="15" thickBot="1">
      <c r="A262" s="619" t="s">
        <v>1523</v>
      </c>
      <c r="J262" s="708"/>
      <c r="K262" s="619" t="s">
        <v>1524</v>
      </c>
    </row>
    <row r="263" spans="1:19">
      <c r="A263" s="709"/>
      <c r="B263" s="670"/>
      <c r="C263" s="670"/>
      <c r="D263" s="670"/>
      <c r="E263" s="670"/>
      <c r="F263" s="670"/>
      <c r="G263" s="670"/>
      <c r="H263" s="670"/>
      <c r="I263" s="671"/>
      <c r="J263" s="708"/>
      <c r="K263" s="709"/>
      <c r="L263" s="670"/>
      <c r="M263" s="670"/>
      <c r="N263" s="670"/>
      <c r="O263" s="987"/>
      <c r="P263" s="987"/>
      <c r="Q263" s="987"/>
      <c r="R263" s="670"/>
      <c r="S263" s="671"/>
    </row>
    <row r="264" spans="1:19" ht="15" thickBot="1">
      <c r="A264" s="676"/>
      <c r="B264" s="674"/>
      <c r="C264" s="677"/>
      <c r="D264" s="677"/>
      <c r="E264" s="677" t="s">
        <v>1501</v>
      </c>
      <c r="F264" s="677" t="s">
        <v>1502</v>
      </c>
      <c r="G264" s="677" t="s">
        <v>1499</v>
      </c>
      <c r="H264" s="677" t="s">
        <v>1500</v>
      </c>
      <c r="I264" s="678"/>
      <c r="J264" s="708"/>
      <c r="K264" s="676"/>
      <c r="L264" s="674"/>
      <c r="M264" s="677"/>
      <c r="N264" s="677"/>
      <c r="O264" s="989" t="s">
        <v>1501</v>
      </c>
      <c r="P264" s="989" t="s">
        <v>1502</v>
      </c>
      <c r="Q264" s="989" t="s">
        <v>1499</v>
      </c>
      <c r="R264" s="677" t="s">
        <v>1500</v>
      </c>
      <c r="S264" s="678"/>
    </row>
    <row r="265" spans="1:19" ht="16" thickTop="1" thickBot="1">
      <c r="A265" s="676"/>
      <c r="B265" s="677"/>
      <c r="C265" s="677"/>
      <c r="D265" s="677"/>
      <c r="E265" s="679">
        <v>150</v>
      </c>
      <c r="F265" s="680">
        <v>130</v>
      </c>
      <c r="G265" s="681"/>
      <c r="H265" s="681"/>
      <c r="I265" s="678"/>
      <c r="K265" s="676"/>
      <c r="L265" s="677"/>
      <c r="M265" s="677"/>
      <c r="N265" s="677"/>
      <c r="O265" s="990">
        <v>120</v>
      </c>
      <c r="P265" s="991">
        <v>110</v>
      </c>
      <c r="Q265" s="992"/>
      <c r="R265" s="681"/>
      <c r="S265" s="678"/>
    </row>
    <row r="266" spans="1:19" ht="15" thickTop="1">
      <c r="A266" s="683" t="s">
        <v>1504</v>
      </c>
      <c r="B266" s="687">
        <f>추정!$E$21</f>
        <v>131.13026293695475</v>
      </c>
      <c r="C266" s="685"/>
      <c r="D266" s="685"/>
      <c r="E266" s="685">
        <f t="shared" ref="E266:F272" si="21">E265</f>
        <v>150</v>
      </c>
      <c r="F266" s="685">
        <f t="shared" si="21"/>
        <v>130</v>
      </c>
      <c r="G266" s="686">
        <f>B266</f>
        <v>131.13026293695475</v>
      </c>
      <c r="H266" s="686">
        <f>B266</f>
        <v>131.13026293695475</v>
      </c>
      <c r="I266" s="678"/>
      <c r="K266" s="683" t="s">
        <v>1525</v>
      </c>
      <c r="L266" s="687" t="e">
        <f>추정!#REF!</f>
        <v>#REF!</v>
      </c>
      <c r="M266" s="685"/>
      <c r="N266" s="685"/>
      <c r="O266" s="993">
        <f t="shared" ref="O266:P272" si="22">O265</f>
        <v>120</v>
      </c>
      <c r="P266" s="993">
        <f t="shared" si="22"/>
        <v>110</v>
      </c>
      <c r="Q266" s="994" t="e">
        <f>L266</f>
        <v>#REF!</v>
      </c>
      <c r="R266" s="686" t="e">
        <f>L266</f>
        <v>#REF!</v>
      </c>
      <c r="S266" s="678"/>
    </row>
    <row r="267" spans="1:19">
      <c r="A267" s="683" t="s">
        <v>1505</v>
      </c>
      <c r="B267" s="690">
        <f>추정!$F$21</f>
        <v>138.79125205067746</v>
      </c>
      <c r="C267" s="685"/>
      <c r="D267" s="685"/>
      <c r="E267" s="685">
        <f t="shared" si="21"/>
        <v>150</v>
      </c>
      <c r="F267" s="685">
        <f t="shared" si="21"/>
        <v>130</v>
      </c>
      <c r="G267" s="686">
        <f>B267</f>
        <v>138.79125205067746</v>
      </c>
      <c r="H267" s="686">
        <f>B267</f>
        <v>138.79125205067746</v>
      </c>
      <c r="I267" s="678"/>
      <c r="J267" s="708"/>
      <c r="K267" s="683" t="s">
        <v>1505</v>
      </c>
      <c r="L267" s="690" t="e">
        <f>추정!#REF!</f>
        <v>#REF!</v>
      </c>
      <c r="M267" s="685"/>
      <c r="N267" s="685"/>
      <c r="O267" s="993">
        <f t="shared" si="22"/>
        <v>120</v>
      </c>
      <c r="P267" s="993">
        <f t="shared" si="22"/>
        <v>110</v>
      </c>
      <c r="Q267" s="994" t="e">
        <f>L267</f>
        <v>#REF!</v>
      </c>
      <c r="R267" s="686" t="e">
        <f>L267</f>
        <v>#REF!</v>
      </c>
      <c r="S267" s="678"/>
    </row>
    <row r="268" spans="1:19">
      <c r="A268" s="683" t="s">
        <v>1506</v>
      </c>
      <c r="B268" s="690">
        <f>추정!$G$21</f>
        <v>133.11711922354121</v>
      </c>
      <c r="C268" s="685"/>
      <c r="D268" s="685"/>
      <c r="E268" s="685">
        <f t="shared" si="21"/>
        <v>150</v>
      </c>
      <c r="F268" s="685">
        <f t="shared" si="21"/>
        <v>130</v>
      </c>
      <c r="G268" s="686">
        <f>B268</f>
        <v>133.11711922354121</v>
      </c>
      <c r="H268" s="686">
        <f>B268</f>
        <v>133.11711922354121</v>
      </c>
      <c r="I268" s="678"/>
      <c r="J268" s="708"/>
      <c r="K268" s="683" t="s">
        <v>1506</v>
      </c>
      <c r="L268" s="690" t="e">
        <f>추정!#REF!</f>
        <v>#REF!</v>
      </c>
      <c r="M268" s="685"/>
      <c r="N268" s="685"/>
      <c r="O268" s="993">
        <f t="shared" si="22"/>
        <v>120</v>
      </c>
      <c r="P268" s="993">
        <f t="shared" si="22"/>
        <v>110</v>
      </c>
      <c r="Q268" s="994" t="e">
        <f>L268</f>
        <v>#REF!</v>
      </c>
      <c r="R268" s="686" t="e">
        <f>L268</f>
        <v>#REF!</v>
      </c>
      <c r="S268" s="678"/>
    </row>
    <row r="269" spans="1:19" ht="15" thickBot="1">
      <c r="A269" s="683" t="s">
        <v>1507</v>
      </c>
      <c r="B269" s="692">
        <f>추정!$H$21</f>
        <v>129.5881283439667</v>
      </c>
      <c r="C269" s="685"/>
      <c r="D269" s="685"/>
      <c r="E269" s="685">
        <f t="shared" si="21"/>
        <v>150</v>
      </c>
      <c r="F269" s="685">
        <f t="shared" si="21"/>
        <v>130</v>
      </c>
      <c r="G269" s="686">
        <f>B269</f>
        <v>129.5881283439667</v>
      </c>
      <c r="H269" s="686">
        <f>B269</f>
        <v>129.5881283439667</v>
      </c>
      <c r="I269" s="678" t="s">
        <v>1508</v>
      </c>
      <c r="J269" s="708"/>
      <c r="K269" s="683" t="s">
        <v>1507</v>
      </c>
      <c r="L269" s="692" t="e">
        <f>추정!#REF!</f>
        <v>#REF!</v>
      </c>
      <c r="M269" s="685"/>
      <c r="N269" s="685"/>
      <c r="O269" s="993">
        <f t="shared" si="22"/>
        <v>120</v>
      </c>
      <c r="P269" s="993">
        <f t="shared" si="22"/>
        <v>110</v>
      </c>
      <c r="Q269" s="994" t="e">
        <f>L269</f>
        <v>#REF!</v>
      </c>
      <c r="R269" s="686" t="e">
        <f>L269</f>
        <v>#REF!</v>
      </c>
      <c r="S269" s="678" t="s">
        <v>1508</v>
      </c>
    </row>
    <row r="270" spans="1:19" ht="16" thickTop="1">
      <c r="A270" s="683" t="s">
        <v>1509</v>
      </c>
      <c r="B270" s="693"/>
      <c r="C270" s="694">
        <f>G270</f>
        <v>129.58857930893581</v>
      </c>
      <c r="D270" s="694">
        <f>H270-G270</f>
        <v>4.7553344525559567</v>
      </c>
      <c r="E270" s="685">
        <f t="shared" si="21"/>
        <v>150</v>
      </c>
      <c r="F270" s="685">
        <f t="shared" si="21"/>
        <v>130</v>
      </c>
      <c r="G270" s="710">
        <f>F78</f>
        <v>129.58857930893581</v>
      </c>
      <c r="H270" s="711">
        <f>G78</f>
        <v>134.34391376149176</v>
      </c>
      <c r="I270" s="697">
        <f>AVERAGE(G270:H270)</f>
        <v>131.96624653521377</v>
      </c>
      <c r="K270" s="683" t="s">
        <v>1509</v>
      </c>
      <c r="L270" s="693"/>
      <c r="M270" s="694">
        <f>Q270</f>
        <v>105.42630827165303</v>
      </c>
      <c r="N270" s="694">
        <f>R270-Q270</f>
        <v>4.2371581147901054</v>
      </c>
      <c r="O270" s="993">
        <f t="shared" si="22"/>
        <v>120</v>
      </c>
      <c r="P270" s="993">
        <f t="shared" si="22"/>
        <v>110</v>
      </c>
      <c r="Q270" s="995">
        <f>F80</f>
        <v>105.42630827165303</v>
      </c>
      <c r="R270" s="710">
        <f>G80</f>
        <v>109.66346638644313</v>
      </c>
      <c r="S270" s="697">
        <f>AVERAGE(Q270:R270)</f>
        <v>107.54488732904808</v>
      </c>
    </row>
    <row r="271" spans="1:19" ht="16" thickBot="1">
      <c r="A271" s="683" t="s">
        <v>1510</v>
      </c>
      <c r="B271" s="693"/>
      <c r="C271" s="694">
        <f>G271</f>
        <v>129.58868495372633</v>
      </c>
      <c r="D271" s="694">
        <f>H271-G271</f>
        <v>9.6850357365253217</v>
      </c>
      <c r="E271" s="685">
        <f t="shared" si="21"/>
        <v>150</v>
      </c>
      <c r="F271" s="685">
        <f t="shared" si="21"/>
        <v>130</v>
      </c>
      <c r="G271" s="712">
        <f>H78</f>
        <v>129.58868495372633</v>
      </c>
      <c r="H271" s="713">
        <f>I78</f>
        <v>139.27372069025165</v>
      </c>
      <c r="I271" s="697">
        <f>AVERAGE(G271:H271)</f>
        <v>134.43120282198899</v>
      </c>
      <c r="K271" s="683" t="s">
        <v>1510</v>
      </c>
      <c r="L271" s="693"/>
      <c r="M271" s="694">
        <f>Q271</f>
        <v>107.96542024276754</v>
      </c>
      <c r="N271" s="694">
        <f>R271-Q271</f>
        <v>8.8729662745137148</v>
      </c>
      <c r="O271" s="993">
        <f t="shared" si="22"/>
        <v>120</v>
      </c>
      <c r="P271" s="993">
        <f t="shared" si="22"/>
        <v>110</v>
      </c>
      <c r="Q271" s="996">
        <f>H80</f>
        <v>107.96542024276754</v>
      </c>
      <c r="R271" s="712">
        <f>I80</f>
        <v>116.83838651728125</v>
      </c>
      <c r="S271" s="697">
        <f>AVERAGE(Q271:R271)</f>
        <v>112.40190338002439</v>
      </c>
    </row>
    <row r="272" spans="1:19" ht="16" thickTop="1" thickBot="1">
      <c r="A272" s="702"/>
      <c r="B272" s="703"/>
      <c r="C272" s="704"/>
      <c r="D272" s="704"/>
      <c r="E272" s="704">
        <f t="shared" si="21"/>
        <v>150</v>
      </c>
      <c r="F272" s="704">
        <f t="shared" si="21"/>
        <v>130</v>
      </c>
      <c r="G272" s="705"/>
      <c r="H272" s="705"/>
      <c r="I272" s="706"/>
      <c r="K272" s="702"/>
      <c r="L272" s="703"/>
      <c r="M272" s="704"/>
      <c r="N272" s="704"/>
      <c r="O272" s="997">
        <f t="shared" si="22"/>
        <v>120</v>
      </c>
      <c r="P272" s="997">
        <f t="shared" si="22"/>
        <v>110</v>
      </c>
      <c r="Q272" s="998"/>
      <c r="R272" s="705"/>
      <c r="S272" s="706"/>
    </row>
    <row r="273" spans="1:9">
      <c r="A273" s="708"/>
      <c r="B273" s="708"/>
      <c r="C273" s="708"/>
      <c r="D273" s="708"/>
      <c r="E273" s="708"/>
      <c r="F273" s="708"/>
      <c r="G273" s="708"/>
      <c r="H273" s="708"/>
      <c r="I273" s="708"/>
    </row>
    <row r="274" spans="1:9">
      <c r="A274" s="708"/>
      <c r="B274" s="708"/>
      <c r="C274" s="708"/>
      <c r="D274" s="708"/>
      <c r="E274" s="708"/>
      <c r="F274" s="708"/>
      <c r="G274" s="708"/>
      <c r="H274" s="708"/>
      <c r="I274" s="708"/>
    </row>
    <row r="275" spans="1:9">
      <c r="A275" s="708"/>
      <c r="B275" s="708"/>
      <c r="C275" s="708"/>
      <c r="D275" s="708"/>
      <c r="E275" s="708"/>
      <c r="F275" s="708"/>
      <c r="G275" s="708"/>
      <c r="H275" s="708"/>
      <c r="I275" s="708"/>
    </row>
    <row r="276" spans="1:9">
      <c r="A276" s="708"/>
      <c r="B276" s="708"/>
      <c r="C276" s="708"/>
      <c r="D276" s="708"/>
      <c r="E276" s="708"/>
      <c r="F276" s="708"/>
      <c r="G276" s="708"/>
      <c r="H276" s="708"/>
      <c r="I276" s="708"/>
    </row>
    <row r="277" spans="1:9">
      <c r="A277" s="708"/>
      <c r="B277" s="708"/>
      <c r="C277" s="708"/>
      <c r="D277" s="708"/>
      <c r="E277" s="708"/>
      <c r="F277" s="708"/>
      <c r="G277" s="708"/>
      <c r="H277" s="708"/>
      <c r="I277" s="708"/>
    </row>
    <row r="278" spans="1:9">
      <c r="A278" s="708"/>
      <c r="B278" s="708"/>
      <c r="C278" s="708"/>
      <c r="D278" s="708"/>
      <c r="E278" s="708"/>
      <c r="F278" s="708"/>
      <c r="G278" s="708"/>
      <c r="H278" s="708"/>
      <c r="I278" s="708"/>
    </row>
    <row r="279" spans="1:9">
      <c r="A279" s="708"/>
      <c r="B279" s="708"/>
      <c r="C279" s="708"/>
      <c r="D279" s="708"/>
      <c r="E279" s="708"/>
      <c r="F279" s="708"/>
      <c r="G279" s="708"/>
      <c r="H279" s="708"/>
      <c r="I279" s="708"/>
    </row>
    <row r="280" spans="1:9">
      <c r="A280" s="708"/>
      <c r="B280" s="708"/>
      <c r="C280" s="708"/>
      <c r="D280" s="708"/>
      <c r="E280" s="708"/>
      <c r="F280" s="708"/>
      <c r="G280" s="708"/>
      <c r="H280" s="708"/>
      <c r="I280" s="708"/>
    </row>
    <row r="281" spans="1:9">
      <c r="A281" s="708"/>
      <c r="B281" s="708"/>
      <c r="C281" s="708"/>
      <c r="D281" s="708"/>
      <c r="E281" s="708"/>
      <c r="F281" s="708"/>
      <c r="G281" s="708"/>
      <c r="H281" s="708"/>
      <c r="I281" s="708"/>
    </row>
    <row r="282" spans="1:9">
      <c r="A282" s="708"/>
      <c r="B282" s="708"/>
      <c r="C282" s="708"/>
      <c r="D282" s="708"/>
      <c r="E282" s="708"/>
      <c r="F282" s="708"/>
      <c r="G282" s="708"/>
      <c r="H282" s="708"/>
      <c r="I282" s="708"/>
    </row>
    <row r="283" spans="1:9">
      <c r="A283" s="708"/>
      <c r="B283" s="708"/>
      <c r="C283" s="708"/>
      <c r="D283" s="708"/>
      <c r="E283" s="708"/>
      <c r="F283" s="708"/>
      <c r="G283" s="708"/>
      <c r="H283" s="708"/>
      <c r="I283" s="708"/>
    </row>
    <row r="284" spans="1:9">
      <c r="A284" s="708"/>
      <c r="B284" s="708"/>
      <c r="C284" s="708"/>
      <c r="D284" s="708"/>
      <c r="E284" s="708"/>
      <c r="F284" s="708"/>
      <c r="G284" s="708"/>
      <c r="H284" s="708"/>
      <c r="I284" s="708"/>
    </row>
    <row r="285" spans="1:9">
      <c r="A285" s="714" t="s">
        <v>1526</v>
      </c>
      <c r="B285" s="715"/>
      <c r="C285" s="715"/>
      <c r="D285" s="715"/>
      <c r="E285" s="715"/>
      <c r="F285" s="715"/>
      <c r="G285" s="715"/>
      <c r="H285" s="715"/>
      <c r="I285" s="716"/>
    </row>
    <row r="286" spans="1:9">
      <c r="A286" s="717" t="s">
        <v>1527</v>
      </c>
      <c r="B286" s="718"/>
      <c r="C286" s="718"/>
      <c r="D286" s="718"/>
      <c r="E286" s="718"/>
      <c r="F286" s="718"/>
      <c r="G286" s="718"/>
      <c r="H286" s="718"/>
      <c r="I286" s="719"/>
    </row>
    <row r="287" spans="1:9">
      <c r="A287" s="717" t="s">
        <v>1528</v>
      </c>
      <c r="B287" s="718"/>
      <c r="C287" s="718"/>
      <c r="D287" s="718"/>
      <c r="E287" s="718"/>
      <c r="F287" s="718"/>
      <c r="G287" s="718"/>
      <c r="H287" s="718"/>
      <c r="I287" s="719"/>
    </row>
    <row r="288" spans="1:9">
      <c r="A288" s="720" t="s">
        <v>1529</v>
      </c>
      <c r="B288" s="721"/>
      <c r="C288" s="721"/>
      <c r="D288" s="721"/>
      <c r="E288" s="721"/>
      <c r="F288" s="721"/>
      <c r="G288" s="721"/>
      <c r="H288" s="721"/>
      <c r="I288" s="722"/>
    </row>
    <row r="289" spans="1:9">
      <c r="A289" s="708"/>
      <c r="B289" s="708"/>
      <c r="C289" s="708"/>
      <c r="D289" s="708"/>
      <c r="E289" s="708"/>
      <c r="F289" s="708"/>
      <c r="G289" s="708"/>
      <c r="H289" s="708"/>
      <c r="I289" s="708"/>
    </row>
    <row r="290" spans="1:9">
      <c r="A290" s="708"/>
      <c r="B290" s="708"/>
      <c r="C290" s="708"/>
      <c r="D290" s="708"/>
      <c r="E290" s="708"/>
      <c r="F290" s="708"/>
      <c r="G290" s="708"/>
      <c r="H290" s="708"/>
      <c r="I290" s="708"/>
    </row>
  </sheetData>
  <mergeCells count="14">
    <mergeCell ref="J4:L4"/>
    <mergeCell ref="M4:O4"/>
    <mergeCell ref="A24:A25"/>
    <mergeCell ref="B24:E24"/>
    <mergeCell ref="G24:I24"/>
    <mergeCell ref="J24:L24"/>
    <mergeCell ref="M24:O24"/>
    <mergeCell ref="F67:G67"/>
    <mergeCell ref="H67:I67"/>
    <mergeCell ref="E83:F83"/>
    <mergeCell ref="G83:H83"/>
    <mergeCell ref="A4:A5"/>
    <mergeCell ref="B4:E4"/>
    <mergeCell ref="G4:I4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2" manualBreakCount="2">
    <brk id="105" max="14" man="1"/>
    <brk id="220" max="14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12</vt:i4>
      </vt:variant>
    </vt:vector>
  </HeadingPairs>
  <TitlesOfParts>
    <vt:vector size="25" baseType="lpstr">
      <vt:lpstr>Data</vt:lpstr>
      <vt:lpstr>보고서</vt:lpstr>
      <vt:lpstr>추정</vt:lpstr>
      <vt:lpstr>추정표</vt:lpstr>
      <vt:lpstr>NCP</vt:lpstr>
      <vt:lpstr>부표</vt:lpstr>
      <vt:lpstr>평정</vt:lpstr>
      <vt:lpstr>BS</vt:lpstr>
      <vt:lpstr>IS</vt:lpstr>
      <vt:lpstr>구NCP</vt:lpstr>
      <vt:lpstr>2.추정(긍정)</vt:lpstr>
      <vt:lpstr>2.추정(부정)</vt:lpstr>
      <vt:lpstr>추정_master</vt:lpstr>
      <vt:lpstr>구NCP!조정근거분류</vt:lpstr>
      <vt:lpstr>NCP!조정근거분류</vt:lpstr>
      <vt:lpstr>'2.추정(긍정)'!Print_Area</vt:lpstr>
      <vt:lpstr>'2.추정(부정)'!Print_Area</vt:lpstr>
      <vt:lpstr>구NCP!Print_Area</vt:lpstr>
      <vt:lpstr>보고서!Print_Area</vt:lpstr>
      <vt:lpstr>부표!Print_Area</vt:lpstr>
      <vt:lpstr>추정!Print_Area</vt:lpstr>
      <vt:lpstr>추정_master!Print_Area</vt:lpstr>
      <vt:lpstr>추정표!Print_Area</vt:lpstr>
      <vt:lpstr>평정!Print_Area</vt:lpstr>
      <vt:lpstr>NCP!Print_Area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hyuckjlee</dc:creator>
  <cp:lastModifiedBy>김 성진</cp:lastModifiedBy>
  <cp:lastPrinted>2020-02-20T07:48:19Z</cp:lastPrinted>
  <dcterms:created xsi:type="dcterms:W3CDTF">2012-09-05T01:16:39Z</dcterms:created>
  <dcterms:modified xsi:type="dcterms:W3CDTF">2020-03-01T22:56:28Z</dcterms:modified>
</cp:coreProperties>
</file>