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erf Mgmt\Dashboards and Data\ESRI\Esri Dashboard - Health and Environment\"/>
    </mc:Choice>
  </mc:AlternateContent>
  <bookViews>
    <workbookView xWindow="0" yWindow="0" windowWidth="28800" windowHeight="12375" firstSheet="2" activeTab="6"/>
  </bookViews>
  <sheets>
    <sheet name="Summary" sheetId="4" r:id="rId1"/>
    <sheet name="FY18-PM7020 " sheetId="1" r:id="rId2"/>
    <sheet name="FY17-PM7020" sheetId="2" r:id="rId3"/>
    <sheet name=" FY16-PM7020 " sheetId="3" r:id="rId4"/>
    <sheet name="FY17-New PMs" sheetId="5" r:id="rId5"/>
    <sheet name="FY16-New PMs" sheetId="6" r:id="rId6"/>
    <sheet name="FY15-New PMs" sheetId="7" r:id="rId7"/>
  </sheets>
  <externalReferences>
    <externalReference r:id="rId8"/>
  </externalReferences>
  <definedNames>
    <definedName name="_xlnm.Print_Area" localSheetId="0">Summary!$A$1:$N$46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7" l="1"/>
  <c r="G57" i="7"/>
  <c r="E57" i="7"/>
  <c r="D57" i="7"/>
  <c r="C57" i="7"/>
  <c r="B57" i="7"/>
  <c r="O56" i="7"/>
  <c r="O55" i="7"/>
  <c r="O54" i="7"/>
  <c r="O53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N50" i="7"/>
  <c r="M50" i="7"/>
  <c r="L50" i="7"/>
  <c r="K50" i="7"/>
  <c r="J50" i="7"/>
  <c r="I50" i="7"/>
  <c r="H50" i="7"/>
  <c r="G50" i="7"/>
  <c r="F50" i="7"/>
  <c r="E50" i="7"/>
  <c r="D50" i="7"/>
  <c r="C50" i="7"/>
  <c r="M49" i="7"/>
  <c r="I49" i="7"/>
  <c r="E49" i="7"/>
  <c r="B49" i="7"/>
  <c r="K48" i="7"/>
  <c r="G48" i="7"/>
  <c r="C48" i="7"/>
  <c r="B48" i="7"/>
  <c r="M47" i="7"/>
  <c r="I47" i="7"/>
  <c r="E47" i="7"/>
  <c r="B47" i="7"/>
  <c r="K46" i="7"/>
  <c r="G46" i="7"/>
  <c r="C46" i="7"/>
  <c r="B46" i="7"/>
  <c r="M45" i="7"/>
  <c r="I45" i="7"/>
  <c r="E45" i="7"/>
  <c r="B45" i="7"/>
  <c r="K44" i="7"/>
  <c r="G44" i="7"/>
  <c r="C44" i="7"/>
  <c r="B44" i="7"/>
  <c r="N42" i="7"/>
  <c r="M42" i="7"/>
  <c r="L42" i="7"/>
  <c r="K42" i="7"/>
  <c r="J42" i="7"/>
  <c r="I42" i="7"/>
  <c r="O42" i="7" s="1"/>
  <c r="N41" i="7"/>
  <c r="N57" i="7" s="1"/>
  <c r="M41" i="7"/>
  <c r="M57" i="7" s="1"/>
  <c r="L41" i="7"/>
  <c r="L57" i="7" s="1"/>
  <c r="K41" i="7"/>
  <c r="J41" i="7"/>
  <c r="J57" i="7" s="1"/>
  <c r="I41" i="7"/>
  <c r="I57" i="7" s="1"/>
  <c r="H41" i="7"/>
  <c r="H57" i="7" s="1"/>
  <c r="G41" i="7"/>
  <c r="F41" i="7"/>
  <c r="O41" i="7" s="1"/>
  <c r="O57" i="7" s="1"/>
  <c r="O40" i="7"/>
  <c r="O52" i="7" s="1"/>
  <c r="O39" i="7"/>
  <c r="N38" i="7"/>
  <c r="M38" i="7"/>
  <c r="L38" i="7"/>
  <c r="K38" i="7"/>
  <c r="J38" i="7"/>
  <c r="I38" i="7"/>
  <c r="H38" i="7"/>
  <c r="G38" i="7"/>
  <c r="F38" i="7"/>
  <c r="E38" i="7"/>
  <c r="D38" i="7"/>
  <c r="C38" i="7"/>
  <c r="N37" i="7"/>
  <c r="M37" i="7"/>
  <c r="L37" i="7"/>
  <c r="K37" i="7"/>
  <c r="J37" i="7"/>
  <c r="I37" i="7"/>
  <c r="H37" i="7"/>
  <c r="G37" i="7"/>
  <c r="F37" i="7"/>
  <c r="E37" i="7"/>
  <c r="D37" i="7"/>
  <c r="C37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N35" i="7"/>
  <c r="M35" i="7"/>
  <c r="L35" i="7"/>
  <c r="K35" i="7"/>
  <c r="J35" i="7"/>
  <c r="I35" i="7"/>
  <c r="H35" i="7"/>
  <c r="G35" i="7"/>
  <c r="F35" i="7"/>
  <c r="E35" i="7"/>
  <c r="D35" i="7"/>
  <c r="C35" i="7"/>
  <c r="N34" i="7"/>
  <c r="M34" i="7"/>
  <c r="L34" i="7"/>
  <c r="K34" i="7"/>
  <c r="J34" i="7"/>
  <c r="I34" i="7"/>
  <c r="H34" i="7"/>
  <c r="G34" i="7"/>
  <c r="F34" i="7"/>
  <c r="E34" i="7"/>
  <c r="D34" i="7"/>
  <c r="C34" i="7"/>
  <c r="N33" i="7"/>
  <c r="J33" i="7"/>
  <c r="F33" i="7"/>
  <c r="B33" i="7"/>
  <c r="L32" i="7"/>
  <c r="H32" i="7"/>
  <c r="D32" i="7"/>
  <c r="B32" i="7"/>
  <c r="N31" i="7"/>
  <c r="N43" i="7" s="1"/>
  <c r="M31" i="7"/>
  <c r="L31" i="7"/>
  <c r="K31" i="7"/>
  <c r="J31" i="7"/>
  <c r="J43" i="7" s="1"/>
  <c r="I31" i="7"/>
  <c r="H31" i="7"/>
  <c r="G31" i="7"/>
  <c r="F31" i="7"/>
  <c r="F43" i="7" s="1"/>
  <c r="E31" i="7"/>
  <c r="D31" i="7"/>
  <c r="C31" i="7"/>
  <c r="L26" i="7"/>
  <c r="H26" i="7"/>
  <c r="D26" i="7"/>
  <c r="O25" i="7"/>
  <c r="O24" i="7"/>
  <c r="O50" i="7" s="1"/>
  <c r="N23" i="7"/>
  <c r="N49" i="7" s="1"/>
  <c r="M23" i="7"/>
  <c r="L23" i="7"/>
  <c r="L49" i="7" s="1"/>
  <c r="K23" i="7"/>
  <c r="K49" i="7" s="1"/>
  <c r="J23" i="7"/>
  <c r="J49" i="7" s="1"/>
  <c r="I23" i="7"/>
  <c r="H23" i="7"/>
  <c r="H49" i="7" s="1"/>
  <c r="G23" i="7"/>
  <c r="G49" i="7" s="1"/>
  <c r="F23" i="7"/>
  <c r="F49" i="7" s="1"/>
  <c r="E23" i="7"/>
  <c r="D23" i="7"/>
  <c r="D49" i="7" s="1"/>
  <c r="C23" i="7"/>
  <c r="C49" i="7" s="1"/>
  <c r="B23" i="7"/>
  <c r="N22" i="7"/>
  <c r="N48" i="7" s="1"/>
  <c r="M22" i="7"/>
  <c r="M48" i="7" s="1"/>
  <c r="L22" i="7"/>
  <c r="L48" i="7" s="1"/>
  <c r="K22" i="7"/>
  <c r="J22" i="7"/>
  <c r="J48" i="7" s="1"/>
  <c r="I22" i="7"/>
  <c r="I48" i="7" s="1"/>
  <c r="H22" i="7"/>
  <c r="H48" i="7" s="1"/>
  <c r="G22" i="7"/>
  <c r="F22" i="7"/>
  <c r="F48" i="7" s="1"/>
  <c r="E22" i="7"/>
  <c r="E48" i="7" s="1"/>
  <c r="D22" i="7"/>
  <c r="D48" i="7" s="1"/>
  <c r="C22" i="7"/>
  <c r="O22" i="7" s="1"/>
  <c r="O48" i="7" s="1"/>
  <c r="B22" i="7"/>
  <c r="N21" i="7"/>
  <c r="N47" i="7" s="1"/>
  <c r="M21" i="7"/>
  <c r="L21" i="7"/>
  <c r="L47" i="7" s="1"/>
  <c r="K21" i="7"/>
  <c r="K47" i="7" s="1"/>
  <c r="J21" i="7"/>
  <c r="J47" i="7" s="1"/>
  <c r="I21" i="7"/>
  <c r="H21" i="7"/>
  <c r="H47" i="7" s="1"/>
  <c r="G21" i="7"/>
  <c r="G47" i="7" s="1"/>
  <c r="F21" i="7"/>
  <c r="F47" i="7" s="1"/>
  <c r="E21" i="7"/>
  <c r="D21" i="7"/>
  <c r="D47" i="7" s="1"/>
  <c r="C21" i="7"/>
  <c r="C47" i="7" s="1"/>
  <c r="B21" i="7"/>
  <c r="N20" i="7"/>
  <c r="N46" i="7" s="1"/>
  <c r="M20" i="7"/>
  <c r="M46" i="7" s="1"/>
  <c r="L20" i="7"/>
  <c r="L46" i="7" s="1"/>
  <c r="K20" i="7"/>
  <c r="J20" i="7"/>
  <c r="J46" i="7" s="1"/>
  <c r="I20" i="7"/>
  <c r="I46" i="7" s="1"/>
  <c r="H20" i="7"/>
  <c r="H46" i="7" s="1"/>
  <c r="G20" i="7"/>
  <c r="F20" i="7"/>
  <c r="F46" i="7" s="1"/>
  <c r="E20" i="7"/>
  <c r="E46" i="7" s="1"/>
  <c r="D20" i="7"/>
  <c r="D46" i="7" s="1"/>
  <c r="C20" i="7"/>
  <c r="O20" i="7" s="1"/>
  <c r="O46" i="7" s="1"/>
  <c r="B20" i="7"/>
  <c r="N19" i="7"/>
  <c r="N45" i="7" s="1"/>
  <c r="M19" i="7"/>
  <c r="L19" i="7"/>
  <c r="L45" i="7" s="1"/>
  <c r="K19" i="7"/>
  <c r="K45" i="7" s="1"/>
  <c r="J19" i="7"/>
  <c r="J45" i="7" s="1"/>
  <c r="I19" i="7"/>
  <c r="H19" i="7"/>
  <c r="H45" i="7" s="1"/>
  <c r="G19" i="7"/>
  <c r="G45" i="7" s="1"/>
  <c r="F19" i="7"/>
  <c r="F45" i="7" s="1"/>
  <c r="E19" i="7"/>
  <c r="D19" i="7"/>
  <c r="D45" i="7" s="1"/>
  <c r="C19" i="7"/>
  <c r="C45" i="7" s="1"/>
  <c r="B19" i="7"/>
  <c r="N18" i="7"/>
  <c r="N26" i="7" s="1"/>
  <c r="M18" i="7"/>
  <c r="M44" i="7" s="1"/>
  <c r="L18" i="7"/>
  <c r="L44" i="7" s="1"/>
  <c r="L58" i="7" s="1"/>
  <c r="K18" i="7"/>
  <c r="K26" i="7" s="1"/>
  <c r="J18" i="7"/>
  <c r="J26" i="7" s="1"/>
  <c r="I18" i="7"/>
  <c r="I44" i="7" s="1"/>
  <c r="H18" i="7"/>
  <c r="H44" i="7" s="1"/>
  <c r="H58" i="7" s="1"/>
  <c r="G18" i="7"/>
  <c r="G26" i="7" s="1"/>
  <c r="F18" i="7"/>
  <c r="F26" i="7" s="1"/>
  <c r="E18" i="7"/>
  <c r="E44" i="7" s="1"/>
  <c r="D18" i="7"/>
  <c r="D44" i="7" s="1"/>
  <c r="D58" i="7" s="1"/>
  <c r="C18" i="7"/>
  <c r="O18" i="7" s="1"/>
  <c r="B18" i="7"/>
  <c r="O16" i="7"/>
  <c r="O38" i="7" s="1"/>
  <c r="O15" i="7"/>
  <c r="O37" i="7" s="1"/>
  <c r="O14" i="7"/>
  <c r="O13" i="7"/>
  <c r="O35" i="7" s="1"/>
  <c r="O12" i="7"/>
  <c r="O34" i="7" s="1"/>
  <c r="N11" i="7"/>
  <c r="M11" i="7"/>
  <c r="M33" i="7" s="1"/>
  <c r="L11" i="7"/>
  <c r="L33" i="7" s="1"/>
  <c r="K11" i="7"/>
  <c r="K33" i="7" s="1"/>
  <c r="J11" i="7"/>
  <c r="I11" i="7"/>
  <c r="I33" i="7" s="1"/>
  <c r="H11" i="7"/>
  <c r="H33" i="7" s="1"/>
  <c r="G11" i="7"/>
  <c r="G33" i="7" s="1"/>
  <c r="F11" i="7"/>
  <c r="E11" i="7"/>
  <c r="E33" i="7" s="1"/>
  <c r="D11" i="7"/>
  <c r="D33" i="7" s="1"/>
  <c r="C11" i="7"/>
  <c r="O11" i="7" s="1"/>
  <c r="O33" i="7" s="1"/>
  <c r="B11" i="7"/>
  <c r="N10" i="7"/>
  <c r="N32" i="7" s="1"/>
  <c r="M10" i="7"/>
  <c r="M17" i="7" s="1"/>
  <c r="L10" i="7"/>
  <c r="L17" i="7" s="1"/>
  <c r="L28" i="7" s="1"/>
  <c r="K10" i="7"/>
  <c r="K17" i="7" s="1"/>
  <c r="K28" i="7" s="1"/>
  <c r="J10" i="7"/>
  <c r="J32" i="7" s="1"/>
  <c r="I10" i="7"/>
  <c r="I17" i="7" s="1"/>
  <c r="H10" i="7"/>
  <c r="H17" i="7" s="1"/>
  <c r="H28" i="7" s="1"/>
  <c r="G10" i="7"/>
  <c r="G17" i="7" s="1"/>
  <c r="G28" i="7" s="1"/>
  <c r="F10" i="7"/>
  <c r="F32" i="7" s="1"/>
  <c r="E10" i="7"/>
  <c r="E17" i="7" s="1"/>
  <c r="D10" i="7"/>
  <c r="D17" i="7" s="1"/>
  <c r="D28" i="7" s="1"/>
  <c r="C10" i="7"/>
  <c r="O10" i="7" s="1"/>
  <c r="O32" i="7" s="1"/>
  <c r="B10" i="7"/>
  <c r="O9" i="7"/>
  <c r="O31" i="7" s="1"/>
  <c r="N6" i="7"/>
  <c r="M6" i="7"/>
  <c r="J6" i="7"/>
  <c r="I6" i="7"/>
  <c r="F6" i="7"/>
  <c r="E6" i="7"/>
  <c r="N5" i="7"/>
  <c r="M5" i="7"/>
  <c r="L5" i="7"/>
  <c r="L6" i="7" s="1"/>
  <c r="K5" i="7"/>
  <c r="K6" i="7" s="1"/>
  <c r="J5" i="7"/>
  <c r="I5" i="7"/>
  <c r="H5" i="7"/>
  <c r="H6" i="7" s="1"/>
  <c r="G5" i="7"/>
  <c r="G6" i="7" s="1"/>
  <c r="F5" i="7"/>
  <c r="E5" i="7"/>
  <c r="D5" i="7"/>
  <c r="D6" i="7" s="1"/>
  <c r="C5" i="7"/>
  <c r="C6" i="7" s="1"/>
  <c r="O4" i="7"/>
  <c r="O3" i="7"/>
  <c r="O56" i="6"/>
  <c r="O55" i="6"/>
  <c r="O54" i="6"/>
  <c r="O53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K50" i="6"/>
  <c r="J50" i="6"/>
  <c r="I50" i="6"/>
  <c r="H50" i="6"/>
  <c r="G50" i="6"/>
  <c r="F50" i="6"/>
  <c r="E50" i="6"/>
  <c r="D50" i="6"/>
  <c r="C50" i="6"/>
  <c r="B49" i="6"/>
  <c r="B48" i="6"/>
  <c r="B47" i="6"/>
  <c r="B46" i="6"/>
  <c r="B45" i="6"/>
  <c r="B44" i="6"/>
  <c r="N42" i="6"/>
  <c r="M42" i="6"/>
  <c r="L42" i="6"/>
  <c r="K42" i="6"/>
  <c r="J42" i="6"/>
  <c r="I42" i="6"/>
  <c r="H42" i="6"/>
  <c r="G42" i="6"/>
  <c r="F42" i="6"/>
  <c r="E42" i="6"/>
  <c r="D42" i="6"/>
  <c r="C42" i="6"/>
  <c r="O42" i="6" s="1"/>
  <c r="N41" i="6"/>
  <c r="N57" i="6" s="1"/>
  <c r="M41" i="6"/>
  <c r="M57" i="6" s="1"/>
  <c r="L41" i="6"/>
  <c r="L57" i="6" s="1"/>
  <c r="K41" i="6"/>
  <c r="K57" i="6" s="1"/>
  <c r="J41" i="6"/>
  <c r="J57" i="6" s="1"/>
  <c r="I41" i="6"/>
  <c r="I57" i="6" s="1"/>
  <c r="H41" i="6"/>
  <c r="H57" i="6" s="1"/>
  <c r="G41" i="6"/>
  <c r="G57" i="6" s="1"/>
  <c r="F41" i="6"/>
  <c r="F57" i="6" s="1"/>
  <c r="E41" i="6"/>
  <c r="E57" i="6" s="1"/>
  <c r="D41" i="6"/>
  <c r="D57" i="6" s="1"/>
  <c r="C41" i="6"/>
  <c r="C57" i="6" s="1"/>
  <c r="B41" i="6"/>
  <c r="B57" i="6" s="1"/>
  <c r="O40" i="6"/>
  <c r="O52" i="6" s="1"/>
  <c r="O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B33" i="6"/>
  <c r="B32" i="6"/>
  <c r="N31" i="6"/>
  <c r="M31" i="6"/>
  <c r="L31" i="6"/>
  <c r="K31" i="6"/>
  <c r="J31" i="6"/>
  <c r="I31" i="6"/>
  <c r="H31" i="6"/>
  <c r="G31" i="6"/>
  <c r="F31" i="6"/>
  <c r="E31" i="6"/>
  <c r="D31" i="6"/>
  <c r="C31" i="6"/>
  <c r="N26" i="6"/>
  <c r="J26" i="6"/>
  <c r="F26" i="6"/>
  <c r="O25" i="6"/>
  <c r="O51" i="6" s="1"/>
  <c r="O24" i="6"/>
  <c r="O50" i="6" s="1"/>
  <c r="N23" i="6"/>
  <c r="N49" i="6" s="1"/>
  <c r="M23" i="6"/>
  <c r="M49" i="6" s="1"/>
  <c r="L23" i="6"/>
  <c r="L49" i="6" s="1"/>
  <c r="K23" i="6"/>
  <c r="K49" i="6" s="1"/>
  <c r="J23" i="6"/>
  <c r="J49" i="6" s="1"/>
  <c r="I23" i="6"/>
  <c r="I49" i="6" s="1"/>
  <c r="H23" i="6"/>
  <c r="H49" i="6" s="1"/>
  <c r="G23" i="6"/>
  <c r="G49" i="6" s="1"/>
  <c r="F23" i="6"/>
  <c r="F49" i="6" s="1"/>
  <c r="E23" i="6"/>
  <c r="E49" i="6" s="1"/>
  <c r="D23" i="6"/>
  <c r="D49" i="6" s="1"/>
  <c r="C23" i="6"/>
  <c r="C49" i="6" s="1"/>
  <c r="B23" i="6"/>
  <c r="N22" i="6"/>
  <c r="N48" i="6" s="1"/>
  <c r="M22" i="6"/>
  <c r="M48" i="6" s="1"/>
  <c r="L22" i="6"/>
  <c r="L48" i="6" s="1"/>
  <c r="K22" i="6"/>
  <c r="K48" i="6" s="1"/>
  <c r="J22" i="6"/>
  <c r="J48" i="6" s="1"/>
  <c r="I22" i="6"/>
  <c r="I48" i="6" s="1"/>
  <c r="H22" i="6"/>
  <c r="H48" i="6" s="1"/>
  <c r="G22" i="6"/>
  <c r="G48" i="6" s="1"/>
  <c r="F22" i="6"/>
  <c r="F48" i="6" s="1"/>
  <c r="E22" i="6"/>
  <c r="E48" i="6" s="1"/>
  <c r="D22" i="6"/>
  <c r="D48" i="6" s="1"/>
  <c r="C22" i="6"/>
  <c r="C48" i="6" s="1"/>
  <c r="B22" i="6"/>
  <c r="N21" i="6"/>
  <c r="N47" i="6" s="1"/>
  <c r="M21" i="6"/>
  <c r="M47" i="6" s="1"/>
  <c r="L21" i="6"/>
  <c r="L47" i="6" s="1"/>
  <c r="K21" i="6"/>
  <c r="K47" i="6" s="1"/>
  <c r="J21" i="6"/>
  <c r="J47" i="6" s="1"/>
  <c r="I21" i="6"/>
  <c r="I47" i="6" s="1"/>
  <c r="H21" i="6"/>
  <c r="H47" i="6" s="1"/>
  <c r="G21" i="6"/>
  <c r="G47" i="6" s="1"/>
  <c r="F21" i="6"/>
  <c r="F47" i="6" s="1"/>
  <c r="E21" i="6"/>
  <c r="E47" i="6" s="1"/>
  <c r="D21" i="6"/>
  <c r="D47" i="6" s="1"/>
  <c r="C21" i="6"/>
  <c r="C47" i="6" s="1"/>
  <c r="B21" i="6"/>
  <c r="N20" i="6"/>
  <c r="N46" i="6" s="1"/>
  <c r="M20" i="6"/>
  <c r="M46" i="6" s="1"/>
  <c r="L20" i="6"/>
  <c r="L46" i="6" s="1"/>
  <c r="K20" i="6"/>
  <c r="K46" i="6" s="1"/>
  <c r="J20" i="6"/>
  <c r="J46" i="6" s="1"/>
  <c r="I20" i="6"/>
  <c r="I46" i="6" s="1"/>
  <c r="H20" i="6"/>
  <c r="H46" i="6" s="1"/>
  <c r="G20" i="6"/>
  <c r="G46" i="6" s="1"/>
  <c r="F20" i="6"/>
  <c r="F46" i="6" s="1"/>
  <c r="E20" i="6"/>
  <c r="E46" i="6" s="1"/>
  <c r="D20" i="6"/>
  <c r="D46" i="6" s="1"/>
  <c r="C20" i="6"/>
  <c r="C46" i="6" s="1"/>
  <c r="B20" i="6"/>
  <c r="N19" i="6"/>
  <c r="N45" i="6" s="1"/>
  <c r="M19" i="6"/>
  <c r="M45" i="6" s="1"/>
  <c r="L19" i="6"/>
  <c r="L45" i="6" s="1"/>
  <c r="K19" i="6"/>
  <c r="K45" i="6" s="1"/>
  <c r="J19" i="6"/>
  <c r="J45" i="6" s="1"/>
  <c r="I19" i="6"/>
  <c r="I45" i="6" s="1"/>
  <c r="H19" i="6"/>
  <c r="H45" i="6" s="1"/>
  <c r="G19" i="6"/>
  <c r="G45" i="6" s="1"/>
  <c r="F19" i="6"/>
  <c r="F45" i="6" s="1"/>
  <c r="E19" i="6"/>
  <c r="E45" i="6" s="1"/>
  <c r="D19" i="6"/>
  <c r="D45" i="6" s="1"/>
  <c r="C19" i="6"/>
  <c r="C45" i="6" s="1"/>
  <c r="B19" i="6"/>
  <c r="N18" i="6"/>
  <c r="N44" i="6" s="1"/>
  <c r="N58" i="6" s="1"/>
  <c r="M18" i="6"/>
  <c r="M44" i="6" s="1"/>
  <c r="L18" i="6"/>
  <c r="L26" i="6" s="1"/>
  <c r="K18" i="6"/>
  <c r="K26" i="6" s="1"/>
  <c r="J18" i="6"/>
  <c r="J44" i="6" s="1"/>
  <c r="J58" i="6" s="1"/>
  <c r="I18" i="6"/>
  <c r="I44" i="6" s="1"/>
  <c r="H18" i="6"/>
  <c r="H26" i="6" s="1"/>
  <c r="G18" i="6"/>
  <c r="G26" i="6" s="1"/>
  <c r="F18" i="6"/>
  <c r="F44" i="6" s="1"/>
  <c r="F58" i="6" s="1"/>
  <c r="E18" i="6"/>
  <c r="E44" i="6" s="1"/>
  <c r="D18" i="6"/>
  <c r="D26" i="6" s="1"/>
  <c r="C18" i="6"/>
  <c r="C26" i="6" s="1"/>
  <c r="B18" i="6"/>
  <c r="O16" i="6"/>
  <c r="O38" i="6" s="1"/>
  <c r="O15" i="6"/>
  <c r="O37" i="6" s="1"/>
  <c r="O14" i="6"/>
  <c r="O36" i="6" s="1"/>
  <c r="O13" i="6"/>
  <c r="O35" i="6" s="1"/>
  <c r="O12" i="6"/>
  <c r="O34" i="6" s="1"/>
  <c r="I11" i="6"/>
  <c r="I33" i="6" s="1"/>
  <c r="H11" i="6"/>
  <c r="H33" i="6" s="1"/>
  <c r="G11" i="6"/>
  <c r="G33" i="6" s="1"/>
  <c r="F11" i="6"/>
  <c r="F33" i="6" s="1"/>
  <c r="E11" i="6"/>
  <c r="E33" i="6" s="1"/>
  <c r="D11" i="6"/>
  <c r="D33" i="6" s="1"/>
  <c r="C11" i="6"/>
  <c r="B11" i="6"/>
  <c r="N10" i="6"/>
  <c r="M10" i="6"/>
  <c r="L10" i="6"/>
  <c r="L32" i="6" s="1"/>
  <c r="K10" i="6"/>
  <c r="K17" i="6" s="1"/>
  <c r="K28" i="6" s="1"/>
  <c r="J10" i="6"/>
  <c r="I10" i="6"/>
  <c r="I17" i="6" s="1"/>
  <c r="H10" i="6"/>
  <c r="H32" i="6" s="1"/>
  <c r="G10" i="6"/>
  <c r="G17" i="6" s="1"/>
  <c r="G28" i="6" s="1"/>
  <c r="F10" i="6"/>
  <c r="F17" i="6" s="1"/>
  <c r="F28" i="6" s="1"/>
  <c r="E10" i="6"/>
  <c r="E17" i="6" s="1"/>
  <c r="D10" i="6"/>
  <c r="D32" i="6" s="1"/>
  <c r="C10" i="6"/>
  <c r="C17" i="6" s="1"/>
  <c r="C28" i="6" s="1"/>
  <c r="B10" i="6"/>
  <c r="O9" i="6"/>
  <c r="L6" i="6"/>
  <c r="H6" i="6"/>
  <c r="D6" i="6"/>
  <c r="N5" i="6"/>
  <c r="M5" i="6"/>
  <c r="L5" i="6"/>
  <c r="K5" i="6"/>
  <c r="J5" i="6"/>
  <c r="I5" i="6"/>
  <c r="I6" i="6" s="1"/>
  <c r="H5" i="6"/>
  <c r="G5" i="6"/>
  <c r="G6" i="6" s="1"/>
  <c r="F5" i="6"/>
  <c r="F6" i="6" s="1"/>
  <c r="E5" i="6"/>
  <c r="E6" i="6" s="1"/>
  <c r="D5" i="6"/>
  <c r="C5" i="6"/>
  <c r="O5" i="6" s="1"/>
  <c r="N4" i="6"/>
  <c r="N6" i="6" s="1"/>
  <c r="M4" i="6"/>
  <c r="M11" i="6" s="1"/>
  <c r="M33" i="6" s="1"/>
  <c r="L4" i="6"/>
  <c r="L11" i="6" s="1"/>
  <c r="L33" i="6" s="1"/>
  <c r="K4" i="6"/>
  <c r="K11" i="6" s="1"/>
  <c r="K33" i="6" s="1"/>
  <c r="J4" i="6"/>
  <c r="J6" i="6" s="1"/>
  <c r="O3" i="6"/>
  <c r="O56" i="5"/>
  <c r="O55" i="5"/>
  <c r="O54" i="5"/>
  <c r="O53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N51" i="5"/>
  <c r="M51" i="5"/>
  <c r="L51" i="5"/>
  <c r="K51" i="5"/>
  <c r="J51" i="5"/>
  <c r="I51" i="5"/>
  <c r="H51" i="5"/>
  <c r="G51" i="5"/>
  <c r="F51" i="5"/>
  <c r="E51" i="5"/>
  <c r="D51" i="5"/>
  <c r="C51" i="5"/>
  <c r="N50" i="5"/>
  <c r="M50" i="5"/>
  <c r="L50" i="5"/>
  <c r="K50" i="5"/>
  <c r="J50" i="5"/>
  <c r="I50" i="5"/>
  <c r="H50" i="5"/>
  <c r="G50" i="5"/>
  <c r="F50" i="5"/>
  <c r="E50" i="5"/>
  <c r="D50" i="5"/>
  <c r="C50" i="5"/>
  <c r="B49" i="5"/>
  <c r="B48" i="5"/>
  <c r="B47" i="5"/>
  <c r="B46" i="5"/>
  <c r="B45" i="5"/>
  <c r="B44" i="5"/>
  <c r="N42" i="5"/>
  <c r="M42" i="5"/>
  <c r="L42" i="5"/>
  <c r="K42" i="5"/>
  <c r="J42" i="5"/>
  <c r="I42" i="5"/>
  <c r="H42" i="5"/>
  <c r="G42" i="5"/>
  <c r="F42" i="5"/>
  <c r="E42" i="5"/>
  <c r="D42" i="5"/>
  <c r="C42" i="5"/>
  <c r="O42" i="5" s="1"/>
  <c r="N41" i="5"/>
  <c r="N57" i="5" s="1"/>
  <c r="M41" i="5"/>
  <c r="M57" i="5" s="1"/>
  <c r="L41" i="5"/>
  <c r="L57" i="5" s="1"/>
  <c r="K41" i="5"/>
  <c r="K57" i="5" s="1"/>
  <c r="J41" i="5"/>
  <c r="J57" i="5" s="1"/>
  <c r="I41" i="5"/>
  <c r="I57" i="5" s="1"/>
  <c r="H41" i="5"/>
  <c r="H57" i="5" s="1"/>
  <c r="G41" i="5"/>
  <c r="G57" i="5" s="1"/>
  <c r="F41" i="5"/>
  <c r="F57" i="5" s="1"/>
  <c r="E41" i="5"/>
  <c r="E57" i="5" s="1"/>
  <c r="D41" i="5"/>
  <c r="D57" i="5" s="1"/>
  <c r="C41" i="5"/>
  <c r="O41" i="5" s="1"/>
  <c r="O57" i="5" s="1"/>
  <c r="B41" i="5"/>
  <c r="B57" i="5" s="1"/>
  <c r="O40" i="5"/>
  <c r="O52" i="5" s="1"/>
  <c r="O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N37" i="5"/>
  <c r="M37" i="5"/>
  <c r="L37" i="5"/>
  <c r="K37" i="5"/>
  <c r="J37" i="5"/>
  <c r="I37" i="5"/>
  <c r="H37" i="5"/>
  <c r="G37" i="5"/>
  <c r="F37" i="5"/>
  <c r="E37" i="5"/>
  <c r="D37" i="5"/>
  <c r="C37" i="5"/>
  <c r="N36" i="5"/>
  <c r="M36" i="5"/>
  <c r="L36" i="5"/>
  <c r="K36" i="5"/>
  <c r="J36" i="5"/>
  <c r="I36" i="5"/>
  <c r="H36" i="5"/>
  <c r="G36" i="5"/>
  <c r="F36" i="5"/>
  <c r="E36" i="5"/>
  <c r="D36" i="5"/>
  <c r="C36" i="5"/>
  <c r="N35" i="5"/>
  <c r="M35" i="5"/>
  <c r="L35" i="5"/>
  <c r="K35" i="5"/>
  <c r="J35" i="5"/>
  <c r="I35" i="5"/>
  <c r="H35" i="5"/>
  <c r="G35" i="5"/>
  <c r="F35" i="5"/>
  <c r="E35" i="5"/>
  <c r="D35" i="5"/>
  <c r="C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L33" i="5"/>
  <c r="H33" i="5"/>
  <c r="D33" i="5"/>
  <c r="B33" i="5"/>
  <c r="N32" i="5"/>
  <c r="J32" i="5"/>
  <c r="F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N26" i="5"/>
  <c r="J26" i="5"/>
  <c r="F26" i="5"/>
  <c r="O25" i="5"/>
  <c r="O51" i="5" s="1"/>
  <c r="O24" i="5"/>
  <c r="O50" i="5" s="1"/>
  <c r="N23" i="5"/>
  <c r="N49" i="5" s="1"/>
  <c r="M23" i="5"/>
  <c r="M49" i="5" s="1"/>
  <c r="L23" i="5"/>
  <c r="L49" i="5" s="1"/>
  <c r="K23" i="5"/>
  <c r="K49" i="5" s="1"/>
  <c r="J23" i="5"/>
  <c r="J49" i="5" s="1"/>
  <c r="I23" i="5"/>
  <c r="I49" i="5" s="1"/>
  <c r="H23" i="5"/>
  <c r="H49" i="5" s="1"/>
  <c r="G23" i="5"/>
  <c r="G49" i="5" s="1"/>
  <c r="F23" i="5"/>
  <c r="F49" i="5" s="1"/>
  <c r="E23" i="5"/>
  <c r="E49" i="5" s="1"/>
  <c r="D23" i="5"/>
  <c r="D49" i="5" s="1"/>
  <c r="C23" i="5"/>
  <c r="C49" i="5" s="1"/>
  <c r="B23" i="5"/>
  <c r="N22" i="5"/>
  <c r="N48" i="5" s="1"/>
  <c r="M22" i="5"/>
  <c r="M48" i="5" s="1"/>
  <c r="L22" i="5"/>
  <c r="L48" i="5" s="1"/>
  <c r="K22" i="5"/>
  <c r="K48" i="5" s="1"/>
  <c r="J22" i="5"/>
  <c r="J48" i="5" s="1"/>
  <c r="I22" i="5"/>
  <c r="I48" i="5" s="1"/>
  <c r="H22" i="5"/>
  <c r="H48" i="5" s="1"/>
  <c r="G22" i="5"/>
  <c r="G48" i="5" s="1"/>
  <c r="F22" i="5"/>
  <c r="F48" i="5" s="1"/>
  <c r="E22" i="5"/>
  <c r="E48" i="5" s="1"/>
  <c r="D22" i="5"/>
  <c r="D48" i="5" s="1"/>
  <c r="C22" i="5"/>
  <c r="C48" i="5" s="1"/>
  <c r="B22" i="5"/>
  <c r="N21" i="5"/>
  <c r="N47" i="5" s="1"/>
  <c r="M21" i="5"/>
  <c r="M47" i="5" s="1"/>
  <c r="L21" i="5"/>
  <c r="L47" i="5" s="1"/>
  <c r="K21" i="5"/>
  <c r="K47" i="5" s="1"/>
  <c r="J21" i="5"/>
  <c r="J47" i="5" s="1"/>
  <c r="I21" i="5"/>
  <c r="I47" i="5" s="1"/>
  <c r="H21" i="5"/>
  <c r="H47" i="5" s="1"/>
  <c r="G21" i="5"/>
  <c r="G47" i="5" s="1"/>
  <c r="F21" i="5"/>
  <c r="F47" i="5" s="1"/>
  <c r="E21" i="5"/>
  <c r="E47" i="5" s="1"/>
  <c r="D21" i="5"/>
  <c r="D47" i="5" s="1"/>
  <c r="C21" i="5"/>
  <c r="C47" i="5" s="1"/>
  <c r="B21" i="5"/>
  <c r="N20" i="5"/>
  <c r="N46" i="5" s="1"/>
  <c r="M20" i="5"/>
  <c r="M46" i="5" s="1"/>
  <c r="L20" i="5"/>
  <c r="L46" i="5" s="1"/>
  <c r="K20" i="5"/>
  <c r="K46" i="5" s="1"/>
  <c r="J20" i="5"/>
  <c r="J46" i="5" s="1"/>
  <c r="I20" i="5"/>
  <c r="I46" i="5" s="1"/>
  <c r="H20" i="5"/>
  <c r="H46" i="5" s="1"/>
  <c r="G20" i="5"/>
  <c r="G46" i="5" s="1"/>
  <c r="F20" i="5"/>
  <c r="F46" i="5" s="1"/>
  <c r="E20" i="5"/>
  <c r="E46" i="5" s="1"/>
  <c r="D20" i="5"/>
  <c r="D46" i="5" s="1"/>
  <c r="C20" i="5"/>
  <c r="O20" i="5" s="1"/>
  <c r="O46" i="5" s="1"/>
  <c r="B20" i="5"/>
  <c r="N19" i="5"/>
  <c r="N45" i="5" s="1"/>
  <c r="M19" i="5"/>
  <c r="M45" i="5" s="1"/>
  <c r="L19" i="5"/>
  <c r="L45" i="5" s="1"/>
  <c r="K19" i="5"/>
  <c r="K45" i="5" s="1"/>
  <c r="J19" i="5"/>
  <c r="J45" i="5" s="1"/>
  <c r="I19" i="5"/>
  <c r="I45" i="5" s="1"/>
  <c r="H19" i="5"/>
  <c r="H45" i="5" s="1"/>
  <c r="G19" i="5"/>
  <c r="G45" i="5" s="1"/>
  <c r="F19" i="5"/>
  <c r="F45" i="5" s="1"/>
  <c r="E19" i="5"/>
  <c r="E45" i="5" s="1"/>
  <c r="D19" i="5"/>
  <c r="D45" i="5" s="1"/>
  <c r="C19" i="5"/>
  <c r="C45" i="5" s="1"/>
  <c r="B19" i="5"/>
  <c r="N18" i="5"/>
  <c r="N44" i="5" s="1"/>
  <c r="N58" i="5" s="1"/>
  <c r="M18" i="5"/>
  <c r="M44" i="5" s="1"/>
  <c r="L18" i="5"/>
  <c r="L26" i="5" s="1"/>
  <c r="K18" i="5"/>
  <c r="K26" i="5" s="1"/>
  <c r="J18" i="5"/>
  <c r="J44" i="5" s="1"/>
  <c r="J58" i="5" s="1"/>
  <c r="I18" i="5"/>
  <c r="I44" i="5" s="1"/>
  <c r="H18" i="5"/>
  <c r="H26" i="5" s="1"/>
  <c r="G18" i="5"/>
  <c r="G44" i="5" s="1"/>
  <c r="F18" i="5"/>
  <c r="F44" i="5" s="1"/>
  <c r="F58" i="5" s="1"/>
  <c r="E18" i="5"/>
  <c r="E44" i="5" s="1"/>
  <c r="D18" i="5"/>
  <c r="D26" i="5" s="1"/>
  <c r="C18" i="5"/>
  <c r="O18" i="5" s="1"/>
  <c r="B18" i="5"/>
  <c r="O16" i="5"/>
  <c r="O15" i="5"/>
  <c r="O37" i="5" s="1"/>
  <c r="O14" i="5"/>
  <c r="O36" i="5" s="1"/>
  <c r="O13" i="5"/>
  <c r="O35" i="5" s="1"/>
  <c r="O12" i="5"/>
  <c r="N11" i="5"/>
  <c r="N33" i="5" s="1"/>
  <c r="M11" i="5"/>
  <c r="M33" i="5" s="1"/>
  <c r="L11" i="5"/>
  <c r="K11" i="5"/>
  <c r="K33" i="5" s="1"/>
  <c r="J11" i="5"/>
  <c r="J33" i="5" s="1"/>
  <c r="I11" i="5"/>
  <c r="I33" i="5" s="1"/>
  <c r="H11" i="5"/>
  <c r="G11" i="5"/>
  <c r="G33" i="5" s="1"/>
  <c r="F11" i="5"/>
  <c r="F33" i="5" s="1"/>
  <c r="E11" i="5"/>
  <c r="E33" i="5" s="1"/>
  <c r="D11" i="5"/>
  <c r="C11" i="5"/>
  <c r="O11" i="5" s="1"/>
  <c r="O33" i="5" s="1"/>
  <c r="B11" i="5"/>
  <c r="N10" i="5"/>
  <c r="N17" i="5" s="1"/>
  <c r="N28" i="5" s="1"/>
  <c r="M10" i="5"/>
  <c r="M32" i="5" s="1"/>
  <c r="L10" i="5"/>
  <c r="L32" i="5" s="1"/>
  <c r="K10" i="5"/>
  <c r="K17" i="5" s="1"/>
  <c r="K28" i="5" s="1"/>
  <c r="J10" i="5"/>
  <c r="J17" i="5" s="1"/>
  <c r="J28" i="5" s="1"/>
  <c r="I10" i="5"/>
  <c r="I17" i="5" s="1"/>
  <c r="H10" i="5"/>
  <c r="H32" i="5" s="1"/>
  <c r="G10" i="5"/>
  <c r="G17" i="5" s="1"/>
  <c r="F10" i="5"/>
  <c r="F17" i="5" s="1"/>
  <c r="F28" i="5" s="1"/>
  <c r="E10" i="5"/>
  <c r="E17" i="5" s="1"/>
  <c r="D10" i="5"/>
  <c r="D32" i="5" s="1"/>
  <c r="C10" i="5"/>
  <c r="C17" i="5" s="1"/>
  <c r="B10" i="5"/>
  <c r="O9" i="5"/>
  <c r="O6" i="5"/>
  <c r="O4" i="5"/>
  <c r="O3" i="5"/>
  <c r="O44" i="7" l="1"/>
  <c r="O26" i="7"/>
  <c r="J60" i="7"/>
  <c r="C58" i="7"/>
  <c r="E58" i="7"/>
  <c r="I58" i="7"/>
  <c r="M58" i="7"/>
  <c r="G58" i="7"/>
  <c r="O43" i="7"/>
  <c r="D43" i="7"/>
  <c r="D60" i="7" s="1"/>
  <c r="H43" i="7"/>
  <c r="H60" i="7" s="1"/>
  <c r="L43" i="7"/>
  <c r="L60" i="7" s="1"/>
  <c r="K58" i="7"/>
  <c r="O5" i="7"/>
  <c r="O6" i="7" s="1"/>
  <c r="C17" i="7"/>
  <c r="C28" i="7" s="1"/>
  <c r="O17" i="7"/>
  <c r="F17" i="7"/>
  <c r="F28" i="7" s="1"/>
  <c r="J17" i="7"/>
  <c r="J28" i="7" s="1"/>
  <c r="N17" i="7"/>
  <c r="N28" i="7" s="1"/>
  <c r="C26" i="7"/>
  <c r="C32" i="7"/>
  <c r="G32" i="7"/>
  <c r="G43" i="7" s="1"/>
  <c r="G60" i="7" s="1"/>
  <c r="K32" i="7"/>
  <c r="K43" i="7" s="1"/>
  <c r="K60" i="7" s="1"/>
  <c r="F44" i="7"/>
  <c r="J44" i="7"/>
  <c r="J58" i="7" s="1"/>
  <c r="N44" i="7"/>
  <c r="N58" i="7" s="1"/>
  <c r="N60" i="7" s="1"/>
  <c r="F57" i="7"/>
  <c r="O19" i="7"/>
  <c r="O45" i="7" s="1"/>
  <c r="O21" i="7"/>
  <c r="O47" i="7" s="1"/>
  <c r="O23" i="7"/>
  <c r="O49" i="7" s="1"/>
  <c r="E26" i="7"/>
  <c r="E28" i="7" s="1"/>
  <c r="I26" i="7"/>
  <c r="I28" i="7" s="1"/>
  <c r="M26" i="7"/>
  <c r="M28" i="7" s="1"/>
  <c r="E32" i="7"/>
  <c r="E43" i="7" s="1"/>
  <c r="E60" i="7" s="1"/>
  <c r="I32" i="7"/>
  <c r="I43" i="7" s="1"/>
  <c r="I60" i="7" s="1"/>
  <c r="M32" i="7"/>
  <c r="M43" i="7" s="1"/>
  <c r="M60" i="7" s="1"/>
  <c r="C33" i="7"/>
  <c r="C43" i="7" s="1"/>
  <c r="C60" i="7" s="1"/>
  <c r="E58" i="6"/>
  <c r="I58" i="6"/>
  <c r="M58" i="6"/>
  <c r="K43" i="6"/>
  <c r="K60" i="6" s="1"/>
  <c r="H43" i="6"/>
  <c r="M17" i="6"/>
  <c r="I43" i="6"/>
  <c r="I60" i="6" s="1"/>
  <c r="D43" i="6"/>
  <c r="L43" i="6"/>
  <c r="J17" i="6"/>
  <c r="J28" i="6" s="1"/>
  <c r="C6" i="6"/>
  <c r="K6" i="6"/>
  <c r="J11" i="6"/>
  <c r="J33" i="6" s="1"/>
  <c r="N11" i="6"/>
  <c r="N33" i="6" s="1"/>
  <c r="N43" i="6" s="1"/>
  <c r="N60" i="6" s="1"/>
  <c r="D17" i="6"/>
  <c r="D28" i="6" s="1"/>
  <c r="H17" i="6"/>
  <c r="H28" i="6" s="1"/>
  <c r="L17" i="6"/>
  <c r="L28" i="6" s="1"/>
  <c r="E26" i="6"/>
  <c r="E28" i="6" s="1"/>
  <c r="I26" i="6"/>
  <c r="I28" i="6" s="1"/>
  <c r="M26" i="6"/>
  <c r="O31" i="6"/>
  <c r="E32" i="6"/>
  <c r="E43" i="6" s="1"/>
  <c r="E60" i="6" s="1"/>
  <c r="I32" i="6"/>
  <c r="M32" i="6"/>
  <c r="M43" i="6" s="1"/>
  <c r="M60" i="6" s="1"/>
  <c r="C33" i="6"/>
  <c r="O18" i="6"/>
  <c r="O20" i="6"/>
  <c r="O46" i="6" s="1"/>
  <c r="O22" i="6"/>
  <c r="O48" i="6" s="1"/>
  <c r="F32" i="6"/>
  <c r="F43" i="6" s="1"/>
  <c r="F60" i="6" s="1"/>
  <c r="J32" i="6"/>
  <c r="J43" i="6" s="1"/>
  <c r="J60" i="6" s="1"/>
  <c r="N32" i="6"/>
  <c r="O41" i="6"/>
  <c r="O57" i="6" s="1"/>
  <c r="C44" i="6"/>
  <c r="C58" i="6" s="1"/>
  <c r="G44" i="6"/>
  <c r="G58" i="6" s="1"/>
  <c r="K44" i="6"/>
  <c r="K58" i="6" s="1"/>
  <c r="O4" i="6"/>
  <c r="O6" i="6" s="1"/>
  <c r="M6" i="6"/>
  <c r="C32" i="6"/>
  <c r="C43" i="6" s="1"/>
  <c r="C60" i="6" s="1"/>
  <c r="G32" i="6"/>
  <c r="G43" i="6" s="1"/>
  <c r="G60" i="6" s="1"/>
  <c r="K32" i="6"/>
  <c r="D44" i="6"/>
  <c r="D58" i="6" s="1"/>
  <c r="H44" i="6"/>
  <c r="H58" i="6" s="1"/>
  <c r="L44" i="6"/>
  <c r="L58" i="6" s="1"/>
  <c r="O10" i="6"/>
  <c r="O32" i="6" s="1"/>
  <c r="O19" i="6"/>
  <c r="O45" i="6" s="1"/>
  <c r="O21" i="6"/>
  <c r="O47" i="6" s="1"/>
  <c r="O23" i="6"/>
  <c r="O49" i="6" s="1"/>
  <c r="E58" i="5"/>
  <c r="I58" i="5"/>
  <c r="M58" i="5"/>
  <c r="H43" i="5"/>
  <c r="O44" i="5"/>
  <c r="G58" i="5"/>
  <c r="D43" i="5"/>
  <c r="L43" i="5"/>
  <c r="L60" i="5" s="1"/>
  <c r="F43" i="5"/>
  <c r="F60" i="5" s="1"/>
  <c r="J43" i="5"/>
  <c r="J60" i="5" s="1"/>
  <c r="N43" i="5"/>
  <c r="N60" i="5" s="1"/>
  <c r="M43" i="5"/>
  <c r="M60" i="5" s="1"/>
  <c r="M17" i="5"/>
  <c r="M28" i="5" s="1"/>
  <c r="D17" i="5"/>
  <c r="D28" i="5" s="1"/>
  <c r="H17" i="5"/>
  <c r="H28" i="5" s="1"/>
  <c r="L17" i="5"/>
  <c r="L28" i="5" s="1"/>
  <c r="E26" i="5"/>
  <c r="E28" i="5" s="1"/>
  <c r="I26" i="5"/>
  <c r="I28" i="5" s="1"/>
  <c r="M26" i="5"/>
  <c r="O31" i="5"/>
  <c r="O43" i="5" s="1"/>
  <c r="E32" i="5"/>
  <c r="E43" i="5" s="1"/>
  <c r="E60" i="5" s="1"/>
  <c r="I32" i="5"/>
  <c r="I43" i="5" s="1"/>
  <c r="I60" i="5" s="1"/>
  <c r="C33" i="5"/>
  <c r="C44" i="5"/>
  <c r="C58" i="5" s="1"/>
  <c r="K44" i="5"/>
  <c r="K58" i="5" s="1"/>
  <c r="C46" i="5"/>
  <c r="C57" i="5"/>
  <c r="C26" i="5"/>
  <c r="C28" i="5" s="1"/>
  <c r="G26" i="5"/>
  <c r="G28" i="5" s="1"/>
  <c r="C32" i="5"/>
  <c r="C43" i="5" s="1"/>
  <c r="C60" i="5" s="1"/>
  <c r="G32" i="5"/>
  <c r="G43" i="5" s="1"/>
  <c r="G60" i="5" s="1"/>
  <c r="K32" i="5"/>
  <c r="K43" i="5" s="1"/>
  <c r="K60" i="5" s="1"/>
  <c r="D44" i="5"/>
  <c r="D58" i="5" s="1"/>
  <c r="H44" i="5"/>
  <c r="H58" i="5" s="1"/>
  <c r="L44" i="5"/>
  <c r="L58" i="5" s="1"/>
  <c r="O22" i="5"/>
  <c r="O48" i="5" s="1"/>
  <c r="O10" i="5"/>
  <c r="O32" i="5" s="1"/>
  <c r="O19" i="5"/>
  <c r="O45" i="5" s="1"/>
  <c r="O21" i="5"/>
  <c r="O47" i="5" s="1"/>
  <c r="O23" i="5"/>
  <c r="O49" i="5" s="1"/>
  <c r="D10" i="1"/>
  <c r="E10" i="1"/>
  <c r="C10" i="1"/>
  <c r="D10" i="2"/>
  <c r="E10" i="2"/>
  <c r="F10" i="2"/>
  <c r="G10" i="2"/>
  <c r="H10" i="2"/>
  <c r="I10" i="2"/>
  <c r="J10" i="2"/>
  <c r="K10" i="2"/>
  <c r="L10" i="2"/>
  <c r="M10" i="2"/>
  <c r="N10" i="2"/>
  <c r="C10" i="2"/>
  <c r="D10" i="3"/>
  <c r="E10" i="3"/>
  <c r="F10" i="3"/>
  <c r="G10" i="3"/>
  <c r="H10" i="3"/>
  <c r="I10" i="3"/>
  <c r="J10" i="3"/>
  <c r="K10" i="3"/>
  <c r="L10" i="3"/>
  <c r="M10" i="3"/>
  <c r="N10" i="3"/>
  <c r="C10" i="3"/>
  <c r="F58" i="7" l="1"/>
  <c r="F60" i="7" s="1"/>
  <c r="O28" i="7"/>
  <c r="O60" i="7"/>
  <c r="O58" i="7"/>
  <c r="N17" i="6"/>
  <c r="N28" i="6" s="1"/>
  <c r="L60" i="6"/>
  <c r="O17" i="6"/>
  <c r="O28" i="6" s="1"/>
  <c r="O26" i="6"/>
  <c r="O44" i="6"/>
  <c r="O58" i="6" s="1"/>
  <c r="D60" i="6"/>
  <c r="M28" i="6"/>
  <c r="H60" i="6"/>
  <c r="O11" i="6"/>
  <c r="O33" i="6" s="1"/>
  <c r="O43" i="6" s="1"/>
  <c r="O60" i="6" s="1"/>
  <c r="D60" i="5"/>
  <c r="O58" i="5"/>
  <c r="O60" i="5" s="1"/>
  <c r="O26" i="5"/>
  <c r="H60" i="5"/>
  <c r="O17" i="5"/>
  <c r="N9" i="3"/>
  <c r="N17" i="3" s="1"/>
  <c r="I8" i="3"/>
  <c r="G9" i="3"/>
  <c r="G17" i="3" s="1"/>
  <c r="O16" i="3"/>
  <c r="O15" i="3"/>
  <c r="O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O10" i="3"/>
  <c r="M9" i="3"/>
  <c r="M17" i="3" s="1"/>
  <c r="L9" i="3"/>
  <c r="L17" i="3" s="1"/>
  <c r="K9" i="3"/>
  <c r="K17" i="3" s="1"/>
  <c r="J9" i="3"/>
  <c r="J17" i="3" s="1"/>
  <c r="I9" i="3"/>
  <c r="I17" i="3" s="1"/>
  <c r="H9" i="3"/>
  <c r="H17" i="3" s="1"/>
  <c r="F9" i="3"/>
  <c r="F17" i="3" s="1"/>
  <c r="E9" i="3"/>
  <c r="E17" i="3" s="1"/>
  <c r="D9" i="3"/>
  <c r="D17" i="3" s="1"/>
  <c r="C9" i="3"/>
  <c r="B9" i="3"/>
  <c r="N8" i="3"/>
  <c r="M8" i="3"/>
  <c r="L8" i="3"/>
  <c r="K8" i="3"/>
  <c r="J8" i="3"/>
  <c r="H8" i="3"/>
  <c r="F8" i="3"/>
  <c r="E8" i="3"/>
  <c r="D8" i="3"/>
  <c r="C8" i="3"/>
  <c r="O7" i="3"/>
  <c r="O6" i="3"/>
  <c r="O5" i="3"/>
  <c r="O4" i="3"/>
  <c r="O8" i="3"/>
  <c r="G19" i="2"/>
  <c r="F12" i="4" s="1"/>
  <c r="N17" i="2"/>
  <c r="N19" i="2" s="1"/>
  <c r="M12" i="4" s="1"/>
  <c r="M17" i="2"/>
  <c r="M19" i="2" s="1"/>
  <c r="L12" i="4" s="1"/>
  <c r="L17" i="2"/>
  <c r="L19" i="2" s="1"/>
  <c r="K12" i="4" s="1"/>
  <c r="K17" i="2"/>
  <c r="K19" i="2" s="1"/>
  <c r="J12" i="4" s="1"/>
  <c r="J17" i="2"/>
  <c r="J19" i="2" s="1"/>
  <c r="I12" i="4" s="1"/>
  <c r="I17" i="2"/>
  <c r="I19" i="2" s="1"/>
  <c r="H12" i="4" s="1"/>
  <c r="H17" i="2"/>
  <c r="H19" i="2" s="1"/>
  <c r="G12" i="4" s="1"/>
  <c r="G17" i="2"/>
  <c r="F17" i="2"/>
  <c r="F19" i="2" s="1"/>
  <c r="E12" i="4" s="1"/>
  <c r="E17" i="2"/>
  <c r="E19" i="2" s="1"/>
  <c r="D12" i="4" s="1"/>
  <c r="D17" i="2"/>
  <c r="D19" i="2" s="1"/>
  <c r="C12" i="4" s="1"/>
  <c r="C17" i="2"/>
  <c r="O16" i="2"/>
  <c r="O15" i="2"/>
  <c r="O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O6" i="2"/>
  <c r="O5" i="2"/>
  <c r="O4" i="2"/>
  <c r="O3" i="2"/>
  <c r="N19" i="1"/>
  <c r="M19" i="1"/>
  <c r="L19" i="1"/>
  <c r="K19" i="1"/>
  <c r="J19" i="1"/>
  <c r="I19" i="1"/>
  <c r="H19" i="1"/>
  <c r="G19" i="1"/>
  <c r="F19" i="1"/>
  <c r="N17" i="1"/>
  <c r="M17" i="1"/>
  <c r="L17" i="1"/>
  <c r="K17" i="1"/>
  <c r="J17" i="1"/>
  <c r="I17" i="1"/>
  <c r="H17" i="1"/>
  <c r="G17" i="1"/>
  <c r="F17" i="1"/>
  <c r="E17" i="1"/>
  <c r="E19" i="1" s="1"/>
  <c r="D6" i="4" s="1"/>
  <c r="D17" i="1"/>
  <c r="D19" i="1" s="1"/>
  <c r="C6" i="4" s="1"/>
  <c r="C17" i="1"/>
  <c r="C19" i="1" s="1"/>
  <c r="B6" i="4" s="1"/>
  <c r="O16" i="1"/>
  <c r="O15" i="1"/>
  <c r="O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O6" i="1"/>
  <c r="O5" i="1"/>
  <c r="O4" i="1"/>
  <c r="O3" i="1"/>
  <c r="M6" i="4"/>
  <c r="L6" i="4"/>
  <c r="K6" i="4"/>
  <c r="J6" i="4"/>
  <c r="I6" i="4"/>
  <c r="H6" i="4"/>
  <c r="G6" i="4"/>
  <c r="F6" i="4"/>
  <c r="E6" i="4"/>
  <c r="O28" i="5" l="1"/>
  <c r="O17" i="1"/>
  <c r="O19" i="1" s="1"/>
  <c r="N6" i="4" s="1"/>
  <c r="O17" i="2"/>
  <c r="O19" i="2" s="1"/>
  <c r="N12" i="4" s="1"/>
  <c r="C19" i="2"/>
  <c r="B12" i="4" s="1"/>
  <c r="G8" i="3"/>
  <c r="E19" i="3"/>
  <c r="D22" i="4" s="1"/>
  <c r="I19" i="3"/>
  <c r="H22" i="4" s="1"/>
  <c r="M19" i="3"/>
  <c r="L22" i="4" s="1"/>
  <c r="G19" i="3"/>
  <c r="F22" i="4" s="1"/>
  <c r="K19" i="3"/>
  <c r="J22" i="4" s="1"/>
  <c r="D19" i="3"/>
  <c r="C22" i="4" s="1"/>
  <c r="H19" i="3"/>
  <c r="G22" i="4" s="1"/>
  <c r="L19" i="3"/>
  <c r="K22" i="4" s="1"/>
  <c r="F19" i="3"/>
  <c r="E22" i="4" s="1"/>
  <c r="J19" i="3"/>
  <c r="I22" i="4" s="1"/>
  <c r="N19" i="3"/>
  <c r="M22" i="4" s="1"/>
  <c r="O9" i="3"/>
  <c r="O17" i="3" s="1"/>
  <c r="O19" i="3" s="1"/>
  <c r="N22" i="4" s="1"/>
  <c r="C17" i="3"/>
  <c r="C19" i="3" s="1"/>
  <c r="B22" i="4" s="1"/>
</calcChain>
</file>

<file path=xl/sharedStrings.xml><?xml version="1.0" encoding="utf-8"?>
<sst xmlns="http://schemas.openxmlformats.org/spreadsheetml/2006/main" count="337" uniqueCount="63">
  <si>
    <t>FY17</t>
  </si>
  <si>
    <t>Measure ID</t>
  </si>
  <si>
    <t>Measure Name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</si>
  <si>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</si>
  <si>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</si>
  <si>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</si>
  <si>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</si>
  <si>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</si>
  <si>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</si>
  <si>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</si>
  <si>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</si>
  <si>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</si>
  <si>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</si>
  <si>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</si>
  <si>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</si>
  <si>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Annual</t>
  </si>
  <si>
    <t>Tons of curbside recycling</t>
  </si>
  <si>
    <t xml:space="preserve">Tons of Curbside Yard Trimmings </t>
  </si>
  <si>
    <t>D174</t>
  </si>
  <si>
    <t>Tons of Curbside Bulk Recycled</t>
  </si>
  <si>
    <t>Tons of Curbside Brush Collected</t>
  </si>
  <si>
    <t xml:space="preserve">Total Numerator: </t>
  </si>
  <si>
    <t>Tons of curbside Trash</t>
  </si>
  <si>
    <t>D175</t>
  </si>
  <si>
    <t>Tons of Curbside Bulk Disposed</t>
  </si>
  <si>
    <t xml:space="preserve">Total Denominator: </t>
  </si>
  <si>
    <t>HHW Operations Tons recycled/reused</t>
  </si>
  <si>
    <t>FY16</t>
  </si>
  <si>
    <t>FY15</t>
  </si>
  <si>
    <t>D177</t>
  </si>
  <si>
    <t>Tons of HHW Disposed</t>
  </si>
  <si>
    <t>% of materials diverted from landfill</t>
  </si>
  <si>
    <t>FY18</t>
  </si>
  <si>
    <t>Fiscal Year</t>
  </si>
  <si>
    <t>Month</t>
  </si>
  <si>
    <t xml:space="preserve">Annual </t>
  </si>
  <si>
    <t>FY14</t>
  </si>
  <si>
    <t>Performance Measures</t>
  </si>
  <si>
    <t>ARR-Managed Diversion-9110</t>
  </si>
  <si>
    <t>% of materials diverted from landfill-7020</t>
  </si>
  <si>
    <t>Residential Curbside Diversion-9107*</t>
  </si>
  <si>
    <t>ARR-Managed Diversion</t>
  </si>
  <si>
    <t>*Requested New KPI</t>
  </si>
  <si>
    <t>D196</t>
  </si>
  <si>
    <t>Vendor 1 Residuals (TDS)</t>
  </si>
  <si>
    <t>D197</t>
  </si>
  <si>
    <t>Vendor 2 Residuals (BAL)</t>
  </si>
  <si>
    <t>Effective Residual Rate</t>
  </si>
  <si>
    <t>Residential Curbside Diversion Calculation</t>
  </si>
  <si>
    <t>D194</t>
  </si>
  <si>
    <t>Tons of Curbside Textiles Collected</t>
  </si>
  <si>
    <t>Tons of carts recycled</t>
  </si>
  <si>
    <t>Residential Curbside Diversion</t>
  </si>
  <si>
    <t>ARR-Managed Diversion Calculation</t>
  </si>
  <si>
    <t>RRC recycling tons</t>
  </si>
  <si>
    <t>NEW RRC BRUSH</t>
  </si>
  <si>
    <t>NEW RECYC DOWNTOWN</t>
  </si>
  <si>
    <t>Total Tons of Street Level Recycling collected</t>
  </si>
  <si>
    <t>Total tons of Dead Animals Collected from COA rights-of-way and the animal shelter</t>
  </si>
  <si>
    <t>Total tons of HHW</t>
  </si>
  <si>
    <t>Tons of litter collected</t>
  </si>
  <si>
    <t>Tons of material removed from roadways</t>
  </si>
  <si>
    <t>Total Tons of Brush Collected at the 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</si>
</sst>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43" fontId="0" fillId="0" borderId="10" xfId="1" applyFont="1" applyBorder="1"/>
    <xf numFmtId="43" fontId="0" fillId="0" borderId="11" xfId="0" applyNumberFormat="1" applyBorder="1"/>
    <xf numFmtId="43" fontId="0" fillId="0" borderId="0" xfId="1" applyFont="1" applyBorder="1"/>
    <xf numFmtId="43" fontId="0" fillId="0" borderId="8" xfId="0" applyNumberFormat="1" applyBorder="1"/>
    <xf numFmtId="43" fontId="3" fillId="0" borderId="5" xfId="1" applyFont="1" applyBorder="1"/>
    <xf numFmtId="43" fontId="3" fillId="0" borderId="6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4" xfId="2" applyNumberFormat="1" applyFont="1" applyBorder="1"/>
    <xf numFmtId="10" fontId="0" fillId="0" borderId="15" xfId="2" applyNumberFormat="1" applyFont="1" applyBorder="1"/>
    <xf numFmtId="164" fontId="2" fillId="4" borderId="23" xfId="0" applyNumberFormat="1" applyFont="1" applyFill="1" applyBorder="1" applyAlignment="1">
      <alignment horizontal="center"/>
    </xf>
    <xf numFmtId="164" fontId="2" fillId="4" borderId="24" xfId="0" applyNumberFormat="1" applyFont="1" applyFill="1" applyBorder="1" applyAlignment="1">
      <alignment horizontal="center"/>
    </xf>
    <xf numFmtId="164" fontId="2" fillId="4" borderId="25" xfId="0" applyNumberFormat="1" applyFont="1" applyFill="1" applyBorder="1" applyAlignment="1">
      <alignment horizontal="center"/>
    </xf>
    <xf numFmtId="164" fontId="2" fillId="4" borderId="26" xfId="0" applyNumberFormat="1" applyFont="1" applyFill="1" applyBorder="1" applyAlignment="1">
      <alignment horizontal="center"/>
    </xf>
    <xf numFmtId="10" fontId="0" fillId="0" borderId="14" xfId="2" applyNumberFormat="1" applyFont="1" applyBorder="1" applyAlignment="1">
      <alignment horizontal="right"/>
    </xf>
    <xf numFmtId="10" fontId="0" fillId="0" borderId="23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26" xfId="0" applyNumberFormat="1" applyBorder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4" borderId="28" xfId="0" applyNumberFormat="1" applyFont="1" applyFill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0" fontId="0" fillId="0" borderId="24" xfId="0" applyNumberFormat="1" applyBorder="1" applyAlignment="1">
      <alignment horizontal="right"/>
    </xf>
    <xf numFmtId="164" fontId="2" fillId="0" borderId="8" xfId="0" applyNumberFormat="1" applyFont="1" applyFill="1" applyBorder="1" applyAlignment="1">
      <alignment horizontal="center"/>
    </xf>
    <xf numFmtId="10" fontId="0" fillId="5" borderId="25" xfId="0" applyNumberFormat="1" applyFill="1" applyBorder="1"/>
    <xf numFmtId="0" fontId="0" fillId="5" borderId="5" xfId="0" applyFill="1" applyBorder="1"/>
    <xf numFmtId="0" fontId="0" fillId="5" borderId="23" xfId="0" applyFill="1" applyBorder="1"/>
    <xf numFmtId="10" fontId="0" fillId="5" borderId="5" xfId="0" applyNumberForma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164" fontId="2" fillId="0" borderId="14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0" fontId="3" fillId="2" borderId="33" xfId="0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Fill="1" applyBorder="1"/>
    <xf numFmtId="0" fontId="3" fillId="0" borderId="3" xfId="0" applyFont="1" applyFill="1" applyBorder="1" applyAlignment="1">
      <alignment horizontal="right"/>
    </xf>
    <xf numFmtId="0" fontId="0" fillId="0" borderId="27" xfId="0" applyBorder="1"/>
    <xf numFmtId="0" fontId="0" fillId="0" borderId="34" xfId="0" applyBorder="1"/>
    <xf numFmtId="0" fontId="0" fillId="0" borderId="34" xfId="0" applyFill="1" applyBorder="1"/>
    <xf numFmtId="43" fontId="0" fillId="0" borderId="35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43" fontId="0" fillId="0" borderId="6" xfId="0" applyNumberForma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36" xfId="0" applyBorder="1"/>
    <xf numFmtId="0" fontId="0" fillId="0" borderId="37" xfId="0" applyBorder="1"/>
    <xf numFmtId="10" fontId="0" fillId="0" borderId="37" xfId="2" applyNumberFormat="1" applyFont="1" applyFill="1" applyBorder="1"/>
    <xf numFmtId="10" fontId="0" fillId="0" borderId="38" xfId="2" applyNumberFormat="1" applyFont="1" applyFill="1" applyBorder="1"/>
    <xf numFmtId="43" fontId="0" fillId="0" borderId="10" xfId="1" applyFont="1" applyFill="1" applyBorder="1"/>
    <xf numFmtId="43" fontId="0" fillId="0" borderId="11" xfId="0" applyNumberFormat="1" applyFill="1" applyBorder="1"/>
    <xf numFmtId="43" fontId="0" fillId="0" borderId="0" xfId="1" applyFont="1" applyFill="1" applyBorder="1"/>
    <xf numFmtId="43" fontId="0" fillId="0" borderId="8" xfId="0" applyNumberFormat="1" applyFill="1" applyBorder="1"/>
    <xf numFmtId="43" fontId="3" fillId="0" borderId="5" xfId="1" applyFont="1" applyFill="1" applyBorder="1"/>
    <xf numFmtId="43" fontId="3" fillId="0" borderId="6" xfId="1" applyFont="1" applyFill="1" applyBorder="1"/>
    <xf numFmtId="0" fontId="0" fillId="0" borderId="12" xfId="0" applyFill="1" applyBorder="1"/>
    <xf numFmtId="10" fontId="0" fillId="0" borderId="14" xfId="2" applyNumberFormat="1" applyFont="1" applyFill="1" applyBorder="1"/>
    <xf numFmtId="10" fontId="0" fillId="0" borderId="15" xfId="2" applyNumberFormat="1" applyFont="1" applyFill="1" applyBorder="1"/>
    <xf numFmtId="0" fontId="0" fillId="0" borderId="0" xfId="0" applyFill="1"/>
    <xf numFmtId="43" fontId="0" fillId="0" borderId="35" xfId="0" applyNumberFormat="1" applyBorder="1"/>
    <xf numFmtId="43" fontId="0" fillId="0" borderId="6" xfId="0" applyNumberForma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0" xfId="0" applyFont="1"/>
    <xf numFmtId="10" fontId="0" fillId="0" borderId="37" xfId="2" applyNumberFormat="1" applyFont="1" applyBorder="1"/>
    <xf numFmtId="10" fontId="0" fillId="0" borderId="38" xfId="2" applyNumberFormat="1" applyFont="1" applyBorder="1"/>
    <xf numFmtId="0" fontId="0" fillId="0" borderId="8" xfId="0" applyBorder="1"/>
    <xf numFmtId="0" fontId="6" fillId="0" borderId="0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164" fontId="5" fillId="0" borderId="34" xfId="0" applyNumberFormat="1" applyFont="1" applyFill="1" applyBorder="1" applyAlignment="1">
      <alignment horizontal="center"/>
    </xf>
    <xf numFmtId="164" fontId="5" fillId="0" borderId="35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Accounting%20Budget/Budget%20Files/Business%20Planning/Business%20Planning%20FY19/NEW%20MEASURE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Y17"/>
      <sheetName val="FY16"/>
      <sheetName val="FY15"/>
      <sheetName val="RRC BRUSH"/>
    </sheetNames>
    <sheetDataSet>
      <sheetData sheetId="0"/>
      <sheetData sheetId="1"/>
      <sheetData sheetId="2">
        <row r="41">
          <cell r="B41" t="str">
            <v>Total Tons of Brush Collected at the RRC</v>
          </cell>
        </row>
      </sheetData>
      <sheetData sheetId="3">
        <row r="41">
          <cell r="B41" t="str">
            <v>Total Tons of Brush Collected at the RRC</v>
          </cell>
        </row>
      </sheetData>
      <sheetData sheetId="4">
        <row r="2">
          <cell r="B2">
            <v>0</v>
          </cell>
          <cell r="C2">
            <v>3.77</v>
          </cell>
          <cell r="D2">
            <v>10.83</v>
          </cell>
          <cell r="E2">
            <v>17.55</v>
          </cell>
          <cell r="F2">
            <v>30.5</v>
          </cell>
          <cell r="G2">
            <v>16.489999999999998</v>
          </cell>
          <cell r="H2">
            <v>20.79</v>
          </cell>
          <cell r="I2">
            <v>14.85</v>
          </cell>
          <cell r="J2">
            <v>24.32</v>
          </cell>
          <cell r="K2">
            <v>22.8</v>
          </cell>
          <cell r="L2">
            <v>44.52</v>
          </cell>
          <cell r="M2">
            <v>25.65</v>
          </cell>
          <cell r="N2">
            <v>18.72</v>
          </cell>
          <cell r="O2">
            <v>38.659999999999997</v>
          </cell>
          <cell r="P2">
            <v>35.979999999999997</v>
          </cell>
          <cell r="Q2">
            <v>40.299999999999997</v>
          </cell>
          <cell r="R2">
            <v>71.67</v>
          </cell>
          <cell r="S2">
            <v>75.42</v>
          </cell>
          <cell r="T2">
            <v>61.3</v>
          </cell>
          <cell r="U2">
            <v>65.27</v>
          </cell>
          <cell r="V2">
            <v>74.459999999999994</v>
          </cell>
          <cell r="W2">
            <v>71.27</v>
          </cell>
          <cell r="X2">
            <v>79.5</v>
          </cell>
          <cell r="Y2">
            <v>62.16</v>
          </cell>
          <cell r="Z2">
            <v>69.81</v>
          </cell>
          <cell r="AA2">
            <v>73.11</v>
          </cell>
          <cell r="AB2">
            <v>151</v>
          </cell>
          <cell r="AC2">
            <v>127.35</v>
          </cell>
          <cell r="AD2">
            <v>105.97</v>
          </cell>
          <cell r="AE2">
            <v>88.78</v>
          </cell>
          <cell r="AF2">
            <v>94.91</v>
          </cell>
          <cell r="AG2">
            <v>118.03</v>
          </cell>
          <cell r="AH2">
            <v>99.76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N46"/>
  <sheetViews>
    <sheetView zoomScaleNormal="100" workbookViewId="0">
      <selection activeCell="A46" sqref="A46"/>
    </sheetView>
  </sheetViews>
  <sheetFormatPr defaultRowHeight="15" x14ac:dyDescent="0.25"/>
  <cols>
    <col min="1" max="1" width="38.7109375" bestFit="1" customWidth="1"/>
    <col min="2" max="13" width="9.28515625" bestFit="1" customWidth="1"/>
    <col min="14" max="14" width="9.5703125" bestFit="1" customWidth="1"/>
  </cols>
  <sheetData>
    <row r="1" spans="1:14" ht="15" customHeight="1" x14ac:dyDescent="0.25">
      <c r="A1" s="90" t="s">
        <v>37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</row>
    <row r="2" spans="1:14" ht="15.75" customHeight="1" thickBot="1" x14ac:dyDescent="0.3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</row>
    <row r="3" spans="1:14" x14ac:dyDescent="0.25">
      <c r="A3" s="47" t="s">
        <v>33</v>
      </c>
      <c r="B3" s="96" t="s">
        <v>32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8"/>
      <c r="N3" s="99"/>
    </row>
    <row r="4" spans="1:14" x14ac:dyDescent="0.25">
      <c r="A4" s="43" t="s">
        <v>34</v>
      </c>
      <c r="B4" s="19">
        <v>43009</v>
      </c>
      <c r="C4" s="20">
        <v>43040</v>
      </c>
      <c r="D4" s="20">
        <v>43070</v>
      </c>
      <c r="E4" s="20">
        <v>43101</v>
      </c>
      <c r="F4" s="20">
        <v>43132</v>
      </c>
      <c r="G4" s="20">
        <v>43160</v>
      </c>
      <c r="H4" s="20">
        <v>43191</v>
      </c>
      <c r="I4" s="20">
        <v>43221</v>
      </c>
      <c r="J4" s="20">
        <v>43252</v>
      </c>
      <c r="K4" s="20">
        <v>43282</v>
      </c>
      <c r="L4" s="20">
        <v>43313</v>
      </c>
      <c r="M4" s="21">
        <v>43344</v>
      </c>
      <c r="N4" s="22" t="s">
        <v>15</v>
      </c>
    </row>
    <row r="5" spans="1:14" ht="4.5" customHeight="1" x14ac:dyDescent="0.25">
      <c r="A5" s="4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14" x14ac:dyDescent="0.25">
      <c r="A6" s="43" t="s">
        <v>39</v>
      </c>
      <c r="B6" s="37">
        <f>'FY18-PM7020 '!C19</f>
        <v>0.4149168056754442</v>
      </c>
      <c r="C6" s="37">
        <f>'FY18-PM7020 '!D19</f>
        <v>0.38789694199605651</v>
      </c>
      <c r="D6" s="37">
        <f>'FY18-PM7020 '!E19</f>
        <v>0.41277393045426991</v>
      </c>
      <c r="E6" s="33" t="str">
        <f>'FY18-PM7020 '!F19</f>
        <v xml:space="preserve"> - </v>
      </c>
      <c r="F6" s="33" t="str">
        <f>'FY18-PM7020 '!G19</f>
        <v xml:space="preserve"> - </v>
      </c>
      <c r="G6" s="33" t="str">
        <f>'FY18-PM7020 '!H19</f>
        <v xml:space="preserve"> - </v>
      </c>
      <c r="H6" s="33" t="str">
        <f>'FY18-PM7020 '!I19</f>
        <v xml:space="preserve"> - </v>
      </c>
      <c r="I6" s="33" t="str">
        <f>'FY18-PM7020 '!J19</f>
        <v xml:space="preserve"> - </v>
      </c>
      <c r="J6" s="33" t="str">
        <f>'FY18-PM7020 '!K19</f>
        <v xml:space="preserve"> - </v>
      </c>
      <c r="K6" s="33" t="str">
        <f>'FY18-PM7020 '!L19</f>
        <v xml:space="preserve"> - </v>
      </c>
      <c r="L6" s="33" t="str">
        <f>'FY18-PM7020 '!M19</f>
        <v xml:space="preserve"> - </v>
      </c>
      <c r="M6" s="33" t="str">
        <f>'FY18-PM7020 '!N19</f>
        <v xml:space="preserve"> - </v>
      </c>
      <c r="N6" s="28">
        <f>'FY18-PM7020 '!O19</f>
        <v>0.40492216857655661</v>
      </c>
    </row>
    <row r="7" spans="1:14" ht="4.5" customHeight="1" thickBot="1" x14ac:dyDescent="0.3">
      <c r="A7" s="44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</row>
    <row r="8" spans="1:14" ht="15.75" thickBo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2"/>
    </row>
    <row r="9" spans="1:14" x14ac:dyDescent="0.25">
      <c r="A9" s="47" t="s">
        <v>33</v>
      </c>
      <c r="B9" s="96" t="s">
        <v>0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8"/>
      <c r="N9" s="99"/>
    </row>
    <row r="10" spans="1:14" x14ac:dyDescent="0.25">
      <c r="A10" s="43" t="s">
        <v>34</v>
      </c>
      <c r="B10" s="19">
        <v>42644</v>
      </c>
      <c r="C10" s="20">
        <v>42675</v>
      </c>
      <c r="D10" s="20">
        <v>42705</v>
      </c>
      <c r="E10" s="20">
        <v>42736</v>
      </c>
      <c r="F10" s="20">
        <v>42767</v>
      </c>
      <c r="G10" s="20">
        <v>42795</v>
      </c>
      <c r="H10" s="20">
        <v>42826</v>
      </c>
      <c r="I10" s="20">
        <v>42856</v>
      </c>
      <c r="J10" s="20">
        <v>42887</v>
      </c>
      <c r="K10" s="20">
        <v>42917</v>
      </c>
      <c r="L10" s="20">
        <v>42948</v>
      </c>
      <c r="M10" s="21">
        <v>42979</v>
      </c>
      <c r="N10" s="22" t="s">
        <v>15</v>
      </c>
    </row>
    <row r="11" spans="1:14" ht="4.5" customHeight="1" x14ac:dyDescent="0.25">
      <c r="A11" s="4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5"/>
    </row>
    <row r="12" spans="1:14" x14ac:dyDescent="0.25">
      <c r="A12" s="43" t="s">
        <v>39</v>
      </c>
      <c r="B12" s="24">
        <f>'FY17-PM7020'!C19</f>
        <v>0.39926309053708131</v>
      </c>
      <c r="C12" s="33">
        <f>'FY17-PM7020'!D19</f>
        <v>0.39789134581958663</v>
      </c>
      <c r="D12" s="33">
        <f>'FY17-PM7020'!E19</f>
        <v>0.4239557534409184</v>
      </c>
      <c r="E12" s="33">
        <f>'FY17-PM7020'!F19</f>
        <v>0.447384751113519</v>
      </c>
      <c r="F12" s="33">
        <f>'FY17-PM7020'!G19</f>
        <v>0.43802028842749147</v>
      </c>
      <c r="G12" s="33">
        <f>'FY17-PM7020'!H19</f>
        <v>0.50342069978559845</v>
      </c>
      <c r="H12" s="33">
        <f>'FY17-PM7020'!I19</f>
        <v>0.44102068920336546</v>
      </c>
      <c r="I12" s="33">
        <f>'FY17-PM7020'!J19</f>
        <v>0.38426688663066672</v>
      </c>
      <c r="J12" s="33">
        <f>'FY17-PM7020'!K19</f>
        <v>0.36619353362921192</v>
      </c>
      <c r="K12" s="33">
        <f>'FY17-PM7020'!L19</f>
        <v>0.35107786921159967</v>
      </c>
      <c r="L12" s="33">
        <f>'FY17-PM7020'!M19</f>
        <v>0.36447963661274696</v>
      </c>
      <c r="M12" s="33">
        <f>'FY17-PM7020'!N19</f>
        <v>0.41200737931151921</v>
      </c>
      <c r="N12" s="28">
        <f>'FY17-PM7020'!O19</f>
        <v>0.41318043544812388</v>
      </c>
    </row>
    <row r="13" spans="1:14" ht="4.5" customHeight="1" x14ac:dyDescent="0.25">
      <c r="A13" s="43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8"/>
    </row>
    <row r="14" spans="1:14" x14ac:dyDescent="0.25">
      <c r="A14" s="43" t="s">
        <v>40</v>
      </c>
      <c r="B14" s="24">
        <v>0.35984373194762764</v>
      </c>
      <c r="C14" s="24">
        <v>0.35971466059390417</v>
      </c>
      <c r="D14" s="24">
        <v>0.38729949456133422</v>
      </c>
      <c r="E14" s="24">
        <v>0.4123343515640514</v>
      </c>
      <c r="F14" s="24">
        <v>0.40387775854490393</v>
      </c>
      <c r="G14" s="24">
        <v>0.47270229019983917</v>
      </c>
      <c r="H14" s="24">
        <v>0.40751340535479713</v>
      </c>
      <c r="I14" s="24">
        <v>0.34169154199349328</v>
      </c>
      <c r="J14" s="24">
        <v>0.32402956860641013</v>
      </c>
      <c r="K14" s="24">
        <v>0.30803476308777761</v>
      </c>
      <c r="L14" s="24">
        <v>0.32164608527928984</v>
      </c>
      <c r="M14" s="24">
        <v>0.37047617381192921</v>
      </c>
      <c r="N14" s="25">
        <v>0.37510297893617989</v>
      </c>
    </row>
    <row r="15" spans="1:14" ht="4.5" customHeight="1" x14ac:dyDescent="0.25">
      <c r="A15" s="4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</row>
    <row r="16" spans="1:14" x14ac:dyDescent="0.25">
      <c r="A16" s="43" t="s">
        <v>38</v>
      </c>
      <c r="B16" s="24">
        <v>0.3554764594136674</v>
      </c>
      <c r="C16" s="24">
        <v>0.35917276184903452</v>
      </c>
      <c r="D16" s="24">
        <v>0.3862687970142018</v>
      </c>
      <c r="E16" s="24">
        <v>0.40977686176361849</v>
      </c>
      <c r="F16" s="24">
        <v>0.40338990029666266</v>
      </c>
      <c r="G16" s="24">
        <v>0.47260481388769265</v>
      </c>
      <c r="H16" s="24">
        <v>0.40487260305181871</v>
      </c>
      <c r="I16" s="24">
        <v>0.34403849033097883</v>
      </c>
      <c r="J16" s="24">
        <v>0.32707344957118872</v>
      </c>
      <c r="K16" s="24">
        <v>0.3120005091366157</v>
      </c>
      <c r="L16" s="24">
        <v>0.32515130521604291</v>
      </c>
      <c r="M16" s="24">
        <v>0.37553924653555693</v>
      </c>
      <c r="N16" s="28">
        <v>0.37544255431320661</v>
      </c>
    </row>
    <row r="17" spans="1:14" ht="4.5" customHeight="1" thickBot="1" x14ac:dyDescent="0.3">
      <c r="A17" s="4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29"/>
    </row>
    <row r="18" spans="1:14" ht="15.75" thickBo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2"/>
    </row>
    <row r="19" spans="1:14" x14ac:dyDescent="0.25">
      <c r="A19" s="47" t="s">
        <v>33</v>
      </c>
      <c r="B19" s="96" t="s">
        <v>27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8"/>
      <c r="N19" s="99"/>
    </row>
    <row r="20" spans="1:14" x14ac:dyDescent="0.25">
      <c r="A20" s="43" t="s">
        <v>34</v>
      </c>
      <c r="B20" s="19">
        <v>42278</v>
      </c>
      <c r="C20" s="20">
        <v>42309</v>
      </c>
      <c r="D20" s="20">
        <v>42339</v>
      </c>
      <c r="E20" s="20">
        <v>42370</v>
      </c>
      <c r="F20" s="20">
        <v>42401</v>
      </c>
      <c r="G20" s="20">
        <v>42430</v>
      </c>
      <c r="H20" s="20">
        <v>42461</v>
      </c>
      <c r="I20" s="20">
        <v>42491</v>
      </c>
      <c r="J20" s="20">
        <v>42522</v>
      </c>
      <c r="K20" s="20">
        <v>42552</v>
      </c>
      <c r="L20" s="20">
        <v>42583</v>
      </c>
      <c r="M20" s="21">
        <v>42614</v>
      </c>
      <c r="N20" s="22" t="s">
        <v>35</v>
      </c>
    </row>
    <row r="21" spans="1:14" ht="4.5" customHeight="1" x14ac:dyDescent="0.25">
      <c r="A21" s="4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</row>
    <row r="22" spans="1:14" x14ac:dyDescent="0.25">
      <c r="A22" s="43" t="s">
        <v>39</v>
      </c>
      <c r="B22" s="24">
        <f>' FY16-PM7020 '!C19</f>
        <v>0.41576265716565469</v>
      </c>
      <c r="C22" s="33">
        <f>' FY16-PM7020 '!D19</f>
        <v>0.3983291198544438</v>
      </c>
      <c r="D22" s="33">
        <f>' FY16-PM7020 '!E19</f>
        <v>0.42823013419414135</v>
      </c>
      <c r="E22" s="33">
        <f>' FY16-PM7020 '!F19</f>
        <v>0.41512937313928872</v>
      </c>
      <c r="F22" s="33">
        <f>' FY16-PM7020 '!G19</f>
        <v>0.42950694508887172</v>
      </c>
      <c r="G22" s="33">
        <f>' FY16-PM7020 '!H19</f>
        <v>0.50296144245034102</v>
      </c>
      <c r="H22" s="33">
        <f>' FY16-PM7020 '!I19</f>
        <v>0.43659205729968353</v>
      </c>
      <c r="I22" s="33">
        <f>' FY16-PM7020 '!J19</f>
        <v>0.4045751730136416</v>
      </c>
      <c r="J22" s="33">
        <f>' FY16-PM7020 '!K19</f>
        <v>0.40746776382525068</v>
      </c>
      <c r="K22" s="33">
        <f>' FY16-PM7020 '!L19</f>
        <v>0.36529814010170847</v>
      </c>
      <c r="L22" s="33">
        <f>' FY16-PM7020 '!M19</f>
        <v>0.36655087681209481</v>
      </c>
      <c r="M22" s="33">
        <f>' FY16-PM7020 '!N19</f>
        <v>0.39344839803819448</v>
      </c>
      <c r="N22" s="28">
        <f>' FY16-PM7020 '!O19</f>
        <v>0.41548532111375513</v>
      </c>
    </row>
    <row r="23" spans="1:14" ht="4.5" customHeight="1" x14ac:dyDescent="0.2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8"/>
    </row>
    <row r="24" spans="1:14" x14ac:dyDescent="0.25">
      <c r="A24" s="43" t="s">
        <v>40</v>
      </c>
      <c r="B24" s="24">
        <v>0.37526989087655366</v>
      </c>
      <c r="C24" s="24">
        <v>0.35720941783745563</v>
      </c>
      <c r="D24" s="24">
        <v>0.38733500512312857</v>
      </c>
      <c r="E24" s="24">
        <v>0.37359452916468378</v>
      </c>
      <c r="F24" s="24">
        <v>0.38880556043263914</v>
      </c>
      <c r="G24" s="24">
        <v>0.46905451760781308</v>
      </c>
      <c r="H24" s="24">
        <v>0.39920632603406331</v>
      </c>
      <c r="I24" s="24">
        <v>0.36644645113251728</v>
      </c>
      <c r="J24" s="24">
        <v>0.36949596434175813</v>
      </c>
      <c r="K24" s="24">
        <v>0.32429708074186137</v>
      </c>
      <c r="L24" s="24">
        <v>0.32385282028425688</v>
      </c>
      <c r="M24" s="24">
        <v>0.354058946509612</v>
      </c>
      <c r="N24" s="25">
        <v>0.37603664417384902</v>
      </c>
    </row>
    <row r="25" spans="1:14" ht="4.5" customHeight="1" x14ac:dyDescent="0.25">
      <c r="A25" s="43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7"/>
    </row>
    <row r="26" spans="1:14" x14ac:dyDescent="0.25">
      <c r="A26" s="43" t="s">
        <v>38</v>
      </c>
      <c r="B26" s="24">
        <v>0.37097441910363227</v>
      </c>
      <c r="C26" s="24">
        <v>0.35807839678552655</v>
      </c>
      <c r="D26" s="24">
        <v>0.38528196228655004</v>
      </c>
      <c r="E26" s="24">
        <v>0.36702987476826721</v>
      </c>
      <c r="F26" s="24">
        <v>0.38303449716518523</v>
      </c>
      <c r="G26" s="24">
        <v>0.46510928979623872</v>
      </c>
      <c r="H26" s="24">
        <v>0.39398861301056093</v>
      </c>
      <c r="I26" s="24">
        <v>0.36593171390662865</v>
      </c>
      <c r="J26" s="24">
        <v>0.36982783818081033</v>
      </c>
      <c r="K26" s="24">
        <v>0.32714625189025709</v>
      </c>
      <c r="L26" s="24">
        <v>0.32476002238270096</v>
      </c>
      <c r="M26" s="24">
        <v>0.35118248012906372</v>
      </c>
      <c r="N26" s="25">
        <v>0.37379362378038594</v>
      </c>
    </row>
    <row r="27" spans="1:14" ht="4.5" customHeight="1" thickBot="1" x14ac:dyDescent="0.3">
      <c r="A27" s="44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</row>
    <row r="28" spans="1:14" ht="15.75" thickBot="1" x14ac:dyDescent="0.3">
      <c r="A28" s="87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9"/>
    </row>
    <row r="29" spans="1:14" x14ac:dyDescent="0.25">
      <c r="A29" s="47" t="s">
        <v>33</v>
      </c>
      <c r="B29" s="103" t="s">
        <v>28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4"/>
    </row>
    <row r="30" spans="1:14" x14ac:dyDescent="0.25">
      <c r="A30" s="43" t="s">
        <v>34</v>
      </c>
      <c r="B30" s="19">
        <v>41913</v>
      </c>
      <c r="C30" s="20">
        <v>41944</v>
      </c>
      <c r="D30" s="20">
        <v>41974</v>
      </c>
      <c r="E30" s="20">
        <v>42005</v>
      </c>
      <c r="F30" s="20">
        <v>42036</v>
      </c>
      <c r="G30" s="20">
        <v>42064</v>
      </c>
      <c r="H30" s="20">
        <v>42095</v>
      </c>
      <c r="I30" s="20">
        <v>42125</v>
      </c>
      <c r="J30" s="20">
        <v>42156</v>
      </c>
      <c r="K30" s="20">
        <v>42186</v>
      </c>
      <c r="L30" s="20">
        <v>42217</v>
      </c>
      <c r="M30" s="21">
        <v>42248</v>
      </c>
      <c r="N30" s="22" t="s">
        <v>35</v>
      </c>
    </row>
    <row r="31" spans="1:14" ht="4.5" customHeight="1" x14ac:dyDescent="0.25">
      <c r="A31" s="4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x14ac:dyDescent="0.25">
      <c r="A32" s="43" t="s">
        <v>39</v>
      </c>
      <c r="B32" s="42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  <c r="N32" s="28">
        <v>0.39950000000000002</v>
      </c>
    </row>
    <row r="33" spans="1:14" ht="4.5" customHeight="1" x14ac:dyDescent="0.25">
      <c r="A33" s="4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</row>
    <row r="34" spans="1:14" x14ac:dyDescent="0.25">
      <c r="A34" s="43" t="s">
        <v>40</v>
      </c>
      <c r="B34" s="24">
        <v>0.34728532697285741</v>
      </c>
      <c r="C34" s="24">
        <v>0.32102897289231536</v>
      </c>
      <c r="D34" s="24">
        <v>0.40190135600442112</v>
      </c>
      <c r="E34" s="24">
        <v>0.36192123512548247</v>
      </c>
      <c r="F34" s="24">
        <v>0.35646329832823676</v>
      </c>
      <c r="G34" s="24">
        <v>0.42768001881980278</v>
      </c>
      <c r="H34" s="24">
        <v>0.43894421122002597</v>
      </c>
      <c r="I34" s="24">
        <v>0.3578665125788435</v>
      </c>
      <c r="J34" s="24">
        <v>0.35419685599464351</v>
      </c>
      <c r="K34" s="24">
        <v>0.32517994358525437</v>
      </c>
      <c r="L34" s="24">
        <v>0.31438407652333067</v>
      </c>
      <c r="M34" s="24">
        <v>0.33336756476024365</v>
      </c>
      <c r="N34" s="28">
        <v>0.36464500435216979</v>
      </c>
    </row>
    <row r="35" spans="1:14" ht="4.5" customHeight="1" x14ac:dyDescent="0.25">
      <c r="A35" s="43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4" x14ac:dyDescent="0.25">
      <c r="A36" s="43" t="s">
        <v>38</v>
      </c>
      <c r="B36" s="24">
        <v>0.33826224247094616</v>
      </c>
      <c r="C36" s="24">
        <v>0.31610557255840732</v>
      </c>
      <c r="D36" s="24">
        <v>0.3944008915907507</v>
      </c>
      <c r="E36" s="24">
        <v>0.35148931200209232</v>
      </c>
      <c r="F36" s="24">
        <v>0.34741063831259117</v>
      </c>
      <c r="G36" s="24">
        <v>0.41881695507044414</v>
      </c>
      <c r="H36" s="24">
        <v>0.43108164180896391</v>
      </c>
      <c r="I36" s="24">
        <v>0.3532818477415503</v>
      </c>
      <c r="J36" s="24">
        <v>0.34985899156840033</v>
      </c>
      <c r="K36" s="24">
        <v>0.32205168587451127</v>
      </c>
      <c r="L36" s="24">
        <v>0.30906132857835272</v>
      </c>
      <c r="M36" s="24">
        <v>0.32993298925213183</v>
      </c>
      <c r="N36" s="25">
        <v>0.35808173315660957</v>
      </c>
    </row>
    <row r="37" spans="1:14" ht="4.5" customHeight="1" thickBot="1" x14ac:dyDescent="0.3">
      <c r="A37" s="44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1"/>
    </row>
    <row r="38" spans="1:14" ht="15.75" thickBot="1" x14ac:dyDescent="0.3">
      <c r="A38" s="107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9"/>
    </row>
    <row r="39" spans="1:14" x14ac:dyDescent="0.25">
      <c r="A39" s="47" t="s">
        <v>33</v>
      </c>
      <c r="B39" s="105" t="s">
        <v>36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6"/>
    </row>
    <row r="40" spans="1:14" x14ac:dyDescent="0.25">
      <c r="A40" s="43" t="s">
        <v>34</v>
      </c>
      <c r="B40" s="19">
        <v>41548</v>
      </c>
      <c r="C40" s="20">
        <v>41579</v>
      </c>
      <c r="D40" s="20">
        <v>41609</v>
      </c>
      <c r="E40" s="20">
        <v>41640</v>
      </c>
      <c r="F40" s="20">
        <v>41671</v>
      </c>
      <c r="G40" s="20">
        <v>41699</v>
      </c>
      <c r="H40" s="20">
        <v>41730</v>
      </c>
      <c r="I40" s="20">
        <v>41760</v>
      </c>
      <c r="J40" s="20">
        <v>41791</v>
      </c>
      <c r="K40" s="20">
        <v>41821</v>
      </c>
      <c r="L40" s="20">
        <v>41852</v>
      </c>
      <c r="M40" s="21">
        <v>41883</v>
      </c>
      <c r="N40" s="32" t="s">
        <v>35</v>
      </c>
    </row>
    <row r="41" spans="1:14" ht="4.5" customHeight="1" x14ac:dyDescent="0.25">
      <c r="A41" s="4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/>
    </row>
    <row r="42" spans="1:14" x14ac:dyDescent="0.25">
      <c r="A42" s="43" t="s">
        <v>39</v>
      </c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1"/>
      <c r="N42" s="28">
        <v>0.39610000000000001</v>
      </c>
    </row>
    <row r="43" spans="1:14" ht="4.5" customHeight="1" thickBot="1" x14ac:dyDescent="0.3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6"/>
    </row>
    <row r="44" spans="1:14" ht="15.75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2"/>
    </row>
    <row r="46" spans="1:14" x14ac:dyDescent="0.25">
      <c r="A46" s="50" t="s">
        <v>42</v>
      </c>
    </row>
  </sheetData>
  <mergeCells count="11">
    <mergeCell ref="B29:N29"/>
    <mergeCell ref="B39:N39"/>
    <mergeCell ref="A8:N8"/>
    <mergeCell ref="A38:N38"/>
    <mergeCell ref="A44:N44"/>
    <mergeCell ref="A28:N28"/>
    <mergeCell ref="A1:N2"/>
    <mergeCell ref="B19:N19"/>
    <mergeCell ref="B9:N9"/>
    <mergeCell ref="B3:N3"/>
    <mergeCell ref="A18:N18"/>
  </mergeCells>
  <pageMargins left="0.7" right="0.7" top="0.75" bottom="0.75" header="0.3" footer="0.3"/>
  <pageSetup paperSize="5" scale="98" orientation="landscape" r:id="rId1"/>
  <headerFooter>
    <oddFooter>&amp;L&amp;Z&amp;F&amp;C
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19"/>
  <sheetViews>
    <sheetView workbookViewId="0">
      <selection sqref="A1:O1"/>
    </sheetView>
  </sheetViews>
  <sheetFormatPr defaultRowHeight="15" x14ac:dyDescent="0.25"/>
  <cols>
    <col min="1" max="1" width="23.7109375" bestFit="1" customWidth="1"/>
    <col min="2" max="2" width="39.42578125" bestFit="1" customWidth="1"/>
    <col min="3" max="14" width="10.5703125" customWidth="1"/>
    <col min="15" max="15" width="11.5703125" bestFit="1" customWidth="1"/>
  </cols>
  <sheetData>
    <row r="1" spans="1:15" ht="15.75" thickBot="1" x14ac:dyDescent="0.3">
      <c r="A1" s="113" t="s">
        <v>32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</row>
    <row r="2" spans="1:15" ht="15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</row>
    <row r="3" spans="1:15" x14ac:dyDescent="0.25">
      <c r="A3" s="6">
        <v>3351</v>
      </c>
      <c r="B3" s="7" t="s">
        <v>16</v>
      </c>
      <c r="C3" s="8">
        <v>4808.1080000000002</v>
      </c>
      <c r="D3" s="8">
        <v>4917.8590000000004</v>
      </c>
      <c r="E3" s="8">
        <v>4981.4949999999999</v>
      </c>
      <c r="F3" s="8"/>
      <c r="G3" s="8"/>
      <c r="H3" s="8"/>
      <c r="I3" s="8"/>
      <c r="J3" s="8"/>
      <c r="K3" s="8"/>
      <c r="L3" s="8"/>
      <c r="M3" s="8"/>
      <c r="N3" s="8"/>
      <c r="O3" s="9">
        <f>SUM(C3:N3)</f>
        <v>14707.462</v>
      </c>
    </row>
    <row r="4" spans="1:15" x14ac:dyDescent="0.25">
      <c r="A4" s="4">
        <v>7993</v>
      </c>
      <c r="B4" s="5" t="s">
        <v>26</v>
      </c>
      <c r="C4" s="10">
        <v>38.090000000000003</v>
      </c>
      <c r="D4" s="10">
        <v>27.86</v>
      </c>
      <c r="E4" s="10">
        <v>27.71</v>
      </c>
      <c r="F4" s="10"/>
      <c r="G4" s="10"/>
      <c r="H4" s="10"/>
      <c r="I4" s="10"/>
      <c r="J4" s="10"/>
      <c r="K4" s="10"/>
      <c r="L4" s="10"/>
      <c r="M4" s="10"/>
      <c r="N4" s="10"/>
      <c r="O4" s="11">
        <f>SUM(C4:N4)</f>
        <v>93.66</v>
      </c>
    </row>
    <row r="5" spans="1:15" x14ac:dyDescent="0.25">
      <c r="A5" s="4">
        <v>3359</v>
      </c>
      <c r="B5" s="5" t="s">
        <v>17</v>
      </c>
      <c r="C5" s="10">
        <v>1964</v>
      </c>
      <c r="D5" s="10">
        <v>2313</v>
      </c>
      <c r="E5" s="10">
        <v>2606</v>
      </c>
      <c r="F5" s="10"/>
      <c r="G5" s="10"/>
      <c r="H5" s="10"/>
      <c r="I5" s="10"/>
      <c r="J5" s="10"/>
      <c r="K5" s="10"/>
      <c r="L5" s="10"/>
      <c r="M5" s="10"/>
      <c r="N5" s="10"/>
      <c r="O5" s="11">
        <f t="shared" ref="O5:O15" si="0">SUM(C5:N5)</f>
        <v>6883</v>
      </c>
    </row>
    <row r="6" spans="1:15" x14ac:dyDescent="0.25">
      <c r="A6" s="4" t="s">
        <v>18</v>
      </c>
      <c r="B6" s="5" t="s">
        <v>19</v>
      </c>
      <c r="C6" s="10">
        <v>10</v>
      </c>
      <c r="D6" s="10">
        <v>23</v>
      </c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11">
        <f t="shared" si="0"/>
        <v>51</v>
      </c>
    </row>
    <row r="7" spans="1:15" x14ac:dyDescent="0.25">
      <c r="A7" s="4">
        <v>3325</v>
      </c>
      <c r="B7" s="5" t="s">
        <v>20</v>
      </c>
      <c r="C7" s="10">
        <v>910</v>
      </c>
      <c r="D7" s="10">
        <v>418</v>
      </c>
      <c r="E7" s="10">
        <v>344</v>
      </c>
      <c r="F7" s="10"/>
      <c r="G7" s="10"/>
      <c r="H7" s="10"/>
      <c r="I7" s="10"/>
      <c r="J7" s="10"/>
      <c r="K7" s="10"/>
      <c r="L7" s="10"/>
      <c r="M7" s="10"/>
      <c r="N7" s="10"/>
      <c r="O7" s="11">
        <f t="shared" si="0"/>
        <v>1672</v>
      </c>
    </row>
    <row r="8" spans="1:15" x14ac:dyDescent="0.25">
      <c r="A8" s="116" t="s">
        <v>21</v>
      </c>
      <c r="B8" s="117"/>
      <c r="C8" s="12">
        <f>SUM(C3:C7)</f>
        <v>7730.1980000000003</v>
      </c>
      <c r="D8" s="12">
        <f t="shared" ref="D8:O8" si="1">SUM(D3:D7)</f>
        <v>7699.7190000000001</v>
      </c>
      <c r="E8" s="12">
        <f t="shared" si="1"/>
        <v>7977.2049999999999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3">
        <f t="shared" si="1"/>
        <v>23407.121999999999</v>
      </c>
    </row>
    <row r="9" spans="1:15" x14ac:dyDescent="0.25">
      <c r="A9" s="4">
        <v>3351</v>
      </c>
      <c r="B9" s="5" t="str">
        <f t="shared" ref="B9:N9" si="2">B3</f>
        <v>Tons of curbside recycling</v>
      </c>
      <c r="C9" s="10">
        <f t="shared" si="2"/>
        <v>4808.1080000000002</v>
      </c>
      <c r="D9" s="10">
        <f t="shared" si="2"/>
        <v>4917.8590000000004</v>
      </c>
      <c r="E9" s="10">
        <f t="shared" si="2"/>
        <v>4981.4949999999999</v>
      </c>
      <c r="F9" s="10">
        <f t="shared" si="2"/>
        <v>0</v>
      </c>
      <c r="G9" s="10">
        <f t="shared" si="2"/>
        <v>0</v>
      </c>
      <c r="H9" s="10">
        <f t="shared" si="2"/>
        <v>0</v>
      </c>
      <c r="I9" s="10">
        <f t="shared" si="2"/>
        <v>0</v>
      </c>
      <c r="J9" s="10">
        <f t="shared" si="2"/>
        <v>0</v>
      </c>
      <c r="K9" s="10">
        <f t="shared" si="2"/>
        <v>0</v>
      </c>
      <c r="L9" s="10">
        <f t="shared" si="2"/>
        <v>0</v>
      </c>
      <c r="M9" s="10">
        <f t="shared" si="2"/>
        <v>0</v>
      </c>
      <c r="N9" s="10">
        <f t="shared" si="2"/>
        <v>0</v>
      </c>
      <c r="O9" s="11">
        <f t="shared" si="0"/>
        <v>14707.462</v>
      </c>
    </row>
    <row r="10" spans="1:15" x14ac:dyDescent="0.25">
      <c r="A10" s="4">
        <v>7993</v>
      </c>
      <c r="B10" s="5" t="s">
        <v>26</v>
      </c>
      <c r="C10" s="10">
        <f>C4</f>
        <v>38.090000000000003</v>
      </c>
      <c r="D10" s="10">
        <f t="shared" ref="D10:E10" si="3">D4</f>
        <v>27.86</v>
      </c>
      <c r="E10" s="10">
        <f t="shared" si="3"/>
        <v>27.71</v>
      </c>
      <c r="F10" s="10"/>
      <c r="G10" s="10"/>
      <c r="H10" s="10"/>
      <c r="I10" s="10"/>
      <c r="J10" s="10"/>
      <c r="K10" s="10"/>
      <c r="L10" s="10"/>
      <c r="M10" s="10"/>
      <c r="N10" s="10"/>
      <c r="O10" s="11">
        <f>SUM(C10:N10)</f>
        <v>93.66</v>
      </c>
    </row>
    <row r="11" spans="1:15" x14ac:dyDescent="0.25">
      <c r="A11" s="4">
        <v>3359</v>
      </c>
      <c r="B11" s="5" t="str">
        <f t="shared" ref="B11:N11" si="4">B5</f>
        <v xml:space="preserve">Tons of Curbside Yard Trimmings </v>
      </c>
      <c r="C11" s="10">
        <f t="shared" si="4"/>
        <v>1964</v>
      </c>
      <c r="D11" s="10">
        <f t="shared" si="4"/>
        <v>2313</v>
      </c>
      <c r="E11" s="10">
        <f t="shared" si="4"/>
        <v>2606</v>
      </c>
      <c r="F11" s="10">
        <f t="shared" si="4"/>
        <v>0</v>
      </c>
      <c r="G11" s="10">
        <f t="shared" si="4"/>
        <v>0</v>
      </c>
      <c r="H11" s="10">
        <f t="shared" si="4"/>
        <v>0</v>
      </c>
      <c r="I11" s="10">
        <f t="shared" si="4"/>
        <v>0</v>
      </c>
      <c r="J11" s="10">
        <f t="shared" si="4"/>
        <v>0</v>
      </c>
      <c r="K11" s="10">
        <f t="shared" si="4"/>
        <v>0</v>
      </c>
      <c r="L11" s="10">
        <f t="shared" si="4"/>
        <v>0</v>
      </c>
      <c r="M11" s="10">
        <f t="shared" si="4"/>
        <v>0</v>
      </c>
      <c r="N11" s="10">
        <f t="shared" si="4"/>
        <v>0</v>
      </c>
      <c r="O11" s="11">
        <f t="shared" si="0"/>
        <v>6883</v>
      </c>
    </row>
    <row r="12" spans="1:15" x14ac:dyDescent="0.25">
      <c r="A12" s="4" t="s">
        <v>18</v>
      </c>
      <c r="B12" s="5" t="str">
        <f t="shared" ref="B12:N12" si="5">B6</f>
        <v>Tons of Curbside Bulk Recycled</v>
      </c>
      <c r="C12" s="10">
        <f t="shared" si="5"/>
        <v>10</v>
      </c>
      <c r="D12" s="10">
        <f t="shared" si="5"/>
        <v>23</v>
      </c>
      <c r="E12" s="10">
        <f t="shared" si="5"/>
        <v>18</v>
      </c>
      <c r="F12" s="10">
        <f t="shared" si="5"/>
        <v>0</v>
      </c>
      <c r="G12" s="10">
        <f t="shared" si="5"/>
        <v>0</v>
      </c>
      <c r="H12" s="10">
        <f t="shared" si="5"/>
        <v>0</v>
      </c>
      <c r="I12" s="10">
        <f t="shared" si="5"/>
        <v>0</v>
      </c>
      <c r="J12" s="10">
        <f t="shared" si="5"/>
        <v>0</v>
      </c>
      <c r="K12" s="10">
        <f t="shared" si="5"/>
        <v>0</v>
      </c>
      <c r="L12" s="10">
        <f t="shared" si="5"/>
        <v>0</v>
      </c>
      <c r="M12" s="10">
        <f t="shared" si="5"/>
        <v>0</v>
      </c>
      <c r="N12" s="10">
        <f t="shared" si="5"/>
        <v>0</v>
      </c>
      <c r="O12" s="11">
        <f t="shared" si="0"/>
        <v>51</v>
      </c>
    </row>
    <row r="13" spans="1:15" x14ac:dyDescent="0.25">
      <c r="A13" s="4">
        <v>3325</v>
      </c>
      <c r="B13" s="5" t="str">
        <f t="shared" ref="B13:N13" si="6">B7</f>
        <v>Tons of Curbside Brush Collected</v>
      </c>
      <c r="C13" s="10">
        <f t="shared" si="6"/>
        <v>910</v>
      </c>
      <c r="D13" s="10">
        <f t="shared" si="6"/>
        <v>418</v>
      </c>
      <c r="E13" s="10">
        <f t="shared" si="6"/>
        <v>344</v>
      </c>
      <c r="F13" s="10">
        <f t="shared" si="6"/>
        <v>0</v>
      </c>
      <c r="G13" s="10">
        <f t="shared" si="6"/>
        <v>0</v>
      </c>
      <c r="H13" s="10">
        <f t="shared" si="6"/>
        <v>0</v>
      </c>
      <c r="I13" s="10">
        <f t="shared" si="6"/>
        <v>0</v>
      </c>
      <c r="J13" s="10">
        <f t="shared" si="6"/>
        <v>0</v>
      </c>
      <c r="K13" s="10">
        <f t="shared" si="6"/>
        <v>0</v>
      </c>
      <c r="L13" s="10">
        <f t="shared" si="6"/>
        <v>0</v>
      </c>
      <c r="M13" s="10">
        <f t="shared" si="6"/>
        <v>0</v>
      </c>
      <c r="N13" s="10">
        <f t="shared" si="6"/>
        <v>0</v>
      </c>
      <c r="O13" s="11">
        <f t="shared" si="0"/>
        <v>1672</v>
      </c>
    </row>
    <row r="14" spans="1:15" x14ac:dyDescent="0.25">
      <c r="A14" s="4">
        <v>3338</v>
      </c>
      <c r="B14" s="5" t="s">
        <v>22</v>
      </c>
      <c r="C14" s="10">
        <v>10534</v>
      </c>
      <c r="D14" s="10">
        <v>11200</v>
      </c>
      <c r="E14" s="10">
        <v>10403</v>
      </c>
      <c r="F14" s="10"/>
      <c r="G14" s="10"/>
      <c r="H14" s="10"/>
      <c r="I14" s="10"/>
      <c r="J14" s="10"/>
      <c r="K14" s="10"/>
      <c r="L14" s="10"/>
      <c r="M14" s="10"/>
      <c r="N14" s="10"/>
      <c r="O14" s="11">
        <f t="shared" si="0"/>
        <v>32137</v>
      </c>
    </row>
    <row r="15" spans="1:15" x14ac:dyDescent="0.25">
      <c r="A15" s="4" t="s">
        <v>23</v>
      </c>
      <c r="B15" s="5" t="s">
        <v>24</v>
      </c>
      <c r="C15" s="10">
        <v>333</v>
      </c>
      <c r="D15" s="10">
        <v>913</v>
      </c>
      <c r="E15" s="10">
        <v>905</v>
      </c>
      <c r="F15" s="10"/>
      <c r="G15" s="10"/>
      <c r="H15" s="10"/>
      <c r="I15" s="10"/>
      <c r="J15" s="10"/>
      <c r="K15" s="10"/>
      <c r="L15" s="10"/>
      <c r="M15" s="10"/>
      <c r="N15" s="10"/>
      <c r="O15" s="11">
        <f t="shared" si="0"/>
        <v>2151</v>
      </c>
    </row>
    <row r="16" spans="1:15" x14ac:dyDescent="0.25">
      <c r="A16" s="4" t="s">
        <v>29</v>
      </c>
      <c r="B16" s="5" t="s">
        <v>30</v>
      </c>
      <c r="C16" s="10">
        <v>33.520000000000003</v>
      </c>
      <c r="D16" s="10">
        <v>37.19</v>
      </c>
      <c r="E16" s="10">
        <v>40.64</v>
      </c>
      <c r="F16" s="10"/>
      <c r="G16" s="10"/>
      <c r="H16" s="10"/>
      <c r="I16" s="10"/>
      <c r="J16" s="10"/>
      <c r="K16" s="10"/>
      <c r="L16" s="10"/>
      <c r="M16" s="10"/>
      <c r="N16" s="10"/>
      <c r="O16" s="11">
        <f>SUM(C16:N16)</f>
        <v>111.35000000000001</v>
      </c>
    </row>
    <row r="17" spans="1:15" x14ac:dyDescent="0.25">
      <c r="A17" s="116" t="s">
        <v>25</v>
      </c>
      <c r="B17" s="117"/>
      <c r="C17" s="12">
        <f>SUM(C9:C16)</f>
        <v>18630.718000000001</v>
      </c>
      <c r="D17" s="12">
        <f t="shared" ref="D17:O17" si="7">SUM(D9:D16)</f>
        <v>19849.909</v>
      </c>
      <c r="E17" s="12">
        <f t="shared" si="7"/>
        <v>19325.845000000001</v>
      </c>
      <c r="F17" s="12">
        <f t="shared" si="7"/>
        <v>0</v>
      </c>
      <c r="G17" s="12">
        <f t="shared" si="7"/>
        <v>0</v>
      </c>
      <c r="H17" s="12">
        <f t="shared" si="7"/>
        <v>0</v>
      </c>
      <c r="I17" s="12">
        <f t="shared" si="7"/>
        <v>0</v>
      </c>
      <c r="J17" s="12">
        <f t="shared" si="7"/>
        <v>0</v>
      </c>
      <c r="K17" s="12">
        <f t="shared" si="7"/>
        <v>0</v>
      </c>
      <c r="L17" s="12">
        <f t="shared" si="7"/>
        <v>0</v>
      </c>
      <c r="M17" s="12">
        <f t="shared" si="7"/>
        <v>0</v>
      </c>
      <c r="N17" s="12">
        <f t="shared" si="7"/>
        <v>0</v>
      </c>
      <c r="O17" s="13">
        <f t="shared" si="7"/>
        <v>57806.472000000002</v>
      </c>
    </row>
    <row r="18" spans="1:1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5" ht="15.75" thickBot="1" x14ac:dyDescent="0.3">
      <c r="A19" s="15">
        <v>7020</v>
      </c>
      <c r="B19" s="16" t="s">
        <v>31</v>
      </c>
      <c r="C19" s="23">
        <f>IFERROR(C8/C17," - ")</f>
        <v>0.4149168056754442</v>
      </c>
      <c r="D19" s="23">
        <f t="shared" ref="D19:O19" si="8">IFERROR(D8/D17," - ")</f>
        <v>0.38789694199605651</v>
      </c>
      <c r="E19" s="23">
        <f t="shared" si="8"/>
        <v>0.41277393045426991</v>
      </c>
      <c r="F19" s="23" t="str">
        <f t="shared" si="8"/>
        <v xml:space="preserve"> - </v>
      </c>
      <c r="G19" s="23" t="str">
        <f t="shared" si="8"/>
        <v xml:space="preserve"> - </v>
      </c>
      <c r="H19" s="23" t="str">
        <f t="shared" si="8"/>
        <v xml:space="preserve"> - </v>
      </c>
      <c r="I19" s="23" t="str">
        <f t="shared" si="8"/>
        <v xml:space="preserve"> - </v>
      </c>
      <c r="J19" s="23" t="str">
        <f t="shared" si="8"/>
        <v xml:space="preserve"> - </v>
      </c>
      <c r="K19" s="23" t="str">
        <f t="shared" si="8"/>
        <v xml:space="preserve"> - </v>
      </c>
      <c r="L19" s="23" t="str">
        <f t="shared" si="8"/>
        <v xml:space="preserve"> - </v>
      </c>
      <c r="M19" s="23" t="str">
        <f t="shared" si="8"/>
        <v xml:space="preserve"> - </v>
      </c>
      <c r="N19" s="23" t="str">
        <f t="shared" si="8"/>
        <v xml:space="preserve"> - </v>
      </c>
      <c r="O19" s="23">
        <f t="shared" si="8"/>
        <v>0.40492216857655661</v>
      </c>
    </row>
  </sheetData>
  <mergeCells count="3">
    <mergeCell ref="A1:O1"/>
    <mergeCell ref="A8:B8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19"/>
  <sheetViews>
    <sheetView workbookViewId="0">
      <selection sqref="A1:O1"/>
    </sheetView>
  </sheetViews>
  <sheetFormatPr defaultRowHeight="15" x14ac:dyDescent="0.25"/>
  <cols>
    <col min="1" max="1" width="23.7109375" bestFit="1" customWidth="1"/>
    <col min="2" max="2" width="39.42578125" bestFit="1" customWidth="1"/>
    <col min="3" max="14" width="10.5703125" customWidth="1"/>
    <col min="15" max="15" width="11.5703125" bestFit="1" customWidth="1"/>
  </cols>
  <sheetData>
    <row r="1" spans="1:15" ht="15.75" thickBot="1" x14ac:dyDescent="0.3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</row>
    <row r="2" spans="1:15" ht="15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</row>
    <row r="3" spans="1:15" x14ac:dyDescent="0.25">
      <c r="A3" s="6">
        <v>3351</v>
      </c>
      <c r="B3" s="7" t="s">
        <v>16</v>
      </c>
      <c r="C3" s="8">
        <v>4498.9669999999996</v>
      </c>
      <c r="D3" s="8">
        <v>4986.1000000000004</v>
      </c>
      <c r="E3" s="8">
        <v>5099.45</v>
      </c>
      <c r="F3" s="8">
        <v>5497.77</v>
      </c>
      <c r="G3" s="8">
        <v>4546.83</v>
      </c>
      <c r="H3" s="8">
        <v>5138.8329999999996</v>
      </c>
      <c r="I3" s="8">
        <v>4528.6869999999999</v>
      </c>
      <c r="J3" s="8">
        <v>5058.933</v>
      </c>
      <c r="K3" s="8">
        <v>4986.2730000000001</v>
      </c>
      <c r="L3" s="8">
        <v>4553.116</v>
      </c>
      <c r="M3" s="8">
        <v>5079.5150000000003</v>
      </c>
      <c r="N3" s="8">
        <v>4730.1180000000004</v>
      </c>
      <c r="O3" s="9">
        <f>SUM(C3:N3)</f>
        <v>58704.591999999997</v>
      </c>
    </row>
    <row r="4" spans="1:15" x14ac:dyDescent="0.25">
      <c r="A4" s="4">
        <v>7993</v>
      </c>
      <c r="B4" s="5" t="s">
        <v>26</v>
      </c>
      <c r="C4" s="10">
        <v>34.36</v>
      </c>
      <c r="D4" s="10">
        <v>27.86</v>
      </c>
      <c r="E4" s="10">
        <v>34.35</v>
      </c>
      <c r="F4" s="10">
        <v>34.409999999999997</v>
      </c>
      <c r="G4" s="10">
        <v>31.62</v>
      </c>
      <c r="H4" s="10">
        <v>28.54</v>
      </c>
      <c r="I4" s="10">
        <v>39.5</v>
      </c>
      <c r="J4" s="10">
        <v>59.07</v>
      </c>
      <c r="K4" s="10">
        <v>48.55</v>
      </c>
      <c r="L4" s="10">
        <v>44.06</v>
      </c>
      <c r="M4" s="10">
        <v>42.61</v>
      </c>
      <c r="N4" s="10">
        <v>40.340000000000003</v>
      </c>
      <c r="O4" s="11">
        <f>SUM(C4:N4)</f>
        <v>465.27</v>
      </c>
    </row>
    <row r="5" spans="1:15" x14ac:dyDescent="0.25">
      <c r="A5" s="4">
        <v>3359</v>
      </c>
      <c r="B5" s="5" t="s">
        <v>17</v>
      </c>
      <c r="C5" s="10">
        <v>2038</v>
      </c>
      <c r="D5" s="10">
        <v>2378</v>
      </c>
      <c r="E5" s="10">
        <v>2951</v>
      </c>
      <c r="F5" s="10">
        <v>4213</v>
      </c>
      <c r="G5" s="10">
        <v>3540</v>
      </c>
      <c r="H5" s="10">
        <v>6248</v>
      </c>
      <c r="I5" s="10">
        <v>3588</v>
      </c>
      <c r="J5" s="10">
        <v>2197</v>
      </c>
      <c r="K5" s="10">
        <v>1824</v>
      </c>
      <c r="L5" s="10">
        <v>1322</v>
      </c>
      <c r="M5" s="10">
        <v>1609</v>
      </c>
      <c r="N5" s="10">
        <v>2408</v>
      </c>
      <c r="O5" s="11">
        <f t="shared" ref="O5:O15" si="0">SUM(C5:N5)</f>
        <v>34316</v>
      </c>
    </row>
    <row r="6" spans="1:15" x14ac:dyDescent="0.25">
      <c r="A6" s="4" t="s">
        <v>18</v>
      </c>
      <c r="B6" s="5" t="s">
        <v>19</v>
      </c>
      <c r="C6" s="10">
        <v>15</v>
      </c>
      <c r="D6" s="10">
        <v>9</v>
      </c>
      <c r="E6" s="10">
        <v>8</v>
      </c>
      <c r="F6" s="10">
        <v>14</v>
      </c>
      <c r="G6" s="10">
        <v>12</v>
      </c>
      <c r="H6" s="10">
        <v>1</v>
      </c>
      <c r="I6" s="10">
        <v>10</v>
      </c>
      <c r="J6" s="10">
        <v>19</v>
      </c>
      <c r="K6" s="10">
        <v>25</v>
      </c>
      <c r="L6" s="10">
        <v>25</v>
      </c>
      <c r="M6" s="10">
        <v>9</v>
      </c>
      <c r="N6" s="10">
        <v>14</v>
      </c>
      <c r="O6" s="11">
        <f t="shared" si="0"/>
        <v>161</v>
      </c>
    </row>
    <row r="7" spans="1:15" x14ac:dyDescent="0.25">
      <c r="A7" s="4">
        <v>3325</v>
      </c>
      <c r="B7" s="5" t="s">
        <v>20</v>
      </c>
      <c r="C7" s="10">
        <v>858</v>
      </c>
      <c r="D7" s="10">
        <v>531</v>
      </c>
      <c r="E7" s="10">
        <v>336</v>
      </c>
      <c r="F7" s="10">
        <v>464</v>
      </c>
      <c r="G7" s="10">
        <v>603</v>
      </c>
      <c r="H7" s="10">
        <v>857</v>
      </c>
      <c r="I7" s="10">
        <v>693</v>
      </c>
      <c r="J7" s="10">
        <v>463</v>
      </c>
      <c r="K7" s="10">
        <v>557</v>
      </c>
      <c r="L7" s="10">
        <v>474</v>
      </c>
      <c r="M7" s="10">
        <v>642</v>
      </c>
      <c r="N7" s="10">
        <v>889</v>
      </c>
      <c r="O7" s="11">
        <f t="shared" si="0"/>
        <v>7367</v>
      </c>
    </row>
    <row r="8" spans="1:15" x14ac:dyDescent="0.25">
      <c r="A8" s="116" t="s">
        <v>21</v>
      </c>
      <c r="B8" s="117"/>
      <c r="C8" s="12">
        <f>SUM(C3:C7)</f>
        <v>7444.3269999999993</v>
      </c>
      <c r="D8" s="12">
        <f t="shared" ref="D8:O8" si="1">SUM(D3:D7)</f>
        <v>7931.96</v>
      </c>
      <c r="E8" s="12">
        <f t="shared" si="1"/>
        <v>8428.7999999999993</v>
      </c>
      <c r="F8" s="12">
        <f t="shared" si="1"/>
        <v>10223.18</v>
      </c>
      <c r="G8" s="12">
        <f t="shared" si="1"/>
        <v>8733.4500000000007</v>
      </c>
      <c r="H8" s="12">
        <f t="shared" si="1"/>
        <v>12273.373</v>
      </c>
      <c r="I8" s="12">
        <f t="shared" si="1"/>
        <v>8859.1869999999999</v>
      </c>
      <c r="J8" s="12">
        <f t="shared" si="1"/>
        <v>7797.0029999999997</v>
      </c>
      <c r="K8" s="12">
        <f t="shared" si="1"/>
        <v>7440.8230000000003</v>
      </c>
      <c r="L8" s="12">
        <f t="shared" si="1"/>
        <v>6418.1760000000004</v>
      </c>
      <c r="M8" s="12">
        <f t="shared" si="1"/>
        <v>7382.125</v>
      </c>
      <c r="N8" s="12">
        <f t="shared" si="1"/>
        <v>8081.4580000000005</v>
      </c>
      <c r="O8" s="13">
        <f t="shared" si="1"/>
        <v>101013.86199999999</v>
      </c>
    </row>
    <row r="9" spans="1:15" x14ac:dyDescent="0.25">
      <c r="A9" s="4">
        <v>3351</v>
      </c>
      <c r="B9" s="5" t="str">
        <f t="shared" ref="B9:N9" si="2">B3</f>
        <v>Tons of curbside recycling</v>
      </c>
      <c r="C9" s="10">
        <f t="shared" si="2"/>
        <v>4498.9669999999996</v>
      </c>
      <c r="D9" s="10">
        <f t="shared" si="2"/>
        <v>4986.1000000000004</v>
      </c>
      <c r="E9" s="10">
        <f t="shared" si="2"/>
        <v>5099.45</v>
      </c>
      <c r="F9" s="10">
        <f t="shared" si="2"/>
        <v>5497.77</v>
      </c>
      <c r="G9" s="10">
        <f t="shared" si="2"/>
        <v>4546.83</v>
      </c>
      <c r="H9" s="10">
        <f t="shared" si="2"/>
        <v>5138.8329999999996</v>
      </c>
      <c r="I9" s="10">
        <f t="shared" si="2"/>
        <v>4528.6869999999999</v>
      </c>
      <c r="J9" s="10">
        <f t="shared" si="2"/>
        <v>5058.933</v>
      </c>
      <c r="K9" s="10">
        <f t="shared" si="2"/>
        <v>4986.2730000000001</v>
      </c>
      <c r="L9" s="10">
        <f t="shared" si="2"/>
        <v>4553.116</v>
      </c>
      <c r="M9" s="10">
        <f t="shared" si="2"/>
        <v>5079.5150000000003</v>
      </c>
      <c r="N9" s="10">
        <f t="shared" si="2"/>
        <v>4730.1180000000004</v>
      </c>
      <c r="O9" s="11">
        <f t="shared" si="0"/>
        <v>58704.591999999997</v>
      </c>
    </row>
    <row r="10" spans="1:15" x14ac:dyDescent="0.25">
      <c r="A10" s="4">
        <v>7993</v>
      </c>
      <c r="B10" s="5" t="s">
        <v>26</v>
      </c>
      <c r="C10" s="10">
        <f>C4</f>
        <v>34.36</v>
      </c>
      <c r="D10" s="10">
        <f t="shared" ref="D10:N10" si="3">D4</f>
        <v>27.86</v>
      </c>
      <c r="E10" s="10">
        <f t="shared" si="3"/>
        <v>34.35</v>
      </c>
      <c r="F10" s="10">
        <f t="shared" si="3"/>
        <v>34.409999999999997</v>
      </c>
      <c r="G10" s="10">
        <f t="shared" si="3"/>
        <v>31.62</v>
      </c>
      <c r="H10" s="10">
        <f t="shared" si="3"/>
        <v>28.54</v>
      </c>
      <c r="I10" s="10">
        <f t="shared" si="3"/>
        <v>39.5</v>
      </c>
      <c r="J10" s="10">
        <f t="shared" si="3"/>
        <v>59.07</v>
      </c>
      <c r="K10" s="10">
        <f t="shared" si="3"/>
        <v>48.55</v>
      </c>
      <c r="L10" s="10">
        <f t="shared" si="3"/>
        <v>44.06</v>
      </c>
      <c r="M10" s="10">
        <f t="shared" si="3"/>
        <v>42.61</v>
      </c>
      <c r="N10" s="10">
        <f t="shared" si="3"/>
        <v>40.340000000000003</v>
      </c>
      <c r="O10" s="11">
        <f>SUM(C10:N10)</f>
        <v>465.27</v>
      </c>
    </row>
    <row r="11" spans="1:15" x14ac:dyDescent="0.25">
      <c r="A11" s="4">
        <v>3359</v>
      </c>
      <c r="B11" s="5" t="str">
        <f t="shared" ref="B11:N11" si="4">B5</f>
        <v xml:space="preserve">Tons of Curbside Yard Trimmings </v>
      </c>
      <c r="C11" s="10">
        <f t="shared" si="4"/>
        <v>2038</v>
      </c>
      <c r="D11" s="10">
        <f t="shared" si="4"/>
        <v>2378</v>
      </c>
      <c r="E11" s="10">
        <f t="shared" si="4"/>
        <v>2951</v>
      </c>
      <c r="F11" s="10">
        <f t="shared" si="4"/>
        <v>4213</v>
      </c>
      <c r="G11" s="10">
        <f t="shared" si="4"/>
        <v>3540</v>
      </c>
      <c r="H11" s="10">
        <f t="shared" si="4"/>
        <v>6248</v>
      </c>
      <c r="I11" s="10">
        <f t="shared" si="4"/>
        <v>3588</v>
      </c>
      <c r="J11" s="10">
        <f t="shared" si="4"/>
        <v>2197</v>
      </c>
      <c r="K11" s="10">
        <f t="shared" si="4"/>
        <v>1824</v>
      </c>
      <c r="L11" s="10">
        <f t="shared" si="4"/>
        <v>1322</v>
      </c>
      <c r="M11" s="10">
        <f t="shared" si="4"/>
        <v>1609</v>
      </c>
      <c r="N11" s="10">
        <f t="shared" si="4"/>
        <v>2408</v>
      </c>
      <c r="O11" s="11">
        <f t="shared" si="0"/>
        <v>34316</v>
      </c>
    </row>
    <row r="12" spans="1:15" x14ac:dyDescent="0.25">
      <c r="A12" s="4" t="s">
        <v>18</v>
      </c>
      <c r="B12" s="5" t="str">
        <f t="shared" ref="B12:N12" si="5">B6</f>
        <v>Tons of Curbside Bulk Recycled</v>
      </c>
      <c r="C12" s="10">
        <f t="shared" si="5"/>
        <v>15</v>
      </c>
      <c r="D12" s="10">
        <f t="shared" si="5"/>
        <v>9</v>
      </c>
      <c r="E12" s="10">
        <f t="shared" si="5"/>
        <v>8</v>
      </c>
      <c r="F12" s="10">
        <f t="shared" si="5"/>
        <v>14</v>
      </c>
      <c r="G12" s="10">
        <f t="shared" si="5"/>
        <v>12</v>
      </c>
      <c r="H12" s="10">
        <f t="shared" si="5"/>
        <v>1</v>
      </c>
      <c r="I12" s="10">
        <f t="shared" si="5"/>
        <v>10</v>
      </c>
      <c r="J12" s="10">
        <f t="shared" si="5"/>
        <v>19</v>
      </c>
      <c r="K12" s="10">
        <f t="shared" si="5"/>
        <v>25</v>
      </c>
      <c r="L12" s="10">
        <f t="shared" si="5"/>
        <v>25</v>
      </c>
      <c r="M12" s="10">
        <f t="shared" si="5"/>
        <v>9</v>
      </c>
      <c r="N12" s="10">
        <f t="shared" si="5"/>
        <v>14</v>
      </c>
      <c r="O12" s="11">
        <f t="shared" si="0"/>
        <v>161</v>
      </c>
    </row>
    <row r="13" spans="1:15" x14ac:dyDescent="0.25">
      <c r="A13" s="4">
        <v>3325</v>
      </c>
      <c r="B13" s="5" t="str">
        <f t="shared" ref="B13:N13" si="6">B7</f>
        <v>Tons of Curbside Brush Collected</v>
      </c>
      <c r="C13" s="10">
        <f t="shared" si="6"/>
        <v>858</v>
      </c>
      <c r="D13" s="10">
        <f t="shared" si="6"/>
        <v>531</v>
      </c>
      <c r="E13" s="10">
        <f t="shared" si="6"/>
        <v>336</v>
      </c>
      <c r="F13" s="10">
        <f t="shared" si="6"/>
        <v>464</v>
      </c>
      <c r="G13" s="10">
        <f t="shared" si="6"/>
        <v>603</v>
      </c>
      <c r="H13" s="10">
        <f t="shared" si="6"/>
        <v>857</v>
      </c>
      <c r="I13" s="10">
        <f t="shared" si="6"/>
        <v>693</v>
      </c>
      <c r="J13" s="10">
        <f t="shared" si="6"/>
        <v>463</v>
      </c>
      <c r="K13" s="10">
        <f t="shared" si="6"/>
        <v>557</v>
      </c>
      <c r="L13" s="10">
        <f t="shared" si="6"/>
        <v>474</v>
      </c>
      <c r="M13" s="10">
        <f t="shared" si="6"/>
        <v>642</v>
      </c>
      <c r="N13" s="10">
        <f t="shared" si="6"/>
        <v>889</v>
      </c>
      <c r="O13" s="11">
        <f t="shared" si="0"/>
        <v>7367</v>
      </c>
    </row>
    <row r="14" spans="1:15" x14ac:dyDescent="0.25">
      <c r="A14" s="4">
        <v>3338</v>
      </c>
      <c r="B14" s="5" t="s">
        <v>22</v>
      </c>
      <c r="C14" s="10">
        <v>10105</v>
      </c>
      <c r="D14" s="10">
        <v>11365</v>
      </c>
      <c r="E14" s="10">
        <v>10847</v>
      </c>
      <c r="F14" s="10">
        <v>11773</v>
      </c>
      <c r="G14" s="10">
        <v>10143</v>
      </c>
      <c r="H14" s="10">
        <v>11841</v>
      </c>
      <c r="I14" s="10">
        <v>10515</v>
      </c>
      <c r="J14" s="10">
        <v>11228</v>
      </c>
      <c r="K14" s="10">
        <v>11481</v>
      </c>
      <c r="L14" s="10">
        <v>10565</v>
      </c>
      <c r="M14" s="10">
        <v>11636</v>
      </c>
      <c r="N14" s="10">
        <v>10316</v>
      </c>
      <c r="O14" s="11">
        <f t="shared" si="0"/>
        <v>131815</v>
      </c>
    </row>
    <row r="15" spans="1:15" x14ac:dyDescent="0.25">
      <c r="A15" s="4" t="s">
        <v>23</v>
      </c>
      <c r="B15" s="5" t="s">
        <v>24</v>
      </c>
      <c r="C15" s="10">
        <v>1061</v>
      </c>
      <c r="D15" s="10">
        <v>614</v>
      </c>
      <c r="E15" s="10">
        <v>565</v>
      </c>
      <c r="F15" s="10">
        <v>820</v>
      </c>
      <c r="G15" s="10">
        <v>1023</v>
      </c>
      <c r="H15" s="10">
        <v>219</v>
      </c>
      <c r="I15" s="10">
        <v>672</v>
      </c>
      <c r="J15" s="10">
        <v>1224</v>
      </c>
      <c r="K15" s="10">
        <v>1350</v>
      </c>
      <c r="L15" s="10">
        <v>1256</v>
      </c>
      <c r="M15" s="10">
        <v>1197</v>
      </c>
      <c r="N15" s="10">
        <v>1178</v>
      </c>
      <c r="O15" s="11">
        <f t="shared" si="0"/>
        <v>11179</v>
      </c>
    </row>
    <row r="16" spans="1:15" x14ac:dyDescent="0.25">
      <c r="A16" s="4" t="s">
        <v>29</v>
      </c>
      <c r="B16" s="5" t="s">
        <v>30</v>
      </c>
      <c r="C16" s="10">
        <v>34.840000000000003</v>
      </c>
      <c r="D16" s="10">
        <v>24.03</v>
      </c>
      <c r="E16" s="10">
        <v>40.520000000000003</v>
      </c>
      <c r="F16" s="10">
        <v>34.799999999999997</v>
      </c>
      <c r="G16" s="10">
        <v>39.01</v>
      </c>
      <c r="H16" s="10">
        <v>46.58</v>
      </c>
      <c r="I16" s="10">
        <v>41.73</v>
      </c>
      <c r="J16" s="10">
        <v>41.59</v>
      </c>
      <c r="K16" s="10">
        <v>47.55</v>
      </c>
      <c r="L16" s="10">
        <v>42.17</v>
      </c>
      <c r="M16" s="10">
        <v>38.75</v>
      </c>
      <c r="N16" s="10">
        <v>39.380000000000003</v>
      </c>
      <c r="O16" s="11">
        <f>SUM(C16:N16)</f>
        <v>470.95000000000005</v>
      </c>
    </row>
    <row r="17" spans="1:15" x14ac:dyDescent="0.25">
      <c r="A17" s="116" t="s">
        <v>25</v>
      </c>
      <c r="B17" s="117"/>
      <c r="C17" s="12">
        <f>SUM(C9:C16)</f>
        <v>18645.166999999998</v>
      </c>
      <c r="D17" s="12">
        <f t="shared" ref="D17:N17" si="7">SUM(D9:D16)</f>
        <v>19934.989999999998</v>
      </c>
      <c r="E17" s="12">
        <f t="shared" si="7"/>
        <v>19881.32</v>
      </c>
      <c r="F17" s="12">
        <f t="shared" si="7"/>
        <v>22850.98</v>
      </c>
      <c r="G17" s="12">
        <f t="shared" si="7"/>
        <v>19938.46</v>
      </c>
      <c r="H17" s="12">
        <f t="shared" si="7"/>
        <v>24379.953000000001</v>
      </c>
      <c r="I17" s="12">
        <f t="shared" si="7"/>
        <v>20087.916999999998</v>
      </c>
      <c r="J17" s="12">
        <f t="shared" si="7"/>
        <v>20290.593000000001</v>
      </c>
      <c r="K17" s="12">
        <f t="shared" si="7"/>
        <v>20319.373</v>
      </c>
      <c r="L17" s="12">
        <f t="shared" si="7"/>
        <v>18281.345999999998</v>
      </c>
      <c r="M17" s="12">
        <f t="shared" si="7"/>
        <v>20253.875</v>
      </c>
      <c r="N17" s="12">
        <f t="shared" si="7"/>
        <v>19614.838</v>
      </c>
      <c r="O17" s="13">
        <f>SUM(C17:N17)</f>
        <v>244478.81199999995</v>
      </c>
    </row>
    <row r="18" spans="1:1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5" ht="15.75" thickBot="1" x14ac:dyDescent="0.3">
      <c r="A19" s="15">
        <v>7020</v>
      </c>
      <c r="B19" s="16" t="s">
        <v>31</v>
      </c>
      <c r="C19" s="17">
        <f>C8/C17</f>
        <v>0.39926309053708131</v>
      </c>
      <c r="D19" s="17">
        <f t="shared" ref="D19:O19" si="8">D8/D17</f>
        <v>0.39789134581958663</v>
      </c>
      <c r="E19" s="17">
        <f t="shared" si="8"/>
        <v>0.4239557534409184</v>
      </c>
      <c r="F19" s="17">
        <f t="shared" si="8"/>
        <v>0.447384751113519</v>
      </c>
      <c r="G19" s="17">
        <f t="shared" si="8"/>
        <v>0.43802028842749147</v>
      </c>
      <c r="H19" s="17">
        <f t="shared" si="8"/>
        <v>0.50342069978559845</v>
      </c>
      <c r="I19" s="17">
        <f t="shared" si="8"/>
        <v>0.44102068920336546</v>
      </c>
      <c r="J19" s="17">
        <f t="shared" si="8"/>
        <v>0.38426688663066672</v>
      </c>
      <c r="K19" s="17">
        <f t="shared" si="8"/>
        <v>0.36619353362921192</v>
      </c>
      <c r="L19" s="17">
        <f t="shared" si="8"/>
        <v>0.35107786921159967</v>
      </c>
      <c r="M19" s="17">
        <f t="shared" si="8"/>
        <v>0.36447963661274696</v>
      </c>
      <c r="N19" s="17">
        <f t="shared" si="8"/>
        <v>0.41200737931151921</v>
      </c>
      <c r="O19" s="18">
        <f t="shared" si="8"/>
        <v>0.41318043544812388</v>
      </c>
    </row>
  </sheetData>
  <mergeCells count="3">
    <mergeCell ref="A1:O1"/>
    <mergeCell ref="A8:B8"/>
    <mergeCell ref="A17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19"/>
  <sheetViews>
    <sheetView workbookViewId="0">
      <selection activeCell="B32" sqref="B32"/>
    </sheetView>
  </sheetViews>
  <sheetFormatPr defaultRowHeight="15" x14ac:dyDescent="0.25"/>
  <cols>
    <col min="1" max="1" width="23.7109375" bestFit="1" customWidth="1"/>
    <col min="2" max="2" width="39.42578125" bestFit="1" customWidth="1"/>
    <col min="3" max="14" width="10.5703125" customWidth="1"/>
    <col min="15" max="15" width="11.5703125" bestFit="1" customWidth="1"/>
  </cols>
  <sheetData>
    <row r="1" spans="1:15" ht="15.75" thickBot="1" x14ac:dyDescent="0.3">
      <c r="A1" s="113" t="s">
        <v>27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</row>
    <row r="2" spans="1:15" ht="15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</row>
    <row r="3" spans="1:15" x14ac:dyDescent="0.25">
      <c r="A3" s="6">
        <v>3351</v>
      </c>
      <c r="B3" s="7" t="s">
        <v>16</v>
      </c>
      <c r="C3" s="8">
        <v>4723</v>
      </c>
      <c r="D3" s="8">
        <v>4883</v>
      </c>
      <c r="E3" s="8">
        <v>5577</v>
      </c>
      <c r="F3" s="8">
        <v>5069</v>
      </c>
      <c r="G3" s="8">
        <v>4555</v>
      </c>
      <c r="H3" s="8">
        <v>5073</v>
      </c>
      <c r="I3" s="8">
        <v>4717</v>
      </c>
      <c r="J3" s="8">
        <v>5008</v>
      </c>
      <c r="K3" s="8">
        <v>5007</v>
      </c>
      <c r="L3" s="8">
        <v>4422</v>
      </c>
      <c r="M3" s="8">
        <v>5089</v>
      </c>
      <c r="N3" s="8">
        <v>4756</v>
      </c>
      <c r="O3" s="9">
        <v>58879</v>
      </c>
    </row>
    <row r="4" spans="1:15" x14ac:dyDescent="0.25">
      <c r="A4" s="4">
        <v>7993</v>
      </c>
      <c r="B4" s="5" t="s">
        <v>26</v>
      </c>
      <c r="C4" s="10">
        <v>30.9</v>
      </c>
      <c r="D4" s="10">
        <v>24.93</v>
      </c>
      <c r="E4" s="10">
        <v>45.22</v>
      </c>
      <c r="F4" s="10">
        <v>23.24</v>
      </c>
      <c r="G4" s="10">
        <v>34.479999999999997</v>
      </c>
      <c r="H4" s="10">
        <v>42.49</v>
      </c>
      <c r="I4" s="10">
        <v>33.58</v>
      </c>
      <c r="J4" s="10">
        <v>35.57</v>
      </c>
      <c r="K4" s="10">
        <v>46.83</v>
      </c>
      <c r="L4" s="10">
        <v>43.55</v>
      </c>
      <c r="M4" s="10">
        <v>40.74</v>
      </c>
      <c r="N4" s="10">
        <v>34.630000000000003</v>
      </c>
      <c r="O4" s="11">
        <f>SUM(C4:N4)</f>
        <v>436.15999999999997</v>
      </c>
    </row>
    <row r="5" spans="1:15" x14ac:dyDescent="0.25">
      <c r="A5" s="4">
        <v>3359</v>
      </c>
      <c r="B5" s="5" t="s">
        <v>17</v>
      </c>
      <c r="C5" s="10">
        <v>2192</v>
      </c>
      <c r="D5" s="10">
        <v>1848</v>
      </c>
      <c r="E5" s="10">
        <v>3379</v>
      </c>
      <c r="F5" s="10">
        <v>2573</v>
      </c>
      <c r="G5" s="10">
        <v>2708</v>
      </c>
      <c r="H5" s="10">
        <v>5874</v>
      </c>
      <c r="I5" s="10">
        <v>3512</v>
      </c>
      <c r="J5" s="10">
        <v>2589</v>
      </c>
      <c r="K5" s="10">
        <v>2957</v>
      </c>
      <c r="L5" s="10">
        <v>1529</v>
      </c>
      <c r="M5" s="10">
        <v>1636</v>
      </c>
      <c r="N5" s="10">
        <v>1808</v>
      </c>
      <c r="O5" s="11">
        <f t="shared" ref="O5:O13" si="0">SUM(C5:N5)</f>
        <v>32605</v>
      </c>
    </row>
    <row r="6" spans="1:15" x14ac:dyDescent="0.25">
      <c r="A6" s="4" t="s">
        <v>18</v>
      </c>
      <c r="B6" s="5" t="s">
        <v>19</v>
      </c>
      <c r="C6" s="10">
        <v>20</v>
      </c>
      <c r="D6" s="10">
        <v>8</v>
      </c>
      <c r="E6" s="10">
        <v>9</v>
      </c>
      <c r="F6" s="10">
        <v>15</v>
      </c>
      <c r="G6" s="10">
        <v>12</v>
      </c>
      <c r="H6" s="10">
        <v>126</v>
      </c>
      <c r="I6" s="10">
        <v>12</v>
      </c>
      <c r="J6" s="10">
        <v>28</v>
      </c>
      <c r="K6" s="10">
        <v>10</v>
      </c>
      <c r="L6" s="10">
        <v>12</v>
      </c>
      <c r="M6" s="10">
        <v>12</v>
      </c>
      <c r="N6" s="10">
        <v>12.39</v>
      </c>
      <c r="O6" s="11">
        <f t="shared" si="0"/>
        <v>276.39</v>
      </c>
    </row>
    <row r="7" spans="1:15" x14ac:dyDescent="0.25">
      <c r="A7" s="4">
        <v>3325</v>
      </c>
      <c r="B7" s="5" t="s">
        <v>20</v>
      </c>
      <c r="C7" s="10">
        <v>751</v>
      </c>
      <c r="D7" s="10">
        <v>684</v>
      </c>
      <c r="E7" s="10">
        <v>402</v>
      </c>
      <c r="F7" s="10">
        <v>364</v>
      </c>
      <c r="G7" s="10">
        <v>420</v>
      </c>
      <c r="H7" s="10">
        <v>903</v>
      </c>
      <c r="I7" s="10">
        <v>731</v>
      </c>
      <c r="J7" s="10">
        <v>1140</v>
      </c>
      <c r="K7" s="10">
        <v>728</v>
      </c>
      <c r="L7" s="10">
        <v>546</v>
      </c>
      <c r="M7" s="10">
        <v>651</v>
      </c>
      <c r="N7" s="10">
        <v>1140</v>
      </c>
      <c r="O7" s="11">
        <f t="shared" si="0"/>
        <v>8460</v>
      </c>
    </row>
    <row r="8" spans="1:15" x14ac:dyDescent="0.25">
      <c r="A8" s="116" t="s">
        <v>21</v>
      </c>
      <c r="B8" s="117"/>
      <c r="C8" s="12">
        <f>SUM(C3:C7)</f>
        <v>7716.9</v>
      </c>
      <c r="D8" s="12">
        <f t="shared" ref="D8:O8" si="1">SUM(D3:D7)</f>
        <v>7447.93</v>
      </c>
      <c r="E8" s="12">
        <f t="shared" si="1"/>
        <v>9412.2200000000012</v>
      </c>
      <c r="F8" s="12">
        <f t="shared" si="1"/>
        <v>8044.24</v>
      </c>
      <c r="G8" s="12">
        <f t="shared" si="1"/>
        <v>7729.48</v>
      </c>
      <c r="H8" s="12">
        <f t="shared" si="1"/>
        <v>12018.49</v>
      </c>
      <c r="I8" s="12">
        <f t="shared" si="1"/>
        <v>9005.58</v>
      </c>
      <c r="J8" s="12">
        <f t="shared" si="1"/>
        <v>8800.57</v>
      </c>
      <c r="K8" s="12">
        <f t="shared" si="1"/>
        <v>8748.83</v>
      </c>
      <c r="L8" s="12">
        <f t="shared" si="1"/>
        <v>6552.55</v>
      </c>
      <c r="M8" s="12">
        <f t="shared" si="1"/>
        <v>7428.74</v>
      </c>
      <c r="N8" s="12">
        <f t="shared" si="1"/>
        <v>7751.02</v>
      </c>
      <c r="O8" s="13">
        <f t="shared" si="1"/>
        <v>100656.55</v>
      </c>
    </row>
    <row r="9" spans="1:15" x14ac:dyDescent="0.25">
      <c r="A9" s="4">
        <v>3351</v>
      </c>
      <c r="B9" s="5" t="str">
        <f t="shared" ref="B9:N9" si="2">B3</f>
        <v>Tons of curbside recycling</v>
      </c>
      <c r="C9" s="10">
        <f t="shared" si="2"/>
        <v>4723</v>
      </c>
      <c r="D9" s="10">
        <f t="shared" si="2"/>
        <v>4883</v>
      </c>
      <c r="E9" s="10">
        <f t="shared" si="2"/>
        <v>5577</v>
      </c>
      <c r="F9" s="10">
        <f t="shared" si="2"/>
        <v>5069</v>
      </c>
      <c r="G9" s="10">
        <f t="shared" si="2"/>
        <v>4555</v>
      </c>
      <c r="H9" s="10">
        <f t="shared" si="2"/>
        <v>5073</v>
      </c>
      <c r="I9" s="10">
        <f t="shared" si="2"/>
        <v>4717</v>
      </c>
      <c r="J9" s="10">
        <f t="shared" si="2"/>
        <v>5008</v>
      </c>
      <c r="K9" s="10">
        <f t="shared" si="2"/>
        <v>5007</v>
      </c>
      <c r="L9" s="10">
        <f t="shared" si="2"/>
        <v>4422</v>
      </c>
      <c r="M9" s="10">
        <f t="shared" si="2"/>
        <v>5089</v>
      </c>
      <c r="N9" s="10">
        <f t="shared" si="2"/>
        <v>4756</v>
      </c>
      <c r="O9" s="11">
        <f t="shared" si="0"/>
        <v>58879</v>
      </c>
    </row>
    <row r="10" spans="1:15" x14ac:dyDescent="0.25">
      <c r="A10" s="4">
        <v>7993</v>
      </c>
      <c r="B10" s="5" t="s">
        <v>26</v>
      </c>
      <c r="C10" s="10">
        <f>C4</f>
        <v>30.9</v>
      </c>
      <c r="D10" s="10">
        <f t="shared" ref="D10:N10" si="3">D4</f>
        <v>24.93</v>
      </c>
      <c r="E10" s="10">
        <f t="shared" si="3"/>
        <v>45.22</v>
      </c>
      <c r="F10" s="10">
        <f t="shared" si="3"/>
        <v>23.24</v>
      </c>
      <c r="G10" s="10">
        <f t="shared" si="3"/>
        <v>34.479999999999997</v>
      </c>
      <c r="H10" s="10">
        <f t="shared" si="3"/>
        <v>42.49</v>
      </c>
      <c r="I10" s="10">
        <f t="shared" si="3"/>
        <v>33.58</v>
      </c>
      <c r="J10" s="10">
        <f t="shared" si="3"/>
        <v>35.57</v>
      </c>
      <c r="K10" s="10">
        <f t="shared" si="3"/>
        <v>46.83</v>
      </c>
      <c r="L10" s="10">
        <f t="shared" si="3"/>
        <v>43.55</v>
      </c>
      <c r="M10" s="10">
        <f t="shared" si="3"/>
        <v>40.74</v>
      </c>
      <c r="N10" s="10">
        <f t="shared" si="3"/>
        <v>34.630000000000003</v>
      </c>
      <c r="O10" s="11">
        <f>SUM(C10:N10)</f>
        <v>436.15999999999997</v>
      </c>
    </row>
    <row r="11" spans="1:15" x14ac:dyDescent="0.25">
      <c r="A11" s="4">
        <v>3359</v>
      </c>
      <c r="B11" s="5" t="str">
        <f t="shared" ref="B11:N11" si="4">B5</f>
        <v xml:space="preserve">Tons of Curbside Yard Trimmings </v>
      </c>
      <c r="C11" s="10">
        <f t="shared" si="4"/>
        <v>2192</v>
      </c>
      <c r="D11" s="10">
        <f t="shared" si="4"/>
        <v>1848</v>
      </c>
      <c r="E11" s="10">
        <f t="shared" si="4"/>
        <v>3379</v>
      </c>
      <c r="F11" s="10">
        <f t="shared" si="4"/>
        <v>2573</v>
      </c>
      <c r="G11" s="10">
        <f t="shared" si="4"/>
        <v>2708</v>
      </c>
      <c r="H11" s="10">
        <f t="shared" si="4"/>
        <v>5874</v>
      </c>
      <c r="I11" s="10">
        <f t="shared" si="4"/>
        <v>3512</v>
      </c>
      <c r="J11" s="10">
        <f t="shared" si="4"/>
        <v>2589</v>
      </c>
      <c r="K11" s="10">
        <f t="shared" si="4"/>
        <v>2957</v>
      </c>
      <c r="L11" s="10">
        <f t="shared" si="4"/>
        <v>1529</v>
      </c>
      <c r="M11" s="10">
        <f t="shared" si="4"/>
        <v>1636</v>
      </c>
      <c r="N11" s="10">
        <f t="shared" si="4"/>
        <v>1808</v>
      </c>
      <c r="O11" s="11">
        <f t="shared" si="0"/>
        <v>32605</v>
      </c>
    </row>
    <row r="12" spans="1:15" x14ac:dyDescent="0.25">
      <c r="A12" s="4" t="s">
        <v>18</v>
      </c>
      <c r="B12" s="5" t="str">
        <f t="shared" ref="B12:N12" si="5">B6</f>
        <v>Tons of Curbside Bulk Recycled</v>
      </c>
      <c r="C12" s="10">
        <f t="shared" si="5"/>
        <v>20</v>
      </c>
      <c r="D12" s="10">
        <f t="shared" si="5"/>
        <v>8</v>
      </c>
      <c r="E12" s="10">
        <f t="shared" si="5"/>
        <v>9</v>
      </c>
      <c r="F12" s="10">
        <f t="shared" si="5"/>
        <v>15</v>
      </c>
      <c r="G12" s="10">
        <f t="shared" si="5"/>
        <v>12</v>
      </c>
      <c r="H12" s="10">
        <f t="shared" si="5"/>
        <v>126</v>
      </c>
      <c r="I12" s="10">
        <f t="shared" si="5"/>
        <v>12</v>
      </c>
      <c r="J12" s="10">
        <f t="shared" si="5"/>
        <v>28</v>
      </c>
      <c r="K12" s="10">
        <f t="shared" si="5"/>
        <v>10</v>
      </c>
      <c r="L12" s="10">
        <f t="shared" si="5"/>
        <v>12</v>
      </c>
      <c r="M12" s="10">
        <f t="shared" si="5"/>
        <v>12</v>
      </c>
      <c r="N12" s="10">
        <f t="shared" si="5"/>
        <v>12.39</v>
      </c>
      <c r="O12" s="11">
        <f t="shared" si="0"/>
        <v>276.39</v>
      </c>
    </row>
    <row r="13" spans="1:15" x14ac:dyDescent="0.25">
      <c r="A13" s="4">
        <v>3325</v>
      </c>
      <c r="B13" s="5" t="str">
        <f t="shared" ref="B13:N13" si="6">B7</f>
        <v>Tons of Curbside Brush Collected</v>
      </c>
      <c r="C13" s="10">
        <f t="shared" si="6"/>
        <v>751</v>
      </c>
      <c r="D13" s="10">
        <f t="shared" si="6"/>
        <v>684</v>
      </c>
      <c r="E13" s="10">
        <f t="shared" si="6"/>
        <v>402</v>
      </c>
      <c r="F13" s="10">
        <f t="shared" si="6"/>
        <v>364</v>
      </c>
      <c r="G13" s="10">
        <f t="shared" si="6"/>
        <v>420</v>
      </c>
      <c r="H13" s="10">
        <f t="shared" si="6"/>
        <v>903</v>
      </c>
      <c r="I13" s="10">
        <f t="shared" si="6"/>
        <v>731</v>
      </c>
      <c r="J13" s="10">
        <f t="shared" si="6"/>
        <v>1140</v>
      </c>
      <c r="K13" s="10">
        <f t="shared" si="6"/>
        <v>728</v>
      </c>
      <c r="L13" s="10">
        <f t="shared" si="6"/>
        <v>546</v>
      </c>
      <c r="M13" s="10">
        <f t="shared" si="6"/>
        <v>651</v>
      </c>
      <c r="N13" s="10">
        <f t="shared" si="6"/>
        <v>1140</v>
      </c>
      <c r="O13" s="11">
        <f t="shared" si="0"/>
        <v>8460</v>
      </c>
    </row>
    <row r="14" spans="1:15" x14ac:dyDescent="0.25">
      <c r="A14" s="4">
        <v>3338</v>
      </c>
      <c r="B14" s="5" t="s">
        <v>22</v>
      </c>
      <c r="C14" s="10">
        <v>9981</v>
      </c>
      <c r="D14" s="10">
        <v>9196</v>
      </c>
      <c r="E14" s="10">
        <v>11787</v>
      </c>
      <c r="F14" s="10">
        <v>10494</v>
      </c>
      <c r="G14" s="10">
        <v>9352</v>
      </c>
      <c r="H14" s="10">
        <v>11814</v>
      </c>
      <c r="I14" s="10">
        <v>10877</v>
      </c>
      <c r="J14" s="10">
        <v>11511</v>
      </c>
      <c r="K14" s="10">
        <v>11648</v>
      </c>
      <c r="L14" s="10">
        <v>10249</v>
      </c>
      <c r="M14" s="10">
        <v>11656</v>
      </c>
      <c r="N14" s="10">
        <v>10701</v>
      </c>
      <c r="O14" s="11">
        <f>SUM(C14:N14)</f>
        <v>129266</v>
      </c>
    </row>
    <row r="15" spans="1:15" x14ac:dyDescent="0.25">
      <c r="A15" s="4" t="s">
        <v>23</v>
      </c>
      <c r="B15" s="5" t="s">
        <v>24</v>
      </c>
      <c r="C15" s="10">
        <v>825</v>
      </c>
      <c r="D15" s="10">
        <v>2025</v>
      </c>
      <c r="E15" s="10">
        <v>739</v>
      </c>
      <c r="F15" s="10">
        <v>801</v>
      </c>
      <c r="G15" s="10">
        <v>878</v>
      </c>
      <c r="H15" s="10">
        <v>26</v>
      </c>
      <c r="I15" s="10">
        <v>701</v>
      </c>
      <c r="J15" s="10">
        <v>1406</v>
      </c>
      <c r="K15" s="10">
        <v>1036</v>
      </c>
      <c r="L15" s="10">
        <v>1089</v>
      </c>
      <c r="M15" s="10">
        <v>1147</v>
      </c>
      <c r="N15" s="10">
        <v>1199</v>
      </c>
      <c r="O15" s="11">
        <f>SUM(C15:N15)</f>
        <v>11872</v>
      </c>
    </row>
    <row r="16" spans="1:15" x14ac:dyDescent="0.25">
      <c r="A16" s="4" t="s">
        <v>29</v>
      </c>
      <c r="B16" s="5" t="s">
        <v>30</v>
      </c>
      <c r="C16" s="10">
        <v>37.93</v>
      </c>
      <c r="D16" s="10">
        <v>29</v>
      </c>
      <c r="E16" s="10">
        <v>41.13</v>
      </c>
      <c r="F16" s="10">
        <v>38.43</v>
      </c>
      <c r="G16" s="10">
        <v>36.69</v>
      </c>
      <c r="H16" s="10">
        <v>36.96</v>
      </c>
      <c r="I16" s="10">
        <v>43.41</v>
      </c>
      <c r="J16" s="10">
        <v>35.049999999999997</v>
      </c>
      <c r="K16" s="10">
        <v>38.39</v>
      </c>
      <c r="L16" s="10">
        <v>46.99</v>
      </c>
      <c r="M16" s="10">
        <v>34.86</v>
      </c>
      <c r="N16" s="10">
        <v>49.2</v>
      </c>
      <c r="O16" s="11">
        <f>SUM(C16:N16)</f>
        <v>468.04</v>
      </c>
    </row>
    <row r="17" spans="1:15" x14ac:dyDescent="0.25">
      <c r="A17" s="116" t="s">
        <v>25</v>
      </c>
      <c r="B17" s="117"/>
      <c r="C17" s="12">
        <f>SUM(C9:C16)</f>
        <v>18560.830000000002</v>
      </c>
      <c r="D17" s="12">
        <f t="shared" ref="D17:O17" si="7">SUM(D9:D16)</f>
        <v>18697.93</v>
      </c>
      <c r="E17" s="12">
        <f t="shared" si="7"/>
        <v>21979.350000000002</v>
      </c>
      <c r="F17" s="12">
        <f t="shared" si="7"/>
        <v>19377.669999999998</v>
      </c>
      <c r="G17" s="12">
        <f t="shared" si="7"/>
        <v>17996.169999999998</v>
      </c>
      <c r="H17" s="12">
        <f t="shared" si="7"/>
        <v>23895.449999999997</v>
      </c>
      <c r="I17" s="12">
        <f t="shared" si="7"/>
        <v>20626.990000000002</v>
      </c>
      <c r="J17" s="12">
        <f t="shared" si="7"/>
        <v>21752.62</v>
      </c>
      <c r="K17" s="12">
        <f t="shared" si="7"/>
        <v>21471.22</v>
      </c>
      <c r="L17" s="12">
        <f t="shared" si="7"/>
        <v>17937.54</v>
      </c>
      <c r="M17" s="12">
        <f t="shared" si="7"/>
        <v>20266.599999999999</v>
      </c>
      <c r="N17" s="12">
        <f t="shared" si="7"/>
        <v>19700.22</v>
      </c>
      <c r="O17" s="13">
        <f t="shared" si="7"/>
        <v>242262.59</v>
      </c>
    </row>
    <row r="18" spans="1:1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5" ht="15.75" thickBot="1" x14ac:dyDescent="0.3">
      <c r="A19" s="15">
        <v>7020</v>
      </c>
      <c r="B19" s="16" t="s">
        <v>31</v>
      </c>
      <c r="C19" s="17">
        <f>C8/C17</f>
        <v>0.41576265716565469</v>
      </c>
      <c r="D19" s="17">
        <f t="shared" ref="D19:O19" si="8">D8/D17</f>
        <v>0.3983291198544438</v>
      </c>
      <c r="E19" s="17">
        <f t="shared" si="8"/>
        <v>0.42823013419414135</v>
      </c>
      <c r="F19" s="17">
        <f t="shared" si="8"/>
        <v>0.41512937313928872</v>
      </c>
      <c r="G19" s="17">
        <f t="shared" si="8"/>
        <v>0.42950694508887172</v>
      </c>
      <c r="H19" s="17">
        <f t="shared" si="8"/>
        <v>0.50296144245034102</v>
      </c>
      <c r="I19" s="17">
        <f t="shared" si="8"/>
        <v>0.43659205729968353</v>
      </c>
      <c r="J19" s="17">
        <f t="shared" si="8"/>
        <v>0.4045751730136416</v>
      </c>
      <c r="K19" s="17">
        <f t="shared" si="8"/>
        <v>0.40746776382525068</v>
      </c>
      <c r="L19" s="17">
        <f t="shared" si="8"/>
        <v>0.36529814010170847</v>
      </c>
      <c r="M19" s="17">
        <f t="shared" si="8"/>
        <v>0.36655087681209481</v>
      </c>
      <c r="N19" s="17">
        <f t="shared" si="8"/>
        <v>0.39344839803819448</v>
      </c>
      <c r="O19" s="18">
        <f t="shared" si="8"/>
        <v>0.41548532111375513</v>
      </c>
    </row>
  </sheetData>
  <mergeCells count="3">
    <mergeCell ref="A1:O1"/>
    <mergeCell ref="A8:B8"/>
    <mergeCell ref="A17:B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60"/>
  <sheetViews>
    <sheetView workbookViewId="0">
      <selection sqref="A1:O1"/>
    </sheetView>
  </sheetViews>
  <sheetFormatPr defaultRowHeight="15" x14ac:dyDescent="0.25"/>
  <cols>
    <col min="1" max="1" width="23.7109375" bestFit="1" customWidth="1"/>
    <col min="2" max="2" width="39.42578125" bestFit="1" customWidth="1"/>
    <col min="3" max="14" width="10.5703125" style="76" customWidth="1"/>
    <col min="15" max="15" width="11.5703125" style="76" bestFit="1" customWidth="1"/>
  </cols>
  <sheetData>
    <row r="1" spans="1:15" ht="15.75" thickBot="1" x14ac:dyDescent="0.3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</row>
    <row r="2" spans="1:15" ht="15.75" thickBot="1" x14ac:dyDescent="0.3">
      <c r="A2" s="1" t="s">
        <v>1</v>
      </c>
      <c r="B2" s="2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  <c r="K2" s="51" t="s">
        <v>11</v>
      </c>
      <c r="L2" s="51" t="s">
        <v>12</v>
      </c>
      <c r="M2" s="51" t="s">
        <v>13</v>
      </c>
      <c r="N2" s="51" t="s">
        <v>14</v>
      </c>
      <c r="O2" s="52" t="s">
        <v>15</v>
      </c>
    </row>
    <row r="3" spans="1:15" x14ac:dyDescent="0.25">
      <c r="A3" s="53" t="s">
        <v>43</v>
      </c>
      <c r="B3" s="54" t="s">
        <v>44</v>
      </c>
      <c r="C3" s="55">
        <v>377.99</v>
      </c>
      <c r="D3" s="55">
        <v>314.10000000000002</v>
      </c>
      <c r="E3" s="55">
        <v>280.92</v>
      </c>
      <c r="F3" s="55">
        <v>423.31</v>
      </c>
      <c r="G3" s="55">
        <v>325.98</v>
      </c>
      <c r="H3" s="55">
        <v>274.64999999999998</v>
      </c>
      <c r="I3" s="55">
        <v>279.32</v>
      </c>
      <c r="J3" s="55">
        <v>339.51</v>
      </c>
      <c r="K3" s="55">
        <v>290.66000000000003</v>
      </c>
      <c r="L3" s="55">
        <v>313.54000000000002</v>
      </c>
      <c r="M3" s="55">
        <v>343.99</v>
      </c>
      <c r="N3" s="55">
        <v>323.31</v>
      </c>
      <c r="O3" s="56">
        <f>SUM(C3:N3)</f>
        <v>3887.2799999999993</v>
      </c>
    </row>
    <row r="4" spans="1:15" x14ac:dyDescent="0.25">
      <c r="A4" s="57" t="s">
        <v>45</v>
      </c>
      <c r="B4" s="58" t="s">
        <v>46</v>
      </c>
      <c r="C4" s="59">
        <v>368.71</v>
      </c>
      <c r="D4" s="59">
        <v>443.52</v>
      </c>
      <c r="E4" s="59">
        <v>494.39</v>
      </c>
      <c r="F4" s="59">
        <v>415.56</v>
      </c>
      <c r="G4" s="59">
        <v>367.21</v>
      </c>
      <c r="H4" s="59">
        <v>506.45</v>
      </c>
      <c r="I4" s="59">
        <v>408.07</v>
      </c>
      <c r="J4" s="59">
        <v>528.30999999999995</v>
      </c>
      <c r="K4" s="59">
        <v>571.80999999999995</v>
      </c>
      <c r="L4" s="59">
        <v>466.23</v>
      </c>
      <c r="M4" s="59">
        <v>526.78</v>
      </c>
      <c r="N4" s="59">
        <v>487.16</v>
      </c>
      <c r="O4" s="60">
        <f>SUM(C4:N4)</f>
        <v>5584.2</v>
      </c>
    </row>
    <row r="5" spans="1:15" ht="6.75" customHeight="1" x14ac:dyDescent="0.25">
      <c r="A5" s="4"/>
      <c r="B5" s="5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/>
    </row>
    <row r="6" spans="1:15" ht="15.75" thickBot="1" x14ac:dyDescent="0.3">
      <c r="A6" s="63"/>
      <c r="B6" s="64" t="s">
        <v>47</v>
      </c>
      <c r="C6" s="65">
        <v>0.1659713223248877</v>
      </c>
      <c r="D6" s="65">
        <v>0.15200524861712181</v>
      </c>
      <c r="E6" s="65">
        <v>0.15204690977908084</v>
      </c>
      <c r="F6" s="65">
        <v>0.1525836839300298</v>
      </c>
      <c r="G6" s="65">
        <v>0.15245566691519147</v>
      </c>
      <c r="H6" s="65">
        <v>0.15200667887494426</v>
      </c>
      <c r="I6" s="65">
        <v>0.15221381990500338</v>
      </c>
      <c r="J6" s="65">
        <v>0.17154220358850586</v>
      </c>
      <c r="K6" s="65">
        <v>0.1729689727993069</v>
      </c>
      <c r="L6" s="65">
        <v>0.17126058614752082</v>
      </c>
      <c r="M6" s="65">
        <v>0.17144280350536614</v>
      </c>
      <c r="N6" s="65">
        <v>0.17134237609193845</v>
      </c>
      <c r="O6" s="66">
        <f>9471.48/58688.94</f>
        <v>0.16138441075950596</v>
      </c>
    </row>
    <row r="7" spans="1:15" ht="16.5" thickTop="1" thickBot="1" x14ac:dyDescent="0.3">
      <c r="A7" s="4"/>
      <c r="B7" s="5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1:15" ht="15.75" thickBot="1" x14ac:dyDescent="0.3">
      <c r="A8" s="110" t="s">
        <v>48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1:15" x14ac:dyDescent="0.25">
      <c r="A9" s="6">
        <v>3351</v>
      </c>
      <c r="B9" s="7" t="s">
        <v>16</v>
      </c>
      <c r="C9" s="67">
        <v>4498.97</v>
      </c>
      <c r="D9" s="67">
        <v>4986.1000000000004</v>
      </c>
      <c r="E9" s="67">
        <v>5099.45</v>
      </c>
      <c r="F9" s="67">
        <v>5497.77</v>
      </c>
      <c r="G9" s="67">
        <v>4546.83</v>
      </c>
      <c r="H9" s="67">
        <v>5138.83</v>
      </c>
      <c r="I9" s="67">
        <v>4528.6899999999996</v>
      </c>
      <c r="J9" s="67">
        <v>5058.93</v>
      </c>
      <c r="K9" s="67">
        <v>4986.2700000000004</v>
      </c>
      <c r="L9" s="67">
        <v>4553.12</v>
      </c>
      <c r="M9" s="67">
        <v>5079.5150000000003</v>
      </c>
      <c r="N9" s="67">
        <v>4730.1180000000004</v>
      </c>
      <c r="O9" s="68">
        <f>SUM(C9:N9)</f>
        <v>58704.593000000015</v>
      </c>
    </row>
    <row r="10" spans="1:15" x14ac:dyDescent="0.25">
      <c r="A10" s="4" t="s">
        <v>43</v>
      </c>
      <c r="B10" s="5" t="str">
        <f>B3</f>
        <v>Vendor 1 Residuals (TDS)</v>
      </c>
      <c r="C10" s="69">
        <f t="shared" ref="C10:N11" si="0">C3</f>
        <v>377.99</v>
      </c>
      <c r="D10" s="69">
        <f t="shared" si="0"/>
        <v>314.10000000000002</v>
      </c>
      <c r="E10" s="69">
        <f t="shared" si="0"/>
        <v>280.92</v>
      </c>
      <c r="F10" s="69">
        <f t="shared" si="0"/>
        <v>423.31</v>
      </c>
      <c r="G10" s="69">
        <f t="shared" si="0"/>
        <v>325.98</v>
      </c>
      <c r="H10" s="69">
        <f t="shared" si="0"/>
        <v>274.64999999999998</v>
      </c>
      <c r="I10" s="69">
        <f t="shared" si="0"/>
        <v>279.32</v>
      </c>
      <c r="J10" s="69">
        <f t="shared" si="0"/>
        <v>339.51</v>
      </c>
      <c r="K10" s="69">
        <f t="shared" si="0"/>
        <v>290.66000000000003</v>
      </c>
      <c r="L10" s="69">
        <f t="shared" si="0"/>
        <v>313.54000000000002</v>
      </c>
      <c r="M10" s="69">
        <f t="shared" si="0"/>
        <v>343.99</v>
      </c>
      <c r="N10" s="69">
        <f t="shared" si="0"/>
        <v>323.31</v>
      </c>
      <c r="O10" s="70">
        <f t="shared" ref="O10:O25" si="1">SUM(C10:N10)</f>
        <v>3887.2799999999993</v>
      </c>
    </row>
    <row r="11" spans="1:15" x14ac:dyDescent="0.25">
      <c r="A11" s="4" t="s">
        <v>45</v>
      </c>
      <c r="B11" s="5" t="str">
        <f>B4</f>
        <v>Vendor 2 Residuals (BAL)</v>
      </c>
      <c r="C11" s="69">
        <f t="shared" si="0"/>
        <v>368.71</v>
      </c>
      <c r="D11" s="69">
        <f t="shared" si="0"/>
        <v>443.52</v>
      </c>
      <c r="E11" s="69">
        <f t="shared" si="0"/>
        <v>494.39</v>
      </c>
      <c r="F11" s="69">
        <f t="shared" si="0"/>
        <v>415.56</v>
      </c>
      <c r="G11" s="69">
        <f t="shared" si="0"/>
        <v>367.21</v>
      </c>
      <c r="H11" s="69">
        <f t="shared" si="0"/>
        <v>506.45</v>
      </c>
      <c r="I11" s="69">
        <f t="shared" si="0"/>
        <v>408.07</v>
      </c>
      <c r="J11" s="69">
        <f t="shared" si="0"/>
        <v>528.30999999999995</v>
      </c>
      <c r="K11" s="69">
        <f t="shared" si="0"/>
        <v>571.80999999999995</v>
      </c>
      <c r="L11" s="69">
        <f t="shared" si="0"/>
        <v>466.23</v>
      </c>
      <c r="M11" s="69">
        <f t="shared" si="0"/>
        <v>526.78</v>
      </c>
      <c r="N11" s="69">
        <f t="shared" si="0"/>
        <v>487.16</v>
      </c>
      <c r="O11" s="70">
        <f t="shared" si="1"/>
        <v>5584.2</v>
      </c>
    </row>
    <row r="12" spans="1:15" x14ac:dyDescent="0.25">
      <c r="A12" s="4">
        <v>3359</v>
      </c>
      <c r="B12" s="5" t="s">
        <v>17</v>
      </c>
      <c r="C12" s="69">
        <v>2038</v>
      </c>
      <c r="D12" s="69">
        <v>2378</v>
      </c>
      <c r="E12" s="69">
        <v>2951</v>
      </c>
      <c r="F12" s="69">
        <v>4213</v>
      </c>
      <c r="G12" s="69">
        <v>3540</v>
      </c>
      <c r="H12" s="69">
        <v>6248</v>
      </c>
      <c r="I12" s="69">
        <v>3588</v>
      </c>
      <c r="J12" s="69">
        <v>2197</v>
      </c>
      <c r="K12" s="69">
        <v>1824</v>
      </c>
      <c r="L12" s="69">
        <v>1322</v>
      </c>
      <c r="M12" s="69">
        <v>1609</v>
      </c>
      <c r="N12" s="69">
        <v>2408</v>
      </c>
      <c r="O12" s="70">
        <f t="shared" si="1"/>
        <v>34316</v>
      </c>
    </row>
    <row r="13" spans="1:15" x14ac:dyDescent="0.25">
      <c r="A13" s="4" t="s">
        <v>18</v>
      </c>
      <c r="B13" s="5" t="s">
        <v>19</v>
      </c>
      <c r="C13" s="69">
        <v>15</v>
      </c>
      <c r="D13" s="69">
        <v>9</v>
      </c>
      <c r="E13" s="69">
        <v>8</v>
      </c>
      <c r="F13" s="69">
        <v>14</v>
      </c>
      <c r="G13" s="69">
        <v>12</v>
      </c>
      <c r="H13" s="69">
        <v>1</v>
      </c>
      <c r="I13" s="69">
        <v>10</v>
      </c>
      <c r="J13" s="69">
        <v>19</v>
      </c>
      <c r="K13" s="69">
        <v>25</v>
      </c>
      <c r="L13" s="69">
        <v>25</v>
      </c>
      <c r="M13" s="69">
        <v>9</v>
      </c>
      <c r="N13" s="69">
        <v>14</v>
      </c>
      <c r="O13" s="70">
        <f t="shared" si="1"/>
        <v>161</v>
      </c>
    </row>
    <row r="14" spans="1:15" x14ac:dyDescent="0.25">
      <c r="A14" s="4">
        <v>3325</v>
      </c>
      <c r="B14" s="5" t="s">
        <v>20</v>
      </c>
      <c r="C14" s="69">
        <v>858</v>
      </c>
      <c r="D14" s="69">
        <v>531</v>
      </c>
      <c r="E14" s="69">
        <v>336</v>
      </c>
      <c r="F14" s="69">
        <v>464</v>
      </c>
      <c r="G14" s="69">
        <v>603</v>
      </c>
      <c r="H14" s="69">
        <v>857</v>
      </c>
      <c r="I14" s="69">
        <v>693</v>
      </c>
      <c r="J14" s="69">
        <v>463</v>
      </c>
      <c r="K14" s="69">
        <v>557</v>
      </c>
      <c r="L14" s="69">
        <v>474</v>
      </c>
      <c r="M14" s="69">
        <v>642</v>
      </c>
      <c r="N14" s="69">
        <v>889</v>
      </c>
      <c r="O14" s="70">
        <f t="shared" si="1"/>
        <v>7367</v>
      </c>
    </row>
    <row r="15" spans="1:15" x14ac:dyDescent="0.25">
      <c r="A15" s="4" t="s">
        <v>49</v>
      </c>
      <c r="B15" s="5" t="s">
        <v>50</v>
      </c>
      <c r="C15" s="69">
        <v>0</v>
      </c>
      <c r="D15" s="69">
        <v>0</v>
      </c>
      <c r="E15" s="69">
        <v>60.537500000000001</v>
      </c>
      <c r="F15" s="69">
        <v>48.353000000000002</v>
      </c>
      <c r="G15" s="69">
        <v>26.0595</v>
      </c>
      <c r="H15" s="69">
        <v>22.246500000000001</v>
      </c>
      <c r="I15" s="69">
        <v>17.768000000000001</v>
      </c>
      <c r="J15" s="69">
        <v>17.372499999999999</v>
      </c>
      <c r="K15" s="69">
        <v>15.7385</v>
      </c>
      <c r="L15" s="69">
        <v>15</v>
      </c>
      <c r="M15" s="69">
        <v>11.81</v>
      </c>
      <c r="N15" s="69">
        <v>10.56</v>
      </c>
      <c r="O15" s="70">
        <f t="shared" si="1"/>
        <v>245.44549999999998</v>
      </c>
    </row>
    <row r="16" spans="1:15" x14ac:dyDescent="0.25">
      <c r="A16" s="4">
        <v>7178</v>
      </c>
      <c r="B16" s="5" t="s">
        <v>51</v>
      </c>
      <c r="C16" s="69">
        <v>33.08</v>
      </c>
      <c r="D16" s="69">
        <v>9</v>
      </c>
      <c r="E16" s="69">
        <v>24.15</v>
      </c>
      <c r="F16" s="69">
        <v>26.19</v>
      </c>
      <c r="G16" s="69">
        <v>0</v>
      </c>
      <c r="H16" s="69">
        <v>25.58</v>
      </c>
      <c r="I16" s="69">
        <v>17.16</v>
      </c>
      <c r="J16" s="69">
        <v>26.1</v>
      </c>
      <c r="K16" s="69">
        <v>18.489999999999998</v>
      </c>
      <c r="L16" s="69">
        <v>0</v>
      </c>
      <c r="M16" s="69">
        <v>17.18</v>
      </c>
      <c r="N16" s="69">
        <v>0</v>
      </c>
      <c r="O16" s="70">
        <f t="shared" si="1"/>
        <v>196.93</v>
      </c>
    </row>
    <row r="17" spans="1:15" x14ac:dyDescent="0.25">
      <c r="A17" s="116" t="s">
        <v>21</v>
      </c>
      <c r="B17" s="117"/>
      <c r="C17" s="71">
        <f>SUM(C9,C12:C16)-SUM(C10:C11)</f>
        <v>6696.35</v>
      </c>
      <c r="D17" s="71">
        <f t="shared" ref="D17:N17" si="2">SUM(D9,D12:D16)-SUM(D10:D11)</f>
        <v>7155.4800000000005</v>
      </c>
      <c r="E17" s="71">
        <f t="shared" si="2"/>
        <v>7703.8275000000012</v>
      </c>
      <c r="F17" s="71">
        <f t="shared" si="2"/>
        <v>9424.4429999999993</v>
      </c>
      <c r="G17" s="71">
        <f t="shared" si="2"/>
        <v>8034.6994999999988</v>
      </c>
      <c r="H17" s="71">
        <f t="shared" si="2"/>
        <v>11511.556499999999</v>
      </c>
      <c r="I17" s="71">
        <f t="shared" si="2"/>
        <v>8167.2279999999982</v>
      </c>
      <c r="J17" s="71">
        <f t="shared" si="2"/>
        <v>6913.5825000000013</v>
      </c>
      <c r="K17" s="71">
        <f t="shared" si="2"/>
        <v>6564.0285000000003</v>
      </c>
      <c r="L17" s="71">
        <f t="shared" si="2"/>
        <v>5609.35</v>
      </c>
      <c r="M17" s="71">
        <f t="shared" si="2"/>
        <v>6497.7350000000006</v>
      </c>
      <c r="N17" s="71">
        <f t="shared" si="2"/>
        <v>7241.2080000000005</v>
      </c>
      <c r="O17" s="72">
        <f>SUM(O9,O12:O16)-SUM(O10:O11)</f>
        <v>91519.488500000021</v>
      </c>
    </row>
    <row r="18" spans="1:15" x14ac:dyDescent="0.25">
      <c r="A18" s="4">
        <v>3351</v>
      </c>
      <c r="B18" s="5" t="str">
        <f>B9</f>
        <v>Tons of curbside recycling</v>
      </c>
      <c r="C18" s="69">
        <f t="shared" ref="C18:N18" si="3">C9</f>
        <v>4498.97</v>
      </c>
      <c r="D18" s="69">
        <f t="shared" si="3"/>
        <v>4986.1000000000004</v>
      </c>
      <c r="E18" s="69">
        <f t="shared" si="3"/>
        <v>5099.45</v>
      </c>
      <c r="F18" s="69">
        <f t="shared" si="3"/>
        <v>5497.77</v>
      </c>
      <c r="G18" s="69">
        <f t="shared" si="3"/>
        <v>4546.83</v>
      </c>
      <c r="H18" s="69">
        <f t="shared" si="3"/>
        <v>5138.83</v>
      </c>
      <c r="I18" s="69">
        <f t="shared" si="3"/>
        <v>4528.6899999999996</v>
      </c>
      <c r="J18" s="69">
        <f t="shared" si="3"/>
        <v>5058.93</v>
      </c>
      <c r="K18" s="69">
        <f t="shared" si="3"/>
        <v>4986.2700000000004</v>
      </c>
      <c r="L18" s="69">
        <f t="shared" si="3"/>
        <v>4553.12</v>
      </c>
      <c r="M18" s="69">
        <f t="shared" si="3"/>
        <v>5079.5150000000003</v>
      </c>
      <c r="N18" s="69">
        <f t="shared" si="3"/>
        <v>4730.1180000000004</v>
      </c>
      <c r="O18" s="70">
        <f t="shared" si="1"/>
        <v>58704.593000000015</v>
      </c>
    </row>
    <row r="19" spans="1:15" x14ac:dyDescent="0.25">
      <c r="A19" s="4">
        <v>3359</v>
      </c>
      <c r="B19" s="5" t="str">
        <f>B12</f>
        <v xml:space="preserve">Tons of Curbside Yard Trimmings </v>
      </c>
      <c r="C19" s="69">
        <f t="shared" ref="C19:N23" si="4">C12</f>
        <v>2038</v>
      </c>
      <c r="D19" s="69">
        <f t="shared" si="4"/>
        <v>2378</v>
      </c>
      <c r="E19" s="69">
        <f t="shared" si="4"/>
        <v>2951</v>
      </c>
      <c r="F19" s="69">
        <f t="shared" si="4"/>
        <v>4213</v>
      </c>
      <c r="G19" s="69">
        <f t="shared" si="4"/>
        <v>3540</v>
      </c>
      <c r="H19" s="69">
        <f t="shared" si="4"/>
        <v>6248</v>
      </c>
      <c r="I19" s="69">
        <f t="shared" si="4"/>
        <v>3588</v>
      </c>
      <c r="J19" s="69">
        <f t="shared" si="4"/>
        <v>2197</v>
      </c>
      <c r="K19" s="69">
        <f t="shared" si="4"/>
        <v>1824</v>
      </c>
      <c r="L19" s="69">
        <f t="shared" si="4"/>
        <v>1322</v>
      </c>
      <c r="M19" s="69">
        <f t="shared" si="4"/>
        <v>1609</v>
      </c>
      <c r="N19" s="69">
        <f t="shared" si="4"/>
        <v>2408</v>
      </c>
      <c r="O19" s="70">
        <f t="shared" si="1"/>
        <v>34316</v>
      </c>
    </row>
    <row r="20" spans="1:15" x14ac:dyDescent="0.25">
      <c r="A20" s="4" t="s">
        <v>18</v>
      </c>
      <c r="B20" s="5" t="str">
        <f>B13</f>
        <v>Tons of Curbside Bulk Recycled</v>
      </c>
      <c r="C20" s="69">
        <f t="shared" si="4"/>
        <v>15</v>
      </c>
      <c r="D20" s="69">
        <f t="shared" si="4"/>
        <v>9</v>
      </c>
      <c r="E20" s="69">
        <f t="shared" si="4"/>
        <v>8</v>
      </c>
      <c r="F20" s="69">
        <f t="shared" si="4"/>
        <v>14</v>
      </c>
      <c r="G20" s="69">
        <f t="shared" si="4"/>
        <v>12</v>
      </c>
      <c r="H20" s="69">
        <f t="shared" si="4"/>
        <v>1</v>
      </c>
      <c r="I20" s="69">
        <f t="shared" si="4"/>
        <v>10</v>
      </c>
      <c r="J20" s="69">
        <f t="shared" si="4"/>
        <v>19</v>
      </c>
      <c r="K20" s="69">
        <f t="shared" si="4"/>
        <v>25</v>
      </c>
      <c r="L20" s="69">
        <f t="shared" si="4"/>
        <v>25</v>
      </c>
      <c r="M20" s="69">
        <f t="shared" si="4"/>
        <v>9</v>
      </c>
      <c r="N20" s="69">
        <f t="shared" si="4"/>
        <v>14</v>
      </c>
      <c r="O20" s="70">
        <f t="shared" si="1"/>
        <v>161</v>
      </c>
    </row>
    <row r="21" spans="1:15" x14ac:dyDescent="0.25">
      <c r="A21" s="4">
        <v>3325</v>
      </c>
      <c r="B21" s="5" t="str">
        <f>B14</f>
        <v>Tons of Curbside Brush Collected</v>
      </c>
      <c r="C21" s="69">
        <f t="shared" si="4"/>
        <v>858</v>
      </c>
      <c r="D21" s="69">
        <f t="shared" si="4"/>
        <v>531</v>
      </c>
      <c r="E21" s="69">
        <f t="shared" si="4"/>
        <v>336</v>
      </c>
      <c r="F21" s="69">
        <f t="shared" si="4"/>
        <v>464</v>
      </c>
      <c r="G21" s="69">
        <f t="shared" si="4"/>
        <v>603</v>
      </c>
      <c r="H21" s="69">
        <f t="shared" si="4"/>
        <v>857</v>
      </c>
      <c r="I21" s="69">
        <f t="shared" si="4"/>
        <v>693</v>
      </c>
      <c r="J21" s="69">
        <f t="shared" si="4"/>
        <v>463</v>
      </c>
      <c r="K21" s="69">
        <f t="shared" si="4"/>
        <v>557</v>
      </c>
      <c r="L21" s="69">
        <f t="shared" si="4"/>
        <v>474</v>
      </c>
      <c r="M21" s="69">
        <f t="shared" si="4"/>
        <v>642</v>
      </c>
      <c r="N21" s="69">
        <f t="shared" si="4"/>
        <v>889</v>
      </c>
      <c r="O21" s="70">
        <f t="shared" si="1"/>
        <v>7367</v>
      </c>
    </row>
    <row r="22" spans="1:15" x14ac:dyDescent="0.25">
      <c r="A22" s="4" t="s">
        <v>49</v>
      </c>
      <c r="B22" s="5" t="str">
        <f>B15</f>
        <v>Tons of Curbside Textiles Collected</v>
      </c>
      <c r="C22" s="69">
        <f t="shared" si="4"/>
        <v>0</v>
      </c>
      <c r="D22" s="69">
        <f t="shared" si="4"/>
        <v>0</v>
      </c>
      <c r="E22" s="69">
        <f t="shared" si="4"/>
        <v>60.537500000000001</v>
      </c>
      <c r="F22" s="69">
        <f t="shared" si="4"/>
        <v>48.353000000000002</v>
      </c>
      <c r="G22" s="69">
        <f t="shared" si="4"/>
        <v>26.0595</v>
      </c>
      <c r="H22" s="69">
        <f t="shared" si="4"/>
        <v>22.246500000000001</v>
      </c>
      <c r="I22" s="69">
        <f t="shared" si="4"/>
        <v>17.768000000000001</v>
      </c>
      <c r="J22" s="69">
        <f t="shared" si="4"/>
        <v>17.372499999999999</v>
      </c>
      <c r="K22" s="69">
        <f t="shared" si="4"/>
        <v>15.7385</v>
      </c>
      <c r="L22" s="69">
        <f t="shared" si="4"/>
        <v>15</v>
      </c>
      <c r="M22" s="69">
        <f t="shared" si="4"/>
        <v>11.81</v>
      </c>
      <c r="N22" s="69">
        <f t="shared" si="4"/>
        <v>10.56</v>
      </c>
      <c r="O22" s="70">
        <f t="shared" si="1"/>
        <v>245.44549999999998</v>
      </c>
    </row>
    <row r="23" spans="1:15" x14ac:dyDescent="0.25">
      <c r="A23" s="4">
        <v>7178</v>
      </c>
      <c r="B23" s="5" t="str">
        <f>B16</f>
        <v>Tons of carts recycled</v>
      </c>
      <c r="C23" s="69">
        <f t="shared" si="4"/>
        <v>33.08</v>
      </c>
      <c r="D23" s="69">
        <f t="shared" si="4"/>
        <v>9</v>
      </c>
      <c r="E23" s="69">
        <f t="shared" si="4"/>
        <v>24.15</v>
      </c>
      <c r="F23" s="69">
        <f t="shared" si="4"/>
        <v>26.19</v>
      </c>
      <c r="G23" s="69">
        <f t="shared" si="4"/>
        <v>0</v>
      </c>
      <c r="H23" s="69">
        <f t="shared" si="4"/>
        <v>25.58</v>
      </c>
      <c r="I23" s="69">
        <f t="shared" si="4"/>
        <v>17.16</v>
      </c>
      <c r="J23" s="69">
        <f t="shared" si="4"/>
        <v>26.1</v>
      </c>
      <c r="K23" s="69">
        <f t="shared" si="4"/>
        <v>18.489999999999998</v>
      </c>
      <c r="L23" s="69">
        <f t="shared" si="4"/>
        <v>0</v>
      </c>
      <c r="M23" s="69">
        <f t="shared" si="4"/>
        <v>17.18</v>
      </c>
      <c r="N23" s="69">
        <f t="shared" si="4"/>
        <v>0</v>
      </c>
      <c r="O23" s="70">
        <f t="shared" si="1"/>
        <v>196.93</v>
      </c>
    </row>
    <row r="24" spans="1:15" x14ac:dyDescent="0.25">
      <c r="A24" s="4">
        <v>3338</v>
      </c>
      <c r="B24" s="5" t="s">
        <v>22</v>
      </c>
      <c r="C24" s="69">
        <v>10105</v>
      </c>
      <c r="D24" s="69">
        <v>11365</v>
      </c>
      <c r="E24" s="69">
        <v>10847</v>
      </c>
      <c r="F24" s="69">
        <v>11773</v>
      </c>
      <c r="G24" s="69">
        <v>10143</v>
      </c>
      <c r="H24" s="69">
        <v>11841</v>
      </c>
      <c r="I24" s="69">
        <v>10515</v>
      </c>
      <c r="J24" s="69">
        <v>11228</v>
      </c>
      <c r="K24" s="69">
        <v>11481</v>
      </c>
      <c r="L24" s="69">
        <v>10565</v>
      </c>
      <c r="M24" s="69">
        <v>11636</v>
      </c>
      <c r="N24" s="69">
        <v>10316</v>
      </c>
      <c r="O24" s="70">
        <f t="shared" si="1"/>
        <v>131815</v>
      </c>
    </row>
    <row r="25" spans="1:15" x14ac:dyDescent="0.25">
      <c r="A25" s="4" t="s">
        <v>23</v>
      </c>
      <c r="B25" s="5" t="s">
        <v>24</v>
      </c>
      <c r="C25" s="69">
        <v>1061</v>
      </c>
      <c r="D25" s="69">
        <v>614</v>
      </c>
      <c r="E25" s="69">
        <v>565</v>
      </c>
      <c r="F25" s="69">
        <v>820</v>
      </c>
      <c r="G25" s="69">
        <v>1023</v>
      </c>
      <c r="H25" s="69">
        <v>219</v>
      </c>
      <c r="I25" s="69">
        <v>672</v>
      </c>
      <c r="J25" s="69">
        <v>1224</v>
      </c>
      <c r="K25" s="69">
        <v>1350</v>
      </c>
      <c r="L25" s="69">
        <v>1256</v>
      </c>
      <c r="M25" s="69">
        <v>1197</v>
      </c>
      <c r="N25" s="69">
        <v>1178</v>
      </c>
      <c r="O25" s="70">
        <f t="shared" si="1"/>
        <v>11179</v>
      </c>
    </row>
    <row r="26" spans="1:15" x14ac:dyDescent="0.25">
      <c r="A26" s="116" t="s">
        <v>25</v>
      </c>
      <c r="B26" s="117"/>
      <c r="C26" s="71">
        <f>SUM(C18:C25)</f>
        <v>18609.05</v>
      </c>
      <c r="D26" s="71">
        <f t="shared" ref="D26:O26" si="5">SUM(D18:D25)</f>
        <v>19892.099999999999</v>
      </c>
      <c r="E26" s="71">
        <f t="shared" si="5"/>
        <v>19891.137500000001</v>
      </c>
      <c r="F26" s="71">
        <f t="shared" si="5"/>
        <v>22856.313000000002</v>
      </c>
      <c r="G26" s="71">
        <f t="shared" si="5"/>
        <v>19893.889499999997</v>
      </c>
      <c r="H26" s="71">
        <f t="shared" si="5"/>
        <v>24352.656499999997</v>
      </c>
      <c r="I26" s="71">
        <f t="shared" si="5"/>
        <v>20041.617999999999</v>
      </c>
      <c r="J26" s="71">
        <f t="shared" si="5"/>
        <v>20233.4025</v>
      </c>
      <c r="K26" s="71">
        <f t="shared" si="5"/>
        <v>20257.498500000002</v>
      </c>
      <c r="L26" s="71">
        <f t="shared" si="5"/>
        <v>18210.12</v>
      </c>
      <c r="M26" s="71">
        <f t="shared" si="5"/>
        <v>20201.505000000001</v>
      </c>
      <c r="N26" s="71">
        <f t="shared" si="5"/>
        <v>19545.678</v>
      </c>
      <c r="O26" s="72">
        <f t="shared" si="5"/>
        <v>243984.96850000002</v>
      </c>
    </row>
    <row r="27" spans="1:15" x14ac:dyDescent="0.25">
      <c r="A27" s="4"/>
      <c r="B27" s="5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73"/>
    </row>
    <row r="28" spans="1:15" ht="15.75" thickBot="1" x14ac:dyDescent="0.3">
      <c r="A28" s="15">
        <v>9107</v>
      </c>
      <c r="B28" s="16" t="s">
        <v>52</v>
      </c>
      <c r="C28" s="74">
        <f>+C17/C26</f>
        <v>0.35984373194762764</v>
      </c>
      <c r="D28" s="74">
        <f t="shared" ref="D28:O28" si="6">+D17/D26</f>
        <v>0.35971466059390417</v>
      </c>
      <c r="E28" s="74">
        <f t="shared" si="6"/>
        <v>0.38729949456133422</v>
      </c>
      <c r="F28" s="74">
        <f t="shared" si="6"/>
        <v>0.4123343515640514</v>
      </c>
      <c r="G28" s="74">
        <f t="shared" si="6"/>
        <v>0.40387775854490393</v>
      </c>
      <c r="H28" s="74">
        <f t="shared" si="6"/>
        <v>0.47270229019983917</v>
      </c>
      <c r="I28" s="74">
        <f t="shared" si="6"/>
        <v>0.40751340535479713</v>
      </c>
      <c r="J28" s="74">
        <f t="shared" si="6"/>
        <v>0.34169154199349328</v>
      </c>
      <c r="K28" s="74">
        <f t="shared" si="6"/>
        <v>0.32402956860641013</v>
      </c>
      <c r="L28" s="74">
        <f t="shared" si="6"/>
        <v>0.30803476308777761</v>
      </c>
      <c r="M28" s="74">
        <f t="shared" si="6"/>
        <v>0.32164608527928984</v>
      </c>
      <c r="N28" s="74">
        <f t="shared" si="6"/>
        <v>0.37047617381192921</v>
      </c>
      <c r="O28" s="75">
        <f t="shared" si="6"/>
        <v>0.37510297893617989</v>
      </c>
    </row>
    <row r="29" spans="1:15" ht="15.75" thickBot="1" x14ac:dyDescent="0.3"/>
    <row r="30" spans="1:15" ht="15.75" thickBot="1" x14ac:dyDescent="0.3">
      <c r="A30" s="110" t="s">
        <v>53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2"/>
    </row>
    <row r="31" spans="1:15" x14ac:dyDescent="0.25">
      <c r="A31" s="6">
        <v>3351</v>
      </c>
      <c r="B31" s="7" t="s">
        <v>16</v>
      </c>
      <c r="C31" s="67">
        <f>C9</f>
        <v>4498.97</v>
      </c>
      <c r="D31" s="67">
        <f t="shared" ref="D31:O31" si="7">D9</f>
        <v>4986.1000000000004</v>
      </c>
      <c r="E31" s="67">
        <f t="shared" si="7"/>
        <v>5099.45</v>
      </c>
      <c r="F31" s="67">
        <f t="shared" si="7"/>
        <v>5497.77</v>
      </c>
      <c r="G31" s="67">
        <f t="shared" si="7"/>
        <v>4546.83</v>
      </c>
      <c r="H31" s="67">
        <f t="shared" si="7"/>
        <v>5138.83</v>
      </c>
      <c r="I31" s="67">
        <f t="shared" si="7"/>
        <v>4528.6899999999996</v>
      </c>
      <c r="J31" s="67">
        <f t="shared" si="7"/>
        <v>5058.93</v>
      </c>
      <c r="K31" s="67">
        <f t="shared" si="7"/>
        <v>4986.2700000000004</v>
      </c>
      <c r="L31" s="67">
        <f t="shared" si="7"/>
        <v>4553.12</v>
      </c>
      <c r="M31" s="67">
        <f t="shared" si="7"/>
        <v>5079.5150000000003</v>
      </c>
      <c r="N31" s="67">
        <f t="shared" si="7"/>
        <v>4730.1180000000004</v>
      </c>
      <c r="O31" s="68">
        <f t="shared" si="7"/>
        <v>58704.593000000015</v>
      </c>
    </row>
    <row r="32" spans="1:15" x14ac:dyDescent="0.25">
      <c r="A32" s="4" t="s">
        <v>43</v>
      </c>
      <c r="B32" s="5" t="str">
        <f>B3</f>
        <v>Vendor 1 Residuals (TDS)</v>
      </c>
      <c r="C32" s="69">
        <f t="shared" ref="C32:O38" si="8">C10</f>
        <v>377.99</v>
      </c>
      <c r="D32" s="69">
        <f t="shared" si="8"/>
        <v>314.10000000000002</v>
      </c>
      <c r="E32" s="69">
        <f t="shared" si="8"/>
        <v>280.92</v>
      </c>
      <c r="F32" s="69">
        <f t="shared" si="8"/>
        <v>423.31</v>
      </c>
      <c r="G32" s="69">
        <f t="shared" si="8"/>
        <v>325.98</v>
      </c>
      <c r="H32" s="69">
        <f t="shared" si="8"/>
        <v>274.64999999999998</v>
      </c>
      <c r="I32" s="69">
        <f t="shared" si="8"/>
        <v>279.32</v>
      </c>
      <c r="J32" s="69">
        <f t="shared" si="8"/>
        <v>339.51</v>
      </c>
      <c r="K32" s="69">
        <f t="shared" si="8"/>
        <v>290.66000000000003</v>
      </c>
      <c r="L32" s="69">
        <f t="shared" si="8"/>
        <v>313.54000000000002</v>
      </c>
      <c r="M32" s="69">
        <f t="shared" si="8"/>
        <v>343.99</v>
      </c>
      <c r="N32" s="69">
        <f t="shared" si="8"/>
        <v>323.31</v>
      </c>
      <c r="O32" s="70">
        <f t="shared" si="8"/>
        <v>3887.2799999999993</v>
      </c>
    </row>
    <row r="33" spans="1:15" x14ac:dyDescent="0.25">
      <c r="A33" s="4" t="s">
        <v>45</v>
      </c>
      <c r="B33" s="5" t="str">
        <f>B4</f>
        <v>Vendor 2 Residuals (BAL)</v>
      </c>
      <c r="C33" s="69">
        <f t="shared" si="8"/>
        <v>368.71</v>
      </c>
      <c r="D33" s="69">
        <f t="shared" si="8"/>
        <v>443.52</v>
      </c>
      <c r="E33" s="69">
        <f t="shared" si="8"/>
        <v>494.39</v>
      </c>
      <c r="F33" s="69">
        <f t="shared" si="8"/>
        <v>415.56</v>
      </c>
      <c r="G33" s="69">
        <f t="shared" si="8"/>
        <v>367.21</v>
      </c>
      <c r="H33" s="69">
        <f t="shared" si="8"/>
        <v>506.45</v>
      </c>
      <c r="I33" s="69">
        <f t="shared" si="8"/>
        <v>408.07</v>
      </c>
      <c r="J33" s="69">
        <f t="shared" si="8"/>
        <v>528.30999999999995</v>
      </c>
      <c r="K33" s="69">
        <f t="shared" si="8"/>
        <v>571.80999999999995</v>
      </c>
      <c r="L33" s="69">
        <f t="shared" si="8"/>
        <v>466.23</v>
      </c>
      <c r="M33" s="69">
        <f t="shared" si="8"/>
        <v>526.78</v>
      </c>
      <c r="N33" s="69">
        <f t="shared" si="8"/>
        <v>487.16</v>
      </c>
      <c r="O33" s="70">
        <f t="shared" si="8"/>
        <v>5584.2</v>
      </c>
    </row>
    <row r="34" spans="1:15" x14ac:dyDescent="0.25">
      <c r="A34" s="4">
        <v>3359</v>
      </c>
      <c r="B34" s="5" t="s">
        <v>17</v>
      </c>
      <c r="C34" s="69">
        <f t="shared" si="8"/>
        <v>2038</v>
      </c>
      <c r="D34" s="69">
        <f t="shared" si="8"/>
        <v>2378</v>
      </c>
      <c r="E34" s="69">
        <f t="shared" si="8"/>
        <v>2951</v>
      </c>
      <c r="F34" s="69">
        <f t="shared" si="8"/>
        <v>4213</v>
      </c>
      <c r="G34" s="69">
        <f t="shared" si="8"/>
        <v>3540</v>
      </c>
      <c r="H34" s="69">
        <f t="shared" si="8"/>
        <v>6248</v>
      </c>
      <c r="I34" s="69">
        <f t="shared" si="8"/>
        <v>3588</v>
      </c>
      <c r="J34" s="69">
        <f t="shared" si="8"/>
        <v>2197</v>
      </c>
      <c r="K34" s="69">
        <f t="shared" si="8"/>
        <v>1824</v>
      </c>
      <c r="L34" s="69">
        <f t="shared" si="8"/>
        <v>1322</v>
      </c>
      <c r="M34" s="69">
        <f t="shared" si="8"/>
        <v>1609</v>
      </c>
      <c r="N34" s="69">
        <f t="shared" si="8"/>
        <v>2408</v>
      </c>
      <c r="O34" s="70">
        <f t="shared" si="8"/>
        <v>34316</v>
      </c>
    </row>
    <row r="35" spans="1:15" x14ac:dyDescent="0.25">
      <c r="A35" s="4" t="s">
        <v>18</v>
      </c>
      <c r="B35" s="5" t="s">
        <v>19</v>
      </c>
      <c r="C35" s="69">
        <f t="shared" si="8"/>
        <v>15</v>
      </c>
      <c r="D35" s="69">
        <f t="shared" si="8"/>
        <v>9</v>
      </c>
      <c r="E35" s="69">
        <f t="shared" si="8"/>
        <v>8</v>
      </c>
      <c r="F35" s="69">
        <f t="shared" si="8"/>
        <v>14</v>
      </c>
      <c r="G35" s="69">
        <f t="shared" si="8"/>
        <v>12</v>
      </c>
      <c r="H35" s="69">
        <f t="shared" si="8"/>
        <v>1</v>
      </c>
      <c r="I35" s="69">
        <f t="shared" si="8"/>
        <v>10</v>
      </c>
      <c r="J35" s="69">
        <f t="shared" si="8"/>
        <v>19</v>
      </c>
      <c r="K35" s="69">
        <f t="shared" si="8"/>
        <v>25</v>
      </c>
      <c r="L35" s="69">
        <f t="shared" si="8"/>
        <v>25</v>
      </c>
      <c r="M35" s="69">
        <f t="shared" si="8"/>
        <v>9</v>
      </c>
      <c r="N35" s="69">
        <f t="shared" si="8"/>
        <v>14</v>
      </c>
      <c r="O35" s="70">
        <f t="shared" si="8"/>
        <v>161</v>
      </c>
    </row>
    <row r="36" spans="1:15" x14ac:dyDescent="0.25">
      <c r="A36" s="4">
        <v>3325</v>
      </c>
      <c r="B36" s="5" t="s">
        <v>20</v>
      </c>
      <c r="C36" s="69">
        <f t="shared" si="8"/>
        <v>858</v>
      </c>
      <c r="D36" s="69">
        <f t="shared" si="8"/>
        <v>531</v>
      </c>
      <c r="E36" s="69">
        <f t="shared" si="8"/>
        <v>336</v>
      </c>
      <c r="F36" s="69">
        <f t="shared" si="8"/>
        <v>464</v>
      </c>
      <c r="G36" s="69">
        <f t="shared" si="8"/>
        <v>603</v>
      </c>
      <c r="H36" s="69">
        <f t="shared" si="8"/>
        <v>857</v>
      </c>
      <c r="I36" s="69">
        <f t="shared" si="8"/>
        <v>693</v>
      </c>
      <c r="J36" s="69">
        <f t="shared" si="8"/>
        <v>463</v>
      </c>
      <c r="K36" s="69">
        <f t="shared" si="8"/>
        <v>557</v>
      </c>
      <c r="L36" s="69">
        <f t="shared" si="8"/>
        <v>474</v>
      </c>
      <c r="M36" s="69">
        <f t="shared" si="8"/>
        <v>642</v>
      </c>
      <c r="N36" s="69">
        <f t="shared" si="8"/>
        <v>889</v>
      </c>
      <c r="O36" s="70">
        <f t="shared" si="8"/>
        <v>7367</v>
      </c>
    </row>
    <row r="37" spans="1:15" x14ac:dyDescent="0.25">
      <c r="A37" s="4" t="s">
        <v>49</v>
      </c>
      <c r="B37" s="5" t="s">
        <v>50</v>
      </c>
      <c r="C37" s="69">
        <f t="shared" si="8"/>
        <v>0</v>
      </c>
      <c r="D37" s="69">
        <f t="shared" si="8"/>
        <v>0</v>
      </c>
      <c r="E37" s="69">
        <f t="shared" si="8"/>
        <v>60.537500000000001</v>
      </c>
      <c r="F37" s="69">
        <f t="shared" si="8"/>
        <v>48.353000000000002</v>
      </c>
      <c r="G37" s="69">
        <f t="shared" si="8"/>
        <v>26.0595</v>
      </c>
      <c r="H37" s="69">
        <f t="shared" si="8"/>
        <v>22.246500000000001</v>
      </c>
      <c r="I37" s="69">
        <f t="shared" si="8"/>
        <v>17.768000000000001</v>
      </c>
      <c r="J37" s="69">
        <f t="shared" si="8"/>
        <v>17.372499999999999</v>
      </c>
      <c r="K37" s="69">
        <f t="shared" si="8"/>
        <v>15.7385</v>
      </c>
      <c r="L37" s="69">
        <f t="shared" si="8"/>
        <v>15</v>
      </c>
      <c r="M37" s="69">
        <f t="shared" si="8"/>
        <v>11.81</v>
      </c>
      <c r="N37" s="69">
        <f t="shared" si="8"/>
        <v>10.56</v>
      </c>
      <c r="O37" s="70">
        <f t="shared" si="8"/>
        <v>245.44549999999998</v>
      </c>
    </row>
    <row r="38" spans="1:15" x14ac:dyDescent="0.25">
      <c r="A38" s="4">
        <v>7178</v>
      </c>
      <c r="B38" s="5" t="s">
        <v>51</v>
      </c>
      <c r="C38" s="69">
        <f t="shared" si="8"/>
        <v>33.08</v>
      </c>
      <c r="D38" s="69">
        <f t="shared" si="8"/>
        <v>9</v>
      </c>
      <c r="E38" s="69">
        <f t="shared" si="8"/>
        <v>24.15</v>
      </c>
      <c r="F38" s="69">
        <f t="shared" si="8"/>
        <v>26.19</v>
      </c>
      <c r="G38" s="69">
        <f t="shared" si="8"/>
        <v>0</v>
      </c>
      <c r="H38" s="69">
        <f t="shared" si="8"/>
        <v>25.58</v>
      </c>
      <c r="I38" s="69">
        <f t="shared" si="8"/>
        <v>17.16</v>
      </c>
      <c r="J38" s="69">
        <f t="shared" si="8"/>
        <v>26.1</v>
      </c>
      <c r="K38" s="69">
        <f t="shared" si="8"/>
        <v>18.489999999999998</v>
      </c>
      <c r="L38" s="69">
        <f t="shared" si="8"/>
        <v>0</v>
      </c>
      <c r="M38" s="69">
        <f t="shared" si="8"/>
        <v>17.18</v>
      </c>
      <c r="N38" s="69">
        <f t="shared" si="8"/>
        <v>0</v>
      </c>
      <c r="O38" s="70">
        <f t="shared" si="8"/>
        <v>196.93</v>
      </c>
    </row>
    <row r="39" spans="1:15" x14ac:dyDescent="0.25">
      <c r="A39" s="4">
        <v>7993</v>
      </c>
      <c r="B39" s="5" t="s">
        <v>26</v>
      </c>
      <c r="C39" s="69">
        <v>34.36</v>
      </c>
      <c r="D39" s="69">
        <v>27.86</v>
      </c>
      <c r="E39" s="69">
        <v>34.35</v>
      </c>
      <c r="F39" s="69">
        <v>34.409999999999997</v>
      </c>
      <c r="G39" s="69">
        <v>31.62</v>
      </c>
      <c r="H39" s="69">
        <v>28.54</v>
      </c>
      <c r="I39" s="69">
        <v>39.5</v>
      </c>
      <c r="J39" s="69">
        <v>59.07</v>
      </c>
      <c r="K39" s="69">
        <v>48.44</v>
      </c>
      <c r="L39" s="69">
        <v>44.06</v>
      </c>
      <c r="M39" s="69">
        <v>42.61</v>
      </c>
      <c r="N39" s="69">
        <v>40.340000000000003</v>
      </c>
      <c r="O39" s="70">
        <f>SUM(C39:N39)</f>
        <v>465.15999999999997</v>
      </c>
    </row>
    <row r="40" spans="1:15" x14ac:dyDescent="0.25">
      <c r="A40" s="4">
        <v>8344</v>
      </c>
      <c r="B40" s="5" t="s">
        <v>54</v>
      </c>
      <c r="C40" s="69">
        <v>116.48</v>
      </c>
      <c r="D40" s="69">
        <v>94.5</v>
      </c>
      <c r="E40" s="69">
        <v>135.1</v>
      </c>
      <c r="F40" s="69">
        <v>120.74</v>
      </c>
      <c r="G40" s="69">
        <v>125.23</v>
      </c>
      <c r="H40" s="69">
        <v>151.63999999999999</v>
      </c>
      <c r="I40" s="69">
        <v>128.35</v>
      </c>
      <c r="J40" s="69">
        <v>150.38999999999999</v>
      </c>
      <c r="K40" s="69">
        <v>187.7</v>
      </c>
      <c r="L40" s="69">
        <v>131.19</v>
      </c>
      <c r="M40" s="69">
        <v>183.75</v>
      </c>
      <c r="N40" s="69">
        <v>115.79</v>
      </c>
      <c r="O40" s="70">
        <f t="shared" ref="O40:O42" si="9">SUM(C40:N40)</f>
        <v>1640.8600000000001</v>
      </c>
    </row>
    <row r="41" spans="1:15" x14ac:dyDescent="0.25">
      <c r="A41" s="4" t="s">
        <v>55</v>
      </c>
      <c r="B41" s="5" t="str">
        <f>[1]FY16!B41</f>
        <v>Total Tons of Brush Collected at the RRC</v>
      </c>
      <c r="C41" s="69">
        <f>'[1]RRC BRUSH'!W2</f>
        <v>71.27</v>
      </c>
      <c r="D41" s="69">
        <f>'[1]RRC BRUSH'!X2</f>
        <v>79.5</v>
      </c>
      <c r="E41" s="69">
        <f>'[1]RRC BRUSH'!Y2</f>
        <v>62.16</v>
      </c>
      <c r="F41" s="69">
        <f>'[1]RRC BRUSH'!Z2</f>
        <v>69.81</v>
      </c>
      <c r="G41" s="69">
        <f>'[1]RRC BRUSH'!AA2</f>
        <v>73.11</v>
      </c>
      <c r="H41" s="69">
        <f>'[1]RRC BRUSH'!AB2</f>
        <v>151</v>
      </c>
      <c r="I41" s="69">
        <f>'[1]RRC BRUSH'!AC2</f>
        <v>127.35</v>
      </c>
      <c r="J41" s="69">
        <f>'[1]RRC BRUSH'!AD2</f>
        <v>105.97</v>
      </c>
      <c r="K41" s="69">
        <f>'[1]RRC BRUSH'!AE2</f>
        <v>88.78</v>
      </c>
      <c r="L41" s="69">
        <f>'[1]RRC BRUSH'!AF2</f>
        <v>94.91</v>
      </c>
      <c r="M41" s="69">
        <f>'[1]RRC BRUSH'!AG2</f>
        <v>118.03</v>
      </c>
      <c r="N41" s="69">
        <f>'[1]RRC BRUSH'!AH2</f>
        <v>99.76</v>
      </c>
      <c r="O41" s="70">
        <f>SUM(C41:N41)</f>
        <v>1141.6500000000001</v>
      </c>
    </row>
    <row r="42" spans="1:15" x14ac:dyDescent="0.25">
      <c r="A42" t="s">
        <v>56</v>
      </c>
      <c r="B42" s="61" t="s">
        <v>57</v>
      </c>
      <c r="C42" s="76">
        <f>10310/2000</f>
        <v>5.1550000000000002</v>
      </c>
      <c r="D42" s="76">
        <f>17150/2000</f>
        <v>8.5749999999999993</v>
      </c>
      <c r="E42" s="76">
        <f>7320/2000</f>
        <v>3.66</v>
      </c>
      <c r="F42" s="76">
        <f>9120/2000</f>
        <v>4.5599999999999996</v>
      </c>
      <c r="G42" s="76">
        <f>7940/2000</f>
        <v>3.97</v>
      </c>
      <c r="H42" s="76">
        <f>6600/2000</f>
        <v>3.3</v>
      </c>
      <c r="I42" s="76">
        <f>7360/2000</f>
        <v>3.68</v>
      </c>
      <c r="J42" s="76">
        <f>7020/2000</f>
        <v>3.51</v>
      </c>
      <c r="K42" s="76">
        <f>6920/2000</f>
        <v>3.46</v>
      </c>
      <c r="L42" s="76">
        <f>6800/2000</f>
        <v>3.4</v>
      </c>
      <c r="M42" s="76">
        <f>6340/2000</f>
        <v>3.17</v>
      </c>
      <c r="N42" s="76">
        <f>10060/2000</f>
        <v>5.03</v>
      </c>
      <c r="O42" s="70">
        <f t="shared" si="9"/>
        <v>51.47</v>
      </c>
    </row>
    <row r="43" spans="1:15" x14ac:dyDescent="0.25">
      <c r="A43" s="116" t="s">
        <v>21</v>
      </c>
      <c r="B43" s="117"/>
      <c r="C43" s="71">
        <f>SUM(C31,C34:C42)-SUM(C32:C33)</f>
        <v>6923.6149999999998</v>
      </c>
      <c r="D43" s="71">
        <f t="shared" ref="D43:N43" si="10">SUM(D31,D34:D42)-SUM(D32:D33)</f>
        <v>7365.915</v>
      </c>
      <c r="E43" s="71">
        <f t="shared" si="10"/>
        <v>7939.0975000000017</v>
      </c>
      <c r="F43" s="71">
        <f t="shared" si="10"/>
        <v>9653.9629999999979</v>
      </c>
      <c r="G43" s="71">
        <f t="shared" si="10"/>
        <v>8268.6294999999991</v>
      </c>
      <c r="H43" s="71">
        <f t="shared" si="10"/>
        <v>11846.036499999998</v>
      </c>
      <c r="I43" s="71">
        <f t="shared" si="10"/>
        <v>8466.1080000000002</v>
      </c>
      <c r="J43" s="71">
        <f t="shared" si="10"/>
        <v>7232.5225000000019</v>
      </c>
      <c r="K43" s="71">
        <f t="shared" si="10"/>
        <v>6892.4084999999995</v>
      </c>
      <c r="L43" s="71">
        <f t="shared" si="10"/>
        <v>5882.91</v>
      </c>
      <c r="M43" s="71">
        <f t="shared" si="10"/>
        <v>6845.2950000000001</v>
      </c>
      <c r="N43" s="71">
        <f t="shared" si="10"/>
        <v>7502.1280000000015</v>
      </c>
      <c r="O43" s="72">
        <f>SUM(O31,O34:O42)-SUM(O32:O33)</f>
        <v>94818.628500000021</v>
      </c>
    </row>
    <row r="44" spans="1:15" x14ac:dyDescent="0.25">
      <c r="A44" s="4">
        <v>3351</v>
      </c>
      <c r="B44" s="5" t="str">
        <f>B31</f>
        <v>Tons of curbside recycling</v>
      </c>
      <c r="C44" s="69">
        <f>C18</f>
        <v>4498.97</v>
      </c>
      <c r="D44" s="69">
        <f t="shared" ref="D44:O44" si="11">D18</f>
        <v>4986.1000000000004</v>
      </c>
      <c r="E44" s="69">
        <f t="shared" si="11"/>
        <v>5099.45</v>
      </c>
      <c r="F44" s="69">
        <f t="shared" si="11"/>
        <v>5497.77</v>
      </c>
      <c r="G44" s="69">
        <f t="shared" si="11"/>
        <v>4546.83</v>
      </c>
      <c r="H44" s="69">
        <f t="shared" si="11"/>
        <v>5138.83</v>
      </c>
      <c r="I44" s="69">
        <f t="shared" si="11"/>
        <v>4528.6899999999996</v>
      </c>
      <c r="J44" s="69">
        <f t="shared" si="11"/>
        <v>5058.93</v>
      </c>
      <c r="K44" s="69">
        <f t="shared" si="11"/>
        <v>4986.2700000000004</v>
      </c>
      <c r="L44" s="69">
        <f t="shared" si="11"/>
        <v>4553.12</v>
      </c>
      <c r="M44" s="69">
        <f t="shared" si="11"/>
        <v>5079.5150000000003</v>
      </c>
      <c r="N44" s="69">
        <f t="shared" si="11"/>
        <v>4730.1180000000004</v>
      </c>
      <c r="O44" s="70">
        <f t="shared" si="11"/>
        <v>58704.593000000015</v>
      </c>
    </row>
    <row r="45" spans="1:15" x14ac:dyDescent="0.25">
      <c r="A45" s="4">
        <v>3359</v>
      </c>
      <c r="B45" s="5" t="str">
        <f>B34</f>
        <v xml:space="preserve">Tons of Curbside Yard Trimmings </v>
      </c>
      <c r="C45" s="69">
        <f t="shared" ref="C45:O51" si="12">C19</f>
        <v>2038</v>
      </c>
      <c r="D45" s="69">
        <f t="shared" si="12"/>
        <v>2378</v>
      </c>
      <c r="E45" s="69">
        <f t="shared" si="12"/>
        <v>2951</v>
      </c>
      <c r="F45" s="69">
        <f t="shared" si="12"/>
        <v>4213</v>
      </c>
      <c r="G45" s="69">
        <f t="shared" si="12"/>
        <v>3540</v>
      </c>
      <c r="H45" s="69">
        <f t="shared" si="12"/>
        <v>6248</v>
      </c>
      <c r="I45" s="69">
        <f t="shared" si="12"/>
        <v>3588</v>
      </c>
      <c r="J45" s="69">
        <f t="shared" si="12"/>
        <v>2197</v>
      </c>
      <c r="K45" s="69">
        <f t="shared" si="12"/>
        <v>1824</v>
      </c>
      <c r="L45" s="69">
        <f t="shared" si="12"/>
        <v>1322</v>
      </c>
      <c r="M45" s="69">
        <f t="shared" si="12"/>
        <v>1609</v>
      </c>
      <c r="N45" s="69">
        <f t="shared" si="12"/>
        <v>2408</v>
      </c>
      <c r="O45" s="70">
        <f t="shared" si="12"/>
        <v>34316</v>
      </c>
    </row>
    <row r="46" spans="1:15" x14ac:dyDescent="0.25">
      <c r="A46" s="4" t="s">
        <v>18</v>
      </c>
      <c r="B46" s="5" t="str">
        <f>B35</f>
        <v>Tons of Curbside Bulk Recycled</v>
      </c>
      <c r="C46" s="69">
        <f t="shared" si="12"/>
        <v>15</v>
      </c>
      <c r="D46" s="69">
        <f t="shared" si="12"/>
        <v>9</v>
      </c>
      <c r="E46" s="69">
        <f t="shared" si="12"/>
        <v>8</v>
      </c>
      <c r="F46" s="69">
        <f t="shared" si="12"/>
        <v>14</v>
      </c>
      <c r="G46" s="69">
        <f t="shared" si="12"/>
        <v>12</v>
      </c>
      <c r="H46" s="69">
        <f t="shared" si="12"/>
        <v>1</v>
      </c>
      <c r="I46" s="69">
        <f t="shared" si="12"/>
        <v>10</v>
      </c>
      <c r="J46" s="69">
        <f t="shared" si="12"/>
        <v>19</v>
      </c>
      <c r="K46" s="69">
        <f t="shared" si="12"/>
        <v>25</v>
      </c>
      <c r="L46" s="69">
        <f t="shared" si="12"/>
        <v>25</v>
      </c>
      <c r="M46" s="69">
        <f t="shared" si="12"/>
        <v>9</v>
      </c>
      <c r="N46" s="69">
        <f t="shared" si="12"/>
        <v>14</v>
      </c>
      <c r="O46" s="70">
        <f t="shared" si="12"/>
        <v>161</v>
      </c>
    </row>
    <row r="47" spans="1:15" x14ac:dyDescent="0.25">
      <c r="A47" s="4">
        <v>3325</v>
      </c>
      <c r="B47" s="5" t="str">
        <f>B36</f>
        <v>Tons of Curbside Brush Collected</v>
      </c>
      <c r="C47" s="69">
        <f t="shared" si="12"/>
        <v>858</v>
      </c>
      <c r="D47" s="69">
        <f t="shared" si="12"/>
        <v>531</v>
      </c>
      <c r="E47" s="69">
        <f t="shared" si="12"/>
        <v>336</v>
      </c>
      <c r="F47" s="69">
        <f t="shared" si="12"/>
        <v>464</v>
      </c>
      <c r="G47" s="69">
        <f t="shared" si="12"/>
        <v>603</v>
      </c>
      <c r="H47" s="69">
        <f t="shared" si="12"/>
        <v>857</v>
      </c>
      <c r="I47" s="69">
        <f t="shared" si="12"/>
        <v>693</v>
      </c>
      <c r="J47" s="69">
        <f t="shared" si="12"/>
        <v>463</v>
      </c>
      <c r="K47" s="69">
        <f t="shared" si="12"/>
        <v>557</v>
      </c>
      <c r="L47" s="69">
        <f t="shared" si="12"/>
        <v>474</v>
      </c>
      <c r="M47" s="69">
        <f t="shared" si="12"/>
        <v>642</v>
      </c>
      <c r="N47" s="69">
        <f t="shared" si="12"/>
        <v>889</v>
      </c>
      <c r="O47" s="70">
        <f t="shared" si="12"/>
        <v>7367</v>
      </c>
    </row>
    <row r="48" spans="1:15" x14ac:dyDescent="0.25">
      <c r="A48" s="4" t="s">
        <v>49</v>
      </c>
      <c r="B48" s="5" t="str">
        <f>B37</f>
        <v>Tons of Curbside Textiles Collected</v>
      </c>
      <c r="C48" s="69">
        <f t="shared" si="12"/>
        <v>0</v>
      </c>
      <c r="D48" s="69">
        <f t="shared" si="12"/>
        <v>0</v>
      </c>
      <c r="E48" s="69">
        <f t="shared" si="12"/>
        <v>60.537500000000001</v>
      </c>
      <c r="F48" s="69">
        <f t="shared" si="12"/>
        <v>48.353000000000002</v>
      </c>
      <c r="G48" s="69">
        <f t="shared" si="12"/>
        <v>26.0595</v>
      </c>
      <c r="H48" s="69">
        <f t="shared" si="12"/>
        <v>22.246500000000001</v>
      </c>
      <c r="I48" s="69">
        <f t="shared" si="12"/>
        <v>17.768000000000001</v>
      </c>
      <c r="J48" s="69">
        <f t="shared" si="12"/>
        <v>17.372499999999999</v>
      </c>
      <c r="K48" s="69">
        <f t="shared" si="12"/>
        <v>15.7385</v>
      </c>
      <c r="L48" s="69">
        <f t="shared" si="12"/>
        <v>15</v>
      </c>
      <c r="M48" s="69">
        <f t="shared" si="12"/>
        <v>11.81</v>
      </c>
      <c r="N48" s="69">
        <f t="shared" si="12"/>
        <v>10.56</v>
      </c>
      <c r="O48" s="70">
        <f t="shared" si="12"/>
        <v>245.44549999999998</v>
      </c>
    </row>
    <row r="49" spans="1:15" x14ac:dyDescent="0.25">
      <c r="A49" s="4">
        <v>7178</v>
      </c>
      <c r="B49" s="5" t="str">
        <f>B38</f>
        <v>Tons of carts recycled</v>
      </c>
      <c r="C49" s="69">
        <f t="shared" si="12"/>
        <v>33.08</v>
      </c>
      <c r="D49" s="69">
        <f t="shared" si="12"/>
        <v>9</v>
      </c>
      <c r="E49" s="69">
        <f t="shared" si="12"/>
        <v>24.15</v>
      </c>
      <c r="F49" s="69">
        <f t="shared" si="12"/>
        <v>26.19</v>
      </c>
      <c r="G49" s="69">
        <f t="shared" si="12"/>
        <v>0</v>
      </c>
      <c r="H49" s="69">
        <f t="shared" si="12"/>
        <v>25.58</v>
      </c>
      <c r="I49" s="69">
        <f t="shared" si="12"/>
        <v>17.16</v>
      </c>
      <c r="J49" s="69">
        <f t="shared" si="12"/>
        <v>26.1</v>
      </c>
      <c r="K49" s="69">
        <f t="shared" si="12"/>
        <v>18.489999999999998</v>
      </c>
      <c r="L49" s="69">
        <f t="shared" si="12"/>
        <v>0</v>
      </c>
      <c r="M49" s="69">
        <f t="shared" si="12"/>
        <v>17.18</v>
      </c>
      <c r="N49" s="69">
        <f t="shared" si="12"/>
        <v>0</v>
      </c>
      <c r="O49" s="70">
        <f t="shared" si="12"/>
        <v>196.93</v>
      </c>
    </row>
    <row r="50" spans="1:15" x14ac:dyDescent="0.25">
      <c r="A50" s="4">
        <v>3338</v>
      </c>
      <c r="B50" s="5" t="s">
        <v>22</v>
      </c>
      <c r="C50" s="69">
        <f t="shared" si="12"/>
        <v>10105</v>
      </c>
      <c r="D50" s="69">
        <f t="shared" si="12"/>
        <v>11365</v>
      </c>
      <c r="E50" s="69">
        <f t="shared" si="12"/>
        <v>10847</v>
      </c>
      <c r="F50" s="69">
        <f t="shared" si="12"/>
        <v>11773</v>
      </c>
      <c r="G50" s="69">
        <f t="shared" si="12"/>
        <v>10143</v>
      </c>
      <c r="H50" s="69">
        <f t="shared" si="12"/>
        <v>11841</v>
      </c>
      <c r="I50" s="69">
        <f t="shared" si="12"/>
        <v>10515</v>
      </c>
      <c r="J50" s="69">
        <f t="shared" si="12"/>
        <v>11228</v>
      </c>
      <c r="K50" s="69">
        <f t="shared" si="12"/>
        <v>11481</v>
      </c>
      <c r="L50" s="69">
        <f t="shared" si="12"/>
        <v>10565</v>
      </c>
      <c r="M50" s="69">
        <f t="shared" si="12"/>
        <v>11636</v>
      </c>
      <c r="N50" s="69">
        <f t="shared" si="12"/>
        <v>10316</v>
      </c>
      <c r="O50" s="70">
        <f t="shared" si="12"/>
        <v>131815</v>
      </c>
    </row>
    <row r="51" spans="1:15" x14ac:dyDescent="0.25">
      <c r="A51" s="4" t="s">
        <v>23</v>
      </c>
      <c r="B51" s="5" t="s">
        <v>24</v>
      </c>
      <c r="C51" s="69">
        <f t="shared" si="12"/>
        <v>1061</v>
      </c>
      <c r="D51" s="69">
        <f t="shared" si="12"/>
        <v>614</v>
      </c>
      <c r="E51" s="69">
        <f t="shared" si="12"/>
        <v>565</v>
      </c>
      <c r="F51" s="69">
        <f t="shared" si="12"/>
        <v>820</v>
      </c>
      <c r="G51" s="69">
        <f t="shared" si="12"/>
        <v>1023</v>
      </c>
      <c r="H51" s="69">
        <f t="shared" si="12"/>
        <v>219</v>
      </c>
      <c r="I51" s="69">
        <f t="shared" si="12"/>
        <v>672</v>
      </c>
      <c r="J51" s="69">
        <f t="shared" si="12"/>
        <v>1224</v>
      </c>
      <c r="K51" s="69">
        <f t="shared" si="12"/>
        <v>1350</v>
      </c>
      <c r="L51" s="69">
        <f t="shared" si="12"/>
        <v>1256</v>
      </c>
      <c r="M51" s="69">
        <f t="shared" si="12"/>
        <v>1197</v>
      </c>
      <c r="N51" s="69">
        <f t="shared" si="12"/>
        <v>1178</v>
      </c>
      <c r="O51" s="70">
        <f t="shared" si="12"/>
        <v>11179</v>
      </c>
    </row>
    <row r="52" spans="1:15" x14ac:dyDescent="0.25">
      <c r="A52" s="4">
        <v>8344</v>
      </c>
      <c r="B52" s="5" t="str">
        <f>B40</f>
        <v>RRC recycling tons</v>
      </c>
      <c r="C52" s="61">
        <f t="shared" ref="C52:O52" si="13">C40</f>
        <v>116.48</v>
      </c>
      <c r="D52" s="61">
        <f t="shared" si="13"/>
        <v>94.5</v>
      </c>
      <c r="E52" s="61">
        <f t="shared" si="13"/>
        <v>135.1</v>
      </c>
      <c r="F52" s="61">
        <f t="shared" si="13"/>
        <v>120.74</v>
      </c>
      <c r="G52" s="61">
        <f t="shared" si="13"/>
        <v>125.23</v>
      </c>
      <c r="H52" s="61">
        <f t="shared" si="13"/>
        <v>151.63999999999999</v>
      </c>
      <c r="I52" s="61">
        <f t="shared" si="13"/>
        <v>128.35</v>
      </c>
      <c r="J52" s="61">
        <f t="shared" si="13"/>
        <v>150.38999999999999</v>
      </c>
      <c r="K52" s="61">
        <f t="shared" si="13"/>
        <v>187.7</v>
      </c>
      <c r="L52" s="61">
        <f t="shared" si="13"/>
        <v>131.19</v>
      </c>
      <c r="M52" s="61">
        <f t="shared" si="13"/>
        <v>183.75</v>
      </c>
      <c r="N52" s="61">
        <f t="shared" si="13"/>
        <v>115.79</v>
      </c>
      <c r="O52" s="62">
        <f t="shared" si="13"/>
        <v>1640.8600000000001</v>
      </c>
    </row>
    <row r="53" spans="1:15" x14ac:dyDescent="0.25">
      <c r="A53" s="4">
        <v>3384</v>
      </c>
      <c r="B53" s="5" t="s">
        <v>58</v>
      </c>
      <c r="C53" s="69">
        <v>4</v>
      </c>
      <c r="D53" s="69">
        <v>4</v>
      </c>
      <c r="E53" s="69">
        <v>4</v>
      </c>
      <c r="F53" s="69">
        <v>3</v>
      </c>
      <c r="G53" s="69">
        <v>4</v>
      </c>
      <c r="H53" s="69">
        <v>3</v>
      </c>
      <c r="I53" s="69">
        <v>4</v>
      </c>
      <c r="J53" s="69">
        <v>5</v>
      </c>
      <c r="K53" s="69">
        <v>3</v>
      </c>
      <c r="L53" s="69">
        <v>4</v>
      </c>
      <c r="M53" s="69">
        <v>3</v>
      </c>
      <c r="N53" s="69">
        <v>3</v>
      </c>
      <c r="O53" s="70">
        <f t="shared" ref="O53:O56" si="14">SUM(C53:N53)</f>
        <v>44</v>
      </c>
    </row>
    <row r="54" spans="1:15" x14ac:dyDescent="0.25">
      <c r="A54" s="4">
        <v>7992</v>
      </c>
      <c r="B54" s="5" t="s">
        <v>59</v>
      </c>
      <c r="C54" s="69">
        <v>69.2</v>
      </c>
      <c r="D54" s="69">
        <v>51.9</v>
      </c>
      <c r="E54" s="69">
        <v>74.900000000000006</v>
      </c>
      <c r="F54" s="69">
        <v>69.209999999999994</v>
      </c>
      <c r="G54" s="69">
        <v>70.63</v>
      </c>
      <c r="H54" s="69">
        <v>75.12</v>
      </c>
      <c r="I54" s="69">
        <v>81.23</v>
      </c>
      <c r="J54" s="69">
        <v>100.66</v>
      </c>
      <c r="K54" s="69">
        <v>95.99</v>
      </c>
      <c r="L54" s="69">
        <v>86.23</v>
      </c>
      <c r="M54" s="69">
        <v>81.36</v>
      </c>
      <c r="N54" s="69">
        <v>79.72</v>
      </c>
      <c r="O54" s="70">
        <f t="shared" si="14"/>
        <v>936.15000000000009</v>
      </c>
    </row>
    <row r="55" spans="1:15" x14ac:dyDescent="0.25">
      <c r="A55" s="4">
        <v>3385</v>
      </c>
      <c r="B55" s="5" t="s">
        <v>60</v>
      </c>
      <c r="C55" s="69">
        <v>50</v>
      </c>
      <c r="D55" s="69">
        <v>60</v>
      </c>
      <c r="E55" s="69">
        <v>24</v>
      </c>
      <c r="F55" s="69">
        <v>33</v>
      </c>
      <c r="G55" s="69">
        <v>33</v>
      </c>
      <c r="H55" s="69">
        <v>28</v>
      </c>
      <c r="I55" s="69">
        <v>36</v>
      </c>
      <c r="J55" s="69">
        <v>22</v>
      </c>
      <c r="K55" s="69">
        <v>31</v>
      </c>
      <c r="L55" s="69">
        <v>25</v>
      </c>
      <c r="M55" s="69">
        <v>22</v>
      </c>
      <c r="N55" s="69">
        <v>30</v>
      </c>
      <c r="O55" s="70">
        <f t="shared" si="14"/>
        <v>394</v>
      </c>
    </row>
    <row r="56" spans="1:15" x14ac:dyDescent="0.25">
      <c r="A56" s="4">
        <v>7156</v>
      </c>
      <c r="B56" s="5" t="s">
        <v>61</v>
      </c>
      <c r="C56" s="69">
        <v>557</v>
      </c>
      <c r="D56" s="69">
        <v>326</v>
      </c>
      <c r="E56" s="69">
        <v>362</v>
      </c>
      <c r="F56" s="69">
        <v>407</v>
      </c>
      <c r="G56" s="69">
        <v>298</v>
      </c>
      <c r="H56" s="69">
        <v>304</v>
      </c>
      <c r="I56" s="69">
        <v>492</v>
      </c>
      <c r="J56" s="69">
        <v>405</v>
      </c>
      <c r="K56" s="69">
        <v>409</v>
      </c>
      <c r="L56" s="69">
        <v>304</v>
      </c>
      <c r="M56" s="69">
        <v>443</v>
      </c>
      <c r="N56" s="69">
        <v>103</v>
      </c>
      <c r="O56" s="70">
        <f t="shared" si="14"/>
        <v>4410</v>
      </c>
    </row>
    <row r="57" spans="1:15" x14ac:dyDescent="0.25">
      <c r="A57" s="4" t="s">
        <v>55</v>
      </c>
      <c r="B57" s="5" t="str">
        <f>B41</f>
        <v>Total Tons of Brush Collected at the RRC</v>
      </c>
      <c r="C57" s="61">
        <f t="shared" ref="C57:O57" si="15">C41</f>
        <v>71.27</v>
      </c>
      <c r="D57" s="61">
        <f t="shared" si="15"/>
        <v>79.5</v>
      </c>
      <c r="E57" s="61">
        <f t="shared" si="15"/>
        <v>62.16</v>
      </c>
      <c r="F57" s="61">
        <f t="shared" si="15"/>
        <v>69.81</v>
      </c>
      <c r="G57" s="61">
        <f t="shared" si="15"/>
        <v>73.11</v>
      </c>
      <c r="H57" s="61">
        <f t="shared" si="15"/>
        <v>151</v>
      </c>
      <c r="I57" s="61">
        <f t="shared" si="15"/>
        <v>127.35</v>
      </c>
      <c r="J57" s="61">
        <f t="shared" si="15"/>
        <v>105.97</v>
      </c>
      <c r="K57" s="61">
        <f t="shared" si="15"/>
        <v>88.78</v>
      </c>
      <c r="L57" s="61">
        <f t="shared" si="15"/>
        <v>94.91</v>
      </c>
      <c r="M57" s="61">
        <f t="shared" si="15"/>
        <v>118.03</v>
      </c>
      <c r="N57" s="61">
        <f t="shared" si="15"/>
        <v>99.76</v>
      </c>
      <c r="O57" s="62">
        <f t="shared" si="15"/>
        <v>1141.6500000000001</v>
      </c>
    </row>
    <row r="58" spans="1:15" x14ac:dyDescent="0.25">
      <c r="A58" s="116" t="s">
        <v>25</v>
      </c>
      <c r="B58" s="117"/>
      <c r="C58" s="71">
        <f>SUM(C44:C57)</f>
        <v>19477</v>
      </c>
      <c r="D58" s="71">
        <f t="shared" ref="D58:N58" si="16">SUM(D44:D57)</f>
        <v>20508</v>
      </c>
      <c r="E58" s="71">
        <f t="shared" si="16"/>
        <v>20553.297500000001</v>
      </c>
      <c r="F58" s="71">
        <f t="shared" si="16"/>
        <v>23559.073000000004</v>
      </c>
      <c r="G58" s="71">
        <f t="shared" si="16"/>
        <v>20497.859499999999</v>
      </c>
      <c r="H58" s="71">
        <f t="shared" si="16"/>
        <v>25065.416499999996</v>
      </c>
      <c r="I58" s="71">
        <f t="shared" si="16"/>
        <v>20910.547999999995</v>
      </c>
      <c r="J58" s="71">
        <f t="shared" si="16"/>
        <v>21022.422500000001</v>
      </c>
      <c r="K58" s="71">
        <f t="shared" si="16"/>
        <v>21072.968500000003</v>
      </c>
      <c r="L58" s="71">
        <f t="shared" si="16"/>
        <v>18855.449999999997</v>
      </c>
      <c r="M58" s="71">
        <f t="shared" si="16"/>
        <v>21052.645</v>
      </c>
      <c r="N58" s="71">
        <f t="shared" si="16"/>
        <v>19976.948</v>
      </c>
      <c r="O58" s="72">
        <f>SUM(O44:O57)</f>
        <v>252551.62849999999</v>
      </c>
    </row>
    <row r="59" spans="1:15" x14ac:dyDescent="0.25">
      <c r="A59" s="4"/>
      <c r="B59" s="5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73"/>
    </row>
    <row r="60" spans="1:15" ht="15.75" thickBot="1" x14ac:dyDescent="0.3">
      <c r="A60" s="15">
        <v>9110</v>
      </c>
      <c r="B60" s="16" t="s">
        <v>41</v>
      </c>
      <c r="C60" s="74">
        <f>+C43/C58</f>
        <v>0.3554764594136674</v>
      </c>
      <c r="D60" s="74">
        <f t="shared" ref="D60:N60" si="17">+D43/D58</f>
        <v>0.35917276184903452</v>
      </c>
      <c r="E60" s="74">
        <f t="shared" si="17"/>
        <v>0.3862687970142018</v>
      </c>
      <c r="F60" s="74">
        <f t="shared" si="17"/>
        <v>0.40977686176361849</v>
      </c>
      <c r="G60" s="74">
        <f t="shared" si="17"/>
        <v>0.40338990029666266</v>
      </c>
      <c r="H60" s="74">
        <f t="shared" si="17"/>
        <v>0.47260481388769265</v>
      </c>
      <c r="I60" s="74">
        <f t="shared" si="17"/>
        <v>0.40487260305181871</v>
      </c>
      <c r="J60" s="74">
        <f t="shared" si="17"/>
        <v>0.34403849033097883</v>
      </c>
      <c r="K60" s="74">
        <f t="shared" si="17"/>
        <v>0.32707344957118872</v>
      </c>
      <c r="L60" s="74">
        <f t="shared" si="17"/>
        <v>0.3120005091366157</v>
      </c>
      <c r="M60" s="74">
        <f t="shared" si="17"/>
        <v>0.32515130521604291</v>
      </c>
      <c r="N60" s="74">
        <f t="shared" si="17"/>
        <v>0.37553924653555693</v>
      </c>
      <c r="O60" s="75">
        <f>+O43/O58</f>
        <v>0.37544255431320661</v>
      </c>
    </row>
  </sheetData>
  <mergeCells count="7">
    <mergeCell ref="A58:B58"/>
    <mergeCell ref="A1:O1"/>
    <mergeCell ref="A8:O8"/>
    <mergeCell ref="A17:B17"/>
    <mergeCell ref="A26:B26"/>
    <mergeCell ref="A30:O30"/>
    <mergeCell ref="A43:B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60"/>
  <sheetViews>
    <sheetView workbookViewId="0">
      <selection sqref="A1:O1"/>
    </sheetView>
  </sheetViews>
  <sheetFormatPr defaultRowHeight="15" x14ac:dyDescent="0.25"/>
  <cols>
    <col min="1" max="1" width="23.7109375" bestFit="1" customWidth="1"/>
    <col min="2" max="2" width="39.42578125" bestFit="1" customWidth="1"/>
    <col min="3" max="14" width="10.5703125" customWidth="1"/>
    <col min="15" max="15" width="11.5703125" bestFit="1" customWidth="1"/>
  </cols>
  <sheetData>
    <row r="1" spans="1:15" ht="15.75" thickBot="1" x14ac:dyDescent="0.3">
      <c r="A1" s="113" t="s">
        <v>27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</row>
    <row r="2" spans="1:15" ht="15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</row>
    <row r="3" spans="1:15" x14ac:dyDescent="0.25">
      <c r="A3" s="53" t="s">
        <v>43</v>
      </c>
      <c r="B3" s="54" t="s">
        <v>44</v>
      </c>
      <c r="C3" s="54">
        <v>291.76</v>
      </c>
      <c r="D3" s="54">
        <v>363.77</v>
      </c>
      <c r="E3" s="54">
        <v>369.22</v>
      </c>
      <c r="F3" s="54">
        <v>339.05</v>
      </c>
      <c r="G3" s="54">
        <v>340.65</v>
      </c>
      <c r="H3" s="54">
        <v>330.96</v>
      </c>
      <c r="I3" s="54">
        <v>341.11</v>
      </c>
      <c r="J3" s="54">
        <v>432.26</v>
      </c>
      <c r="K3" s="54">
        <v>349.38</v>
      </c>
      <c r="L3" s="54">
        <v>323.27</v>
      </c>
      <c r="M3" s="54">
        <v>434.37</v>
      </c>
      <c r="N3" s="54">
        <v>337.35</v>
      </c>
      <c r="O3" s="77">
        <f>SUM(C3:N3)</f>
        <v>4253.1499999999996</v>
      </c>
    </row>
    <row r="4" spans="1:15" x14ac:dyDescent="0.25">
      <c r="A4" s="57" t="s">
        <v>45</v>
      </c>
      <c r="B4" s="58" t="s">
        <v>46</v>
      </c>
      <c r="C4" s="58">
        <v>464.42</v>
      </c>
      <c r="D4" s="58">
        <v>424.66</v>
      </c>
      <c r="E4" s="58">
        <v>522.55999999999995</v>
      </c>
      <c r="F4" s="58">
        <v>475.37</v>
      </c>
      <c r="G4" s="58">
        <v>394.82</v>
      </c>
      <c r="H4" s="58">
        <v>482.4</v>
      </c>
      <c r="I4" s="58">
        <v>427.2</v>
      </c>
      <c r="J4" s="58">
        <f>288+112.74</f>
        <v>400.74</v>
      </c>
      <c r="K4" s="58">
        <f>288+144+30.83</f>
        <v>462.83</v>
      </c>
      <c r="L4" s="58">
        <f>288+110</f>
        <v>398</v>
      </c>
      <c r="M4" s="58">
        <f>288+126.07</f>
        <v>414.07</v>
      </c>
      <c r="N4" s="58">
        <f>288+144+3.59</f>
        <v>435.59</v>
      </c>
      <c r="O4" s="78">
        <f>SUM(C4:N4)</f>
        <v>5302.66</v>
      </c>
    </row>
    <row r="5" spans="1:15" s="82" customFormat="1" ht="6.75" customHeight="1" x14ac:dyDescent="0.25">
      <c r="A5" s="79"/>
      <c r="B5" s="80"/>
      <c r="C5" s="80">
        <f>1700.1+3021.57</f>
        <v>4721.67</v>
      </c>
      <c r="D5" s="80">
        <f>2119.75+2762.91</f>
        <v>4882.66</v>
      </c>
      <c r="E5" s="80">
        <f>2151.52+3399.88</f>
        <v>5551.4</v>
      </c>
      <c r="F5" s="80">
        <f>1975.7+3092.83</f>
        <v>5068.53</v>
      </c>
      <c r="G5" s="80">
        <f>1985.04+2568.78</f>
        <v>4553.82</v>
      </c>
      <c r="H5" s="80">
        <f>1928.56+3138.57</f>
        <v>5067.13</v>
      </c>
      <c r="I5" s="80">
        <f>1749.32+2966.68</f>
        <v>4716</v>
      </c>
      <c r="J5" s="80">
        <f>2216.75+2782.93</f>
        <v>4999.68</v>
      </c>
      <c r="K5" s="80">
        <f>1791.73+3214.07</f>
        <v>5005.8</v>
      </c>
      <c r="L5" s="80">
        <f>1657.84+2763.85</f>
        <v>4421.6899999999996</v>
      </c>
      <c r="M5" s="80">
        <f>2227.6+2875.47</f>
        <v>5103.07</v>
      </c>
      <c r="N5" s="80">
        <f>1730.02+3024.92</f>
        <v>4754.9400000000005</v>
      </c>
      <c r="O5" s="81">
        <f>SUM(C5:N5)</f>
        <v>58846.390000000007</v>
      </c>
    </row>
    <row r="6" spans="1:15" ht="15.75" thickBot="1" x14ac:dyDescent="0.3">
      <c r="A6" s="63"/>
      <c r="B6" s="64" t="s">
        <v>47</v>
      </c>
      <c r="C6" s="83">
        <f>+(C3+C4)/C5</f>
        <v>0.16015096353620648</v>
      </c>
      <c r="D6" s="83">
        <f>+(D3+D4)/D5</f>
        <v>0.16147550720304099</v>
      </c>
      <c r="E6" s="83">
        <f t="shared" ref="E6:O6" si="0">+(E3+E4)/E5</f>
        <v>0.16064055913823541</v>
      </c>
      <c r="F6" s="83">
        <f t="shared" si="0"/>
        <v>0.16068169666550264</v>
      </c>
      <c r="G6" s="83">
        <f t="shared" si="0"/>
        <v>0.16150616405567195</v>
      </c>
      <c r="H6" s="83">
        <f t="shared" si="0"/>
        <v>0.16051690009926722</v>
      </c>
      <c r="I6" s="83">
        <f t="shared" si="0"/>
        <v>0.16291560644614078</v>
      </c>
      <c r="J6" s="83">
        <f t="shared" si="0"/>
        <v>0.16661066308243727</v>
      </c>
      <c r="K6" s="83">
        <f t="shared" si="0"/>
        <v>0.16225378560869391</v>
      </c>
      <c r="L6" s="83">
        <f t="shared" si="0"/>
        <v>0.163120888167194</v>
      </c>
      <c r="M6" s="83">
        <f t="shared" si="0"/>
        <v>0.16626070189121453</v>
      </c>
      <c r="N6" s="83">
        <f t="shared" si="0"/>
        <v>0.16255515316702207</v>
      </c>
      <c r="O6" s="84">
        <f t="shared" si="0"/>
        <v>0.16238566206015353</v>
      </c>
    </row>
    <row r="7" spans="1:15" ht="16.5" thickTop="1" thickBot="1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85"/>
    </row>
    <row r="8" spans="1:15" ht="15.75" thickBot="1" x14ac:dyDescent="0.3">
      <c r="A8" s="110" t="s">
        <v>48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1:15" x14ac:dyDescent="0.25">
      <c r="A9" s="6">
        <v>3351</v>
      </c>
      <c r="B9" s="7" t="s">
        <v>16</v>
      </c>
      <c r="C9" s="8">
        <v>4723</v>
      </c>
      <c r="D9" s="8">
        <v>4883</v>
      </c>
      <c r="E9" s="8">
        <v>5577</v>
      </c>
      <c r="F9" s="8">
        <v>5069</v>
      </c>
      <c r="G9" s="8">
        <v>4555</v>
      </c>
      <c r="H9" s="8">
        <v>5073</v>
      </c>
      <c r="I9" s="8">
        <v>4717</v>
      </c>
      <c r="J9" s="8">
        <v>5008</v>
      </c>
      <c r="K9" s="8">
        <v>5007</v>
      </c>
      <c r="L9" s="8">
        <v>4422</v>
      </c>
      <c r="M9" s="8">
        <v>5089</v>
      </c>
      <c r="N9" s="8">
        <v>4756</v>
      </c>
      <c r="O9" s="9">
        <f>SUM(C9:N9)</f>
        <v>58879</v>
      </c>
    </row>
    <row r="10" spans="1:15" x14ac:dyDescent="0.25">
      <c r="A10" s="4" t="s">
        <v>43</v>
      </c>
      <c r="B10" s="5" t="str">
        <f>B3</f>
        <v>Vendor 1 Residuals (TDS)</v>
      </c>
      <c r="C10" s="10">
        <f>C3</f>
        <v>291.76</v>
      </c>
      <c r="D10" s="10">
        <f t="shared" ref="D10:N11" si="1">D3</f>
        <v>363.77</v>
      </c>
      <c r="E10" s="10">
        <f t="shared" si="1"/>
        <v>369.22</v>
      </c>
      <c r="F10" s="10">
        <f t="shared" si="1"/>
        <v>339.05</v>
      </c>
      <c r="G10" s="10">
        <f t="shared" si="1"/>
        <v>340.65</v>
      </c>
      <c r="H10" s="10">
        <f t="shared" si="1"/>
        <v>330.96</v>
      </c>
      <c r="I10" s="10">
        <f t="shared" si="1"/>
        <v>341.11</v>
      </c>
      <c r="J10" s="10">
        <f t="shared" si="1"/>
        <v>432.26</v>
      </c>
      <c r="K10" s="10">
        <f t="shared" si="1"/>
        <v>349.38</v>
      </c>
      <c r="L10" s="10">
        <f t="shared" si="1"/>
        <v>323.27</v>
      </c>
      <c r="M10" s="10">
        <f t="shared" si="1"/>
        <v>434.37</v>
      </c>
      <c r="N10" s="10">
        <f t="shared" si="1"/>
        <v>337.35</v>
      </c>
      <c r="O10" s="11">
        <f t="shared" ref="O10:O25" si="2">SUM(C10:N10)</f>
        <v>4253.1499999999996</v>
      </c>
    </row>
    <row r="11" spans="1:15" x14ac:dyDescent="0.25">
      <c r="A11" s="4" t="s">
        <v>45</v>
      </c>
      <c r="B11" s="5" t="str">
        <f>B4</f>
        <v>Vendor 2 Residuals (BAL)</v>
      </c>
      <c r="C11" s="10">
        <f>C4</f>
        <v>464.42</v>
      </c>
      <c r="D11" s="10">
        <f t="shared" si="1"/>
        <v>424.66</v>
      </c>
      <c r="E11" s="10">
        <f t="shared" si="1"/>
        <v>522.55999999999995</v>
      </c>
      <c r="F11" s="10">
        <f t="shared" si="1"/>
        <v>475.37</v>
      </c>
      <c r="G11" s="10">
        <f t="shared" si="1"/>
        <v>394.82</v>
      </c>
      <c r="H11" s="10">
        <f t="shared" si="1"/>
        <v>482.4</v>
      </c>
      <c r="I11" s="10">
        <f t="shared" si="1"/>
        <v>427.2</v>
      </c>
      <c r="J11" s="10">
        <f t="shared" si="1"/>
        <v>400.74</v>
      </c>
      <c r="K11" s="10">
        <f t="shared" si="1"/>
        <v>462.83</v>
      </c>
      <c r="L11" s="10">
        <f t="shared" si="1"/>
        <v>398</v>
      </c>
      <c r="M11" s="10">
        <f t="shared" si="1"/>
        <v>414.07</v>
      </c>
      <c r="N11" s="10">
        <f t="shared" si="1"/>
        <v>435.59</v>
      </c>
      <c r="O11" s="11">
        <f t="shared" si="2"/>
        <v>5302.66</v>
      </c>
    </row>
    <row r="12" spans="1:15" x14ac:dyDescent="0.25">
      <c r="A12" s="4">
        <v>3359</v>
      </c>
      <c r="B12" s="5" t="s">
        <v>17</v>
      </c>
      <c r="C12" s="10">
        <v>2192</v>
      </c>
      <c r="D12" s="10">
        <v>1848</v>
      </c>
      <c r="E12" s="10">
        <v>3379</v>
      </c>
      <c r="F12" s="10">
        <v>2573</v>
      </c>
      <c r="G12" s="10">
        <v>2708</v>
      </c>
      <c r="H12" s="10">
        <v>5874</v>
      </c>
      <c r="I12" s="10">
        <v>3512</v>
      </c>
      <c r="J12" s="10">
        <v>2589</v>
      </c>
      <c r="K12" s="10">
        <v>2957</v>
      </c>
      <c r="L12" s="10">
        <v>1529</v>
      </c>
      <c r="M12" s="10">
        <v>1636</v>
      </c>
      <c r="N12" s="10">
        <v>1808</v>
      </c>
      <c r="O12" s="11">
        <f t="shared" si="2"/>
        <v>32605</v>
      </c>
    </row>
    <row r="13" spans="1:15" x14ac:dyDescent="0.25">
      <c r="A13" s="4" t="s">
        <v>18</v>
      </c>
      <c r="B13" s="5" t="s">
        <v>19</v>
      </c>
      <c r="C13" s="10">
        <v>20</v>
      </c>
      <c r="D13" s="10">
        <v>8</v>
      </c>
      <c r="E13" s="10">
        <v>9</v>
      </c>
      <c r="F13" s="10">
        <v>15</v>
      </c>
      <c r="G13" s="10">
        <v>12</v>
      </c>
      <c r="H13" s="10">
        <v>126</v>
      </c>
      <c r="I13" s="10">
        <v>12</v>
      </c>
      <c r="J13" s="10">
        <v>28</v>
      </c>
      <c r="K13" s="10">
        <v>10</v>
      </c>
      <c r="L13" s="10">
        <v>12</v>
      </c>
      <c r="M13" s="10">
        <v>12</v>
      </c>
      <c r="N13" s="10">
        <v>12.39</v>
      </c>
      <c r="O13" s="11">
        <f t="shared" si="2"/>
        <v>276.39</v>
      </c>
    </row>
    <row r="14" spans="1:15" x14ac:dyDescent="0.25">
      <c r="A14" s="4">
        <v>3325</v>
      </c>
      <c r="B14" s="5" t="s">
        <v>20</v>
      </c>
      <c r="C14" s="10">
        <v>751</v>
      </c>
      <c r="D14" s="10">
        <v>684</v>
      </c>
      <c r="E14" s="10">
        <v>402</v>
      </c>
      <c r="F14" s="10">
        <v>364</v>
      </c>
      <c r="G14" s="10">
        <v>420</v>
      </c>
      <c r="H14" s="10">
        <v>903</v>
      </c>
      <c r="I14" s="10">
        <v>731</v>
      </c>
      <c r="J14" s="10">
        <v>1140</v>
      </c>
      <c r="K14" s="10">
        <v>728</v>
      </c>
      <c r="L14" s="10">
        <v>546</v>
      </c>
      <c r="M14" s="10">
        <v>651</v>
      </c>
      <c r="N14" s="10">
        <v>1140</v>
      </c>
      <c r="O14" s="11">
        <f t="shared" si="2"/>
        <v>8460</v>
      </c>
    </row>
    <row r="15" spans="1:15" x14ac:dyDescent="0.25">
      <c r="A15" s="4" t="s">
        <v>49</v>
      </c>
      <c r="B15" s="5" t="s">
        <v>50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1">
        <f t="shared" si="2"/>
        <v>0</v>
      </c>
    </row>
    <row r="16" spans="1:15" x14ac:dyDescent="0.25">
      <c r="A16" s="4">
        <v>7178</v>
      </c>
      <c r="B16" s="5" t="s">
        <v>51</v>
      </c>
      <c r="C16" s="10">
        <v>15.48</v>
      </c>
      <c r="D16" s="10">
        <v>39.270000000000003</v>
      </c>
      <c r="E16" s="10">
        <v>7.68</v>
      </c>
      <c r="F16" s="10">
        <v>15.6</v>
      </c>
      <c r="G16" s="10">
        <v>16.05</v>
      </c>
      <c r="H16" s="10">
        <v>15.75</v>
      </c>
      <c r="I16" s="10">
        <v>0</v>
      </c>
      <c r="J16" s="10">
        <v>20.98</v>
      </c>
      <c r="K16" s="10">
        <v>19.43</v>
      </c>
      <c r="L16" s="10">
        <v>0</v>
      </c>
      <c r="M16" s="10">
        <v>0</v>
      </c>
      <c r="N16" s="10">
        <v>0</v>
      </c>
      <c r="O16" s="11">
        <f t="shared" si="2"/>
        <v>150.24</v>
      </c>
    </row>
    <row r="17" spans="1:15" x14ac:dyDescent="0.25">
      <c r="A17" s="116" t="s">
        <v>21</v>
      </c>
      <c r="B17" s="117"/>
      <c r="C17" s="12">
        <f>SUM(C9,C12:C16)-SUM(C10:C11)</f>
        <v>6945.2999999999993</v>
      </c>
      <c r="D17" s="12">
        <f t="shared" ref="D17:O17" si="3">SUM(D9,D12:D16)-SUM(D10:D11)</f>
        <v>6673.84</v>
      </c>
      <c r="E17" s="12">
        <f t="shared" si="3"/>
        <v>8482.9</v>
      </c>
      <c r="F17" s="12">
        <f t="shared" si="3"/>
        <v>7222.18</v>
      </c>
      <c r="G17" s="12">
        <f t="shared" si="3"/>
        <v>6975.58</v>
      </c>
      <c r="H17" s="12">
        <f t="shared" si="3"/>
        <v>11178.39</v>
      </c>
      <c r="I17" s="12">
        <f t="shared" si="3"/>
        <v>8203.69</v>
      </c>
      <c r="J17" s="12">
        <f t="shared" si="3"/>
        <v>7952.98</v>
      </c>
      <c r="K17" s="12">
        <f t="shared" si="3"/>
        <v>7909.22</v>
      </c>
      <c r="L17" s="12">
        <f t="shared" si="3"/>
        <v>5787.73</v>
      </c>
      <c r="M17" s="12">
        <f t="shared" si="3"/>
        <v>6539.5599999999995</v>
      </c>
      <c r="N17" s="12">
        <f t="shared" si="3"/>
        <v>6943.4500000000007</v>
      </c>
      <c r="O17" s="13">
        <f t="shared" si="3"/>
        <v>90814.82</v>
      </c>
    </row>
    <row r="18" spans="1:15" x14ac:dyDescent="0.25">
      <c r="A18" s="4">
        <v>3351</v>
      </c>
      <c r="B18" s="5" t="str">
        <f>B9</f>
        <v>Tons of curbside recycling</v>
      </c>
      <c r="C18" s="10">
        <f t="shared" ref="C18:N18" si="4">C9</f>
        <v>4723</v>
      </c>
      <c r="D18" s="10">
        <f t="shared" si="4"/>
        <v>4883</v>
      </c>
      <c r="E18" s="10">
        <f t="shared" si="4"/>
        <v>5577</v>
      </c>
      <c r="F18" s="10">
        <f t="shared" si="4"/>
        <v>5069</v>
      </c>
      <c r="G18" s="10">
        <f t="shared" si="4"/>
        <v>4555</v>
      </c>
      <c r="H18" s="10">
        <f t="shared" si="4"/>
        <v>5073</v>
      </c>
      <c r="I18" s="10">
        <f t="shared" si="4"/>
        <v>4717</v>
      </c>
      <c r="J18" s="10">
        <f t="shared" si="4"/>
        <v>5008</v>
      </c>
      <c r="K18" s="10">
        <f t="shared" si="4"/>
        <v>5007</v>
      </c>
      <c r="L18" s="10">
        <f t="shared" si="4"/>
        <v>4422</v>
      </c>
      <c r="M18" s="10">
        <f t="shared" si="4"/>
        <v>5089</v>
      </c>
      <c r="N18" s="10">
        <f t="shared" si="4"/>
        <v>4756</v>
      </c>
      <c r="O18" s="11">
        <f t="shared" si="2"/>
        <v>58879</v>
      </c>
    </row>
    <row r="19" spans="1:15" x14ac:dyDescent="0.25">
      <c r="A19" s="4">
        <v>3359</v>
      </c>
      <c r="B19" s="5" t="str">
        <f>B12</f>
        <v xml:space="preserve">Tons of Curbside Yard Trimmings </v>
      </c>
      <c r="C19" s="10">
        <f t="shared" ref="C19:N23" si="5">C12</f>
        <v>2192</v>
      </c>
      <c r="D19" s="10">
        <f t="shared" si="5"/>
        <v>1848</v>
      </c>
      <c r="E19" s="10">
        <f t="shared" si="5"/>
        <v>3379</v>
      </c>
      <c r="F19" s="10">
        <f t="shared" si="5"/>
        <v>2573</v>
      </c>
      <c r="G19" s="10">
        <f t="shared" si="5"/>
        <v>2708</v>
      </c>
      <c r="H19" s="10">
        <f t="shared" si="5"/>
        <v>5874</v>
      </c>
      <c r="I19" s="10">
        <f t="shared" si="5"/>
        <v>3512</v>
      </c>
      <c r="J19" s="10">
        <f t="shared" si="5"/>
        <v>2589</v>
      </c>
      <c r="K19" s="10">
        <f t="shared" si="5"/>
        <v>2957</v>
      </c>
      <c r="L19" s="10">
        <f t="shared" si="5"/>
        <v>1529</v>
      </c>
      <c r="M19" s="10">
        <f t="shared" si="5"/>
        <v>1636</v>
      </c>
      <c r="N19" s="10">
        <f t="shared" si="5"/>
        <v>1808</v>
      </c>
      <c r="O19" s="11">
        <f t="shared" si="2"/>
        <v>32605</v>
      </c>
    </row>
    <row r="20" spans="1:15" x14ac:dyDescent="0.25">
      <c r="A20" s="4" t="s">
        <v>18</v>
      </c>
      <c r="B20" s="5" t="str">
        <f>B13</f>
        <v>Tons of Curbside Bulk Recycled</v>
      </c>
      <c r="C20" s="10">
        <f t="shared" si="5"/>
        <v>20</v>
      </c>
      <c r="D20" s="10">
        <f t="shared" si="5"/>
        <v>8</v>
      </c>
      <c r="E20" s="10">
        <f t="shared" si="5"/>
        <v>9</v>
      </c>
      <c r="F20" s="10">
        <f t="shared" si="5"/>
        <v>15</v>
      </c>
      <c r="G20" s="10">
        <f t="shared" si="5"/>
        <v>12</v>
      </c>
      <c r="H20" s="10">
        <f t="shared" si="5"/>
        <v>126</v>
      </c>
      <c r="I20" s="10">
        <f t="shared" si="5"/>
        <v>12</v>
      </c>
      <c r="J20" s="10">
        <f t="shared" si="5"/>
        <v>28</v>
      </c>
      <c r="K20" s="10">
        <f t="shared" si="5"/>
        <v>10</v>
      </c>
      <c r="L20" s="10">
        <f t="shared" si="5"/>
        <v>12</v>
      </c>
      <c r="M20" s="10">
        <f t="shared" si="5"/>
        <v>12</v>
      </c>
      <c r="N20" s="10">
        <f t="shared" si="5"/>
        <v>12.39</v>
      </c>
      <c r="O20" s="11">
        <f t="shared" si="2"/>
        <v>276.39</v>
      </c>
    </row>
    <row r="21" spans="1:15" x14ac:dyDescent="0.25">
      <c r="A21" s="4">
        <v>3325</v>
      </c>
      <c r="B21" s="5" t="str">
        <f>B14</f>
        <v>Tons of Curbside Brush Collected</v>
      </c>
      <c r="C21" s="10">
        <f t="shared" si="5"/>
        <v>751</v>
      </c>
      <c r="D21" s="10">
        <f t="shared" si="5"/>
        <v>684</v>
      </c>
      <c r="E21" s="10">
        <f t="shared" si="5"/>
        <v>402</v>
      </c>
      <c r="F21" s="10">
        <f t="shared" si="5"/>
        <v>364</v>
      </c>
      <c r="G21" s="10">
        <f t="shared" si="5"/>
        <v>420</v>
      </c>
      <c r="H21" s="10">
        <f t="shared" si="5"/>
        <v>903</v>
      </c>
      <c r="I21" s="10">
        <f t="shared" si="5"/>
        <v>731</v>
      </c>
      <c r="J21" s="10">
        <f t="shared" si="5"/>
        <v>1140</v>
      </c>
      <c r="K21" s="10">
        <f t="shared" si="5"/>
        <v>728</v>
      </c>
      <c r="L21" s="10">
        <f t="shared" si="5"/>
        <v>546</v>
      </c>
      <c r="M21" s="10">
        <f t="shared" si="5"/>
        <v>651</v>
      </c>
      <c r="N21" s="10">
        <f t="shared" si="5"/>
        <v>1140</v>
      </c>
      <c r="O21" s="11">
        <f t="shared" si="2"/>
        <v>8460</v>
      </c>
    </row>
    <row r="22" spans="1:15" x14ac:dyDescent="0.25">
      <c r="A22" s="4" t="s">
        <v>49</v>
      </c>
      <c r="B22" s="5" t="str">
        <f>B15</f>
        <v>Tons of Curbside Textiles Collected</v>
      </c>
      <c r="C22" s="10">
        <f t="shared" si="5"/>
        <v>0</v>
      </c>
      <c r="D22" s="10">
        <f t="shared" si="5"/>
        <v>0</v>
      </c>
      <c r="E22" s="10">
        <f t="shared" si="5"/>
        <v>0</v>
      </c>
      <c r="F22" s="10">
        <f t="shared" si="5"/>
        <v>0</v>
      </c>
      <c r="G22" s="10">
        <f t="shared" si="5"/>
        <v>0</v>
      </c>
      <c r="H22" s="10">
        <f t="shared" si="5"/>
        <v>0</v>
      </c>
      <c r="I22" s="10">
        <f t="shared" si="5"/>
        <v>0</v>
      </c>
      <c r="J22" s="10">
        <f t="shared" si="5"/>
        <v>0</v>
      </c>
      <c r="K22" s="10">
        <f t="shared" si="5"/>
        <v>0</v>
      </c>
      <c r="L22" s="10">
        <f t="shared" si="5"/>
        <v>0</v>
      </c>
      <c r="M22" s="10">
        <f t="shared" si="5"/>
        <v>0</v>
      </c>
      <c r="N22" s="10">
        <f t="shared" si="5"/>
        <v>0</v>
      </c>
      <c r="O22" s="11">
        <f t="shared" si="2"/>
        <v>0</v>
      </c>
    </row>
    <row r="23" spans="1:15" x14ac:dyDescent="0.25">
      <c r="A23" s="4">
        <v>7178</v>
      </c>
      <c r="B23" s="5" t="str">
        <f>B16</f>
        <v>Tons of carts recycled</v>
      </c>
      <c r="C23" s="10">
        <f t="shared" si="5"/>
        <v>15.48</v>
      </c>
      <c r="D23" s="10">
        <f t="shared" si="5"/>
        <v>39.270000000000003</v>
      </c>
      <c r="E23" s="10">
        <f t="shared" si="5"/>
        <v>7.68</v>
      </c>
      <c r="F23" s="10">
        <f t="shared" si="5"/>
        <v>15.6</v>
      </c>
      <c r="G23" s="10">
        <f t="shared" si="5"/>
        <v>16.05</v>
      </c>
      <c r="H23" s="10">
        <f t="shared" si="5"/>
        <v>15.75</v>
      </c>
      <c r="I23" s="10">
        <f t="shared" si="5"/>
        <v>0</v>
      </c>
      <c r="J23" s="10">
        <f t="shared" si="5"/>
        <v>20.98</v>
      </c>
      <c r="K23" s="10">
        <f t="shared" si="5"/>
        <v>19.43</v>
      </c>
      <c r="L23" s="10">
        <f t="shared" si="5"/>
        <v>0</v>
      </c>
      <c r="M23" s="10">
        <f t="shared" si="5"/>
        <v>0</v>
      </c>
      <c r="N23" s="10">
        <f t="shared" si="5"/>
        <v>0</v>
      </c>
      <c r="O23" s="11">
        <f t="shared" si="2"/>
        <v>150.24</v>
      </c>
    </row>
    <row r="24" spans="1:15" x14ac:dyDescent="0.25">
      <c r="A24" s="4">
        <v>3338</v>
      </c>
      <c r="B24" s="5" t="s">
        <v>22</v>
      </c>
      <c r="C24" s="10">
        <v>9981</v>
      </c>
      <c r="D24" s="10">
        <v>9196</v>
      </c>
      <c r="E24" s="10">
        <v>11787</v>
      </c>
      <c r="F24" s="10">
        <v>10494</v>
      </c>
      <c r="G24" s="10">
        <v>9352</v>
      </c>
      <c r="H24" s="10">
        <v>11814</v>
      </c>
      <c r="I24" s="10">
        <v>10877</v>
      </c>
      <c r="J24" s="10">
        <v>11511</v>
      </c>
      <c r="K24" s="10">
        <v>11648</v>
      </c>
      <c r="L24" s="10">
        <v>10249</v>
      </c>
      <c r="M24" s="10">
        <v>11656</v>
      </c>
      <c r="N24" s="10">
        <v>10701</v>
      </c>
      <c r="O24" s="11">
        <f t="shared" si="2"/>
        <v>129266</v>
      </c>
    </row>
    <row r="25" spans="1:15" x14ac:dyDescent="0.25">
      <c r="A25" s="4" t="s">
        <v>23</v>
      </c>
      <c r="B25" s="5" t="s">
        <v>24</v>
      </c>
      <c r="C25" s="10">
        <v>825</v>
      </c>
      <c r="D25" s="10">
        <v>2025</v>
      </c>
      <c r="E25" s="10">
        <v>739</v>
      </c>
      <c r="F25" s="10">
        <v>801</v>
      </c>
      <c r="G25" s="10">
        <v>878</v>
      </c>
      <c r="H25" s="10">
        <v>26</v>
      </c>
      <c r="I25" s="10">
        <v>701</v>
      </c>
      <c r="J25" s="10">
        <v>1406</v>
      </c>
      <c r="K25" s="10">
        <v>1036</v>
      </c>
      <c r="L25" s="10">
        <v>1089</v>
      </c>
      <c r="M25" s="10">
        <v>1149</v>
      </c>
      <c r="N25" s="10">
        <v>1193.6099999999999</v>
      </c>
      <c r="O25" s="11">
        <f t="shared" si="2"/>
        <v>11868.61</v>
      </c>
    </row>
    <row r="26" spans="1:15" x14ac:dyDescent="0.25">
      <c r="A26" s="116" t="s">
        <v>25</v>
      </c>
      <c r="B26" s="117"/>
      <c r="C26" s="12">
        <f>SUM(C18:C25)</f>
        <v>18507.48</v>
      </c>
      <c r="D26" s="12">
        <f t="shared" ref="D26:O26" si="6">SUM(D18:D25)</f>
        <v>18683.27</v>
      </c>
      <c r="E26" s="12">
        <f t="shared" si="6"/>
        <v>21900.68</v>
      </c>
      <c r="F26" s="12">
        <f t="shared" si="6"/>
        <v>19331.599999999999</v>
      </c>
      <c r="G26" s="12">
        <f t="shared" si="6"/>
        <v>17941.05</v>
      </c>
      <c r="H26" s="12">
        <f t="shared" si="6"/>
        <v>23831.75</v>
      </c>
      <c r="I26" s="12">
        <f t="shared" si="6"/>
        <v>20550</v>
      </c>
      <c r="J26" s="12">
        <f t="shared" si="6"/>
        <v>21702.98</v>
      </c>
      <c r="K26" s="12">
        <f t="shared" si="6"/>
        <v>21405.43</v>
      </c>
      <c r="L26" s="12">
        <f t="shared" si="6"/>
        <v>17847</v>
      </c>
      <c r="M26" s="12">
        <f t="shared" si="6"/>
        <v>20193</v>
      </c>
      <c r="N26" s="12">
        <f t="shared" si="6"/>
        <v>19611</v>
      </c>
      <c r="O26" s="13">
        <f t="shared" si="6"/>
        <v>241505.24</v>
      </c>
    </row>
    <row r="27" spans="1:1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4"/>
    </row>
    <row r="28" spans="1:15" ht="15.75" thickBot="1" x14ac:dyDescent="0.3">
      <c r="A28" s="15">
        <v>9107</v>
      </c>
      <c r="B28" s="16" t="s">
        <v>52</v>
      </c>
      <c r="C28" s="17">
        <f>+C17/C26</f>
        <v>0.37526989087655366</v>
      </c>
      <c r="D28" s="17">
        <f t="shared" ref="D28:O28" si="7">+D17/D26</f>
        <v>0.35720941783745563</v>
      </c>
      <c r="E28" s="17">
        <f t="shared" si="7"/>
        <v>0.38733500512312857</v>
      </c>
      <c r="F28" s="17">
        <f t="shared" si="7"/>
        <v>0.37359452916468378</v>
      </c>
      <c r="G28" s="17">
        <f t="shared" si="7"/>
        <v>0.38880556043263914</v>
      </c>
      <c r="H28" s="17">
        <f t="shared" si="7"/>
        <v>0.46905451760781308</v>
      </c>
      <c r="I28" s="17">
        <f t="shared" si="7"/>
        <v>0.39920632603406331</v>
      </c>
      <c r="J28" s="17">
        <f t="shared" si="7"/>
        <v>0.36644645113251728</v>
      </c>
      <c r="K28" s="17">
        <f t="shared" si="7"/>
        <v>0.36949596434175813</v>
      </c>
      <c r="L28" s="17">
        <f t="shared" si="7"/>
        <v>0.32429708074186137</v>
      </c>
      <c r="M28" s="17">
        <f t="shared" si="7"/>
        <v>0.32385282028425688</v>
      </c>
      <c r="N28" s="17">
        <f t="shared" si="7"/>
        <v>0.354058946509612</v>
      </c>
      <c r="O28" s="18">
        <f t="shared" si="7"/>
        <v>0.37603664417384902</v>
      </c>
    </row>
    <row r="29" spans="1:15" ht="15.75" thickBot="1" x14ac:dyDescent="0.3"/>
    <row r="30" spans="1:15" ht="15.75" thickBot="1" x14ac:dyDescent="0.3">
      <c r="A30" s="110" t="s">
        <v>53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2"/>
    </row>
    <row r="31" spans="1:15" x14ac:dyDescent="0.25">
      <c r="A31" s="6">
        <v>3351</v>
      </c>
      <c r="B31" s="7" t="s">
        <v>16</v>
      </c>
      <c r="C31" s="8">
        <f>C9</f>
        <v>4723</v>
      </c>
      <c r="D31" s="8">
        <f t="shared" ref="D31:O31" si="8">D9</f>
        <v>4883</v>
      </c>
      <c r="E31" s="8">
        <f t="shared" si="8"/>
        <v>5577</v>
      </c>
      <c r="F31" s="8">
        <f t="shared" si="8"/>
        <v>5069</v>
      </c>
      <c r="G31" s="8">
        <f t="shared" si="8"/>
        <v>4555</v>
      </c>
      <c r="H31" s="8">
        <f t="shared" si="8"/>
        <v>5073</v>
      </c>
      <c r="I31" s="8">
        <f t="shared" si="8"/>
        <v>4717</v>
      </c>
      <c r="J31" s="8">
        <f t="shared" si="8"/>
        <v>5008</v>
      </c>
      <c r="K31" s="8">
        <f t="shared" si="8"/>
        <v>5007</v>
      </c>
      <c r="L31" s="8">
        <f t="shared" si="8"/>
        <v>4422</v>
      </c>
      <c r="M31" s="8">
        <f t="shared" si="8"/>
        <v>5089</v>
      </c>
      <c r="N31" s="8">
        <f t="shared" si="8"/>
        <v>4756</v>
      </c>
      <c r="O31" s="9">
        <f t="shared" si="8"/>
        <v>58879</v>
      </c>
    </row>
    <row r="32" spans="1:15" x14ac:dyDescent="0.25">
      <c r="A32" s="4" t="s">
        <v>43</v>
      </c>
      <c r="B32" s="5" t="str">
        <f>B3</f>
        <v>Vendor 1 Residuals (TDS)</v>
      </c>
      <c r="C32" s="10">
        <f t="shared" ref="C32:O38" si="9">C10</f>
        <v>291.76</v>
      </c>
      <c r="D32" s="10">
        <f t="shared" si="9"/>
        <v>363.77</v>
      </c>
      <c r="E32" s="10">
        <f t="shared" si="9"/>
        <v>369.22</v>
      </c>
      <c r="F32" s="10">
        <f t="shared" si="9"/>
        <v>339.05</v>
      </c>
      <c r="G32" s="10">
        <f t="shared" si="9"/>
        <v>340.65</v>
      </c>
      <c r="H32" s="10">
        <f t="shared" si="9"/>
        <v>330.96</v>
      </c>
      <c r="I32" s="10">
        <f t="shared" si="9"/>
        <v>341.11</v>
      </c>
      <c r="J32" s="10">
        <f t="shared" si="9"/>
        <v>432.26</v>
      </c>
      <c r="K32" s="10">
        <f t="shared" si="9"/>
        <v>349.38</v>
      </c>
      <c r="L32" s="10">
        <f t="shared" si="9"/>
        <v>323.27</v>
      </c>
      <c r="M32" s="10">
        <f t="shared" si="9"/>
        <v>434.37</v>
      </c>
      <c r="N32" s="10">
        <f t="shared" si="9"/>
        <v>337.35</v>
      </c>
      <c r="O32" s="11">
        <f t="shared" si="9"/>
        <v>4253.1499999999996</v>
      </c>
    </row>
    <row r="33" spans="1:15" x14ac:dyDescent="0.25">
      <c r="A33" s="4" t="s">
        <v>45</v>
      </c>
      <c r="B33" s="5" t="str">
        <f>B4</f>
        <v>Vendor 2 Residuals (BAL)</v>
      </c>
      <c r="C33" s="10">
        <f t="shared" si="9"/>
        <v>464.42</v>
      </c>
      <c r="D33" s="10">
        <f t="shared" si="9"/>
        <v>424.66</v>
      </c>
      <c r="E33" s="10">
        <f t="shared" si="9"/>
        <v>522.55999999999995</v>
      </c>
      <c r="F33" s="10">
        <f t="shared" si="9"/>
        <v>475.37</v>
      </c>
      <c r="G33" s="10">
        <f t="shared" si="9"/>
        <v>394.82</v>
      </c>
      <c r="H33" s="10">
        <f t="shared" si="9"/>
        <v>482.4</v>
      </c>
      <c r="I33" s="10">
        <f t="shared" si="9"/>
        <v>427.2</v>
      </c>
      <c r="J33" s="10">
        <f t="shared" si="9"/>
        <v>400.74</v>
      </c>
      <c r="K33" s="10">
        <f t="shared" si="9"/>
        <v>462.83</v>
      </c>
      <c r="L33" s="10">
        <f t="shared" si="9"/>
        <v>398</v>
      </c>
      <c r="M33" s="10">
        <f t="shared" si="9"/>
        <v>414.07</v>
      </c>
      <c r="N33" s="10">
        <f t="shared" si="9"/>
        <v>435.59</v>
      </c>
      <c r="O33" s="11">
        <f t="shared" si="9"/>
        <v>5302.66</v>
      </c>
    </row>
    <row r="34" spans="1:15" x14ac:dyDescent="0.25">
      <c r="A34" s="4">
        <v>3359</v>
      </c>
      <c r="B34" s="5" t="s">
        <v>17</v>
      </c>
      <c r="C34" s="10">
        <f t="shared" si="9"/>
        <v>2192</v>
      </c>
      <c r="D34" s="10">
        <f t="shared" si="9"/>
        <v>1848</v>
      </c>
      <c r="E34" s="10">
        <f t="shared" si="9"/>
        <v>3379</v>
      </c>
      <c r="F34" s="10">
        <f t="shared" si="9"/>
        <v>2573</v>
      </c>
      <c r="G34" s="10">
        <f t="shared" si="9"/>
        <v>2708</v>
      </c>
      <c r="H34" s="10">
        <f t="shared" si="9"/>
        <v>5874</v>
      </c>
      <c r="I34" s="10">
        <f t="shared" si="9"/>
        <v>3512</v>
      </c>
      <c r="J34" s="10">
        <f t="shared" si="9"/>
        <v>2589</v>
      </c>
      <c r="K34" s="10">
        <f t="shared" si="9"/>
        <v>2957</v>
      </c>
      <c r="L34" s="10">
        <f t="shared" si="9"/>
        <v>1529</v>
      </c>
      <c r="M34" s="10">
        <f t="shared" si="9"/>
        <v>1636</v>
      </c>
      <c r="N34" s="10">
        <f t="shared" si="9"/>
        <v>1808</v>
      </c>
      <c r="O34" s="11">
        <f t="shared" si="9"/>
        <v>32605</v>
      </c>
    </row>
    <row r="35" spans="1:15" x14ac:dyDescent="0.25">
      <c r="A35" s="4" t="s">
        <v>18</v>
      </c>
      <c r="B35" s="5" t="s">
        <v>19</v>
      </c>
      <c r="C35" s="10">
        <f t="shared" si="9"/>
        <v>20</v>
      </c>
      <c r="D35" s="10">
        <f t="shared" si="9"/>
        <v>8</v>
      </c>
      <c r="E35" s="10">
        <f t="shared" si="9"/>
        <v>9</v>
      </c>
      <c r="F35" s="10">
        <f t="shared" si="9"/>
        <v>15</v>
      </c>
      <c r="G35" s="10">
        <f t="shared" si="9"/>
        <v>12</v>
      </c>
      <c r="H35" s="10">
        <f t="shared" si="9"/>
        <v>126</v>
      </c>
      <c r="I35" s="10">
        <f t="shared" si="9"/>
        <v>12</v>
      </c>
      <c r="J35" s="10">
        <f t="shared" si="9"/>
        <v>28</v>
      </c>
      <c r="K35" s="10">
        <f t="shared" si="9"/>
        <v>10</v>
      </c>
      <c r="L35" s="10">
        <f t="shared" si="9"/>
        <v>12</v>
      </c>
      <c r="M35" s="10">
        <f t="shared" si="9"/>
        <v>12</v>
      </c>
      <c r="N35" s="10">
        <f t="shared" si="9"/>
        <v>12.39</v>
      </c>
      <c r="O35" s="11">
        <f t="shared" si="9"/>
        <v>276.39</v>
      </c>
    </row>
    <row r="36" spans="1:15" x14ac:dyDescent="0.25">
      <c r="A36" s="4">
        <v>3325</v>
      </c>
      <c r="B36" s="5" t="s">
        <v>20</v>
      </c>
      <c r="C36" s="10">
        <f t="shared" si="9"/>
        <v>751</v>
      </c>
      <c r="D36" s="10">
        <f t="shared" si="9"/>
        <v>684</v>
      </c>
      <c r="E36" s="10">
        <f t="shared" si="9"/>
        <v>402</v>
      </c>
      <c r="F36" s="10">
        <f t="shared" si="9"/>
        <v>364</v>
      </c>
      <c r="G36" s="10">
        <f t="shared" si="9"/>
        <v>420</v>
      </c>
      <c r="H36" s="10">
        <f t="shared" si="9"/>
        <v>903</v>
      </c>
      <c r="I36" s="10">
        <f t="shared" si="9"/>
        <v>731</v>
      </c>
      <c r="J36" s="10">
        <f t="shared" si="9"/>
        <v>1140</v>
      </c>
      <c r="K36" s="10">
        <f t="shared" si="9"/>
        <v>728</v>
      </c>
      <c r="L36" s="10">
        <f t="shared" si="9"/>
        <v>546</v>
      </c>
      <c r="M36" s="10">
        <f t="shared" si="9"/>
        <v>651</v>
      </c>
      <c r="N36" s="10">
        <f t="shared" si="9"/>
        <v>1140</v>
      </c>
      <c r="O36" s="11">
        <f t="shared" si="9"/>
        <v>8460</v>
      </c>
    </row>
    <row r="37" spans="1:15" x14ac:dyDescent="0.25">
      <c r="A37" s="4" t="s">
        <v>49</v>
      </c>
      <c r="B37" s="5" t="s">
        <v>50</v>
      </c>
      <c r="C37" s="10">
        <f t="shared" si="9"/>
        <v>0</v>
      </c>
      <c r="D37" s="10">
        <f t="shared" si="9"/>
        <v>0</v>
      </c>
      <c r="E37" s="10">
        <f t="shared" si="9"/>
        <v>0</v>
      </c>
      <c r="F37" s="10">
        <f t="shared" si="9"/>
        <v>0</v>
      </c>
      <c r="G37" s="10">
        <f t="shared" si="9"/>
        <v>0</v>
      </c>
      <c r="H37" s="10">
        <f t="shared" si="9"/>
        <v>0</v>
      </c>
      <c r="I37" s="10">
        <f t="shared" si="9"/>
        <v>0</v>
      </c>
      <c r="J37" s="10">
        <f t="shared" si="9"/>
        <v>0</v>
      </c>
      <c r="K37" s="10">
        <f t="shared" si="9"/>
        <v>0</v>
      </c>
      <c r="L37" s="10">
        <f t="shared" si="9"/>
        <v>0</v>
      </c>
      <c r="M37" s="10">
        <f t="shared" si="9"/>
        <v>0</v>
      </c>
      <c r="N37" s="10">
        <f t="shared" si="9"/>
        <v>0</v>
      </c>
      <c r="O37" s="11">
        <f t="shared" si="9"/>
        <v>0</v>
      </c>
    </row>
    <row r="38" spans="1:15" x14ac:dyDescent="0.25">
      <c r="A38" s="4">
        <v>7178</v>
      </c>
      <c r="B38" s="5" t="s">
        <v>51</v>
      </c>
      <c r="C38" s="10">
        <f t="shared" si="9"/>
        <v>15.48</v>
      </c>
      <c r="D38" s="10">
        <f t="shared" si="9"/>
        <v>39.270000000000003</v>
      </c>
      <c r="E38" s="10">
        <f t="shared" si="9"/>
        <v>7.68</v>
      </c>
      <c r="F38" s="10">
        <f t="shared" si="9"/>
        <v>15.6</v>
      </c>
      <c r="G38" s="10">
        <f t="shared" si="9"/>
        <v>16.05</v>
      </c>
      <c r="H38" s="10">
        <f t="shared" si="9"/>
        <v>15.75</v>
      </c>
      <c r="I38" s="10">
        <f t="shared" si="9"/>
        <v>0</v>
      </c>
      <c r="J38" s="10">
        <f t="shared" si="9"/>
        <v>20.98</v>
      </c>
      <c r="K38" s="10">
        <f t="shared" si="9"/>
        <v>19.43</v>
      </c>
      <c r="L38" s="10">
        <f t="shared" si="9"/>
        <v>0</v>
      </c>
      <c r="M38" s="10">
        <f t="shared" si="9"/>
        <v>0</v>
      </c>
      <c r="N38" s="10">
        <f t="shared" si="9"/>
        <v>0</v>
      </c>
      <c r="O38" s="11">
        <f t="shared" si="9"/>
        <v>150.24</v>
      </c>
    </row>
    <row r="39" spans="1:15" x14ac:dyDescent="0.25">
      <c r="A39" s="4">
        <v>7993</v>
      </c>
      <c r="B39" s="5" t="s">
        <v>26</v>
      </c>
      <c r="C39" s="10">
        <v>30.9</v>
      </c>
      <c r="D39" s="10">
        <v>24.93</v>
      </c>
      <c r="E39" s="10">
        <v>45.22</v>
      </c>
      <c r="F39" s="10">
        <v>23.24</v>
      </c>
      <c r="G39" s="10">
        <v>34.479999999999997</v>
      </c>
      <c r="H39" s="10">
        <v>42.49</v>
      </c>
      <c r="I39" s="10">
        <v>33.58</v>
      </c>
      <c r="J39" s="10">
        <v>35.369999999999997</v>
      </c>
      <c r="K39" s="10">
        <v>46.83</v>
      </c>
      <c r="L39" s="10">
        <v>43.55</v>
      </c>
      <c r="M39" s="10">
        <v>40.74</v>
      </c>
      <c r="N39" s="10">
        <v>34.630000000000003</v>
      </c>
      <c r="O39" s="11">
        <f>SUM(C39:N39)</f>
        <v>435.96</v>
      </c>
    </row>
    <row r="40" spans="1:15" x14ac:dyDescent="0.25">
      <c r="A40" s="4">
        <v>8344</v>
      </c>
      <c r="B40" s="5" t="s">
        <v>54</v>
      </c>
      <c r="C40" s="10">
        <v>104.2</v>
      </c>
      <c r="D40" s="10">
        <v>91.92</v>
      </c>
      <c r="E40" s="10">
        <v>114.94</v>
      </c>
      <c r="F40" s="10">
        <v>92.04</v>
      </c>
      <c r="G40" s="10">
        <v>98.77</v>
      </c>
      <c r="H40" s="10">
        <v>114.9</v>
      </c>
      <c r="I40" s="10">
        <v>102.65</v>
      </c>
      <c r="J40" s="10">
        <v>149.71</v>
      </c>
      <c r="K40" s="10">
        <v>151.5</v>
      </c>
      <c r="L40" s="10">
        <v>161.16</v>
      </c>
      <c r="M40" s="10">
        <v>110.78</v>
      </c>
      <c r="N40" s="10">
        <v>18</v>
      </c>
      <c r="O40" s="11">
        <f t="shared" ref="O40:O42" si="10">SUM(C40:N40)</f>
        <v>1310.57</v>
      </c>
    </row>
    <row r="41" spans="1:15" x14ac:dyDescent="0.25">
      <c r="A41" s="4" t="s">
        <v>55</v>
      </c>
      <c r="B41" s="5" t="str">
        <f>[1]FY15!B41</f>
        <v>Total Tons of Brush Collected at the RRC</v>
      </c>
      <c r="C41" s="10">
        <f>'[1]RRC BRUSH'!K2</f>
        <v>22.8</v>
      </c>
      <c r="D41" s="10">
        <f>'[1]RRC BRUSH'!L2</f>
        <v>44.52</v>
      </c>
      <c r="E41" s="10">
        <f>'[1]RRC BRUSH'!M2</f>
        <v>25.65</v>
      </c>
      <c r="F41" s="10">
        <f>'[1]RRC BRUSH'!N2</f>
        <v>18.72</v>
      </c>
      <c r="G41" s="10">
        <f>'[1]RRC BRUSH'!O2</f>
        <v>38.659999999999997</v>
      </c>
      <c r="H41" s="10">
        <f>'[1]RRC BRUSH'!P2</f>
        <v>35.979999999999997</v>
      </c>
      <c r="I41" s="10">
        <f>'[1]RRC BRUSH'!Q2</f>
        <v>40.299999999999997</v>
      </c>
      <c r="J41" s="10">
        <f>'[1]RRC BRUSH'!R2</f>
        <v>71.67</v>
      </c>
      <c r="K41" s="10">
        <f>'[1]RRC BRUSH'!S2</f>
        <v>75.42</v>
      </c>
      <c r="L41" s="10">
        <f>'[1]RRC BRUSH'!T2</f>
        <v>61.3</v>
      </c>
      <c r="M41" s="10">
        <f>'[1]RRC BRUSH'!U2</f>
        <v>65.27</v>
      </c>
      <c r="N41" s="10">
        <f>'[1]RRC BRUSH'!V2</f>
        <v>74.459999999999994</v>
      </c>
      <c r="O41" s="11">
        <f t="shared" si="10"/>
        <v>574.75</v>
      </c>
    </row>
    <row r="42" spans="1:15" x14ac:dyDescent="0.25">
      <c r="A42" t="s">
        <v>56</v>
      </c>
      <c r="B42" s="61" t="s">
        <v>57</v>
      </c>
      <c r="C42">
        <f>5860/2000</f>
        <v>2.93</v>
      </c>
      <c r="D42">
        <f>3620/2000</f>
        <v>1.81</v>
      </c>
      <c r="E42">
        <f>6140/2000</f>
        <v>3.07</v>
      </c>
      <c r="F42">
        <f>5560/2000</f>
        <v>2.78</v>
      </c>
      <c r="G42">
        <f>7260/2000</f>
        <v>3.63</v>
      </c>
      <c r="H42">
        <f>5980/2000</f>
        <v>2.99</v>
      </c>
      <c r="I42">
        <f>10820/2000</f>
        <v>5.41</v>
      </c>
      <c r="J42">
        <f>7200/2000</f>
        <v>3.6</v>
      </c>
      <c r="K42">
        <f>6760/2000</f>
        <v>3.38</v>
      </c>
      <c r="L42">
        <f>7400/2000</f>
        <v>3.7</v>
      </c>
      <c r="M42">
        <f>10080/2000</f>
        <v>5.04</v>
      </c>
      <c r="N42">
        <f>12480/2000</f>
        <v>6.24</v>
      </c>
      <c r="O42" s="11">
        <f t="shared" si="10"/>
        <v>44.580000000000005</v>
      </c>
    </row>
    <row r="43" spans="1:15" x14ac:dyDescent="0.25">
      <c r="A43" s="116" t="s">
        <v>21</v>
      </c>
      <c r="B43" s="117"/>
      <c r="C43" s="12">
        <f>SUM(C31,C34:C42)-SUM(C32:C33)</f>
        <v>7106.1299999999992</v>
      </c>
      <c r="D43" s="12">
        <f t="shared" ref="D43:N43" si="11">SUM(D31,D34:D42)-SUM(D32:D33)</f>
        <v>6837.0200000000013</v>
      </c>
      <c r="E43" s="12">
        <f t="shared" si="11"/>
        <v>8671.7799999999988</v>
      </c>
      <c r="F43" s="12">
        <f t="shared" si="11"/>
        <v>7358.96</v>
      </c>
      <c r="G43" s="12">
        <f t="shared" si="11"/>
        <v>7151.12</v>
      </c>
      <c r="H43" s="12">
        <f t="shared" si="11"/>
        <v>11374.749999999998</v>
      </c>
      <c r="I43" s="12">
        <f t="shared" si="11"/>
        <v>8385.6299999999992</v>
      </c>
      <c r="J43" s="12">
        <f t="shared" si="11"/>
        <v>8213.33</v>
      </c>
      <c r="K43" s="12">
        <f t="shared" si="11"/>
        <v>8186.3499999999995</v>
      </c>
      <c r="L43" s="12">
        <f t="shared" si="11"/>
        <v>6057.4400000000005</v>
      </c>
      <c r="M43" s="12">
        <f t="shared" si="11"/>
        <v>6761.3899999999994</v>
      </c>
      <c r="N43" s="12">
        <f t="shared" si="11"/>
        <v>7076.7800000000007</v>
      </c>
      <c r="O43" s="13">
        <f>SUM(O31,O34:O42)-SUM(O32:O33)</f>
        <v>93180.680000000022</v>
      </c>
    </row>
    <row r="44" spans="1:15" x14ac:dyDescent="0.25">
      <c r="A44" s="4">
        <v>3351</v>
      </c>
      <c r="B44" s="5" t="str">
        <f>B31</f>
        <v>Tons of curbside recycling</v>
      </c>
      <c r="C44" s="10">
        <f>C18</f>
        <v>4723</v>
      </c>
      <c r="D44" s="10">
        <f t="shared" ref="D44:O44" si="12">D18</f>
        <v>4883</v>
      </c>
      <c r="E44" s="10">
        <f t="shared" si="12"/>
        <v>5577</v>
      </c>
      <c r="F44" s="10">
        <f t="shared" si="12"/>
        <v>5069</v>
      </c>
      <c r="G44" s="10">
        <f t="shared" si="12"/>
        <v>4555</v>
      </c>
      <c r="H44" s="10">
        <f t="shared" si="12"/>
        <v>5073</v>
      </c>
      <c r="I44" s="10">
        <f t="shared" si="12"/>
        <v>4717</v>
      </c>
      <c r="J44" s="10">
        <f t="shared" si="12"/>
        <v>5008</v>
      </c>
      <c r="K44" s="10">
        <f t="shared" si="12"/>
        <v>5007</v>
      </c>
      <c r="L44" s="10">
        <f t="shared" si="12"/>
        <v>4422</v>
      </c>
      <c r="M44" s="10">
        <f t="shared" si="12"/>
        <v>5089</v>
      </c>
      <c r="N44" s="10">
        <f t="shared" si="12"/>
        <v>4756</v>
      </c>
      <c r="O44" s="11">
        <f t="shared" si="12"/>
        <v>58879</v>
      </c>
    </row>
    <row r="45" spans="1:15" x14ac:dyDescent="0.25">
      <c r="A45" s="4">
        <v>3359</v>
      </c>
      <c r="B45" s="5" t="str">
        <f>B34</f>
        <v xml:space="preserve">Tons of Curbside Yard Trimmings </v>
      </c>
      <c r="C45" s="10">
        <f t="shared" ref="C45:O51" si="13">C19</f>
        <v>2192</v>
      </c>
      <c r="D45" s="10">
        <f t="shared" si="13"/>
        <v>1848</v>
      </c>
      <c r="E45" s="10">
        <f t="shared" si="13"/>
        <v>3379</v>
      </c>
      <c r="F45" s="10">
        <f t="shared" si="13"/>
        <v>2573</v>
      </c>
      <c r="G45" s="10">
        <f t="shared" si="13"/>
        <v>2708</v>
      </c>
      <c r="H45" s="10">
        <f t="shared" si="13"/>
        <v>5874</v>
      </c>
      <c r="I45" s="10">
        <f t="shared" si="13"/>
        <v>3512</v>
      </c>
      <c r="J45" s="10">
        <f t="shared" si="13"/>
        <v>2589</v>
      </c>
      <c r="K45" s="10">
        <f t="shared" si="13"/>
        <v>2957</v>
      </c>
      <c r="L45" s="10">
        <f t="shared" si="13"/>
        <v>1529</v>
      </c>
      <c r="M45" s="10">
        <f t="shared" si="13"/>
        <v>1636</v>
      </c>
      <c r="N45" s="10">
        <f t="shared" si="13"/>
        <v>1808</v>
      </c>
      <c r="O45" s="11">
        <f t="shared" si="13"/>
        <v>32605</v>
      </c>
    </row>
    <row r="46" spans="1:15" x14ac:dyDescent="0.25">
      <c r="A46" s="4" t="s">
        <v>18</v>
      </c>
      <c r="B46" s="5" t="str">
        <f>B35</f>
        <v>Tons of Curbside Bulk Recycled</v>
      </c>
      <c r="C46" s="10">
        <f t="shared" si="13"/>
        <v>20</v>
      </c>
      <c r="D46" s="10">
        <f t="shared" si="13"/>
        <v>8</v>
      </c>
      <c r="E46" s="10">
        <f t="shared" si="13"/>
        <v>9</v>
      </c>
      <c r="F46" s="10">
        <f t="shared" si="13"/>
        <v>15</v>
      </c>
      <c r="G46" s="10">
        <f t="shared" si="13"/>
        <v>12</v>
      </c>
      <c r="H46" s="10">
        <f t="shared" si="13"/>
        <v>126</v>
      </c>
      <c r="I46" s="10">
        <f t="shared" si="13"/>
        <v>12</v>
      </c>
      <c r="J46" s="10">
        <f t="shared" si="13"/>
        <v>28</v>
      </c>
      <c r="K46" s="10">
        <f t="shared" si="13"/>
        <v>10</v>
      </c>
      <c r="L46" s="10">
        <f t="shared" si="13"/>
        <v>12</v>
      </c>
      <c r="M46" s="10">
        <f t="shared" si="13"/>
        <v>12</v>
      </c>
      <c r="N46" s="10">
        <f t="shared" si="13"/>
        <v>12.39</v>
      </c>
      <c r="O46" s="11">
        <f t="shared" si="13"/>
        <v>276.39</v>
      </c>
    </row>
    <row r="47" spans="1:15" x14ac:dyDescent="0.25">
      <c r="A47" s="4">
        <v>3325</v>
      </c>
      <c r="B47" s="5" t="str">
        <f>B36</f>
        <v>Tons of Curbside Brush Collected</v>
      </c>
      <c r="C47" s="10">
        <f t="shared" si="13"/>
        <v>751</v>
      </c>
      <c r="D47" s="10">
        <f t="shared" si="13"/>
        <v>684</v>
      </c>
      <c r="E47" s="10">
        <f t="shared" si="13"/>
        <v>402</v>
      </c>
      <c r="F47" s="10">
        <f t="shared" si="13"/>
        <v>364</v>
      </c>
      <c r="G47" s="10">
        <f t="shared" si="13"/>
        <v>420</v>
      </c>
      <c r="H47" s="10">
        <f t="shared" si="13"/>
        <v>903</v>
      </c>
      <c r="I47" s="10">
        <f t="shared" si="13"/>
        <v>731</v>
      </c>
      <c r="J47" s="10">
        <f t="shared" si="13"/>
        <v>1140</v>
      </c>
      <c r="K47" s="10">
        <f t="shared" si="13"/>
        <v>728</v>
      </c>
      <c r="L47" s="10">
        <f t="shared" si="13"/>
        <v>546</v>
      </c>
      <c r="M47" s="10">
        <f t="shared" si="13"/>
        <v>651</v>
      </c>
      <c r="N47" s="10">
        <f t="shared" si="13"/>
        <v>1140</v>
      </c>
      <c r="O47" s="11">
        <f t="shared" si="13"/>
        <v>8460</v>
      </c>
    </row>
    <row r="48" spans="1:15" x14ac:dyDescent="0.25">
      <c r="A48" s="4" t="s">
        <v>49</v>
      </c>
      <c r="B48" s="5" t="str">
        <f>B37</f>
        <v>Tons of Curbside Textiles Collected</v>
      </c>
      <c r="C48" s="10">
        <f t="shared" si="13"/>
        <v>0</v>
      </c>
      <c r="D48" s="10">
        <f t="shared" si="13"/>
        <v>0</v>
      </c>
      <c r="E48" s="10">
        <f t="shared" si="13"/>
        <v>0</v>
      </c>
      <c r="F48" s="10">
        <f t="shared" si="13"/>
        <v>0</v>
      </c>
      <c r="G48" s="10">
        <f t="shared" si="13"/>
        <v>0</v>
      </c>
      <c r="H48" s="10">
        <f t="shared" si="13"/>
        <v>0</v>
      </c>
      <c r="I48" s="10">
        <f t="shared" si="13"/>
        <v>0</v>
      </c>
      <c r="J48" s="10">
        <f t="shared" si="13"/>
        <v>0</v>
      </c>
      <c r="K48" s="10">
        <f t="shared" si="13"/>
        <v>0</v>
      </c>
      <c r="L48" s="10">
        <f t="shared" si="13"/>
        <v>0</v>
      </c>
      <c r="M48" s="10">
        <f t="shared" si="13"/>
        <v>0</v>
      </c>
      <c r="N48" s="10">
        <f t="shared" si="13"/>
        <v>0</v>
      </c>
      <c r="O48" s="11">
        <f t="shared" si="13"/>
        <v>0</v>
      </c>
    </row>
    <row r="49" spans="1:15" x14ac:dyDescent="0.25">
      <c r="A49" s="4">
        <v>7178</v>
      </c>
      <c r="B49" s="5" t="str">
        <f>B38</f>
        <v>Tons of carts recycled</v>
      </c>
      <c r="C49" s="10">
        <f t="shared" si="13"/>
        <v>15.48</v>
      </c>
      <c r="D49" s="10">
        <f t="shared" si="13"/>
        <v>39.270000000000003</v>
      </c>
      <c r="E49" s="10">
        <f t="shared" si="13"/>
        <v>7.68</v>
      </c>
      <c r="F49" s="10">
        <f t="shared" si="13"/>
        <v>15.6</v>
      </c>
      <c r="G49" s="10">
        <f t="shared" si="13"/>
        <v>16.05</v>
      </c>
      <c r="H49" s="10">
        <f t="shared" si="13"/>
        <v>15.75</v>
      </c>
      <c r="I49" s="10">
        <f t="shared" si="13"/>
        <v>0</v>
      </c>
      <c r="J49" s="10">
        <f t="shared" si="13"/>
        <v>20.98</v>
      </c>
      <c r="K49" s="10">
        <f t="shared" si="13"/>
        <v>19.43</v>
      </c>
      <c r="L49" s="10">
        <f t="shared" si="13"/>
        <v>0</v>
      </c>
      <c r="M49" s="10">
        <f t="shared" si="13"/>
        <v>0</v>
      </c>
      <c r="N49" s="10">
        <f t="shared" si="13"/>
        <v>0</v>
      </c>
      <c r="O49" s="11">
        <f t="shared" si="13"/>
        <v>150.24</v>
      </c>
    </row>
    <row r="50" spans="1:15" x14ac:dyDescent="0.25">
      <c r="A50" s="4">
        <v>3338</v>
      </c>
      <c r="B50" s="5" t="s">
        <v>22</v>
      </c>
      <c r="C50" s="10">
        <f t="shared" si="13"/>
        <v>9981</v>
      </c>
      <c r="D50" s="10">
        <f t="shared" si="13"/>
        <v>9196</v>
      </c>
      <c r="E50" s="10">
        <f t="shared" si="13"/>
        <v>11787</v>
      </c>
      <c r="F50" s="10">
        <f t="shared" si="13"/>
        <v>10494</v>
      </c>
      <c r="G50" s="10">
        <f t="shared" si="13"/>
        <v>9352</v>
      </c>
      <c r="H50" s="10">
        <f t="shared" si="13"/>
        <v>11814</v>
      </c>
      <c r="I50" s="10">
        <f t="shared" si="13"/>
        <v>10877</v>
      </c>
      <c r="J50" s="10">
        <f t="shared" si="13"/>
        <v>11511</v>
      </c>
      <c r="K50" s="10">
        <f t="shared" si="13"/>
        <v>11648</v>
      </c>
      <c r="L50" s="10">
        <f t="shared" si="13"/>
        <v>10249</v>
      </c>
      <c r="M50" s="10">
        <f t="shared" si="13"/>
        <v>11656</v>
      </c>
      <c r="N50" s="10">
        <f t="shared" si="13"/>
        <v>10701</v>
      </c>
      <c r="O50" s="11">
        <f t="shared" si="13"/>
        <v>129266</v>
      </c>
    </row>
    <row r="51" spans="1:15" x14ac:dyDescent="0.25">
      <c r="A51" s="4" t="s">
        <v>23</v>
      </c>
      <c r="B51" s="5" t="s">
        <v>24</v>
      </c>
      <c r="C51" s="10">
        <f t="shared" si="13"/>
        <v>825</v>
      </c>
      <c r="D51" s="10">
        <f t="shared" si="13"/>
        <v>2025</v>
      </c>
      <c r="E51" s="10">
        <f t="shared" si="13"/>
        <v>739</v>
      </c>
      <c r="F51" s="10">
        <f t="shared" si="13"/>
        <v>801</v>
      </c>
      <c r="G51" s="10">
        <f t="shared" si="13"/>
        <v>878</v>
      </c>
      <c r="H51" s="10">
        <f t="shared" si="13"/>
        <v>26</v>
      </c>
      <c r="I51" s="10">
        <f t="shared" si="13"/>
        <v>701</v>
      </c>
      <c r="J51" s="10">
        <f t="shared" si="13"/>
        <v>1406</v>
      </c>
      <c r="K51" s="10">
        <f t="shared" si="13"/>
        <v>1036</v>
      </c>
      <c r="L51" s="10">
        <f t="shared" si="13"/>
        <v>1089</v>
      </c>
      <c r="M51" s="10">
        <f t="shared" si="13"/>
        <v>1149</v>
      </c>
      <c r="N51" s="10">
        <f t="shared" si="13"/>
        <v>1193.6099999999999</v>
      </c>
      <c r="O51" s="11">
        <f t="shared" si="13"/>
        <v>11868.61</v>
      </c>
    </row>
    <row r="52" spans="1:15" x14ac:dyDescent="0.25">
      <c r="A52" s="4">
        <v>8344</v>
      </c>
      <c r="B52" s="5" t="str">
        <f>B40</f>
        <v>RRC recycling tons</v>
      </c>
      <c r="C52" s="5">
        <f t="shared" ref="C52:O52" si="14">C40</f>
        <v>104.2</v>
      </c>
      <c r="D52" s="5">
        <f t="shared" si="14"/>
        <v>91.92</v>
      </c>
      <c r="E52" s="5">
        <f t="shared" si="14"/>
        <v>114.94</v>
      </c>
      <c r="F52" s="5">
        <f t="shared" si="14"/>
        <v>92.04</v>
      </c>
      <c r="G52" s="5">
        <f t="shared" si="14"/>
        <v>98.77</v>
      </c>
      <c r="H52" s="5">
        <f t="shared" si="14"/>
        <v>114.9</v>
      </c>
      <c r="I52" s="5">
        <f t="shared" si="14"/>
        <v>102.65</v>
      </c>
      <c r="J52" s="5">
        <f t="shared" si="14"/>
        <v>149.71</v>
      </c>
      <c r="K52" s="5">
        <f t="shared" si="14"/>
        <v>151.5</v>
      </c>
      <c r="L52" s="5">
        <f t="shared" si="14"/>
        <v>161.16</v>
      </c>
      <c r="M52" s="5">
        <f t="shared" si="14"/>
        <v>110.78</v>
      </c>
      <c r="N52" s="5">
        <f t="shared" si="14"/>
        <v>18</v>
      </c>
      <c r="O52" s="85">
        <f t="shared" si="14"/>
        <v>1310.57</v>
      </c>
    </row>
    <row r="53" spans="1:15" x14ac:dyDescent="0.25">
      <c r="A53" s="4">
        <v>3384</v>
      </c>
      <c r="B53" s="5" t="s">
        <v>58</v>
      </c>
      <c r="C53" s="10">
        <v>4</v>
      </c>
      <c r="D53" s="10">
        <v>4</v>
      </c>
      <c r="E53" s="10">
        <v>4</v>
      </c>
      <c r="F53" s="10">
        <v>4</v>
      </c>
      <c r="G53" s="10">
        <v>3</v>
      </c>
      <c r="H53" s="10">
        <v>3</v>
      </c>
      <c r="I53" s="10">
        <v>3</v>
      </c>
      <c r="J53" s="10">
        <v>3</v>
      </c>
      <c r="K53" s="10">
        <v>3</v>
      </c>
      <c r="L53" s="10">
        <v>3</v>
      </c>
      <c r="M53" s="10">
        <v>2</v>
      </c>
      <c r="N53" s="10">
        <v>3</v>
      </c>
      <c r="O53" s="11">
        <f t="shared" ref="O53:O56" si="15">SUM(C53:N53)</f>
        <v>39</v>
      </c>
    </row>
    <row r="54" spans="1:15" x14ac:dyDescent="0.25">
      <c r="A54" s="4">
        <v>7992</v>
      </c>
      <c r="B54" s="5" t="s">
        <v>59</v>
      </c>
      <c r="C54" s="10">
        <v>68.83</v>
      </c>
      <c r="D54" s="10">
        <v>53.93</v>
      </c>
      <c r="E54" s="10">
        <v>86.35</v>
      </c>
      <c r="F54" s="10">
        <v>61.67</v>
      </c>
      <c r="G54" s="10">
        <v>71.17</v>
      </c>
      <c r="H54" s="10">
        <v>79.45</v>
      </c>
      <c r="I54" s="10">
        <v>76.989999999999995</v>
      </c>
      <c r="J54" s="10">
        <v>70.62</v>
      </c>
      <c r="K54" s="10">
        <v>85.22</v>
      </c>
      <c r="L54" s="10">
        <v>90.54</v>
      </c>
      <c r="M54" s="10">
        <v>75.599999999999994</v>
      </c>
      <c r="N54" s="10">
        <v>83.83</v>
      </c>
      <c r="O54" s="11">
        <f t="shared" si="15"/>
        <v>904.2</v>
      </c>
    </row>
    <row r="55" spans="1:15" x14ac:dyDescent="0.25">
      <c r="A55" s="4">
        <v>3385</v>
      </c>
      <c r="B55" s="5" t="s">
        <v>60</v>
      </c>
      <c r="C55" s="10">
        <v>34</v>
      </c>
      <c r="D55" s="10">
        <v>39</v>
      </c>
      <c r="E55" s="10">
        <v>17</v>
      </c>
      <c r="F55" s="10">
        <v>38</v>
      </c>
      <c r="G55" s="10">
        <v>33</v>
      </c>
      <c r="H55" s="10">
        <v>34</v>
      </c>
      <c r="I55" s="10">
        <v>34</v>
      </c>
      <c r="J55" s="10">
        <v>49</v>
      </c>
      <c r="K55" s="10">
        <v>50</v>
      </c>
      <c r="L55" s="10">
        <v>44</v>
      </c>
      <c r="M55" s="10">
        <v>58</v>
      </c>
      <c r="N55" s="10">
        <v>42</v>
      </c>
      <c r="O55" s="11">
        <f t="shared" si="15"/>
        <v>472</v>
      </c>
    </row>
    <row r="56" spans="1:15" x14ac:dyDescent="0.25">
      <c r="A56" s="4">
        <v>7156</v>
      </c>
      <c r="B56" s="5" t="s">
        <v>61</v>
      </c>
      <c r="C56" s="10">
        <v>414</v>
      </c>
      <c r="D56" s="10">
        <v>177</v>
      </c>
      <c r="E56" s="10">
        <v>359</v>
      </c>
      <c r="F56" s="10">
        <v>504</v>
      </c>
      <c r="G56" s="10">
        <v>484</v>
      </c>
      <c r="H56" s="10">
        <v>357</v>
      </c>
      <c r="I56" s="10">
        <v>477</v>
      </c>
      <c r="J56" s="10">
        <v>398</v>
      </c>
      <c r="K56" s="10">
        <v>365</v>
      </c>
      <c r="L56" s="10">
        <v>309</v>
      </c>
      <c r="M56" s="10">
        <v>315</v>
      </c>
      <c r="N56" s="10">
        <v>319</v>
      </c>
      <c r="O56" s="11">
        <f t="shared" si="15"/>
        <v>4478</v>
      </c>
    </row>
    <row r="57" spans="1:15" x14ac:dyDescent="0.25">
      <c r="A57" s="4" t="s">
        <v>55</v>
      </c>
      <c r="B57" s="5" t="str">
        <f>B41</f>
        <v>Total Tons of Brush Collected at the RRC</v>
      </c>
      <c r="C57" s="5">
        <f t="shared" ref="C57:O57" si="16">C41</f>
        <v>22.8</v>
      </c>
      <c r="D57" s="5">
        <f t="shared" si="16"/>
        <v>44.52</v>
      </c>
      <c r="E57" s="5">
        <f t="shared" si="16"/>
        <v>25.65</v>
      </c>
      <c r="F57" s="5">
        <f t="shared" si="16"/>
        <v>18.72</v>
      </c>
      <c r="G57" s="5">
        <f t="shared" si="16"/>
        <v>38.659999999999997</v>
      </c>
      <c r="H57" s="5">
        <f t="shared" si="16"/>
        <v>35.979999999999997</v>
      </c>
      <c r="I57" s="5">
        <f t="shared" si="16"/>
        <v>40.299999999999997</v>
      </c>
      <c r="J57" s="5">
        <f t="shared" si="16"/>
        <v>71.67</v>
      </c>
      <c r="K57" s="5">
        <f t="shared" si="16"/>
        <v>75.42</v>
      </c>
      <c r="L57" s="5">
        <f t="shared" si="16"/>
        <v>61.3</v>
      </c>
      <c r="M57" s="5">
        <f t="shared" si="16"/>
        <v>65.27</v>
      </c>
      <c r="N57" s="5">
        <f t="shared" si="16"/>
        <v>74.459999999999994</v>
      </c>
      <c r="O57" s="85">
        <f t="shared" si="16"/>
        <v>574.75</v>
      </c>
    </row>
    <row r="58" spans="1:15" x14ac:dyDescent="0.25">
      <c r="A58" s="116" t="s">
        <v>25</v>
      </c>
      <c r="B58" s="117"/>
      <c r="C58" s="12">
        <f>SUM(C44:C57)</f>
        <v>19155.310000000001</v>
      </c>
      <c r="D58" s="12">
        <f t="shared" ref="D58:N58" si="17">SUM(D44:D57)</f>
        <v>19093.64</v>
      </c>
      <c r="E58" s="12">
        <f t="shared" si="17"/>
        <v>22507.62</v>
      </c>
      <c r="F58" s="12">
        <f t="shared" si="17"/>
        <v>20050.03</v>
      </c>
      <c r="G58" s="12">
        <f t="shared" si="17"/>
        <v>18669.649999999998</v>
      </c>
      <c r="H58" s="12">
        <f t="shared" si="17"/>
        <v>24456.080000000002</v>
      </c>
      <c r="I58" s="12">
        <f t="shared" si="17"/>
        <v>21283.940000000002</v>
      </c>
      <c r="J58" s="12">
        <f t="shared" si="17"/>
        <v>22444.979999999996</v>
      </c>
      <c r="K58" s="12">
        <f t="shared" si="17"/>
        <v>22135.57</v>
      </c>
      <c r="L58" s="12">
        <f t="shared" si="17"/>
        <v>18516</v>
      </c>
      <c r="M58" s="12">
        <f t="shared" si="17"/>
        <v>20819.649999999998</v>
      </c>
      <c r="N58" s="12">
        <f t="shared" si="17"/>
        <v>20151.29</v>
      </c>
      <c r="O58" s="13">
        <f>SUM(O44:O57)</f>
        <v>249283.76</v>
      </c>
    </row>
    <row r="59" spans="1:15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14"/>
    </row>
    <row r="60" spans="1:15" ht="15.75" thickBot="1" x14ac:dyDescent="0.3">
      <c r="A60" s="15">
        <v>9110</v>
      </c>
      <c r="B60" s="16" t="s">
        <v>41</v>
      </c>
      <c r="C60" s="17">
        <f>+C43/C58</f>
        <v>0.37097441910363227</v>
      </c>
      <c r="D60" s="17">
        <f t="shared" ref="D60:N60" si="18">+D43/D58</f>
        <v>0.35807839678552655</v>
      </c>
      <c r="E60" s="17">
        <f t="shared" si="18"/>
        <v>0.38528196228655004</v>
      </c>
      <c r="F60" s="17">
        <f t="shared" si="18"/>
        <v>0.36702987476826721</v>
      </c>
      <c r="G60" s="17">
        <f t="shared" si="18"/>
        <v>0.38303449716518523</v>
      </c>
      <c r="H60" s="17">
        <f t="shared" si="18"/>
        <v>0.46510928979623872</v>
      </c>
      <c r="I60" s="17">
        <f t="shared" si="18"/>
        <v>0.39398861301056093</v>
      </c>
      <c r="J60" s="17">
        <f t="shared" si="18"/>
        <v>0.36593171390662865</v>
      </c>
      <c r="K60" s="17">
        <f t="shared" si="18"/>
        <v>0.36982783818081033</v>
      </c>
      <c r="L60" s="17">
        <f t="shared" si="18"/>
        <v>0.32714625189025709</v>
      </c>
      <c r="M60" s="17">
        <f t="shared" si="18"/>
        <v>0.32476002238270096</v>
      </c>
      <c r="N60" s="17">
        <f t="shared" si="18"/>
        <v>0.35118248012906372</v>
      </c>
      <c r="O60" s="18">
        <f>+O43/O58</f>
        <v>0.37379362378038594</v>
      </c>
    </row>
  </sheetData>
  <mergeCells count="7">
    <mergeCell ref="A58:B58"/>
    <mergeCell ref="A1:O1"/>
    <mergeCell ref="A8:O8"/>
    <mergeCell ref="A17:B17"/>
    <mergeCell ref="A26:B26"/>
    <mergeCell ref="A30:O30"/>
    <mergeCell ref="A43:B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60"/>
  <sheetViews>
    <sheetView tabSelected="1" workbookViewId="0">
      <selection sqref="A1:O1"/>
    </sheetView>
  </sheetViews>
  <sheetFormatPr defaultRowHeight="15" x14ac:dyDescent="0.25"/>
  <cols>
    <col min="1" max="1" width="23.7109375" bestFit="1" customWidth="1"/>
    <col min="2" max="2" width="39.42578125" bestFit="1" customWidth="1"/>
    <col min="3" max="12" width="10.5703125" customWidth="1"/>
    <col min="13" max="13" width="10.5703125" style="76" customWidth="1"/>
    <col min="14" max="14" width="10.5703125" customWidth="1"/>
    <col min="15" max="15" width="11.5703125" bestFit="1" customWidth="1"/>
  </cols>
  <sheetData>
    <row r="1" spans="1:15" ht="15.75" thickBot="1" x14ac:dyDescent="0.3">
      <c r="A1" s="113" t="s">
        <v>28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</row>
    <row r="2" spans="1:15" ht="15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51" t="s">
        <v>13</v>
      </c>
      <c r="N2" s="2" t="s">
        <v>14</v>
      </c>
      <c r="O2" s="3" t="s">
        <v>15</v>
      </c>
    </row>
    <row r="3" spans="1:15" x14ac:dyDescent="0.25">
      <c r="A3" s="53" t="s">
        <v>43</v>
      </c>
      <c r="B3" s="54" t="s">
        <v>44</v>
      </c>
      <c r="C3" s="54">
        <v>252.68</v>
      </c>
      <c r="D3" s="54">
        <v>238.97</v>
      </c>
      <c r="E3" s="54">
        <v>322.70999999999998</v>
      </c>
      <c r="F3" s="54">
        <v>289.32</v>
      </c>
      <c r="G3" s="54">
        <v>234.6</v>
      </c>
      <c r="H3" s="54">
        <v>323.14</v>
      </c>
      <c r="I3" s="54">
        <v>323.93</v>
      </c>
      <c r="J3" s="54">
        <v>414.78</v>
      </c>
      <c r="K3" s="54">
        <v>462.37</v>
      </c>
      <c r="L3" s="54">
        <v>315.43</v>
      </c>
      <c r="M3" s="55">
        <v>362.27</v>
      </c>
      <c r="N3" s="54">
        <v>429.14</v>
      </c>
      <c r="O3" s="77">
        <f>SUM(C3:N3)</f>
        <v>3969.3399999999992</v>
      </c>
    </row>
    <row r="4" spans="1:15" x14ac:dyDescent="0.25">
      <c r="A4" s="57" t="s">
        <v>45</v>
      </c>
      <c r="B4" s="58" t="s">
        <v>46</v>
      </c>
      <c r="C4" s="58">
        <v>473.73</v>
      </c>
      <c r="D4" s="58">
        <v>320.60000000000002</v>
      </c>
      <c r="E4" s="58">
        <v>377.01</v>
      </c>
      <c r="F4" s="58">
        <v>381.39</v>
      </c>
      <c r="G4" s="58">
        <v>315.02</v>
      </c>
      <c r="H4" s="58">
        <v>289.47000000000003</v>
      </c>
      <c r="I4" s="58">
        <v>385.53</v>
      </c>
      <c r="J4" s="58">
        <v>422.94</v>
      </c>
      <c r="K4" s="58">
        <v>411.65</v>
      </c>
      <c r="L4" s="58">
        <v>524.22</v>
      </c>
      <c r="M4" s="59">
        <v>416.81</v>
      </c>
      <c r="N4" s="58">
        <v>396.4</v>
      </c>
      <c r="O4" s="78">
        <f>SUM(C4:N4)</f>
        <v>4714.7700000000004</v>
      </c>
    </row>
    <row r="5" spans="1:15" s="82" customFormat="1" ht="6.75" customHeight="1" x14ac:dyDescent="0.25">
      <c r="A5" s="79"/>
      <c r="B5" s="80"/>
      <c r="C5" s="80">
        <f>+(1794.16+2973.81)</f>
        <v>4767.97</v>
      </c>
      <c r="D5" s="80">
        <f>+(1696.79+2587.55)</f>
        <v>4284.34</v>
      </c>
      <c r="E5" s="80">
        <f>+(2291.38+3042.85)</f>
        <v>5334.23</v>
      </c>
      <c r="F5" s="80">
        <f>+(2054.29+3078.17)</f>
        <v>5132.46</v>
      </c>
      <c r="G5" s="80">
        <f>+(1665.75+2542.52)</f>
        <v>4208.2700000000004</v>
      </c>
      <c r="H5" s="80">
        <f>+(2294.45+2336.33)</f>
        <v>4630.78</v>
      </c>
      <c r="I5" s="80">
        <f>+(1744.77+3111.61)</f>
        <v>4856.38</v>
      </c>
      <c r="J5" s="80">
        <f>+(2234.12+2575.35)</f>
        <v>4809.4699999999993</v>
      </c>
      <c r="K5" s="80">
        <f>+(2490.47+2506.61)</f>
        <v>4997.08</v>
      </c>
      <c r="L5" s="80">
        <f>+(1699.01+3192.05)</f>
        <v>4891.0600000000004</v>
      </c>
      <c r="M5" s="86">
        <f>+(1951.27+2538.02)</f>
        <v>4489.29</v>
      </c>
      <c r="N5" s="80">
        <f>+(2311.48+2413.76)</f>
        <v>4725.24</v>
      </c>
      <c r="O5" s="81">
        <f>SUM(C5:N5)</f>
        <v>57126.57</v>
      </c>
    </row>
    <row r="6" spans="1:15" ht="15.75" thickBot="1" x14ac:dyDescent="0.3">
      <c r="A6" s="63"/>
      <c r="B6" s="64" t="s">
        <v>47</v>
      </c>
      <c r="C6" s="83">
        <f>(C3+C4)/C5</f>
        <v>0.15235204919494041</v>
      </c>
      <c r="D6" s="83">
        <f t="shared" ref="D6:M6" si="0">+(D3+D4)/D5</f>
        <v>0.13060821503428766</v>
      </c>
      <c r="E6" s="83">
        <f t="shared" si="0"/>
        <v>0.13117544612811974</v>
      </c>
      <c r="F6" s="83">
        <f t="shared" si="0"/>
        <v>0.13068002478343718</v>
      </c>
      <c r="G6" s="83">
        <f t="shared" si="0"/>
        <v>0.13060473781387599</v>
      </c>
      <c r="H6" s="83">
        <f t="shared" si="0"/>
        <v>0.13229088836006031</v>
      </c>
      <c r="I6" s="83">
        <f t="shared" si="0"/>
        <v>0.14608823856452749</v>
      </c>
      <c r="J6" s="83">
        <f t="shared" si="0"/>
        <v>0.17418135470228532</v>
      </c>
      <c r="K6" s="83">
        <f t="shared" si="0"/>
        <v>0.17490614518879025</v>
      </c>
      <c r="L6" s="83">
        <f t="shared" si="0"/>
        <v>0.17167035366566757</v>
      </c>
      <c r="M6" s="65">
        <f t="shared" si="0"/>
        <v>0.17354191865528845</v>
      </c>
      <c r="N6" s="83">
        <f>(N3+N4)/N5</f>
        <v>0.17470858623054067</v>
      </c>
      <c r="O6" s="84">
        <f>(O3+O4)/O5</f>
        <v>0.1520152531475284</v>
      </c>
    </row>
    <row r="7" spans="1:15" ht="16.5" thickTop="1" thickBot="1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1"/>
      <c r="N7" s="5"/>
      <c r="O7" s="85"/>
    </row>
    <row r="8" spans="1:15" ht="15.75" thickBot="1" x14ac:dyDescent="0.3">
      <c r="A8" s="110" t="s">
        <v>48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1:15" x14ac:dyDescent="0.25">
      <c r="A9" s="6">
        <v>3351</v>
      </c>
      <c r="B9" s="7" t="s">
        <v>16</v>
      </c>
      <c r="C9" s="8">
        <v>4905</v>
      </c>
      <c r="D9" s="8">
        <v>4288</v>
      </c>
      <c r="E9" s="8">
        <v>5335</v>
      </c>
      <c r="F9" s="8">
        <v>5134</v>
      </c>
      <c r="G9" s="8">
        <v>4209</v>
      </c>
      <c r="H9" s="8">
        <v>4625</v>
      </c>
      <c r="I9" s="8">
        <v>4858</v>
      </c>
      <c r="J9" s="8">
        <v>4811</v>
      </c>
      <c r="K9" s="8">
        <v>5044</v>
      </c>
      <c r="L9" s="8">
        <v>4892</v>
      </c>
      <c r="M9" s="67">
        <v>4497</v>
      </c>
      <c r="N9" s="8">
        <v>4726</v>
      </c>
      <c r="O9" s="9">
        <f>SUM(C9:N9)</f>
        <v>57324</v>
      </c>
    </row>
    <row r="10" spans="1:15" x14ac:dyDescent="0.25">
      <c r="A10" s="4" t="s">
        <v>43</v>
      </c>
      <c r="B10" s="5" t="str">
        <f>B3</f>
        <v>Vendor 1 Residuals (TDS)</v>
      </c>
      <c r="C10" s="10">
        <f>C3</f>
        <v>252.68</v>
      </c>
      <c r="D10" s="10">
        <f t="shared" ref="D10:N11" si="1">D3</f>
        <v>238.97</v>
      </c>
      <c r="E10" s="10">
        <f t="shared" si="1"/>
        <v>322.70999999999998</v>
      </c>
      <c r="F10" s="10">
        <f t="shared" si="1"/>
        <v>289.32</v>
      </c>
      <c r="G10" s="10">
        <f t="shared" si="1"/>
        <v>234.6</v>
      </c>
      <c r="H10" s="10">
        <f t="shared" si="1"/>
        <v>323.14</v>
      </c>
      <c r="I10" s="10">
        <f t="shared" si="1"/>
        <v>323.93</v>
      </c>
      <c r="J10" s="10">
        <f t="shared" si="1"/>
        <v>414.78</v>
      </c>
      <c r="K10" s="10">
        <f t="shared" si="1"/>
        <v>462.37</v>
      </c>
      <c r="L10" s="10">
        <f t="shared" si="1"/>
        <v>315.43</v>
      </c>
      <c r="M10" s="69">
        <f t="shared" si="1"/>
        <v>362.27</v>
      </c>
      <c r="N10" s="10">
        <f t="shared" si="1"/>
        <v>429.14</v>
      </c>
      <c r="O10" s="11">
        <f t="shared" ref="O10:O25" si="2">SUM(C10:N10)</f>
        <v>3969.3399999999992</v>
      </c>
    </row>
    <row r="11" spans="1:15" x14ac:dyDescent="0.25">
      <c r="A11" s="4" t="s">
        <v>45</v>
      </c>
      <c r="B11" s="5" t="str">
        <f>B4</f>
        <v>Vendor 2 Residuals (BAL)</v>
      </c>
      <c r="C11" s="10">
        <f>C4</f>
        <v>473.73</v>
      </c>
      <c r="D11" s="10">
        <f t="shared" si="1"/>
        <v>320.60000000000002</v>
      </c>
      <c r="E11" s="10">
        <f t="shared" si="1"/>
        <v>377.01</v>
      </c>
      <c r="F11" s="10">
        <f t="shared" si="1"/>
        <v>381.39</v>
      </c>
      <c r="G11" s="10">
        <f t="shared" si="1"/>
        <v>315.02</v>
      </c>
      <c r="H11" s="10">
        <f t="shared" si="1"/>
        <v>289.47000000000003</v>
      </c>
      <c r="I11" s="10">
        <f t="shared" si="1"/>
        <v>385.53</v>
      </c>
      <c r="J11" s="10">
        <f t="shared" si="1"/>
        <v>422.94</v>
      </c>
      <c r="K11" s="10">
        <f t="shared" si="1"/>
        <v>411.65</v>
      </c>
      <c r="L11" s="10">
        <f t="shared" si="1"/>
        <v>524.22</v>
      </c>
      <c r="M11" s="69">
        <f t="shared" si="1"/>
        <v>416.81</v>
      </c>
      <c r="N11" s="10">
        <f t="shared" si="1"/>
        <v>396.4</v>
      </c>
      <c r="O11" s="11">
        <f t="shared" si="2"/>
        <v>4714.7700000000004</v>
      </c>
    </row>
    <row r="12" spans="1:15" x14ac:dyDescent="0.25">
      <c r="A12" s="4">
        <v>3359</v>
      </c>
      <c r="B12" s="5" t="s">
        <v>17</v>
      </c>
      <c r="C12" s="10">
        <v>1305</v>
      </c>
      <c r="D12" s="10">
        <v>1003</v>
      </c>
      <c r="E12" s="10">
        <v>3725</v>
      </c>
      <c r="F12" s="10">
        <v>2231</v>
      </c>
      <c r="G12" s="10">
        <v>1890</v>
      </c>
      <c r="H12" s="10">
        <v>4326</v>
      </c>
      <c r="I12" s="10">
        <v>5387</v>
      </c>
      <c r="J12" s="10">
        <v>2567</v>
      </c>
      <c r="K12" s="10">
        <v>1752</v>
      </c>
      <c r="L12" s="10">
        <v>1820</v>
      </c>
      <c r="M12" s="69">
        <v>1215</v>
      </c>
      <c r="N12" s="10">
        <v>1459</v>
      </c>
      <c r="O12" s="11">
        <f t="shared" si="2"/>
        <v>28680</v>
      </c>
    </row>
    <row r="13" spans="1:15" x14ac:dyDescent="0.25">
      <c r="A13" s="4" t="s">
        <v>18</v>
      </c>
      <c r="B13" s="5" t="s">
        <v>19</v>
      </c>
      <c r="C13" s="10">
        <v>13</v>
      </c>
      <c r="D13" s="10">
        <v>11</v>
      </c>
      <c r="E13" s="10">
        <v>18</v>
      </c>
      <c r="F13" s="10">
        <v>12</v>
      </c>
      <c r="G13" s="10">
        <v>12</v>
      </c>
      <c r="H13" s="10">
        <v>4</v>
      </c>
      <c r="I13" s="10">
        <v>10</v>
      </c>
      <c r="J13" s="10">
        <v>24</v>
      </c>
      <c r="K13" s="10">
        <v>18</v>
      </c>
      <c r="L13" s="10">
        <v>26</v>
      </c>
      <c r="M13" s="69">
        <v>9</v>
      </c>
      <c r="N13" s="10">
        <v>14</v>
      </c>
      <c r="O13" s="11">
        <f t="shared" si="2"/>
        <v>171</v>
      </c>
    </row>
    <row r="14" spans="1:15" x14ac:dyDescent="0.25">
      <c r="A14" s="4">
        <v>3325</v>
      </c>
      <c r="B14" s="5" t="s">
        <v>20</v>
      </c>
      <c r="C14" s="10">
        <v>702</v>
      </c>
      <c r="D14" s="10">
        <v>421</v>
      </c>
      <c r="E14" s="10">
        <v>419</v>
      </c>
      <c r="F14" s="10">
        <v>270</v>
      </c>
      <c r="G14" s="10">
        <v>407</v>
      </c>
      <c r="H14" s="10">
        <v>478</v>
      </c>
      <c r="I14" s="10">
        <v>567</v>
      </c>
      <c r="J14" s="10">
        <v>702</v>
      </c>
      <c r="K14" s="10">
        <v>1667</v>
      </c>
      <c r="L14" s="10">
        <v>788</v>
      </c>
      <c r="M14" s="69">
        <v>519</v>
      </c>
      <c r="N14" s="10">
        <v>836</v>
      </c>
      <c r="O14" s="11">
        <f t="shared" si="2"/>
        <v>7776</v>
      </c>
    </row>
    <row r="15" spans="1:15" x14ac:dyDescent="0.25">
      <c r="A15" s="4" t="s">
        <v>49</v>
      </c>
      <c r="B15" s="5" t="s">
        <v>50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69">
        <v>0</v>
      </c>
      <c r="N15" s="10">
        <v>0</v>
      </c>
      <c r="O15" s="11">
        <f t="shared" si="2"/>
        <v>0</v>
      </c>
    </row>
    <row r="16" spans="1:15" x14ac:dyDescent="0.25">
      <c r="A16" s="4">
        <v>7178</v>
      </c>
      <c r="B16" s="5" t="s">
        <v>51</v>
      </c>
      <c r="C16" s="10">
        <v>33.15</v>
      </c>
      <c r="D16" s="10">
        <v>0</v>
      </c>
      <c r="E16" s="10">
        <v>31.48</v>
      </c>
      <c r="F16" s="10">
        <v>29.09</v>
      </c>
      <c r="G16" s="10">
        <v>8.1300000000000008</v>
      </c>
      <c r="H16" s="10">
        <v>15.09</v>
      </c>
      <c r="I16" s="10">
        <v>38.08</v>
      </c>
      <c r="J16" s="10">
        <v>17.03</v>
      </c>
      <c r="K16" s="10">
        <v>26.49</v>
      </c>
      <c r="L16" s="10">
        <v>0</v>
      </c>
      <c r="M16" s="69">
        <v>21.91</v>
      </c>
      <c r="N16" s="10">
        <v>23.27</v>
      </c>
      <c r="O16" s="11">
        <f t="shared" si="2"/>
        <v>243.72</v>
      </c>
    </row>
    <row r="17" spans="1:15" x14ac:dyDescent="0.25">
      <c r="A17" s="116" t="s">
        <v>21</v>
      </c>
      <c r="B17" s="117"/>
      <c r="C17" s="12">
        <f>SUM(C9,C12:C16)-SUM(C10:C11)</f>
        <v>6231.74</v>
      </c>
      <c r="D17" s="12">
        <f t="shared" ref="D17:O17" si="3">SUM(D9,D12:D16)-SUM(D10:D11)</f>
        <v>5163.43</v>
      </c>
      <c r="E17" s="12">
        <f t="shared" si="3"/>
        <v>8828.76</v>
      </c>
      <c r="F17" s="12">
        <f t="shared" si="3"/>
        <v>7005.38</v>
      </c>
      <c r="G17" s="12">
        <f t="shared" si="3"/>
        <v>5976.51</v>
      </c>
      <c r="H17" s="12">
        <f t="shared" si="3"/>
        <v>8835.48</v>
      </c>
      <c r="I17" s="12">
        <f t="shared" si="3"/>
        <v>10150.619999999999</v>
      </c>
      <c r="J17" s="12">
        <f t="shared" si="3"/>
        <v>7283.3099999999995</v>
      </c>
      <c r="K17" s="12">
        <f t="shared" si="3"/>
        <v>7633.4699999999993</v>
      </c>
      <c r="L17" s="12">
        <f t="shared" si="3"/>
        <v>6686.35</v>
      </c>
      <c r="M17" s="71">
        <f t="shared" si="3"/>
        <v>5482.83</v>
      </c>
      <c r="N17" s="12">
        <f t="shared" si="3"/>
        <v>6232.7300000000005</v>
      </c>
      <c r="O17" s="13">
        <f t="shared" si="3"/>
        <v>85510.61</v>
      </c>
    </row>
    <row r="18" spans="1:15" x14ac:dyDescent="0.25">
      <c r="A18" s="4">
        <v>3351</v>
      </c>
      <c r="B18" s="5" t="str">
        <f>B9</f>
        <v>Tons of curbside recycling</v>
      </c>
      <c r="C18" s="10">
        <f t="shared" ref="C18:N18" si="4">C9</f>
        <v>4905</v>
      </c>
      <c r="D18" s="10">
        <f t="shared" si="4"/>
        <v>4288</v>
      </c>
      <c r="E18" s="10">
        <f t="shared" si="4"/>
        <v>5335</v>
      </c>
      <c r="F18" s="10">
        <f t="shared" si="4"/>
        <v>5134</v>
      </c>
      <c r="G18" s="10">
        <f t="shared" si="4"/>
        <v>4209</v>
      </c>
      <c r="H18" s="10">
        <f t="shared" si="4"/>
        <v>4625</v>
      </c>
      <c r="I18" s="10">
        <f t="shared" si="4"/>
        <v>4858</v>
      </c>
      <c r="J18" s="10">
        <f t="shared" si="4"/>
        <v>4811</v>
      </c>
      <c r="K18" s="10">
        <f t="shared" si="4"/>
        <v>5044</v>
      </c>
      <c r="L18" s="10">
        <f t="shared" si="4"/>
        <v>4892</v>
      </c>
      <c r="M18" s="69">
        <f t="shared" si="4"/>
        <v>4497</v>
      </c>
      <c r="N18" s="10">
        <f t="shared" si="4"/>
        <v>4726</v>
      </c>
      <c r="O18" s="11">
        <f t="shared" si="2"/>
        <v>57324</v>
      </c>
    </row>
    <row r="19" spans="1:15" x14ac:dyDescent="0.25">
      <c r="A19" s="4">
        <v>3359</v>
      </c>
      <c r="B19" s="5" t="str">
        <f>B12</f>
        <v xml:space="preserve">Tons of Curbside Yard Trimmings </v>
      </c>
      <c r="C19" s="10">
        <f t="shared" ref="C19:N23" si="5">C12</f>
        <v>1305</v>
      </c>
      <c r="D19" s="10">
        <f t="shared" si="5"/>
        <v>1003</v>
      </c>
      <c r="E19" s="10">
        <f t="shared" si="5"/>
        <v>3725</v>
      </c>
      <c r="F19" s="10">
        <f t="shared" si="5"/>
        <v>2231</v>
      </c>
      <c r="G19" s="10">
        <f t="shared" si="5"/>
        <v>1890</v>
      </c>
      <c r="H19" s="10">
        <f t="shared" si="5"/>
        <v>4326</v>
      </c>
      <c r="I19" s="10">
        <f t="shared" si="5"/>
        <v>5387</v>
      </c>
      <c r="J19" s="10">
        <f t="shared" si="5"/>
        <v>2567</v>
      </c>
      <c r="K19" s="10">
        <f t="shared" si="5"/>
        <v>1752</v>
      </c>
      <c r="L19" s="10">
        <f t="shared" si="5"/>
        <v>1820</v>
      </c>
      <c r="M19" s="69">
        <f t="shared" si="5"/>
        <v>1215</v>
      </c>
      <c r="N19" s="10">
        <f t="shared" si="5"/>
        <v>1459</v>
      </c>
      <c r="O19" s="11">
        <f t="shared" si="2"/>
        <v>28680</v>
      </c>
    </row>
    <row r="20" spans="1:15" x14ac:dyDescent="0.25">
      <c r="A20" s="4" t="s">
        <v>18</v>
      </c>
      <c r="B20" s="5" t="str">
        <f>B13</f>
        <v>Tons of Curbside Bulk Recycled</v>
      </c>
      <c r="C20" s="10">
        <f t="shared" si="5"/>
        <v>13</v>
      </c>
      <c r="D20" s="10">
        <f t="shared" si="5"/>
        <v>11</v>
      </c>
      <c r="E20" s="10">
        <f t="shared" si="5"/>
        <v>18</v>
      </c>
      <c r="F20" s="10">
        <f t="shared" si="5"/>
        <v>12</v>
      </c>
      <c r="G20" s="10">
        <f t="shared" si="5"/>
        <v>12</v>
      </c>
      <c r="H20" s="10">
        <f t="shared" si="5"/>
        <v>4</v>
      </c>
      <c r="I20" s="10">
        <f t="shared" si="5"/>
        <v>10</v>
      </c>
      <c r="J20" s="10">
        <f t="shared" si="5"/>
        <v>24</v>
      </c>
      <c r="K20" s="10">
        <f t="shared" si="5"/>
        <v>18</v>
      </c>
      <c r="L20" s="10">
        <f t="shared" si="5"/>
        <v>26</v>
      </c>
      <c r="M20" s="69">
        <f t="shared" si="5"/>
        <v>9</v>
      </c>
      <c r="N20" s="10">
        <f t="shared" si="5"/>
        <v>14</v>
      </c>
      <c r="O20" s="11">
        <f t="shared" si="2"/>
        <v>171</v>
      </c>
    </row>
    <row r="21" spans="1:15" x14ac:dyDescent="0.25">
      <c r="A21" s="4">
        <v>3325</v>
      </c>
      <c r="B21" s="5" t="str">
        <f>B14</f>
        <v>Tons of Curbside Brush Collected</v>
      </c>
      <c r="C21" s="10">
        <f t="shared" si="5"/>
        <v>702</v>
      </c>
      <c r="D21" s="10">
        <f t="shared" si="5"/>
        <v>421</v>
      </c>
      <c r="E21" s="10">
        <f t="shared" si="5"/>
        <v>419</v>
      </c>
      <c r="F21" s="10">
        <f t="shared" si="5"/>
        <v>270</v>
      </c>
      <c r="G21" s="10">
        <f t="shared" si="5"/>
        <v>407</v>
      </c>
      <c r="H21" s="10">
        <f t="shared" si="5"/>
        <v>478</v>
      </c>
      <c r="I21" s="10">
        <f t="shared" si="5"/>
        <v>567</v>
      </c>
      <c r="J21" s="10">
        <f t="shared" si="5"/>
        <v>702</v>
      </c>
      <c r="K21" s="10">
        <f t="shared" si="5"/>
        <v>1667</v>
      </c>
      <c r="L21" s="10">
        <f t="shared" si="5"/>
        <v>788</v>
      </c>
      <c r="M21" s="69">
        <f t="shared" si="5"/>
        <v>519</v>
      </c>
      <c r="N21" s="10">
        <f t="shared" si="5"/>
        <v>836</v>
      </c>
      <c r="O21" s="11">
        <f t="shared" si="2"/>
        <v>7776</v>
      </c>
    </row>
    <row r="22" spans="1:15" x14ac:dyDescent="0.25">
      <c r="A22" s="4" t="s">
        <v>49</v>
      </c>
      <c r="B22" s="5" t="str">
        <f>B15</f>
        <v>Tons of Curbside Textiles Collected</v>
      </c>
      <c r="C22" s="10">
        <f t="shared" si="5"/>
        <v>0</v>
      </c>
      <c r="D22" s="10">
        <f t="shared" si="5"/>
        <v>0</v>
      </c>
      <c r="E22" s="10">
        <f t="shared" si="5"/>
        <v>0</v>
      </c>
      <c r="F22" s="10">
        <f t="shared" si="5"/>
        <v>0</v>
      </c>
      <c r="G22" s="10">
        <f t="shared" si="5"/>
        <v>0</v>
      </c>
      <c r="H22" s="10">
        <f t="shared" si="5"/>
        <v>0</v>
      </c>
      <c r="I22" s="10">
        <f t="shared" si="5"/>
        <v>0</v>
      </c>
      <c r="J22" s="10">
        <f t="shared" si="5"/>
        <v>0</v>
      </c>
      <c r="K22" s="10">
        <f t="shared" si="5"/>
        <v>0</v>
      </c>
      <c r="L22" s="10">
        <f t="shared" si="5"/>
        <v>0</v>
      </c>
      <c r="M22" s="69">
        <f t="shared" si="5"/>
        <v>0</v>
      </c>
      <c r="N22" s="10">
        <f t="shared" si="5"/>
        <v>0</v>
      </c>
      <c r="O22" s="11">
        <f t="shared" si="2"/>
        <v>0</v>
      </c>
    </row>
    <row r="23" spans="1:15" x14ac:dyDescent="0.25">
      <c r="A23" s="4">
        <v>7178</v>
      </c>
      <c r="B23" s="5" t="str">
        <f>B16</f>
        <v>Tons of carts recycled</v>
      </c>
      <c r="C23" s="10">
        <f t="shared" si="5"/>
        <v>33.15</v>
      </c>
      <c r="D23" s="10">
        <f t="shared" si="5"/>
        <v>0</v>
      </c>
      <c r="E23" s="10">
        <f t="shared" si="5"/>
        <v>31.48</v>
      </c>
      <c r="F23" s="10">
        <f t="shared" si="5"/>
        <v>29.09</v>
      </c>
      <c r="G23" s="10">
        <f t="shared" si="5"/>
        <v>8.1300000000000008</v>
      </c>
      <c r="H23" s="10">
        <f t="shared" si="5"/>
        <v>15.09</v>
      </c>
      <c r="I23" s="10">
        <f t="shared" si="5"/>
        <v>38.08</v>
      </c>
      <c r="J23" s="10">
        <f t="shared" si="5"/>
        <v>17.03</v>
      </c>
      <c r="K23" s="10">
        <f t="shared" si="5"/>
        <v>26.49</v>
      </c>
      <c r="L23" s="10">
        <f t="shared" si="5"/>
        <v>0</v>
      </c>
      <c r="M23" s="69">
        <f t="shared" si="5"/>
        <v>21.91</v>
      </c>
      <c r="N23" s="10">
        <f t="shared" si="5"/>
        <v>23.27</v>
      </c>
      <c r="O23" s="11">
        <f t="shared" si="2"/>
        <v>243.72</v>
      </c>
    </row>
    <row r="24" spans="1:15" x14ac:dyDescent="0.25">
      <c r="A24" s="4">
        <v>3338</v>
      </c>
      <c r="B24" s="5" t="s">
        <v>22</v>
      </c>
      <c r="C24" s="10">
        <v>10282</v>
      </c>
      <c r="D24" s="10">
        <v>9785</v>
      </c>
      <c r="E24" s="10">
        <v>11863</v>
      </c>
      <c r="F24" s="10">
        <v>11150</v>
      </c>
      <c r="G24" s="10">
        <v>9483</v>
      </c>
      <c r="H24" s="10">
        <v>11090</v>
      </c>
      <c r="I24" s="10">
        <v>11698</v>
      </c>
      <c r="J24" s="10">
        <v>11180</v>
      </c>
      <c r="K24" s="10">
        <v>11979</v>
      </c>
      <c r="L24" s="10">
        <v>11746</v>
      </c>
      <c r="M24" s="69">
        <v>10189</v>
      </c>
      <c r="N24" s="10">
        <v>10339</v>
      </c>
      <c r="O24" s="11">
        <f t="shared" si="2"/>
        <v>130784</v>
      </c>
    </row>
    <row r="25" spans="1:15" x14ac:dyDescent="0.25">
      <c r="A25" s="4" t="s">
        <v>23</v>
      </c>
      <c r="B25" s="5" t="s">
        <v>24</v>
      </c>
      <c r="C25" s="10">
        <v>704</v>
      </c>
      <c r="D25" s="10">
        <v>576</v>
      </c>
      <c r="E25" s="10">
        <v>576</v>
      </c>
      <c r="F25" s="10">
        <v>530</v>
      </c>
      <c r="G25" s="10">
        <v>757</v>
      </c>
      <c r="H25" s="10">
        <v>121</v>
      </c>
      <c r="I25" s="10">
        <v>567</v>
      </c>
      <c r="J25" s="10">
        <v>1051</v>
      </c>
      <c r="K25" s="10">
        <v>1065</v>
      </c>
      <c r="L25" s="10">
        <v>1290</v>
      </c>
      <c r="M25" s="69">
        <v>989</v>
      </c>
      <c r="N25" s="10">
        <v>1299</v>
      </c>
      <c r="O25" s="11">
        <f t="shared" si="2"/>
        <v>9525</v>
      </c>
    </row>
    <row r="26" spans="1:15" x14ac:dyDescent="0.25">
      <c r="A26" s="116" t="s">
        <v>25</v>
      </c>
      <c r="B26" s="117"/>
      <c r="C26" s="12">
        <f>SUM(C18:C25)</f>
        <v>17944.150000000001</v>
      </c>
      <c r="D26" s="12">
        <f t="shared" ref="D26:O26" si="6">SUM(D18:D25)</f>
        <v>16084</v>
      </c>
      <c r="E26" s="12">
        <f t="shared" si="6"/>
        <v>21967.48</v>
      </c>
      <c r="F26" s="12">
        <f t="shared" si="6"/>
        <v>19356.09</v>
      </c>
      <c r="G26" s="12">
        <f t="shared" si="6"/>
        <v>16766.13</v>
      </c>
      <c r="H26" s="12">
        <f t="shared" si="6"/>
        <v>20659.09</v>
      </c>
      <c r="I26" s="12">
        <f t="shared" si="6"/>
        <v>23125.08</v>
      </c>
      <c r="J26" s="12">
        <f t="shared" si="6"/>
        <v>20352.03</v>
      </c>
      <c r="K26" s="12">
        <f t="shared" si="6"/>
        <v>21551.489999999998</v>
      </c>
      <c r="L26" s="12">
        <f t="shared" si="6"/>
        <v>20562</v>
      </c>
      <c r="M26" s="71">
        <f t="shared" si="6"/>
        <v>17439.91</v>
      </c>
      <c r="N26" s="12">
        <f t="shared" si="6"/>
        <v>18696.27</v>
      </c>
      <c r="O26" s="13">
        <f t="shared" si="6"/>
        <v>234503.72</v>
      </c>
    </row>
    <row r="27" spans="1:1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1"/>
      <c r="N27" s="5"/>
      <c r="O27" s="14"/>
    </row>
    <row r="28" spans="1:15" ht="15.75" thickBot="1" x14ac:dyDescent="0.3">
      <c r="A28" s="15">
        <v>9107</v>
      </c>
      <c r="B28" s="16" t="s">
        <v>52</v>
      </c>
      <c r="C28" s="17">
        <f>+C17/C26</f>
        <v>0.34728532697285741</v>
      </c>
      <c r="D28" s="17">
        <f t="shared" ref="D28:O28" si="7">+D17/D26</f>
        <v>0.32102897289231536</v>
      </c>
      <c r="E28" s="17">
        <f t="shared" si="7"/>
        <v>0.40190135600442112</v>
      </c>
      <c r="F28" s="17">
        <f t="shared" si="7"/>
        <v>0.36192123512548247</v>
      </c>
      <c r="G28" s="17">
        <f t="shared" si="7"/>
        <v>0.35646329832823676</v>
      </c>
      <c r="H28" s="17">
        <f t="shared" si="7"/>
        <v>0.42768001881980278</v>
      </c>
      <c r="I28" s="17">
        <f t="shared" si="7"/>
        <v>0.43894421122002597</v>
      </c>
      <c r="J28" s="17">
        <f t="shared" si="7"/>
        <v>0.3578665125788435</v>
      </c>
      <c r="K28" s="17">
        <f t="shared" si="7"/>
        <v>0.35419685599464351</v>
      </c>
      <c r="L28" s="17">
        <f t="shared" si="7"/>
        <v>0.32517994358525437</v>
      </c>
      <c r="M28" s="74">
        <f t="shared" si="7"/>
        <v>0.31438407652333067</v>
      </c>
      <c r="N28" s="17">
        <f t="shared" si="7"/>
        <v>0.33336756476024365</v>
      </c>
      <c r="O28" s="18">
        <f t="shared" si="7"/>
        <v>0.36464500435216979</v>
      </c>
    </row>
    <row r="29" spans="1:15" ht="15.75" thickBot="1" x14ac:dyDescent="0.3"/>
    <row r="30" spans="1:15" ht="15.75" thickBot="1" x14ac:dyDescent="0.3">
      <c r="A30" s="110" t="s">
        <v>53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2"/>
    </row>
    <row r="31" spans="1:15" x14ac:dyDescent="0.25">
      <c r="A31" s="6">
        <v>3351</v>
      </c>
      <c r="B31" s="7" t="s">
        <v>16</v>
      </c>
      <c r="C31" s="8">
        <f>C9</f>
        <v>4905</v>
      </c>
      <c r="D31" s="8">
        <f t="shared" ref="D31:O31" si="8">D9</f>
        <v>4288</v>
      </c>
      <c r="E31" s="8">
        <f t="shared" si="8"/>
        <v>5335</v>
      </c>
      <c r="F31" s="8">
        <f t="shared" si="8"/>
        <v>5134</v>
      </c>
      <c r="G31" s="8">
        <f t="shared" si="8"/>
        <v>4209</v>
      </c>
      <c r="H31" s="8">
        <f t="shared" si="8"/>
        <v>4625</v>
      </c>
      <c r="I31" s="8">
        <f t="shared" si="8"/>
        <v>4858</v>
      </c>
      <c r="J31" s="8">
        <f t="shared" si="8"/>
        <v>4811</v>
      </c>
      <c r="K31" s="8">
        <f t="shared" si="8"/>
        <v>5044</v>
      </c>
      <c r="L31" s="8">
        <f t="shared" si="8"/>
        <v>4892</v>
      </c>
      <c r="M31" s="67">
        <f t="shared" si="8"/>
        <v>4497</v>
      </c>
      <c r="N31" s="8">
        <f t="shared" si="8"/>
        <v>4726</v>
      </c>
      <c r="O31" s="9">
        <f t="shared" si="8"/>
        <v>57324</v>
      </c>
    </row>
    <row r="32" spans="1:15" x14ac:dyDescent="0.25">
      <c r="A32" s="4" t="s">
        <v>43</v>
      </c>
      <c r="B32" s="5" t="str">
        <f>B3</f>
        <v>Vendor 1 Residuals (TDS)</v>
      </c>
      <c r="C32" s="10">
        <f t="shared" ref="C32:O38" si="9">C10</f>
        <v>252.68</v>
      </c>
      <c r="D32" s="10">
        <f t="shared" si="9"/>
        <v>238.97</v>
      </c>
      <c r="E32" s="10">
        <f t="shared" si="9"/>
        <v>322.70999999999998</v>
      </c>
      <c r="F32" s="10">
        <f t="shared" si="9"/>
        <v>289.32</v>
      </c>
      <c r="G32" s="10">
        <f t="shared" si="9"/>
        <v>234.6</v>
      </c>
      <c r="H32" s="10">
        <f t="shared" si="9"/>
        <v>323.14</v>
      </c>
      <c r="I32" s="10">
        <f t="shared" si="9"/>
        <v>323.93</v>
      </c>
      <c r="J32" s="10">
        <f t="shared" si="9"/>
        <v>414.78</v>
      </c>
      <c r="K32" s="10">
        <f t="shared" si="9"/>
        <v>462.37</v>
      </c>
      <c r="L32" s="10">
        <f t="shared" si="9"/>
        <v>315.43</v>
      </c>
      <c r="M32" s="69">
        <f t="shared" si="9"/>
        <v>362.27</v>
      </c>
      <c r="N32" s="10">
        <f t="shared" si="9"/>
        <v>429.14</v>
      </c>
      <c r="O32" s="11">
        <f t="shared" si="9"/>
        <v>3969.3399999999992</v>
      </c>
    </row>
    <row r="33" spans="1:15" x14ac:dyDescent="0.25">
      <c r="A33" s="4" t="s">
        <v>45</v>
      </c>
      <c r="B33" s="5" t="str">
        <f>B4</f>
        <v>Vendor 2 Residuals (BAL)</v>
      </c>
      <c r="C33" s="10">
        <f t="shared" si="9"/>
        <v>473.73</v>
      </c>
      <c r="D33" s="10">
        <f t="shared" si="9"/>
        <v>320.60000000000002</v>
      </c>
      <c r="E33" s="10">
        <f t="shared" si="9"/>
        <v>377.01</v>
      </c>
      <c r="F33" s="10">
        <f t="shared" si="9"/>
        <v>381.39</v>
      </c>
      <c r="G33" s="10">
        <f t="shared" si="9"/>
        <v>315.02</v>
      </c>
      <c r="H33" s="10">
        <f t="shared" si="9"/>
        <v>289.47000000000003</v>
      </c>
      <c r="I33" s="10">
        <f t="shared" si="9"/>
        <v>385.53</v>
      </c>
      <c r="J33" s="10">
        <f t="shared" si="9"/>
        <v>422.94</v>
      </c>
      <c r="K33" s="10">
        <f t="shared" si="9"/>
        <v>411.65</v>
      </c>
      <c r="L33" s="10">
        <f t="shared" si="9"/>
        <v>524.22</v>
      </c>
      <c r="M33" s="69">
        <f t="shared" si="9"/>
        <v>416.81</v>
      </c>
      <c r="N33" s="10">
        <f t="shared" si="9"/>
        <v>396.4</v>
      </c>
      <c r="O33" s="11">
        <f t="shared" si="9"/>
        <v>4714.7700000000004</v>
      </c>
    </row>
    <row r="34" spans="1:15" x14ac:dyDescent="0.25">
      <c r="A34" s="4">
        <v>3359</v>
      </c>
      <c r="B34" s="5" t="s">
        <v>17</v>
      </c>
      <c r="C34" s="10">
        <f t="shared" si="9"/>
        <v>1305</v>
      </c>
      <c r="D34" s="10">
        <f t="shared" si="9"/>
        <v>1003</v>
      </c>
      <c r="E34" s="10">
        <f t="shared" si="9"/>
        <v>3725</v>
      </c>
      <c r="F34" s="10">
        <f t="shared" si="9"/>
        <v>2231</v>
      </c>
      <c r="G34" s="10">
        <f t="shared" si="9"/>
        <v>1890</v>
      </c>
      <c r="H34" s="10">
        <f t="shared" si="9"/>
        <v>4326</v>
      </c>
      <c r="I34" s="10">
        <f t="shared" si="9"/>
        <v>5387</v>
      </c>
      <c r="J34" s="10">
        <f t="shared" si="9"/>
        <v>2567</v>
      </c>
      <c r="K34" s="10">
        <f t="shared" si="9"/>
        <v>1752</v>
      </c>
      <c r="L34" s="10">
        <f t="shared" si="9"/>
        <v>1820</v>
      </c>
      <c r="M34" s="69">
        <f t="shared" si="9"/>
        <v>1215</v>
      </c>
      <c r="N34" s="10">
        <f t="shared" si="9"/>
        <v>1459</v>
      </c>
      <c r="O34" s="11">
        <f t="shared" si="9"/>
        <v>28680</v>
      </c>
    </row>
    <row r="35" spans="1:15" x14ac:dyDescent="0.25">
      <c r="A35" s="4" t="s">
        <v>18</v>
      </c>
      <c r="B35" s="5" t="s">
        <v>19</v>
      </c>
      <c r="C35" s="10">
        <f t="shared" si="9"/>
        <v>13</v>
      </c>
      <c r="D35" s="10">
        <f t="shared" si="9"/>
        <v>11</v>
      </c>
      <c r="E35" s="10">
        <f t="shared" si="9"/>
        <v>18</v>
      </c>
      <c r="F35" s="10">
        <f t="shared" si="9"/>
        <v>12</v>
      </c>
      <c r="G35" s="10">
        <f t="shared" si="9"/>
        <v>12</v>
      </c>
      <c r="H35" s="10">
        <f t="shared" si="9"/>
        <v>4</v>
      </c>
      <c r="I35" s="10">
        <f t="shared" si="9"/>
        <v>10</v>
      </c>
      <c r="J35" s="10">
        <f t="shared" si="9"/>
        <v>24</v>
      </c>
      <c r="K35" s="10">
        <f t="shared" si="9"/>
        <v>18</v>
      </c>
      <c r="L35" s="10">
        <f t="shared" si="9"/>
        <v>26</v>
      </c>
      <c r="M35" s="69">
        <f t="shared" si="9"/>
        <v>9</v>
      </c>
      <c r="N35" s="10">
        <f t="shared" si="9"/>
        <v>14</v>
      </c>
      <c r="O35" s="11">
        <f t="shared" si="9"/>
        <v>171</v>
      </c>
    </row>
    <row r="36" spans="1:15" x14ac:dyDescent="0.25">
      <c r="A36" s="4">
        <v>3325</v>
      </c>
      <c r="B36" s="5" t="s">
        <v>20</v>
      </c>
      <c r="C36" s="10">
        <f t="shared" si="9"/>
        <v>702</v>
      </c>
      <c r="D36" s="10">
        <f t="shared" si="9"/>
        <v>421</v>
      </c>
      <c r="E36" s="10">
        <f t="shared" si="9"/>
        <v>419</v>
      </c>
      <c r="F36" s="10">
        <f t="shared" si="9"/>
        <v>270</v>
      </c>
      <c r="G36" s="10">
        <f t="shared" si="9"/>
        <v>407</v>
      </c>
      <c r="H36" s="10">
        <f t="shared" si="9"/>
        <v>478</v>
      </c>
      <c r="I36" s="10">
        <f t="shared" si="9"/>
        <v>567</v>
      </c>
      <c r="J36" s="10">
        <f t="shared" si="9"/>
        <v>702</v>
      </c>
      <c r="K36" s="10">
        <f t="shared" si="9"/>
        <v>1667</v>
      </c>
      <c r="L36" s="10">
        <f t="shared" si="9"/>
        <v>788</v>
      </c>
      <c r="M36" s="69">
        <f t="shared" si="9"/>
        <v>519</v>
      </c>
      <c r="N36" s="10">
        <f t="shared" si="9"/>
        <v>836</v>
      </c>
      <c r="O36" s="11">
        <f t="shared" si="9"/>
        <v>7776</v>
      </c>
    </row>
    <row r="37" spans="1:15" x14ac:dyDescent="0.25">
      <c r="A37" s="4" t="s">
        <v>49</v>
      </c>
      <c r="B37" s="5" t="s">
        <v>50</v>
      </c>
      <c r="C37" s="10">
        <f t="shared" si="9"/>
        <v>0</v>
      </c>
      <c r="D37" s="10">
        <f t="shared" si="9"/>
        <v>0</v>
      </c>
      <c r="E37" s="10">
        <f t="shared" si="9"/>
        <v>0</v>
      </c>
      <c r="F37" s="10">
        <f t="shared" si="9"/>
        <v>0</v>
      </c>
      <c r="G37" s="10">
        <f t="shared" si="9"/>
        <v>0</v>
      </c>
      <c r="H37" s="10">
        <f t="shared" si="9"/>
        <v>0</v>
      </c>
      <c r="I37" s="10">
        <f t="shared" si="9"/>
        <v>0</v>
      </c>
      <c r="J37" s="10">
        <f t="shared" si="9"/>
        <v>0</v>
      </c>
      <c r="K37" s="10">
        <f t="shared" si="9"/>
        <v>0</v>
      </c>
      <c r="L37" s="10">
        <f t="shared" si="9"/>
        <v>0</v>
      </c>
      <c r="M37" s="69">
        <f t="shared" si="9"/>
        <v>0</v>
      </c>
      <c r="N37" s="10">
        <f t="shared" si="9"/>
        <v>0</v>
      </c>
      <c r="O37" s="11">
        <f t="shared" si="9"/>
        <v>0</v>
      </c>
    </row>
    <row r="38" spans="1:15" x14ac:dyDescent="0.25">
      <c r="A38" s="4">
        <v>7178</v>
      </c>
      <c r="B38" s="5" t="s">
        <v>51</v>
      </c>
      <c r="C38" s="10">
        <f t="shared" si="9"/>
        <v>33.15</v>
      </c>
      <c r="D38" s="10">
        <f t="shared" si="9"/>
        <v>0</v>
      </c>
      <c r="E38" s="10">
        <f t="shared" si="9"/>
        <v>31.48</v>
      </c>
      <c r="F38" s="10">
        <f t="shared" si="9"/>
        <v>29.09</v>
      </c>
      <c r="G38" s="10">
        <f t="shared" si="9"/>
        <v>8.1300000000000008</v>
      </c>
      <c r="H38" s="10">
        <f t="shared" si="9"/>
        <v>15.09</v>
      </c>
      <c r="I38" s="10">
        <f t="shared" si="9"/>
        <v>38.08</v>
      </c>
      <c r="J38" s="10">
        <f t="shared" si="9"/>
        <v>17.03</v>
      </c>
      <c r="K38" s="10">
        <f t="shared" si="9"/>
        <v>26.49</v>
      </c>
      <c r="L38" s="10">
        <f t="shared" si="9"/>
        <v>0</v>
      </c>
      <c r="M38" s="69">
        <f t="shared" si="9"/>
        <v>21.91</v>
      </c>
      <c r="N38" s="10">
        <f t="shared" si="9"/>
        <v>23.27</v>
      </c>
      <c r="O38" s="11">
        <f t="shared" si="9"/>
        <v>243.72</v>
      </c>
    </row>
    <row r="39" spans="1:15" x14ac:dyDescent="0.25">
      <c r="A39" s="4">
        <v>7993</v>
      </c>
      <c r="B39" s="5" t="s">
        <v>26</v>
      </c>
      <c r="C39" s="10">
        <v>30.71</v>
      </c>
      <c r="D39" s="10">
        <v>10.98</v>
      </c>
      <c r="E39" s="10">
        <v>20.78</v>
      </c>
      <c r="F39" s="10">
        <v>3.03</v>
      </c>
      <c r="G39" s="10">
        <v>17.63</v>
      </c>
      <c r="H39" s="10">
        <v>37.6</v>
      </c>
      <c r="I39" s="10">
        <v>34.44</v>
      </c>
      <c r="J39" s="10">
        <v>29.1</v>
      </c>
      <c r="K39" s="10">
        <v>32.35</v>
      </c>
      <c r="L39" s="10">
        <v>31.76</v>
      </c>
      <c r="M39" s="69">
        <v>29.87</v>
      </c>
      <c r="N39" s="10">
        <v>32.79</v>
      </c>
      <c r="O39" s="11">
        <f>SUM(C39:N39)</f>
        <v>311.03999999999996</v>
      </c>
    </row>
    <row r="40" spans="1:15" x14ac:dyDescent="0.25">
      <c r="A40" s="4">
        <v>8344</v>
      </c>
      <c r="B40" s="5" t="s">
        <v>54</v>
      </c>
      <c r="C40" s="10">
        <v>32.130000000000003</v>
      </c>
      <c r="D40" s="10">
        <v>41.49</v>
      </c>
      <c r="E40" s="10">
        <v>54.21</v>
      </c>
      <c r="F40" s="10">
        <v>33.71</v>
      </c>
      <c r="G40" s="10">
        <v>28.4</v>
      </c>
      <c r="H40" s="10">
        <v>33.26</v>
      </c>
      <c r="I40" s="10">
        <v>29.43</v>
      </c>
      <c r="J40" s="10">
        <v>41.95</v>
      </c>
      <c r="K40" s="10">
        <v>62.93</v>
      </c>
      <c r="L40" s="10">
        <v>57.59</v>
      </c>
      <c r="M40" s="69">
        <v>29.94</v>
      </c>
      <c r="N40" s="10">
        <v>66.97</v>
      </c>
      <c r="O40" s="11">
        <f t="shared" ref="O40:O42" si="10">SUM(C40:N40)</f>
        <v>512.01</v>
      </c>
    </row>
    <row r="41" spans="1:15" x14ac:dyDescent="0.25">
      <c r="A41" s="4" t="s">
        <v>55</v>
      </c>
      <c r="B41" s="61" t="s">
        <v>62</v>
      </c>
      <c r="C41" s="10">
        <v>0</v>
      </c>
      <c r="D41" s="10">
        <v>0</v>
      </c>
      <c r="E41" s="10">
        <v>0</v>
      </c>
      <c r="F41" s="10">
        <f>'[1]RRC BRUSH'!B2</f>
        <v>0</v>
      </c>
      <c r="G41" s="10">
        <f>'[1]RRC BRUSH'!C2</f>
        <v>3.77</v>
      </c>
      <c r="H41" s="10">
        <f>'[1]RRC BRUSH'!D2</f>
        <v>10.83</v>
      </c>
      <c r="I41" s="10">
        <f>'[1]RRC BRUSH'!E2</f>
        <v>17.55</v>
      </c>
      <c r="J41" s="10">
        <f>'[1]RRC BRUSH'!F2</f>
        <v>30.5</v>
      </c>
      <c r="K41" s="10">
        <f>'[1]RRC BRUSH'!G2</f>
        <v>16.489999999999998</v>
      </c>
      <c r="L41" s="10">
        <f>'[1]RRC BRUSH'!H2</f>
        <v>20.79</v>
      </c>
      <c r="M41" s="69">
        <f>'[1]RRC BRUSH'!I2</f>
        <v>14.85</v>
      </c>
      <c r="N41" s="10">
        <f>'[1]RRC BRUSH'!J2</f>
        <v>24.32</v>
      </c>
      <c r="O41" s="11">
        <f t="shared" si="10"/>
        <v>139.1</v>
      </c>
    </row>
    <row r="42" spans="1:15" x14ac:dyDescent="0.25">
      <c r="A42" t="s">
        <v>56</v>
      </c>
      <c r="B42" s="61" t="s">
        <v>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>2340/2000</f>
        <v>1.17</v>
      </c>
      <c r="J42">
        <f>2280/2000</f>
        <v>1.1399999999999999</v>
      </c>
      <c r="K42">
        <f>1640/2000</f>
        <v>0.82</v>
      </c>
      <c r="L42">
        <f>1440/2000</f>
        <v>0.72</v>
      </c>
      <c r="M42" s="76">
        <f>5640/2000</f>
        <v>2.82</v>
      </c>
      <c r="N42">
        <f>4980/2000</f>
        <v>2.4900000000000002</v>
      </c>
      <c r="O42" s="11">
        <f t="shared" si="10"/>
        <v>9.16</v>
      </c>
    </row>
    <row r="43" spans="1:15" x14ac:dyDescent="0.25">
      <c r="A43" s="116" t="s">
        <v>21</v>
      </c>
      <c r="B43" s="117"/>
      <c r="C43" s="12">
        <f>SUM(C31,C34:C42)-SUM(C32:C33)</f>
        <v>6294.58</v>
      </c>
      <c r="D43" s="12">
        <f t="shared" ref="D43:N43" si="11">SUM(D31,D34:D42)-SUM(D32:D33)</f>
        <v>5215.8999999999996</v>
      </c>
      <c r="E43" s="12">
        <f t="shared" si="11"/>
        <v>8903.75</v>
      </c>
      <c r="F43" s="12">
        <f t="shared" si="11"/>
        <v>7042.12</v>
      </c>
      <c r="G43" s="12">
        <f t="shared" si="11"/>
        <v>6026.31</v>
      </c>
      <c r="H43" s="12">
        <f t="shared" si="11"/>
        <v>8917.17</v>
      </c>
      <c r="I43" s="12">
        <f t="shared" si="11"/>
        <v>10233.209999999999</v>
      </c>
      <c r="J43" s="12">
        <f t="shared" si="11"/>
        <v>7385.9999999999991</v>
      </c>
      <c r="K43" s="12">
        <f t="shared" si="11"/>
        <v>7746.0599999999995</v>
      </c>
      <c r="L43" s="12">
        <f t="shared" si="11"/>
        <v>6797.2100000000009</v>
      </c>
      <c r="M43" s="71">
        <f t="shared" si="11"/>
        <v>5560.3099999999995</v>
      </c>
      <c r="N43" s="12">
        <f t="shared" si="11"/>
        <v>6359.3</v>
      </c>
      <c r="O43" s="13">
        <f>SUM(O31,O34:O42)-SUM(O32:O33)</f>
        <v>86481.919999999998</v>
      </c>
    </row>
    <row r="44" spans="1:15" x14ac:dyDescent="0.25">
      <c r="A44" s="4">
        <v>3351</v>
      </c>
      <c r="B44" s="5" t="str">
        <f>B31</f>
        <v>Tons of curbside recycling</v>
      </c>
      <c r="C44" s="10">
        <f>C18</f>
        <v>4905</v>
      </c>
      <c r="D44" s="10">
        <f t="shared" ref="D44:O44" si="12">D18</f>
        <v>4288</v>
      </c>
      <c r="E44" s="10">
        <f t="shared" si="12"/>
        <v>5335</v>
      </c>
      <c r="F44" s="10">
        <f t="shared" si="12"/>
        <v>5134</v>
      </c>
      <c r="G44" s="10">
        <f t="shared" si="12"/>
        <v>4209</v>
      </c>
      <c r="H44" s="10">
        <f t="shared" si="12"/>
        <v>4625</v>
      </c>
      <c r="I44" s="10">
        <f t="shared" si="12"/>
        <v>4858</v>
      </c>
      <c r="J44" s="10">
        <f t="shared" si="12"/>
        <v>4811</v>
      </c>
      <c r="K44" s="10">
        <f t="shared" si="12"/>
        <v>5044</v>
      </c>
      <c r="L44" s="10">
        <f t="shared" si="12"/>
        <v>4892</v>
      </c>
      <c r="M44" s="69">
        <f t="shared" si="12"/>
        <v>4497</v>
      </c>
      <c r="N44" s="10">
        <f t="shared" si="12"/>
        <v>4726</v>
      </c>
      <c r="O44" s="11">
        <f t="shared" si="12"/>
        <v>57324</v>
      </c>
    </row>
    <row r="45" spans="1:15" x14ac:dyDescent="0.25">
      <c r="A45" s="4">
        <v>3359</v>
      </c>
      <c r="B45" s="5" t="str">
        <f>B34</f>
        <v xml:space="preserve">Tons of Curbside Yard Trimmings </v>
      </c>
      <c r="C45" s="10">
        <f t="shared" ref="C45:O51" si="13">C19</f>
        <v>1305</v>
      </c>
      <c r="D45" s="10">
        <f t="shared" si="13"/>
        <v>1003</v>
      </c>
      <c r="E45" s="10">
        <f t="shared" si="13"/>
        <v>3725</v>
      </c>
      <c r="F45" s="10">
        <f t="shared" si="13"/>
        <v>2231</v>
      </c>
      <c r="G45" s="10">
        <f t="shared" si="13"/>
        <v>1890</v>
      </c>
      <c r="H45" s="10">
        <f t="shared" si="13"/>
        <v>4326</v>
      </c>
      <c r="I45" s="10">
        <f t="shared" si="13"/>
        <v>5387</v>
      </c>
      <c r="J45" s="10">
        <f t="shared" si="13"/>
        <v>2567</v>
      </c>
      <c r="K45" s="10">
        <f t="shared" si="13"/>
        <v>1752</v>
      </c>
      <c r="L45" s="10">
        <f t="shared" si="13"/>
        <v>1820</v>
      </c>
      <c r="M45" s="69">
        <f t="shared" si="13"/>
        <v>1215</v>
      </c>
      <c r="N45" s="10">
        <f t="shared" si="13"/>
        <v>1459</v>
      </c>
      <c r="O45" s="11">
        <f t="shared" si="13"/>
        <v>28680</v>
      </c>
    </row>
    <row r="46" spans="1:15" x14ac:dyDescent="0.25">
      <c r="A46" s="4" t="s">
        <v>18</v>
      </c>
      <c r="B46" s="5" t="str">
        <f>B35</f>
        <v>Tons of Curbside Bulk Recycled</v>
      </c>
      <c r="C46" s="10">
        <f t="shared" si="13"/>
        <v>13</v>
      </c>
      <c r="D46" s="10">
        <f t="shared" si="13"/>
        <v>11</v>
      </c>
      <c r="E46" s="10">
        <f t="shared" si="13"/>
        <v>18</v>
      </c>
      <c r="F46" s="10">
        <f t="shared" si="13"/>
        <v>12</v>
      </c>
      <c r="G46" s="10">
        <f t="shared" si="13"/>
        <v>12</v>
      </c>
      <c r="H46" s="10">
        <f t="shared" si="13"/>
        <v>4</v>
      </c>
      <c r="I46" s="10">
        <f t="shared" si="13"/>
        <v>10</v>
      </c>
      <c r="J46" s="10">
        <f t="shared" si="13"/>
        <v>24</v>
      </c>
      <c r="K46" s="10">
        <f t="shared" si="13"/>
        <v>18</v>
      </c>
      <c r="L46" s="10">
        <f t="shared" si="13"/>
        <v>26</v>
      </c>
      <c r="M46" s="69">
        <f t="shared" si="13"/>
        <v>9</v>
      </c>
      <c r="N46" s="10">
        <f t="shared" si="13"/>
        <v>14</v>
      </c>
      <c r="O46" s="11">
        <f t="shared" si="13"/>
        <v>171</v>
      </c>
    </row>
    <row r="47" spans="1:15" x14ac:dyDescent="0.25">
      <c r="A47" s="4">
        <v>3325</v>
      </c>
      <c r="B47" s="5" t="str">
        <f>B36</f>
        <v>Tons of Curbside Brush Collected</v>
      </c>
      <c r="C47" s="10">
        <f t="shared" si="13"/>
        <v>702</v>
      </c>
      <c r="D47" s="10">
        <f t="shared" si="13"/>
        <v>421</v>
      </c>
      <c r="E47" s="10">
        <f t="shared" si="13"/>
        <v>419</v>
      </c>
      <c r="F47" s="10">
        <f t="shared" si="13"/>
        <v>270</v>
      </c>
      <c r="G47" s="10">
        <f t="shared" si="13"/>
        <v>407</v>
      </c>
      <c r="H47" s="10">
        <f t="shared" si="13"/>
        <v>478</v>
      </c>
      <c r="I47" s="10">
        <f t="shared" si="13"/>
        <v>567</v>
      </c>
      <c r="J47" s="10">
        <f t="shared" si="13"/>
        <v>702</v>
      </c>
      <c r="K47" s="10">
        <f t="shared" si="13"/>
        <v>1667</v>
      </c>
      <c r="L47" s="10">
        <f t="shared" si="13"/>
        <v>788</v>
      </c>
      <c r="M47" s="69">
        <f t="shared" si="13"/>
        <v>519</v>
      </c>
      <c r="N47" s="10">
        <f t="shared" si="13"/>
        <v>836</v>
      </c>
      <c r="O47" s="11">
        <f t="shared" si="13"/>
        <v>7776</v>
      </c>
    </row>
    <row r="48" spans="1:15" x14ac:dyDescent="0.25">
      <c r="A48" s="4" t="s">
        <v>49</v>
      </c>
      <c r="B48" s="5" t="str">
        <f>B37</f>
        <v>Tons of Curbside Textiles Collected</v>
      </c>
      <c r="C48" s="10">
        <f t="shared" si="13"/>
        <v>0</v>
      </c>
      <c r="D48" s="10">
        <f t="shared" si="13"/>
        <v>0</v>
      </c>
      <c r="E48" s="10">
        <f t="shared" si="13"/>
        <v>0</v>
      </c>
      <c r="F48" s="10">
        <f t="shared" si="13"/>
        <v>0</v>
      </c>
      <c r="G48" s="10">
        <f t="shared" si="13"/>
        <v>0</v>
      </c>
      <c r="H48" s="10">
        <f t="shared" si="13"/>
        <v>0</v>
      </c>
      <c r="I48" s="10">
        <f t="shared" si="13"/>
        <v>0</v>
      </c>
      <c r="J48" s="10">
        <f t="shared" si="13"/>
        <v>0</v>
      </c>
      <c r="K48" s="10">
        <f t="shared" si="13"/>
        <v>0</v>
      </c>
      <c r="L48" s="10">
        <f t="shared" si="13"/>
        <v>0</v>
      </c>
      <c r="M48" s="69">
        <f t="shared" si="13"/>
        <v>0</v>
      </c>
      <c r="N48" s="10">
        <f t="shared" si="13"/>
        <v>0</v>
      </c>
      <c r="O48" s="11">
        <f t="shared" si="13"/>
        <v>0</v>
      </c>
    </row>
    <row r="49" spans="1:15" x14ac:dyDescent="0.25">
      <c r="A49" s="4">
        <v>7178</v>
      </c>
      <c r="B49" s="5" t="str">
        <f>B38</f>
        <v>Tons of carts recycled</v>
      </c>
      <c r="C49" s="10">
        <f t="shared" si="13"/>
        <v>33.15</v>
      </c>
      <c r="D49" s="10">
        <f t="shared" si="13"/>
        <v>0</v>
      </c>
      <c r="E49" s="10">
        <f t="shared" si="13"/>
        <v>31.48</v>
      </c>
      <c r="F49" s="10">
        <f t="shared" si="13"/>
        <v>29.09</v>
      </c>
      <c r="G49" s="10">
        <f t="shared" si="13"/>
        <v>8.1300000000000008</v>
      </c>
      <c r="H49" s="10">
        <f t="shared" si="13"/>
        <v>15.09</v>
      </c>
      <c r="I49" s="10">
        <f t="shared" si="13"/>
        <v>38.08</v>
      </c>
      <c r="J49" s="10">
        <f t="shared" si="13"/>
        <v>17.03</v>
      </c>
      <c r="K49" s="10">
        <f t="shared" si="13"/>
        <v>26.49</v>
      </c>
      <c r="L49" s="10">
        <f t="shared" si="13"/>
        <v>0</v>
      </c>
      <c r="M49" s="69">
        <f t="shared" si="13"/>
        <v>21.91</v>
      </c>
      <c r="N49" s="10">
        <f t="shared" si="13"/>
        <v>23.27</v>
      </c>
      <c r="O49" s="11">
        <f t="shared" si="13"/>
        <v>243.72</v>
      </c>
    </row>
    <row r="50" spans="1:15" x14ac:dyDescent="0.25">
      <c r="A50" s="4">
        <v>3338</v>
      </c>
      <c r="B50" s="5" t="s">
        <v>22</v>
      </c>
      <c r="C50" s="10">
        <f t="shared" si="13"/>
        <v>10282</v>
      </c>
      <c r="D50" s="10">
        <f t="shared" si="13"/>
        <v>9785</v>
      </c>
      <c r="E50" s="10">
        <f t="shared" si="13"/>
        <v>11863</v>
      </c>
      <c r="F50" s="10">
        <f t="shared" si="13"/>
        <v>11150</v>
      </c>
      <c r="G50" s="10">
        <f t="shared" si="13"/>
        <v>9483</v>
      </c>
      <c r="H50" s="10">
        <f t="shared" si="13"/>
        <v>11090</v>
      </c>
      <c r="I50" s="10">
        <f t="shared" si="13"/>
        <v>11698</v>
      </c>
      <c r="J50" s="10">
        <f t="shared" si="13"/>
        <v>11180</v>
      </c>
      <c r="K50" s="10">
        <f t="shared" si="13"/>
        <v>11979</v>
      </c>
      <c r="L50" s="10">
        <f t="shared" si="13"/>
        <v>11746</v>
      </c>
      <c r="M50" s="69">
        <f t="shared" si="13"/>
        <v>10189</v>
      </c>
      <c r="N50" s="10">
        <f t="shared" si="13"/>
        <v>10339</v>
      </c>
      <c r="O50" s="11">
        <f t="shared" si="13"/>
        <v>130784</v>
      </c>
    </row>
    <row r="51" spans="1:15" x14ac:dyDescent="0.25">
      <c r="A51" s="4" t="s">
        <v>23</v>
      </c>
      <c r="B51" s="5" t="s">
        <v>24</v>
      </c>
      <c r="C51" s="10">
        <f t="shared" si="13"/>
        <v>704</v>
      </c>
      <c r="D51" s="10">
        <f t="shared" si="13"/>
        <v>576</v>
      </c>
      <c r="E51" s="10">
        <f t="shared" si="13"/>
        <v>576</v>
      </c>
      <c r="F51" s="10">
        <f t="shared" si="13"/>
        <v>530</v>
      </c>
      <c r="G51" s="10">
        <f t="shared" si="13"/>
        <v>757</v>
      </c>
      <c r="H51" s="10">
        <f t="shared" si="13"/>
        <v>121</v>
      </c>
      <c r="I51" s="10">
        <f t="shared" si="13"/>
        <v>567</v>
      </c>
      <c r="J51" s="10">
        <f t="shared" si="13"/>
        <v>1051</v>
      </c>
      <c r="K51" s="10">
        <f t="shared" si="13"/>
        <v>1065</v>
      </c>
      <c r="L51" s="10">
        <f t="shared" si="13"/>
        <v>1290</v>
      </c>
      <c r="M51" s="69">
        <f t="shared" si="13"/>
        <v>989</v>
      </c>
      <c r="N51" s="10">
        <f t="shared" si="13"/>
        <v>1299</v>
      </c>
      <c r="O51" s="11">
        <f t="shared" si="13"/>
        <v>9525</v>
      </c>
    </row>
    <row r="52" spans="1:15" x14ac:dyDescent="0.25">
      <c r="A52" s="4">
        <v>8344</v>
      </c>
      <c r="B52" s="5" t="str">
        <f>B40</f>
        <v>RRC recycling tons</v>
      </c>
      <c r="C52" s="5">
        <f t="shared" ref="C52:O52" si="14">C40</f>
        <v>32.130000000000003</v>
      </c>
      <c r="D52" s="5">
        <f t="shared" si="14"/>
        <v>41.49</v>
      </c>
      <c r="E52" s="5">
        <f t="shared" si="14"/>
        <v>54.21</v>
      </c>
      <c r="F52" s="5">
        <f t="shared" si="14"/>
        <v>33.71</v>
      </c>
      <c r="G52" s="5">
        <f t="shared" si="14"/>
        <v>28.4</v>
      </c>
      <c r="H52" s="5">
        <f t="shared" si="14"/>
        <v>33.26</v>
      </c>
      <c r="I52" s="5">
        <f t="shared" si="14"/>
        <v>29.43</v>
      </c>
      <c r="J52" s="5">
        <f t="shared" si="14"/>
        <v>41.95</v>
      </c>
      <c r="K52" s="5">
        <f t="shared" si="14"/>
        <v>62.93</v>
      </c>
      <c r="L52" s="5">
        <f t="shared" si="14"/>
        <v>57.59</v>
      </c>
      <c r="M52" s="61">
        <f t="shared" si="14"/>
        <v>29.94</v>
      </c>
      <c r="N52" s="5">
        <f t="shared" si="14"/>
        <v>66.97</v>
      </c>
      <c r="O52" s="85">
        <f t="shared" si="14"/>
        <v>512.01</v>
      </c>
    </row>
    <row r="53" spans="1:15" x14ac:dyDescent="0.25">
      <c r="A53" s="4">
        <v>3384</v>
      </c>
      <c r="B53" s="5" t="s">
        <v>58</v>
      </c>
      <c r="C53" s="10">
        <v>7</v>
      </c>
      <c r="D53" s="10">
        <v>6</v>
      </c>
      <c r="E53" s="10">
        <v>6</v>
      </c>
      <c r="F53" s="10">
        <v>5</v>
      </c>
      <c r="G53" s="10">
        <v>4</v>
      </c>
      <c r="H53" s="10">
        <v>4</v>
      </c>
      <c r="I53" s="10">
        <v>5</v>
      </c>
      <c r="J53" s="10">
        <v>6</v>
      </c>
      <c r="K53" s="10">
        <v>5</v>
      </c>
      <c r="L53" s="10">
        <v>7</v>
      </c>
      <c r="M53" s="69">
        <v>4</v>
      </c>
      <c r="N53" s="10">
        <v>3</v>
      </c>
      <c r="O53" s="11">
        <f t="shared" ref="O53:O56" si="15">SUM(C53:N53)</f>
        <v>62</v>
      </c>
    </row>
    <row r="54" spans="1:15" x14ac:dyDescent="0.25">
      <c r="A54" s="4">
        <v>7992</v>
      </c>
      <c r="B54" s="5" t="s">
        <v>59</v>
      </c>
      <c r="C54" s="10">
        <v>70.3</v>
      </c>
      <c r="D54" s="10">
        <v>24.01</v>
      </c>
      <c r="E54" s="10">
        <v>45.69</v>
      </c>
      <c r="F54" s="10">
        <v>54.29</v>
      </c>
      <c r="G54" s="10">
        <v>49.06</v>
      </c>
      <c r="H54" s="10">
        <v>70.150000000000006</v>
      </c>
      <c r="I54" s="10">
        <v>82.39</v>
      </c>
      <c r="J54" s="10">
        <v>60.34</v>
      </c>
      <c r="K54" s="10">
        <v>66.61</v>
      </c>
      <c r="L54" s="10">
        <v>81.58</v>
      </c>
      <c r="M54" s="69">
        <v>70.260000000000005</v>
      </c>
      <c r="N54" s="10">
        <v>67.959999999999994</v>
      </c>
      <c r="O54" s="11">
        <f t="shared" si="15"/>
        <v>742.6400000000001</v>
      </c>
    </row>
    <row r="55" spans="1:15" x14ac:dyDescent="0.25">
      <c r="A55" s="4">
        <v>3385</v>
      </c>
      <c r="B55" s="5" t="s">
        <v>60</v>
      </c>
      <c r="C55" s="10">
        <v>57</v>
      </c>
      <c r="D55" s="10">
        <v>33</v>
      </c>
      <c r="E55" s="10">
        <v>41</v>
      </c>
      <c r="F55" s="10">
        <v>31</v>
      </c>
      <c r="G55" s="10">
        <v>30</v>
      </c>
      <c r="H55" s="10">
        <v>14</v>
      </c>
      <c r="I55" s="10">
        <v>43</v>
      </c>
      <c r="J55" s="10">
        <v>36</v>
      </c>
      <c r="K55" s="10">
        <v>50</v>
      </c>
      <c r="L55" s="10">
        <v>65</v>
      </c>
      <c r="M55" s="69">
        <v>41</v>
      </c>
      <c r="N55" s="10">
        <v>60</v>
      </c>
      <c r="O55" s="11">
        <f t="shared" si="15"/>
        <v>501</v>
      </c>
    </row>
    <row r="56" spans="1:15" x14ac:dyDescent="0.25">
      <c r="A56" s="4">
        <v>7156</v>
      </c>
      <c r="B56" s="5" t="s">
        <v>61</v>
      </c>
      <c r="C56" s="10">
        <v>498</v>
      </c>
      <c r="D56" s="10">
        <v>312</v>
      </c>
      <c r="E56" s="10">
        <v>461</v>
      </c>
      <c r="F56" s="10">
        <v>555</v>
      </c>
      <c r="G56" s="10">
        <v>465</v>
      </c>
      <c r="H56" s="10">
        <v>500</v>
      </c>
      <c r="I56" s="10">
        <v>436</v>
      </c>
      <c r="J56" s="10">
        <v>380</v>
      </c>
      <c r="K56" s="10">
        <v>388</v>
      </c>
      <c r="L56" s="10">
        <v>312</v>
      </c>
      <c r="M56" s="69">
        <v>391</v>
      </c>
      <c r="N56" s="10">
        <v>356</v>
      </c>
      <c r="O56" s="11">
        <f t="shared" si="15"/>
        <v>5054</v>
      </c>
    </row>
    <row r="57" spans="1:15" x14ac:dyDescent="0.25">
      <c r="A57" s="4" t="s">
        <v>55</v>
      </c>
      <c r="B57" s="5" t="str">
        <f>B41</f>
        <v>Total Tons of Brush Collected at the RRC</v>
      </c>
      <c r="C57" s="5">
        <f t="shared" ref="C57:O57" si="16">C41</f>
        <v>0</v>
      </c>
      <c r="D57" s="5">
        <f t="shared" si="16"/>
        <v>0</v>
      </c>
      <c r="E57" s="5">
        <f t="shared" si="16"/>
        <v>0</v>
      </c>
      <c r="F57" s="5">
        <f t="shared" si="16"/>
        <v>0</v>
      </c>
      <c r="G57" s="5">
        <f t="shared" si="16"/>
        <v>3.77</v>
      </c>
      <c r="H57" s="5">
        <f t="shared" si="16"/>
        <v>10.83</v>
      </c>
      <c r="I57" s="5">
        <f t="shared" si="16"/>
        <v>17.55</v>
      </c>
      <c r="J57" s="5">
        <f t="shared" si="16"/>
        <v>30.5</v>
      </c>
      <c r="K57" s="5">
        <f t="shared" si="16"/>
        <v>16.489999999999998</v>
      </c>
      <c r="L57" s="5">
        <f t="shared" si="16"/>
        <v>20.79</v>
      </c>
      <c r="M57" s="61">
        <f t="shared" si="16"/>
        <v>14.85</v>
      </c>
      <c r="N57" s="5">
        <f t="shared" si="16"/>
        <v>24.32</v>
      </c>
      <c r="O57" s="85">
        <f t="shared" si="16"/>
        <v>139.1</v>
      </c>
    </row>
    <row r="58" spans="1:15" x14ac:dyDescent="0.25">
      <c r="A58" s="116" t="s">
        <v>25</v>
      </c>
      <c r="B58" s="117"/>
      <c r="C58" s="12">
        <f>SUM(C44:C57)</f>
        <v>18608.580000000002</v>
      </c>
      <c r="D58" s="12">
        <f t="shared" ref="D58:N58" si="17">SUM(D44:D57)</f>
        <v>16500.5</v>
      </c>
      <c r="E58" s="12">
        <f t="shared" si="17"/>
        <v>22575.379999999997</v>
      </c>
      <c r="F58" s="12">
        <f t="shared" si="17"/>
        <v>20035.09</v>
      </c>
      <c r="G58" s="12">
        <f t="shared" si="17"/>
        <v>17346.360000000004</v>
      </c>
      <c r="H58" s="12">
        <f t="shared" si="17"/>
        <v>21291.33</v>
      </c>
      <c r="I58" s="12">
        <f t="shared" si="17"/>
        <v>23738.45</v>
      </c>
      <c r="J58" s="12">
        <f t="shared" si="17"/>
        <v>20906.82</v>
      </c>
      <c r="K58" s="12">
        <f t="shared" si="17"/>
        <v>22140.52</v>
      </c>
      <c r="L58" s="12">
        <f t="shared" si="17"/>
        <v>21105.960000000003</v>
      </c>
      <c r="M58" s="71">
        <f t="shared" si="17"/>
        <v>17990.959999999995</v>
      </c>
      <c r="N58" s="12">
        <f t="shared" si="17"/>
        <v>19274.52</v>
      </c>
      <c r="O58" s="13">
        <f>SUM(O44:O57)</f>
        <v>241514.47000000003</v>
      </c>
    </row>
    <row r="59" spans="1:15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1"/>
      <c r="N59" s="5"/>
      <c r="O59" s="14"/>
    </row>
    <row r="60" spans="1:15" ht="15.75" thickBot="1" x14ac:dyDescent="0.3">
      <c r="A60" s="15">
        <v>9110</v>
      </c>
      <c r="B60" s="16" t="s">
        <v>41</v>
      </c>
      <c r="C60" s="17">
        <f>+C43/C58</f>
        <v>0.33826224247094616</v>
      </c>
      <c r="D60" s="17">
        <f t="shared" ref="D60:N60" si="18">+D43/D58</f>
        <v>0.31610557255840732</v>
      </c>
      <c r="E60" s="17">
        <f t="shared" si="18"/>
        <v>0.3944008915907507</v>
      </c>
      <c r="F60" s="17">
        <f t="shared" si="18"/>
        <v>0.35148931200209232</v>
      </c>
      <c r="G60" s="17">
        <f t="shared" si="18"/>
        <v>0.34741063831259117</v>
      </c>
      <c r="H60" s="17">
        <f t="shared" si="18"/>
        <v>0.41881695507044414</v>
      </c>
      <c r="I60" s="17">
        <f t="shared" si="18"/>
        <v>0.43108164180896391</v>
      </c>
      <c r="J60" s="17">
        <f t="shared" si="18"/>
        <v>0.3532818477415503</v>
      </c>
      <c r="K60" s="17">
        <f t="shared" si="18"/>
        <v>0.34985899156840033</v>
      </c>
      <c r="L60" s="17">
        <f t="shared" si="18"/>
        <v>0.32205168587451127</v>
      </c>
      <c r="M60" s="74">
        <f t="shared" si="18"/>
        <v>0.30906132857835272</v>
      </c>
      <c r="N60" s="17">
        <f t="shared" si="18"/>
        <v>0.32993298925213183</v>
      </c>
      <c r="O60" s="18">
        <f>+O43/O58</f>
        <v>0.35808173315660957</v>
      </c>
    </row>
  </sheetData>
  <mergeCells count="7">
    <mergeCell ref="A58:B58"/>
    <mergeCell ref="A1:O1"/>
    <mergeCell ref="A8:O8"/>
    <mergeCell ref="A17:B17"/>
    <mergeCell ref="A26:B26"/>
    <mergeCell ref="A30:O30"/>
    <mergeCell ref="A43:B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FY18-PM7020 </vt:lpstr>
      <vt:lpstr>FY17-PM7020</vt:lpstr>
      <vt:lpstr> FY16-PM7020 </vt:lpstr>
      <vt:lpstr>FY17-New PMs</vt:lpstr>
      <vt:lpstr>FY16-New PMs</vt:lpstr>
      <vt:lpstr>FY15-New PMs</vt:lpstr>
      <vt:lpstr>Summary!Print_Area</vt:lpstr>
    </vt:vector>
  </TitlesOfParts>
  <Company>City of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Vargas, Roland</dc:creator>
  <cp:lastModifiedBy>Siller, Jamila</cp:lastModifiedBy>
  <cp:lastPrinted>2018-01-30T21:15:58Z</cp:lastPrinted>
  <dcterms:created xsi:type="dcterms:W3CDTF">2018-01-29T18:51:43Z</dcterms:created>
  <dcterms:modified xsi:type="dcterms:W3CDTF">2018-01-31T15:11:43Z</dcterms:modified>
</cp:coreProperties>
</file>