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vbaProject.bin" ContentType="application/vnd.ms-office.vbaProject"/>
  <Override PartName="/xl/externalLinks/externalLink1.xml" ContentType="application/vnd.openxmlformats-officedocument.spreadsheetml.externalLink+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24226"/>
  <mc:AlternateContent xmlns:mc="http://schemas.openxmlformats.org/markup-compatibility/2006">
    <mc:Choice Requires="x15">
      <x15ac:absPath xmlns:x15ac="http://schemas.microsoft.com/office/spreadsheetml/2010/11/ac" url="https://cityofaustin-my.sharepoint.com/personal/manar_hasan_austintexas_gov/Documents/Desktop/Tools (Work in Progress)/"/>
    </mc:Choice>
  </mc:AlternateContent>
  <xr:revisionPtr revIDLastSave="214" documentId="13_ncr:1_{C8DE409C-A126-4308-BDF1-BA533FE3891E}" xr6:coauthVersionLast="47" xr6:coauthVersionMax="47" xr10:uidLastSave="{B67C8F7B-EA75-492A-A28A-0113DC3F564F}"/>
  <bookViews>
    <workbookView xWindow="-38520" yWindow="-5415" windowWidth="38640" windowHeight="21120" tabRatio="774" activeTab="1" xr2:uid="{00000000-000D-0000-FFFF-FFFF00000000}"/>
  </bookViews>
  <sheets>
    <sheet name="SIF Calculator Instructions" sheetId="17" r:id="rId1"/>
    <sheet name="SIF Calculator Input" sheetId="1" r:id="rId2"/>
    <sheet name="Summary of Roadway Costs" sheetId="16" state="hidden" r:id="rId3"/>
    <sheet name="ROW Dedication &amp; Easement" sheetId="26" r:id="rId4"/>
    <sheet name="SIF Offset Estimate" sheetId="27" r:id="rId5"/>
    <sheet name="Service Area" sheetId="14" r:id="rId6"/>
    <sheet name="Land_Use_Descriptions" sheetId="6" r:id="rId7"/>
    <sheet name="Max_Rate" sheetId="13" state="hidden" r:id="rId8"/>
    <sheet name="Collected_Rate" sheetId="12" r:id="rId9"/>
    <sheet name="TDM Instructions" sheetId="21" r:id="rId10"/>
    <sheet name="TDM Calculator Input" sheetId="22" r:id="rId11"/>
    <sheet name="Point &amp; Trip Red. Look-up Table" sheetId="25" r:id="rId12"/>
    <sheet name="Proposed TDM Plan Point Credits" sheetId="23" state="hidden" r:id="rId13"/>
    <sheet name="Proposed TDM Plan Trip Red. %" sheetId="24" state="hidden" r:id="rId14"/>
    <sheet name="Revised_LUVMET" sheetId="15" state="hidden" r:id="rId15"/>
  </sheets>
  <externalReferences>
    <externalReference r:id="rId16"/>
  </externalReferences>
  <definedNames>
    <definedName name="_xlnm._FilterDatabase" localSheetId="4" hidden="1">'SIF Offset Estimate'!$R$4:$U$21</definedName>
    <definedName name="_xleta.MAX" hidden="1" xlm="1">#NAME?</definedName>
    <definedName name="_xleta.OFFSET" hidden="1" xlm="1">#NAME?</definedName>
    <definedName name="CrossSection">'Summary of Roadway Costs'!$B$4:$B$16</definedName>
    <definedName name="ITELandUse">Collected_Rate!$A$3:$A$80</definedName>
    <definedName name="LandUse" localSheetId="7">Max_Rate!$B$3:$B$81</definedName>
    <definedName name="LandUse" localSheetId="14">Revised_LUVMET!$B$3:$B$81</definedName>
    <definedName name="LandUse">Collected_Rate!$B$3:$B$81</definedName>
    <definedName name="LandUses">'[1]Land Use Chart'!$B$3:$B$80</definedName>
    <definedName name="LU_Name">'[1]Land Use Chart'!$B$2:$B$80</definedName>
    <definedName name="Permit">'SIF Calculator Input'!$AF$12:$AF$15</definedName>
    <definedName name="Plat">'SIF Calculator Input'!$AE$12:$AE$14</definedName>
    <definedName name="_xlnm.Print_Area" localSheetId="3">'ROW Dedication &amp; Easement'!$1:$25</definedName>
    <definedName name="_xlnm.Print_Area" localSheetId="1">'SIF Calculator Input'!$A$1:$Z$129</definedName>
    <definedName name="_xlnm.Print_Area" localSheetId="2">'Summary of Roadway Costs'!$A$1:$H$18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37" i="1" l="1"/>
  <c r="N36" i="1"/>
  <c r="N35" i="1"/>
  <c r="N34" i="1"/>
  <c r="N33" i="1"/>
  <c r="AC68" i="1"/>
  <c r="AC67" i="1"/>
  <c r="E5" i="27" l="1"/>
  <c r="J5" i="27" s="1"/>
  <c r="F5" i="27"/>
  <c r="E6" i="27"/>
  <c r="J6" i="27" s="1"/>
  <c r="K6" i="27" s="1"/>
  <c r="F6" i="27"/>
  <c r="E7" i="27"/>
  <c r="J7" i="27" s="1"/>
  <c r="F7" i="27"/>
  <c r="E8" i="27"/>
  <c r="F8" i="27"/>
  <c r="J8" i="27"/>
  <c r="K8" i="27"/>
  <c r="E9" i="27"/>
  <c r="J9" i="27" s="1"/>
  <c r="K9" i="27" s="1"/>
  <c r="F9" i="27"/>
  <c r="E10" i="27"/>
  <c r="F10" i="27"/>
  <c r="J10" i="27"/>
  <c r="K10" i="27"/>
  <c r="E11" i="27"/>
  <c r="F11" i="27"/>
  <c r="J11" i="27"/>
  <c r="K11" i="27"/>
  <c r="E12" i="27"/>
  <c r="J12" i="27" s="1"/>
  <c r="K12" i="27" s="1"/>
  <c r="F12" i="27"/>
  <c r="E13" i="27"/>
  <c r="J13" i="27" s="1"/>
  <c r="K13" i="27" s="1"/>
  <c r="F13" i="27"/>
  <c r="E14" i="27"/>
  <c r="F14" i="27"/>
  <c r="J14" i="27"/>
  <c r="K14" i="27"/>
  <c r="E15" i="27"/>
  <c r="F15" i="27"/>
  <c r="J15" i="27"/>
  <c r="K15" i="27"/>
  <c r="E16" i="27"/>
  <c r="F16" i="27"/>
  <c r="J16" i="27"/>
  <c r="K16" i="27" s="1"/>
  <c r="E17" i="27"/>
  <c r="J17" i="27" s="1"/>
  <c r="K17" i="27" s="1"/>
  <c r="F17" i="27"/>
  <c r="E18" i="27"/>
  <c r="F18" i="27"/>
  <c r="J18" i="27"/>
  <c r="K18" i="27"/>
  <c r="F6" i="26"/>
  <c r="F7" i="26"/>
  <c r="F8" i="26"/>
  <c r="F9" i="26"/>
  <c r="K7" i="27" l="1"/>
  <c r="K5" i="27"/>
  <c r="D21" i="26"/>
  <c r="D10" i="26"/>
  <c r="F20" i="26"/>
  <c r="F19" i="26"/>
  <c r="F18" i="26"/>
  <c r="F17" i="26"/>
  <c r="F16" i="26"/>
  <c r="Q45" i="1"/>
  <c r="S45" i="1" s="1"/>
  <c r="W45" i="1"/>
  <c r="Y45" i="1" s="1"/>
  <c r="F5" i="26"/>
  <c r="F10" i="26" s="1"/>
  <c r="D48" i="1"/>
  <c r="W55" i="1"/>
  <c r="Y55" i="1" s="1"/>
  <c r="W54" i="1"/>
  <c r="Y54" i="1" s="1"/>
  <c r="W53" i="1"/>
  <c r="Y53" i="1" s="1"/>
  <c r="W52" i="1"/>
  <c r="Y52" i="1" s="1"/>
  <c r="W48" i="1"/>
  <c r="Y48" i="1" s="1"/>
  <c r="W47" i="1"/>
  <c r="Y47" i="1" s="1"/>
  <c r="W46" i="1"/>
  <c r="Y46" i="1" s="1"/>
  <c r="H14" i="1"/>
  <c r="Q36" i="1"/>
  <c r="S36" i="1"/>
  <c r="Q35" i="1"/>
  <c r="S35" i="1"/>
  <c r="J5" i="13"/>
  <c r="H48" i="1"/>
  <c r="Q53" i="1"/>
  <c r="S53" i="1"/>
  <c r="Q52" i="1"/>
  <c r="S52" i="1"/>
  <c r="B6" i="24"/>
  <c r="D6" i="24"/>
  <c r="E7" i="24"/>
  <c r="B7" i="24" s="1"/>
  <c r="B11" i="24"/>
  <c r="D15" i="22" s="1"/>
  <c r="D11" i="24"/>
  <c r="F11" i="24"/>
  <c r="B12" i="24"/>
  <c r="D16" i="22" s="1"/>
  <c r="B13" i="24"/>
  <c r="D17" i="22" s="1"/>
  <c r="B14" i="24"/>
  <c r="D18" i="22" s="1"/>
  <c r="B18" i="24"/>
  <c r="D22" i="22" s="1"/>
  <c r="D18" i="24"/>
  <c r="B19" i="24"/>
  <c r="D23" i="22" s="1"/>
  <c r="B20" i="24"/>
  <c r="D24" i="22" s="1"/>
  <c r="B21" i="24"/>
  <c r="D25" i="22" s="1"/>
  <c r="B22" i="24" a="1"/>
  <c r="B22" i="24" s="1"/>
  <c r="D26" i="22" s="1"/>
  <c r="B23" i="24" a="1"/>
  <c r="B23" i="24" s="1"/>
  <c r="D29" i="22" s="1"/>
  <c r="B24" i="24"/>
  <c r="D32" i="22" s="1"/>
  <c r="B25" i="24"/>
  <c r="D33" i="22" s="1"/>
  <c r="B26" i="24"/>
  <c r="D34" i="22" s="1"/>
  <c r="B27" i="24"/>
  <c r="D35" i="22" s="1"/>
  <c r="B28" i="24"/>
  <c r="B32" i="24"/>
  <c r="D32" i="24"/>
  <c r="B33" i="24"/>
  <c r="D41" i="22" s="1"/>
  <c r="B34" i="24"/>
  <c r="D42" i="22" s="1"/>
  <c r="B35" i="24"/>
  <c r="D43" i="22" s="1"/>
  <c r="B36" i="24"/>
  <c r="D44" i="22" s="1"/>
  <c r="B37" i="24"/>
  <c r="B49" i="24"/>
  <c r="D12" i="22" s="1"/>
  <c r="B50" i="24"/>
  <c r="D19" i="22" s="1"/>
  <c r="B51" i="24"/>
  <c r="D37" i="22" s="1"/>
  <c r="B52" i="24"/>
  <c r="D46" i="22" s="1"/>
  <c r="B53" i="24"/>
  <c r="D48" i="22" s="1"/>
  <c r="B5" i="23"/>
  <c r="C10" i="22" s="1"/>
  <c r="B6" i="23"/>
  <c r="B11" i="23"/>
  <c r="B12" i="23"/>
  <c r="B13" i="23"/>
  <c r="B14" i="23"/>
  <c r="B19" i="23"/>
  <c r="B20" i="23"/>
  <c r="B21" i="23"/>
  <c r="B22" i="23"/>
  <c r="D23" i="23"/>
  <c r="B23" i="23" s="1"/>
  <c r="D24" i="23"/>
  <c r="B24" i="23" s="1"/>
  <c r="B25" i="23"/>
  <c r="B26" i="23"/>
  <c r="B27" i="23"/>
  <c r="B28" i="23"/>
  <c r="B29" i="23"/>
  <c r="B34" i="23"/>
  <c r="B35" i="23"/>
  <c r="B36" i="23"/>
  <c r="B37" i="23"/>
  <c r="B38" i="23"/>
  <c r="B39" i="23"/>
  <c r="C43" i="23"/>
  <c r="C48" i="22" s="1"/>
  <c r="G12" i="25"/>
  <c r="I12" i="25"/>
  <c r="G13" i="25"/>
  <c r="I13" i="25"/>
  <c r="G14" i="25"/>
  <c r="I14" i="25"/>
  <c r="G15" i="25"/>
  <c r="I15" i="25"/>
  <c r="G17" i="25"/>
  <c r="I17" i="25"/>
  <c r="G18" i="25"/>
  <c r="I18" i="25"/>
  <c r="G19" i="25"/>
  <c r="I19" i="25"/>
  <c r="G21" i="25"/>
  <c r="I21" i="25"/>
  <c r="G22" i="25"/>
  <c r="I22" i="25"/>
  <c r="G24" i="25"/>
  <c r="H24" i="25"/>
  <c r="I24" i="25"/>
  <c r="H25" i="25"/>
  <c r="G25" i="25" s="1"/>
  <c r="I25" i="25"/>
  <c r="H26" i="25"/>
  <c r="G26" i="25" s="1"/>
  <c r="G34" i="25"/>
  <c r="I34" i="25"/>
  <c r="G35" i="25"/>
  <c r="I35" i="25"/>
  <c r="H38" i="25"/>
  <c r="G38" i="25" s="1"/>
  <c r="I38" i="25"/>
  <c r="G39" i="25"/>
  <c r="H39" i="25"/>
  <c r="I39" i="25"/>
  <c r="G40" i="25"/>
  <c r="I40" i="25"/>
  <c r="G41" i="25"/>
  <c r="I41" i="25"/>
  <c r="G42" i="25"/>
  <c r="I42" i="25"/>
  <c r="G43" i="25"/>
  <c r="I43" i="25"/>
  <c r="G44" i="25"/>
  <c r="I44" i="25"/>
  <c r="G45" i="25"/>
  <c r="I45" i="25"/>
  <c r="G46" i="25"/>
  <c r="I46" i="25"/>
  <c r="G47" i="25"/>
  <c r="I47" i="25"/>
  <c r="G48" i="25"/>
  <c r="I48" i="25"/>
  <c r="G49" i="25"/>
  <c r="I49" i="25"/>
  <c r="G52" i="25"/>
  <c r="H52" i="25"/>
  <c r="I52" i="25" s="1"/>
  <c r="H53" i="25"/>
  <c r="G53" i="25" s="1"/>
  <c r="G54" i="25"/>
  <c r="I54" i="25"/>
  <c r="G55" i="25"/>
  <c r="I55" i="25"/>
  <c r="G56" i="25"/>
  <c r="I56" i="25"/>
  <c r="G57" i="25"/>
  <c r="I57" i="25"/>
  <c r="G58" i="25"/>
  <c r="I58" i="25"/>
  <c r="G59" i="25"/>
  <c r="I59" i="25"/>
  <c r="G60" i="25"/>
  <c r="I60" i="25"/>
  <c r="G61" i="25"/>
  <c r="I61" i="25"/>
  <c r="G62" i="25"/>
  <c r="I62" i="25"/>
  <c r="G63" i="25"/>
  <c r="I63" i="25"/>
  <c r="H65" i="25"/>
  <c r="I65" i="25" s="1"/>
  <c r="G66" i="25"/>
  <c r="I66" i="25"/>
  <c r="G77" i="25"/>
  <c r="I77" i="25"/>
  <c r="G78" i="25"/>
  <c r="I78" i="25"/>
  <c r="G79" i="25"/>
  <c r="I79" i="25"/>
  <c r="G80" i="25"/>
  <c r="I80" i="25"/>
  <c r="G81" i="25"/>
  <c r="I81" i="25"/>
  <c r="G82" i="25"/>
  <c r="I82" i="25"/>
  <c r="G83" i="25"/>
  <c r="I83" i="25"/>
  <c r="G84" i="25"/>
  <c r="I84" i="25"/>
  <c r="G85" i="25"/>
  <c r="I85" i="25"/>
  <c r="G86" i="25"/>
  <c r="I86" i="25"/>
  <c r="G88" i="25"/>
  <c r="I88" i="25"/>
  <c r="G89" i="25"/>
  <c r="I89" i="25"/>
  <c r="G90" i="25"/>
  <c r="I90" i="25"/>
  <c r="G91" i="25"/>
  <c r="I91" i="25"/>
  <c r="G92" i="25"/>
  <c r="I92" i="25"/>
  <c r="G93" i="25"/>
  <c r="I93" i="25"/>
  <c r="G94" i="25"/>
  <c r="I94" i="25"/>
  <c r="G95" i="25"/>
  <c r="I95" i="25"/>
  <c r="G96" i="25"/>
  <c r="I96" i="25"/>
  <c r="G97" i="25"/>
  <c r="I97" i="25"/>
  <c r="G99" i="25"/>
  <c r="I99" i="25"/>
  <c r="G100" i="25"/>
  <c r="I100" i="25"/>
  <c r="G101" i="25"/>
  <c r="I101" i="25"/>
  <c r="G102" i="25"/>
  <c r="I102" i="25"/>
  <c r="G103" i="25"/>
  <c r="I103" i="25"/>
  <c r="G104" i="25"/>
  <c r="I104" i="25"/>
  <c r="G105" i="25"/>
  <c r="I105" i="25"/>
  <c r="G106" i="25"/>
  <c r="I106" i="25"/>
  <c r="G107" i="25"/>
  <c r="I107" i="25"/>
  <c r="G108" i="25"/>
  <c r="I108" i="25"/>
  <c r="G109" i="25"/>
  <c r="I109" i="25"/>
  <c r="G110" i="25"/>
  <c r="I110" i="25"/>
  <c r="G111" i="25"/>
  <c r="I111" i="25"/>
  <c r="G112" i="25"/>
  <c r="I112" i="25"/>
  <c r="G113" i="25"/>
  <c r="I113" i="25"/>
  <c r="G115" i="25"/>
  <c r="I115" i="25"/>
  <c r="G116" i="25"/>
  <c r="I116" i="25"/>
  <c r="G117" i="25"/>
  <c r="I117" i="25"/>
  <c r="G118" i="25"/>
  <c r="I118" i="25"/>
  <c r="G119" i="25"/>
  <c r="I119" i="25"/>
  <c r="G120" i="25"/>
  <c r="I120" i="25"/>
  <c r="G121" i="25"/>
  <c r="I121" i="25"/>
  <c r="G122" i="25"/>
  <c r="I122" i="25"/>
  <c r="G123" i="25"/>
  <c r="I123" i="25"/>
  <c r="G124" i="25"/>
  <c r="I124" i="25"/>
  <c r="G126" i="25"/>
  <c r="I126" i="25"/>
  <c r="G127" i="25"/>
  <c r="I127" i="25"/>
  <c r="G128" i="25"/>
  <c r="I128" i="25"/>
  <c r="G129" i="25"/>
  <c r="I129" i="25"/>
  <c r="G130" i="25"/>
  <c r="I130" i="25"/>
  <c r="G132" i="25"/>
  <c r="I132" i="25"/>
  <c r="G133" i="25"/>
  <c r="I133" i="25"/>
  <c r="G134" i="25"/>
  <c r="I134" i="25"/>
  <c r="G135" i="25"/>
  <c r="I135" i="25"/>
  <c r="G136" i="25"/>
  <c r="I136" i="25"/>
  <c r="A3" i="22"/>
  <c r="C3" i="22"/>
  <c r="D3" i="22"/>
  <c r="A5" i="22"/>
  <c r="C5" i="22"/>
  <c r="D5" i="22"/>
  <c r="I8" i="22"/>
  <c r="J8" i="22"/>
  <c r="K8" i="22"/>
  <c r="C12" i="22"/>
  <c r="C19" i="22"/>
  <c r="C37" i="22"/>
  <c r="C46" i="22"/>
  <c r="A4" i="12"/>
  <c r="AE27" i="1" s="1"/>
  <c r="A5" i="12"/>
  <c r="A5" i="13" s="1"/>
  <c r="A6" i="12"/>
  <c r="A7" i="12"/>
  <c r="A7" i="13" s="1"/>
  <c r="A8" i="12"/>
  <c r="A9" i="12"/>
  <c r="A10" i="12"/>
  <c r="A11" i="12"/>
  <c r="A11" i="13" s="1"/>
  <c r="A12" i="12"/>
  <c r="A13" i="12"/>
  <c r="A13" i="13" s="1"/>
  <c r="A14" i="12"/>
  <c r="A14" i="13" s="1"/>
  <c r="A15" i="12"/>
  <c r="AE25" i="1" s="1"/>
  <c r="A16" i="12"/>
  <c r="AF55" i="1" s="1"/>
  <c r="A17" i="12"/>
  <c r="A18" i="12"/>
  <c r="A19" i="12"/>
  <c r="A20" i="12"/>
  <c r="A21" i="12"/>
  <c r="A21" i="13" s="1"/>
  <c r="A22" i="12"/>
  <c r="A23" i="12"/>
  <c r="A23" i="13" s="1"/>
  <c r="A24" i="12"/>
  <c r="A25" i="12"/>
  <c r="A26" i="12"/>
  <c r="A27" i="12"/>
  <c r="A27" i="13" s="1"/>
  <c r="A28" i="12"/>
  <c r="A29" i="12"/>
  <c r="A29" i="13" s="1"/>
  <c r="A30" i="12"/>
  <c r="A30" i="13" s="1"/>
  <c r="A31" i="12"/>
  <c r="A31" i="13" s="1"/>
  <c r="A32" i="12"/>
  <c r="A32" i="13" s="1"/>
  <c r="A33" i="12"/>
  <c r="A34" i="12"/>
  <c r="A35" i="12"/>
  <c r="A36" i="12"/>
  <c r="A37" i="12"/>
  <c r="A37" i="13" s="1"/>
  <c r="A38" i="12"/>
  <c r="A39" i="12"/>
  <c r="A39" i="13" s="1"/>
  <c r="A40" i="12"/>
  <c r="A41" i="12"/>
  <c r="A42" i="12"/>
  <c r="A43" i="12"/>
  <c r="A43" i="13" s="1"/>
  <c r="A44" i="12"/>
  <c r="A45" i="12"/>
  <c r="A45" i="13" s="1"/>
  <c r="A46" i="12"/>
  <c r="A46" i="13" s="1"/>
  <c r="A47" i="12"/>
  <c r="A47" i="13" s="1"/>
  <c r="A48" i="12"/>
  <c r="AE26" i="1" s="1"/>
  <c r="A49" i="12"/>
  <c r="A50" i="12"/>
  <c r="A51" i="12"/>
  <c r="A52" i="12"/>
  <c r="A53" i="12"/>
  <c r="A53" i="13" s="1"/>
  <c r="A54" i="12"/>
  <c r="A55" i="12"/>
  <c r="A55" i="13" s="1"/>
  <c r="A56" i="12"/>
  <c r="A57" i="12"/>
  <c r="A58" i="12"/>
  <c r="A59" i="12"/>
  <c r="A59" i="13" s="1"/>
  <c r="A60" i="12"/>
  <c r="A61" i="12"/>
  <c r="A61" i="13" s="1"/>
  <c r="A62" i="12"/>
  <c r="A62" i="13" s="1"/>
  <c r="A63" i="12"/>
  <c r="A63" i="13" s="1"/>
  <c r="A64" i="12"/>
  <c r="A64" i="13" s="1"/>
  <c r="A65" i="12"/>
  <c r="A66" i="12"/>
  <c r="A67" i="12"/>
  <c r="A68" i="12"/>
  <c r="AF31" i="1" s="1"/>
  <c r="A69" i="12"/>
  <c r="A69" i="13" s="1"/>
  <c r="A70" i="12"/>
  <c r="A71" i="12"/>
  <c r="A71" i="13" s="1"/>
  <c r="A72" i="12"/>
  <c r="A73" i="12"/>
  <c r="A74" i="12"/>
  <c r="A75" i="12"/>
  <c r="AF38" i="1" s="1"/>
  <c r="A76" i="12"/>
  <c r="A77" i="12"/>
  <c r="A77" i="13" s="1"/>
  <c r="A78" i="12"/>
  <c r="A78" i="13" s="1"/>
  <c r="A79" i="12"/>
  <c r="A79" i="13" s="1"/>
  <c r="A80" i="12"/>
  <c r="AF30" i="1" s="1"/>
  <c r="K5" i="13"/>
  <c r="L5" i="13"/>
  <c r="M5" i="13"/>
  <c r="N5" i="13"/>
  <c r="O5" i="13"/>
  <c r="P5" i="13"/>
  <c r="Q5" i="13"/>
  <c r="R5" i="13"/>
  <c r="S5" i="13"/>
  <c r="T5" i="13"/>
  <c r="U5" i="13"/>
  <c r="V5" i="13"/>
  <c r="W5" i="13"/>
  <c r="X5" i="13"/>
  <c r="Y5" i="13"/>
  <c r="Z5" i="13"/>
  <c r="A6" i="13"/>
  <c r="J6" i="13"/>
  <c r="K6" i="13"/>
  <c r="L6" i="13"/>
  <c r="M6" i="13"/>
  <c r="N6" i="13"/>
  <c r="O6" i="13"/>
  <c r="P6" i="13"/>
  <c r="Q6" i="13"/>
  <c r="R6" i="13"/>
  <c r="S6" i="13"/>
  <c r="T6" i="13"/>
  <c r="U6" i="13"/>
  <c r="V6" i="13"/>
  <c r="W6" i="13"/>
  <c r="X6" i="13"/>
  <c r="Y6" i="13"/>
  <c r="Z6" i="13"/>
  <c r="J7" i="13"/>
  <c r="K7" i="13"/>
  <c r="L7" i="13"/>
  <c r="M7" i="13"/>
  <c r="N7" i="13"/>
  <c r="O7" i="13"/>
  <c r="P7" i="13"/>
  <c r="Q7" i="13"/>
  <c r="R7" i="13"/>
  <c r="S7" i="13"/>
  <c r="T7" i="13"/>
  <c r="U7" i="13"/>
  <c r="V7" i="13"/>
  <c r="W7" i="13"/>
  <c r="X7" i="13"/>
  <c r="Y7" i="13"/>
  <c r="Z7" i="13"/>
  <c r="A8" i="13"/>
  <c r="J8" i="13"/>
  <c r="K8" i="13"/>
  <c r="L8" i="13"/>
  <c r="M8" i="13"/>
  <c r="N8" i="13"/>
  <c r="O8" i="13"/>
  <c r="P8" i="13"/>
  <c r="Q8" i="13"/>
  <c r="R8" i="13"/>
  <c r="S8" i="13"/>
  <c r="T8" i="13"/>
  <c r="U8" i="13"/>
  <c r="V8" i="13"/>
  <c r="W8" i="13"/>
  <c r="X8" i="13"/>
  <c r="Y8" i="13"/>
  <c r="Z8" i="13"/>
  <c r="A9" i="13"/>
  <c r="J9" i="13"/>
  <c r="K9" i="13"/>
  <c r="L9" i="13"/>
  <c r="M9" i="13"/>
  <c r="N9" i="13"/>
  <c r="O9" i="13"/>
  <c r="P9" i="13"/>
  <c r="Q9" i="13"/>
  <c r="R9" i="13"/>
  <c r="S9" i="13"/>
  <c r="T9" i="13"/>
  <c r="U9" i="13"/>
  <c r="V9" i="13"/>
  <c r="W9" i="13"/>
  <c r="X9" i="13"/>
  <c r="Y9" i="13"/>
  <c r="Z9" i="13"/>
  <c r="A10" i="13"/>
  <c r="J10" i="13"/>
  <c r="K10" i="13"/>
  <c r="L10" i="13"/>
  <c r="M10" i="13"/>
  <c r="N10" i="13"/>
  <c r="O10" i="13"/>
  <c r="P10" i="13"/>
  <c r="Q10" i="13"/>
  <c r="R10" i="13"/>
  <c r="S10" i="13"/>
  <c r="T10" i="13"/>
  <c r="U10" i="13"/>
  <c r="V10" i="13"/>
  <c r="W10" i="13"/>
  <c r="X10" i="13"/>
  <c r="Y10" i="13"/>
  <c r="Z10" i="13"/>
  <c r="J11" i="13"/>
  <c r="K11" i="13"/>
  <c r="L11" i="13"/>
  <c r="M11" i="13"/>
  <c r="N11" i="13"/>
  <c r="O11" i="13"/>
  <c r="P11" i="13"/>
  <c r="Q11" i="13"/>
  <c r="R11" i="13"/>
  <c r="S11" i="13"/>
  <c r="T11" i="13"/>
  <c r="U11" i="13"/>
  <c r="V11" i="13"/>
  <c r="W11" i="13"/>
  <c r="X11" i="13"/>
  <c r="Y11" i="13"/>
  <c r="Z11" i="13"/>
  <c r="A12" i="13"/>
  <c r="J12" i="13"/>
  <c r="K12" i="13"/>
  <c r="L12" i="13"/>
  <c r="M12" i="13"/>
  <c r="N12" i="13"/>
  <c r="O12" i="13"/>
  <c r="P12" i="13"/>
  <c r="Q12" i="13"/>
  <c r="R12" i="13"/>
  <c r="S12" i="13"/>
  <c r="T12" i="13"/>
  <c r="U12" i="13"/>
  <c r="V12" i="13"/>
  <c r="W12" i="13"/>
  <c r="X12" i="13"/>
  <c r="Y12" i="13"/>
  <c r="Z12" i="13"/>
  <c r="J13" i="13"/>
  <c r="K13" i="13"/>
  <c r="L13" i="13"/>
  <c r="M13" i="13"/>
  <c r="N13" i="13"/>
  <c r="O13" i="13"/>
  <c r="P13" i="13"/>
  <c r="Q13" i="13"/>
  <c r="R13" i="13"/>
  <c r="S13" i="13"/>
  <c r="T13" i="13"/>
  <c r="U13" i="13"/>
  <c r="V13" i="13"/>
  <c r="W13" i="13"/>
  <c r="X13" i="13"/>
  <c r="Y13" i="13"/>
  <c r="Z13" i="13"/>
  <c r="J14" i="13"/>
  <c r="K14" i="13"/>
  <c r="L14" i="13"/>
  <c r="M14" i="13"/>
  <c r="N14" i="13"/>
  <c r="O14" i="13"/>
  <c r="P14" i="13"/>
  <c r="Q14" i="13"/>
  <c r="R14" i="13"/>
  <c r="S14" i="13"/>
  <c r="T14" i="13"/>
  <c r="U14" i="13"/>
  <c r="V14" i="13"/>
  <c r="W14" i="13"/>
  <c r="X14" i="13"/>
  <c r="Y14" i="13"/>
  <c r="Z14" i="13"/>
  <c r="J15" i="13"/>
  <c r="K15" i="13"/>
  <c r="L15" i="13"/>
  <c r="M15" i="13"/>
  <c r="N15" i="13"/>
  <c r="O15" i="13"/>
  <c r="P15" i="13"/>
  <c r="Q15" i="13"/>
  <c r="R15" i="13"/>
  <c r="S15" i="13"/>
  <c r="T15" i="13"/>
  <c r="U15" i="13"/>
  <c r="V15" i="13"/>
  <c r="W15" i="13"/>
  <c r="X15" i="13"/>
  <c r="Y15" i="13"/>
  <c r="Z15" i="13"/>
  <c r="J16" i="13"/>
  <c r="K16" i="13"/>
  <c r="L16" i="13"/>
  <c r="M16" i="13"/>
  <c r="N16" i="13"/>
  <c r="O16" i="13"/>
  <c r="P16" i="13"/>
  <c r="Q16" i="13"/>
  <c r="R16" i="13"/>
  <c r="S16" i="13"/>
  <c r="T16" i="13"/>
  <c r="U16" i="13"/>
  <c r="V16" i="13"/>
  <c r="W16" i="13"/>
  <c r="X16" i="13"/>
  <c r="Y16" i="13"/>
  <c r="Z16" i="13"/>
  <c r="A17" i="13"/>
  <c r="J17" i="13"/>
  <c r="K17" i="13"/>
  <c r="L17" i="13"/>
  <c r="M17" i="13"/>
  <c r="N17" i="13"/>
  <c r="O17" i="13"/>
  <c r="P17" i="13"/>
  <c r="Q17" i="13"/>
  <c r="R17" i="13"/>
  <c r="S17" i="13"/>
  <c r="T17" i="13"/>
  <c r="U17" i="13"/>
  <c r="V17" i="13"/>
  <c r="W17" i="13"/>
  <c r="X17" i="13"/>
  <c r="Y17" i="13"/>
  <c r="Z17" i="13"/>
  <c r="A18" i="13"/>
  <c r="J18" i="13"/>
  <c r="K18" i="13"/>
  <c r="L18" i="13"/>
  <c r="M18" i="13"/>
  <c r="N18" i="13"/>
  <c r="O18" i="13"/>
  <c r="P18" i="13"/>
  <c r="Q18" i="13"/>
  <c r="R18" i="13"/>
  <c r="S18" i="13"/>
  <c r="T18" i="13"/>
  <c r="U18" i="13"/>
  <c r="V18" i="13"/>
  <c r="W18" i="13"/>
  <c r="X18" i="13"/>
  <c r="Y18" i="13"/>
  <c r="Z18" i="13"/>
  <c r="A19" i="13"/>
  <c r="J19" i="13"/>
  <c r="K19" i="13"/>
  <c r="L19" i="13"/>
  <c r="M19" i="13"/>
  <c r="N19" i="13"/>
  <c r="O19" i="13"/>
  <c r="P19" i="13"/>
  <c r="Q19" i="13"/>
  <c r="R19" i="13"/>
  <c r="S19" i="13"/>
  <c r="T19" i="13"/>
  <c r="U19" i="13"/>
  <c r="V19" i="13"/>
  <c r="W19" i="13"/>
  <c r="X19" i="13"/>
  <c r="Y19" i="13"/>
  <c r="Z19" i="13"/>
  <c r="A20" i="13"/>
  <c r="J20" i="13"/>
  <c r="K20" i="13"/>
  <c r="L20" i="13"/>
  <c r="M20" i="13"/>
  <c r="N20" i="13"/>
  <c r="O20" i="13"/>
  <c r="P20" i="13"/>
  <c r="Q20" i="13"/>
  <c r="R20" i="13"/>
  <c r="S20" i="13"/>
  <c r="T20" i="13"/>
  <c r="U20" i="13"/>
  <c r="V20" i="13"/>
  <c r="W20" i="13"/>
  <c r="X20" i="13"/>
  <c r="Y20" i="13"/>
  <c r="Z20" i="13"/>
  <c r="J21" i="13"/>
  <c r="K21" i="13"/>
  <c r="L21" i="13"/>
  <c r="M21" i="13"/>
  <c r="N21" i="13"/>
  <c r="O21" i="13"/>
  <c r="P21" i="13"/>
  <c r="Q21" i="13"/>
  <c r="R21" i="13"/>
  <c r="S21" i="13"/>
  <c r="T21" i="13"/>
  <c r="U21" i="13"/>
  <c r="V21" i="13"/>
  <c r="W21" i="13"/>
  <c r="X21" i="13"/>
  <c r="Y21" i="13"/>
  <c r="Z21" i="13"/>
  <c r="A22" i="13"/>
  <c r="J22" i="13"/>
  <c r="K22" i="13"/>
  <c r="L22" i="13"/>
  <c r="M22" i="13"/>
  <c r="N22" i="13"/>
  <c r="O22" i="13"/>
  <c r="P22" i="13"/>
  <c r="Q22" i="13"/>
  <c r="R22" i="13"/>
  <c r="S22" i="13"/>
  <c r="T22" i="13"/>
  <c r="U22" i="13"/>
  <c r="V22" i="13"/>
  <c r="W22" i="13"/>
  <c r="X22" i="13"/>
  <c r="Y22" i="13"/>
  <c r="Z22" i="13"/>
  <c r="J23" i="13"/>
  <c r="K23" i="13"/>
  <c r="L23" i="13"/>
  <c r="M23" i="13"/>
  <c r="N23" i="13"/>
  <c r="O23" i="13"/>
  <c r="P23" i="13"/>
  <c r="Q23" i="13"/>
  <c r="R23" i="13"/>
  <c r="S23" i="13"/>
  <c r="T23" i="13"/>
  <c r="U23" i="13"/>
  <c r="V23" i="13"/>
  <c r="W23" i="13"/>
  <c r="X23" i="13"/>
  <c r="Y23" i="13"/>
  <c r="Z23" i="13"/>
  <c r="A24" i="13"/>
  <c r="J24" i="13"/>
  <c r="K24" i="13"/>
  <c r="L24" i="13"/>
  <c r="M24" i="13"/>
  <c r="N24" i="13"/>
  <c r="O24" i="13"/>
  <c r="P24" i="13"/>
  <c r="Q24" i="13"/>
  <c r="R24" i="13"/>
  <c r="S24" i="13"/>
  <c r="T24" i="13"/>
  <c r="U24" i="13"/>
  <c r="V24" i="13"/>
  <c r="W24" i="13"/>
  <c r="X24" i="13"/>
  <c r="Y24" i="13"/>
  <c r="Z24" i="13"/>
  <c r="A25" i="13"/>
  <c r="J25" i="13"/>
  <c r="K25" i="13"/>
  <c r="L25" i="13"/>
  <c r="M25" i="13"/>
  <c r="N25" i="13"/>
  <c r="O25" i="13"/>
  <c r="P25" i="13"/>
  <c r="Q25" i="13"/>
  <c r="R25" i="13"/>
  <c r="S25" i="13"/>
  <c r="T25" i="13"/>
  <c r="U25" i="13"/>
  <c r="V25" i="13"/>
  <c r="W25" i="13"/>
  <c r="X25" i="13"/>
  <c r="Y25" i="13"/>
  <c r="Z25" i="13"/>
  <c r="A26" i="13"/>
  <c r="J26" i="13"/>
  <c r="K26" i="13"/>
  <c r="L26" i="13"/>
  <c r="M26" i="13"/>
  <c r="N26" i="13"/>
  <c r="O26" i="13"/>
  <c r="P26" i="13"/>
  <c r="Q26" i="13"/>
  <c r="R26" i="13"/>
  <c r="S26" i="13"/>
  <c r="T26" i="13"/>
  <c r="U26" i="13"/>
  <c r="V26" i="13"/>
  <c r="W26" i="13"/>
  <c r="X26" i="13"/>
  <c r="Y26" i="13"/>
  <c r="Z26" i="13"/>
  <c r="J27" i="13"/>
  <c r="K27" i="13"/>
  <c r="L27" i="13"/>
  <c r="M27" i="13"/>
  <c r="N27" i="13"/>
  <c r="O27" i="13"/>
  <c r="P27" i="13"/>
  <c r="Q27" i="13"/>
  <c r="R27" i="13"/>
  <c r="S27" i="13"/>
  <c r="T27" i="13"/>
  <c r="U27" i="13"/>
  <c r="V27" i="13"/>
  <c r="W27" i="13"/>
  <c r="X27" i="13"/>
  <c r="Y27" i="13"/>
  <c r="Z27" i="13"/>
  <c r="A28" i="13"/>
  <c r="J28" i="13"/>
  <c r="K28" i="13"/>
  <c r="L28" i="13"/>
  <c r="M28" i="13"/>
  <c r="N28" i="13"/>
  <c r="O28" i="13"/>
  <c r="P28" i="13"/>
  <c r="Q28" i="13"/>
  <c r="R28" i="13"/>
  <c r="S28" i="13"/>
  <c r="T28" i="13"/>
  <c r="U28" i="13"/>
  <c r="V28" i="13"/>
  <c r="W28" i="13"/>
  <c r="X28" i="13"/>
  <c r="Y28" i="13"/>
  <c r="Z28" i="13"/>
  <c r="J29" i="13"/>
  <c r="K29" i="13"/>
  <c r="L29" i="13"/>
  <c r="M29" i="13"/>
  <c r="N29" i="13"/>
  <c r="O29" i="13"/>
  <c r="P29" i="13"/>
  <c r="Q29" i="13"/>
  <c r="R29" i="13"/>
  <c r="S29" i="13"/>
  <c r="T29" i="13"/>
  <c r="U29" i="13"/>
  <c r="V29" i="13"/>
  <c r="W29" i="13"/>
  <c r="X29" i="13"/>
  <c r="Y29" i="13"/>
  <c r="Z29" i="13"/>
  <c r="J30" i="13"/>
  <c r="K30" i="13"/>
  <c r="L30" i="13"/>
  <c r="M30" i="13"/>
  <c r="N30" i="13"/>
  <c r="O30" i="13"/>
  <c r="P30" i="13"/>
  <c r="Q30" i="13"/>
  <c r="R30" i="13"/>
  <c r="S30" i="13"/>
  <c r="T30" i="13"/>
  <c r="U30" i="13"/>
  <c r="V30" i="13"/>
  <c r="W30" i="13"/>
  <c r="X30" i="13"/>
  <c r="Y30" i="13"/>
  <c r="Z30" i="13"/>
  <c r="J31" i="13"/>
  <c r="K31" i="13"/>
  <c r="L31" i="13"/>
  <c r="M31" i="13"/>
  <c r="N31" i="13"/>
  <c r="O31" i="13"/>
  <c r="P31" i="13"/>
  <c r="Q31" i="13"/>
  <c r="R31" i="13"/>
  <c r="S31" i="13"/>
  <c r="T31" i="13"/>
  <c r="U31" i="13"/>
  <c r="V31" i="13"/>
  <c r="W31" i="13"/>
  <c r="X31" i="13"/>
  <c r="Y31" i="13"/>
  <c r="Z31" i="13"/>
  <c r="J32" i="13"/>
  <c r="K32" i="13"/>
  <c r="L32" i="13"/>
  <c r="M32" i="13"/>
  <c r="N32" i="13"/>
  <c r="O32" i="13"/>
  <c r="P32" i="13"/>
  <c r="Q32" i="13"/>
  <c r="R32" i="13"/>
  <c r="S32" i="13"/>
  <c r="T32" i="13"/>
  <c r="U32" i="13"/>
  <c r="V32" i="13"/>
  <c r="W32" i="13"/>
  <c r="X32" i="13"/>
  <c r="Y32" i="13"/>
  <c r="Z32" i="13"/>
  <c r="A33" i="13"/>
  <c r="J33" i="13"/>
  <c r="K33" i="13"/>
  <c r="L33" i="13"/>
  <c r="M33" i="13"/>
  <c r="N33" i="13"/>
  <c r="O33" i="13"/>
  <c r="P33" i="13"/>
  <c r="Q33" i="13"/>
  <c r="R33" i="13"/>
  <c r="S33" i="13"/>
  <c r="T33" i="13"/>
  <c r="U33" i="13"/>
  <c r="V33" i="13"/>
  <c r="W33" i="13"/>
  <c r="X33" i="13"/>
  <c r="Y33" i="13"/>
  <c r="Z33" i="13"/>
  <c r="A34" i="13"/>
  <c r="J34" i="13"/>
  <c r="K34" i="13"/>
  <c r="L34" i="13"/>
  <c r="M34" i="13"/>
  <c r="N34" i="13"/>
  <c r="O34" i="13"/>
  <c r="P34" i="13"/>
  <c r="Q34" i="13"/>
  <c r="R34" i="13"/>
  <c r="S34" i="13"/>
  <c r="T34" i="13"/>
  <c r="U34" i="13"/>
  <c r="V34" i="13"/>
  <c r="W34" i="13"/>
  <c r="X34" i="13"/>
  <c r="Y34" i="13"/>
  <c r="Z34" i="13"/>
  <c r="A35" i="13"/>
  <c r="J35" i="13"/>
  <c r="K35" i="13"/>
  <c r="L35" i="13"/>
  <c r="M35" i="13"/>
  <c r="N35" i="13"/>
  <c r="O35" i="13"/>
  <c r="P35" i="13"/>
  <c r="Q35" i="13"/>
  <c r="R35" i="13"/>
  <c r="S35" i="13"/>
  <c r="T35" i="13"/>
  <c r="U35" i="13"/>
  <c r="V35" i="13"/>
  <c r="W35" i="13"/>
  <c r="X35" i="13"/>
  <c r="Y35" i="13"/>
  <c r="Z35" i="13"/>
  <c r="A36" i="13"/>
  <c r="J36" i="13"/>
  <c r="K36" i="13"/>
  <c r="L36" i="13"/>
  <c r="M36" i="13"/>
  <c r="N36" i="13"/>
  <c r="O36" i="13"/>
  <c r="P36" i="13"/>
  <c r="Q36" i="13"/>
  <c r="R36" i="13"/>
  <c r="S36" i="13"/>
  <c r="T36" i="13"/>
  <c r="U36" i="13"/>
  <c r="V36" i="13"/>
  <c r="W36" i="13"/>
  <c r="X36" i="13"/>
  <c r="Y36" i="13"/>
  <c r="Z36" i="13"/>
  <c r="J37" i="13"/>
  <c r="K37" i="13"/>
  <c r="L37" i="13"/>
  <c r="M37" i="13"/>
  <c r="N37" i="13"/>
  <c r="O37" i="13"/>
  <c r="P37" i="13"/>
  <c r="Q37" i="13"/>
  <c r="R37" i="13"/>
  <c r="S37" i="13"/>
  <c r="T37" i="13"/>
  <c r="U37" i="13"/>
  <c r="V37" i="13"/>
  <c r="W37" i="13"/>
  <c r="X37" i="13"/>
  <c r="Y37" i="13"/>
  <c r="Z37" i="13"/>
  <c r="A38" i="13"/>
  <c r="J38" i="13"/>
  <c r="K38" i="13"/>
  <c r="L38" i="13"/>
  <c r="M38" i="13"/>
  <c r="N38" i="13"/>
  <c r="O38" i="13"/>
  <c r="P38" i="13"/>
  <c r="Q38" i="13"/>
  <c r="R38" i="13"/>
  <c r="S38" i="13"/>
  <c r="T38" i="13"/>
  <c r="U38" i="13"/>
  <c r="V38" i="13"/>
  <c r="W38" i="13"/>
  <c r="X38" i="13"/>
  <c r="Y38" i="13"/>
  <c r="Z38" i="13"/>
  <c r="J39" i="13"/>
  <c r="K39" i="13"/>
  <c r="L39" i="13"/>
  <c r="M39" i="13"/>
  <c r="N39" i="13"/>
  <c r="O39" i="13"/>
  <c r="P39" i="13"/>
  <c r="Q39" i="13"/>
  <c r="R39" i="13"/>
  <c r="S39" i="13"/>
  <c r="T39" i="13"/>
  <c r="U39" i="13"/>
  <c r="V39" i="13"/>
  <c r="W39" i="13"/>
  <c r="X39" i="13"/>
  <c r="Y39" i="13"/>
  <c r="Z39" i="13"/>
  <c r="A40" i="13"/>
  <c r="J40" i="13"/>
  <c r="K40" i="13"/>
  <c r="L40" i="13"/>
  <c r="M40" i="13"/>
  <c r="N40" i="13"/>
  <c r="O40" i="13"/>
  <c r="P40" i="13"/>
  <c r="Q40" i="13"/>
  <c r="R40" i="13"/>
  <c r="S40" i="13"/>
  <c r="T40" i="13"/>
  <c r="U40" i="13"/>
  <c r="V40" i="13"/>
  <c r="W40" i="13"/>
  <c r="X40" i="13"/>
  <c r="Y40" i="13"/>
  <c r="Z40" i="13"/>
  <c r="A41" i="13"/>
  <c r="J41" i="13"/>
  <c r="K41" i="13"/>
  <c r="L41" i="13"/>
  <c r="M41" i="13"/>
  <c r="N41" i="13"/>
  <c r="O41" i="13"/>
  <c r="P41" i="13"/>
  <c r="Q41" i="13"/>
  <c r="R41" i="13"/>
  <c r="S41" i="13"/>
  <c r="T41" i="13"/>
  <c r="U41" i="13"/>
  <c r="V41" i="13"/>
  <c r="W41" i="13"/>
  <c r="X41" i="13"/>
  <c r="Y41" i="13"/>
  <c r="Z41" i="13"/>
  <c r="A42" i="13"/>
  <c r="J42" i="13"/>
  <c r="K42" i="13"/>
  <c r="L42" i="13"/>
  <c r="M42" i="13"/>
  <c r="N42" i="13"/>
  <c r="O42" i="13"/>
  <c r="P42" i="13"/>
  <c r="Q42" i="13"/>
  <c r="R42" i="13"/>
  <c r="S42" i="13"/>
  <c r="T42" i="13"/>
  <c r="U42" i="13"/>
  <c r="V42" i="13"/>
  <c r="W42" i="13"/>
  <c r="X42" i="13"/>
  <c r="Y42" i="13"/>
  <c r="Z42" i="13"/>
  <c r="J43" i="13"/>
  <c r="K43" i="13"/>
  <c r="L43" i="13"/>
  <c r="M43" i="13"/>
  <c r="N43" i="13"/>
  <c r="O43" i="13"/>
  <c r="P43" i="13"/>
  <c r="Q43" i="13"/>
  <c r="R43" i="13"/>
  <c r="S43" i="13"/>
  <c r="T43" i="13"/>
  <c r="U43" i="13"/>
  <c r="V43" i="13"/>
  <c r="W43" i="13"/>
  <c r="X43" i="13"/>
  <c r="Y43" i="13"/>
  <c r="Z43" i="13"/>
  <c r="A44" i="13"/>
  <c r="J44" i="13"/>
  <c r="K44" i="13"/>
  <c r="L44" i="13"/>
  <c r="M44" i="13"/>
  <c r="N44" i="13"/>
  <c r="O44" i="13"/>
  <c r="P44" i="13"/>
  <c r="Q44" i="13"/>
  <c r="R44" i="13"/>
  <c r="S44" i="13"/>
  <c r="T44" i="13"/>
  <c r="U44" i="13"/>
  <c r="V44" i="13"/>
  <c r="W44" i="13"/>
  <c r="X44" i="13"/>
  <c r="Y44" i="13"/>
  <c r="Z44" i="13"/>
  <c r="J45" i="13"/>
  <c r="K45" i="13"/>
  <c r="L45" i="13"/>
  <c r="M45" i="13"/>
  <c r="N45" i="13"/>
  <c r="O45" i="13"/>
  <c r="P45" i="13"/>
  <c r="Q45" i="13"/>
  <c r="R45" i="13"/>
  <c r="S45" i="13"/>
  <c r="T45" i="13"/>
  <c r="U45" i="13"/>
  <c r="V45" i="13"/>
  <c r="W45" i="13"/>
  <c r="X45" i="13"/>
  <c r="Y45" i="13"/>
  <c r="Z45" i="13"/>
  <c r="J46" i="13"/>
  <c r="K46" i="13"/>
  <c r="L46" i="13"/>
  <c r="M46" i="13"/>
  <c r="N46" i="13"/>
  <c r="O46" i="13"/>
  <c r="P46" i="13"/>
  <c r="Q46" i="13"/>
  <c r="R46" i="13"/>
  <c r="S46" i="13"/>
  <c r="T46" i="13"/>
  <c r="U46" i="13"/>
  <c r="V46" i="13"/>
  <c r="W46" i="13"/>
  <c r="X46" i="13"/>
  <c r="Y46" i="13"/>
  <c r="Z46" i="13"/>
  <c r="J47" i="13"/>
  <c r="K47" i="13"/>
  <c r="L47" i="13"/>
  <c r="M47" i="13"/>
  <c r="N47" i="13"/>
  <c r="O47" i="13"/>
  <c r="P47" i="13"/>
  <c r="Q47" i="13"/>
  <c r="R47" i="13"/>
  <c r="S47" i="13"/>
  <c r="T47" i="13"/>
  <c r="U47" i="13"/>
  <c r="V47" i="13"/>
  <c r="W47" i="13"/>
  <c r="X47" i="13"/>
  <c r="Y47" i="13"/>
  <c r="Z47" i="13"/>
  <c r="J48" i="13"/>
  <c r="K48" i="13"/>
  <c r="L48" i="13"/>
  <c r="M48" i="13"/>
  <c r="N48" i="13"/>
  <c r="O48" i="13"/>
  <c r="P48" i="13"/>
  <c r="Q48" i="13"/>
  <c r="R48" i="13"/>
  <c r="S48" i="13"/>
  <c r="T48" i="13"/>
  <c r="U48" i="13"/>
  <c r="V48" i="13"/>
  <c r="W48" i="13"/>
  <c r="X48" i="13"/>
  <c r="Y48" i="13"/>
  <c r="Z48" i="13"/>
  <c r="A49" i="13"/>
  <c r="J49" i="13"/>
  <c r="K49" i="13"/>
  <c r="L49" i="13"/>
  <c r="M49" i="13"/>
  <c r="N49" i="13"/>
  <c r="O49" i="13"/>
  <c r="P49" i="13"/>
  <c r="Q49" i="13"/>
  <c r="R49" i="13"/>
  <c r="S49" i="13"/>
  <c r="T49" i="13"/>
  <c r="U49" i="13"/>
  <c r="V49" i="13"/>
  <c r="W49" i="13"/>
  <c r="X49" i="13"/>
  <c r="Y49" i="13"/>
  <c r="Z49" i="13"/>
  <c r="A50" i="13"/>
  <c r="J50" i="13"/>
  <c r="K50" i="13"/>
  <c r="L50" i="13"/>
  <c r="M50" i="13"/>
  <c r="N50" i="13"/>
  <c r="O50" i="13"/>
  <c r="P50" i="13"/>
  <c r="Q50" i="13"/>
  <c r="R50" i="13"/>
  <c r="S50" i="13"/>
  <c r="T50" i="13"/>
  <c r="U50" i="13"/>
  <c r="V50" i="13"/>
  <c r="W50" i="13"/>
  <c r="X50" i="13"/>
  <c r="Y50" i="13"/>
  <c r="Z50" i="13"/>
  <c r="A51" i="13"/>
  <c r="J51" i="13"/>
  <c r="K51" i="13"/>
  <c r="L51" i="13"/>
  <c r="M51" i="13"/>
  <c r="N51" i="13"/>
  <c r="O51" i="13"/>
  <c r="P51" i="13"/>
  <c r="Q51" i="13"/>
  <c r="R51" i="13"/>
  <c r="S51" i="13"/>
  <c r="T51" i="13"/>
  <c r="U51" i="13"/>
  <c r="V51" i="13"/>
  <c r="W51" i="13"/>
  <c r="X51" i="13"/>
  <c r="Y51" i="13"/>
  <c r="Z51" i="13"/>
  <c r="A52" i="13"/>
  <c r="J52" i="13"/>
  <c r="K52" i="13"/>
  <c r="L52" i="13"/>
  <c r="M52" i="13"/>
  <c r="N52" i="13"/>
  <c r="O52" i="13"/>
  <c r="P52" i="13"/>
  <c r="Q52" i="13"/>
  <c r="R52" i="13"/>
  <c r="S52" i="13"/>
  <c r="T52" i="13"/>
  <c r="U52" i="13"/>
  <c r="V52" i="13"/>
  <c r="W52" i="13"/>
  <c r="X52" i="13"/>
  <c r="Y52" i="13"/>
  <c r="Z52" i="13"/>
  <c r="J53" i="13"/>
  <c r="K53" i="13"/>
  <c r="L53" i="13"/>
  <c r="M53" i="13"/>
  <c r="N53" i="13"/>
  <c r="O53" i="13"/>
  <c r="P53" i="13"/>
  <c r="Q53" i="13"/>
  <c r="R53" i="13"/>
  <c r="S53" i="13"/>
  <c r="T53" i="13"/>
  <c r="U53" i="13"/>
  <c r="V53" i="13"/>
  <c r="W53" i="13"/>
  <c r="X53" i="13"/>
  <c r="Y53" i="13"/>
  <c r="Z53" i="13"/>
  <c r="A54" i="13"/>
  <c r="J54" i="13"/>
  <c r="K54" i="13"/>
  <c r="L54" i="13"/>
  <c r="M54" i="13"/>
  <c r="N54" i="13"/>
  <c r="O54" i="13"/>
  <c r="P54" i="13"/>
  <c r="Q54" i="13"/>
  <c r="R54" i="13"/>
  <c r="S54" i="13"/>
  <c r="T54" i="13"/>
  <c r="U54" i="13"/>
  <c r="V54" i="13"/>
  <c r="W54" i="13"/>
  <c r="X54" i="13"/>
  <c r="Y54" i="13"/>
  <c r="Z54" i="13"/>
  <c r="J55" i="13"/>
  <c r="K55" i="13"/>
  <c r="L55" i="13"/>
  <c r="M55" i="13"/>
  <c r="N55" i="13"/>
  <c r="O55" i="13"/>
  <c r="P55" i="13"/>
  <c r="Q55" i="13"/>
  <c r="R55" i="13"/>
  <c r="S55" i="13"/>
  <c r="T55" i="13"/>
  <c r="U55" i="13"/>
  <c r="V55" i="13"/>
  <c r="W55" i="13"/>
  <c r="X55" i="13"/>
  <c r="Y55" i="13"/>
  <c r="Z55" i="13"/>
  <c r="A56" i="13"/>
  <c r="J56" i="13"/>
  <c r="K56" i="13"/>
  <c r="L56" i="13"/>
  <c r="M56" i="13"/>
  <c r="N56" i="13"/>
  <c r="O56" i="13"/>
  <c r="P56" i="13"/>
  <c r="Q56" i="13"/>
  <c r="R56" i="13"/>
  <c r="S56" i="13"/>
  <c r="T56" i="13"/>
  <c r="U56" i="13"/>
  <c r="V56" i="13"/>
  <c r="W56" i="13"/>
  <c r="X56" i="13"/>
  <c r="Y56" i="13"/>
  <c r="Z56" i="13"/>
  <c r="A57" i="13"/>
  <c r="J57" i="13"/>
  <c r="K57" i="13"/>
  <c r="L57" i="13"/>
  <c r="M57" i="13"/>
  <c r="N57" i="13"/>
  <c r="O57" i="13"/>
  <c r="P57" i="13"/>
  <c r="Q57" i="13"/>
  <c r="R57" i="13"/>
  <c r="S57" i="13"/>
  <c r="T57" i="13"/>
  <c r="U57" i="13"/>
  <c r="V57" i="13"/>
  <c r="W57" i="13"/>
  <c r="X57" i="13"/>
  <c r="Y57" i="13"/>
  <c r="Z57" i="13"/>
  <c r="A58" i="13"/>
  <c r="J58" i="13"/>
  <c r="K58" i="13"/>
  <c r="L58" i="13"/>
  <c r="M58" i="13"/>
  <c r="N58" i="13"/>
  <c r="O58" i="13"/>
  <c r="P58" i="13"/>
  <c r="Q58" i="13"/>
  <c r="R58" i="13"/>
  <c r="S58" i="13"/>
  <c r="T58" i="13"/>
  <c r="U58" i="13"/>
  <c r="V58" i="13"/>
  <c r="W58" i="13"/>
  <c r="X58" i="13"/>
  <c r="Y58" i="13"/>
  <c r="Z58" i="13"/>
  <c r="J59" i="13"/>
  <c r="K59" i="13"/>
  <c r="L59" i="13"/>
  <c r="M59" i="13"/>
  <c r="N59" i="13"/>
  <c r="O59" i="13"/>
  <c r="P59" i="13"/>
  <c r="Q59" i="13"/>
  <c r="R59" i="13"/>
  <c r="S59" i="13"/>
  <c r="T59" i="13"/>
  <c r="U59" i="13"/>
  <c r="V59" i="13"/>
  <c r="W59" i="13"/>
  <c r="X59" i="13"/>
  <c r="Y59" i="13"/>
  <c r="Z59" i="13"/>
  <c r="A60" i="13"/>
  <c r="J60" i="13"/>
  <c r="K60" i="13"/>
  <c r="L60" i="13"/>
  <c r="M60" i="13"/>
  <c r="N60" i="13"/>
  <c r="O60" i="13"/>
  <c r="P60" i="13"/>
  <c r="Q60" i="13"/>
  <c r="R60" i="13"/>
  <c r="S60" i="13"/>
  <c r="T60" i="13"/>
  <c r="U60" i="13"/>
  <c r="V60" i="13"/>
  <c r="W60" i="13"/>
  <c r="X60" i="13"/>
  <c r="Y60" i="13"/>
  <c r="Z60" i="13"/>
  <c r="J61" i="13"/>
  <c r="K61" i="13"/>
  <c r="L61" i="13"/>
  <c r="M61" i="13"/>
  <c r="N61" i="13"/>
  <c r="O61" i="13"/>
  <c r="P61" i="13"/>
  <c r="Q61" i="13"/>
  <c r="R61" i="13"/>
  <c r="S61" i="13"/>
  <c r="T61" i="13"/>
  <c r="U61" i="13"/>
  <c r="V61" i="13"/>
  <c r="W61" i="13"/>
  <c r="X61" i="13"/>
  <c r="Y61" i="13"/>
  <c r="Z61" i="13"/>
  <c r="J62" i="13"/>
  <c r="K62" i="13"/>
  <c r="L62" i="13"/>
  <c r="M62" i="13"/>
  <c r="N62" i="13"/>
  <c r="O62" i="13"/>
  <c r="P62" i="13"/>
  <c r="Q62" i="13"/>
  <c r="R62" i="13"/>
  <c r="S62" i="13"/>
  <c r="T62" i="13"/>
  <c r="U62" i="13"/>
  <c r="V62" i="13"/>
  <c r="W62" i="13"/>
  <c r="X62" i="13"/>
  <c r="Y62" i="13"/>
  <c r="Z62" i="13"/>
  <c r="J63" i="13"/>
  <c r="K63" i="13"/>
  <c r="L63" i="13"/>
  <c r="M63" i="13"/>
  <c r="N63" i="13"/>
  <c r="O63" i="13"/>
  <c r="P63" i="13"/>
  <c r="Q63" i="13"/>
  <c r="R63" i="13"/>
  <c r="S63" i="13"/>
  <c r="T63" i="13"/>
  <c r="U63" i="13"/>
  <c r="V63" i="13"/>
  <c r="W63" i="13"/>
  <c r="X63" i="13"/>
  <c r="Y63" i="13"/>
  <c r="Z63" i="13"/>
  <c r="J64" i="13"/>
  <c r="K64" i="13"/>
  <c r="L64" i="13"/>
  <c r="M64" i="13"/>
  <c r="N64" i="13"/>
  <c r="O64" i="13"/>
  <c r="P64" i="13"/>
  <c r="Q64" i="13"/>
  <c r="R64" i="13"/>
  <c r="S64" i="13"/>
  <c r="T64" i="13"/>
  <c r="U64" i="13"/>
  <c r="V64" i="13"/>
  <c r="W64" i="13"/>
  <c r="X64" i="13"/>
  <c r="Y64" i="13"/>
  <c r="Z64" i="13"/>
  <c r="A65" i="13"/>
  <c r="J65" i="13"/>
  <c r="K65" i="13"/>
  <c r="L65" i="13"/>
  <c r="M65" i="13"/>
  <c r="N65" i="13"/>
  <c r="O65" i="13"/>
  <c r="P65" i="13"/>
  <c r="Q65" i="13"/>
  <c r="R65" i="13"/>
  <c r="S65" i="13"/>
  <c r="T65" i="13"/>
  <c r="U65" i="13"/>
  <c r="V65" i="13"/>
  <c r="W65" i="13"/>
  <c r="X65" i="13"/>
  <c r="Y65" i="13"/>
  <c r="Z65" i="13"/>
  <c r="A66" i="13"/>
  <c r="J66" i="13"/>
  <c r="K66" i="13"/>
  <c r="L66" i="13"/>
  <c r="M66" i="13"/>
  <c r="N66" i="13"/>
  <c r="O66" i="13"/>
  <c r="P66" i="13"/>
  <c r="Q66" i="13"/>
  <c r="R66" i="13"/>
  <c r="S66" i="13"/>
  <c r="T66" i="13"/>
  <c r="U66" i="13"/>
  <c r="V66" i="13"/>
  <c r="W66" i="13"/>
  <c r="X66" i="13"/>
  <c r="Y66" i="13"/>
  <c r="Z66" i="13"/>
  <c r="A67" i="13"/>
  <c r="J67" i="13"/>
  <c r="K67" i="13"/>
  <c r="L67" i="13"/>
  <c r="M67" i="13"/>
  <c r="N67" i="13"/>
  <c r="O67" i="13"/>
  <c r="P67" i="13"/>
  <c r="Q67" i="13"/>
  <c r="R67" i="13"/>
  <c r="S67" i="13"/>
  <c r="T67" i="13"/>
  <c r="U67" i="13"/>
  <c r="V67" i="13"/>
  <c r="W67" i="13"/>
  <c r="X67" i="13"/>
  <c r="Y67" i="13"/>
  <c r="Z67" i="13"/>
  <c r="A68" i="13"/>
  <c r="J68" i="13"/>
  <c r="K68" i="13"/>
  <c r="L68" i="13"/>
  <c r="M68" i="13"/>
  <c r="N68" i="13"/>
  <c r="O68" i="13"/>
  <c r="P68" i="13"/>
  <c r="Q68" i="13"/>
  <c r="R68" i="13"/>
  <c r="S68" i="13"/>
  <c r="T68" i="13"/>
  <c r="U68" i="13"/>
  <c r="V68" i="13"/>
  <c r="W68" i="13"/>
  <c r="X68" i="13"/>
  <c r="Y68" i="13"/>
  <c r="Z68" i="13"/>
  <c r="J69" i="13"/>
  <c r="K69" i="13"/>
  <c r="L69" i="13"/>
  <c r="M69" i="13"/>
  <c r="N69" i="13"/>
  <c r="O69" i="13"/>
  <c r="P69" i="13"/>
  <c r="Q69" i="13"/>
  <c r="R69" i="13"/>
  <c r="S69" i="13"/>
  <c r="T69" i="13"/>
  <c r="U69" i="13"/>
  <c r="V69" i="13"/>
  <c r="W69" i="13"/>
  <c r="X69" i="13"/>
  <c r="Y69" i="13"/>
  <c r="Z69" i="13"/>
  <c r="A70" i="13"/>
  <c r="J70" i="13"/>
  <c r="K70" i="13"/>
  <c r="L70" i="13"/>
  <c r="M70" i="13"/>
  <c r="N70" i="13"/>
  <c r="O70" i="13"/>
  <c r="P70" i="13"/>
  <c r="Q70" i="13"/>
  <c r="R70" i="13"/>
  <c r="S70" i="13"/>
  <c r="T70" i="13"/>
  <c r="U70" i="13"/>
  <c r="V70" i="13"/>
  <c r="W70" i="13"/>
  <c r="X70" i="13"/>
  <c r="Y70" i="13"/>
  <c r="Z70" i="13"/>
  <c r="J71" i="13"/>
  <c r="K71" i="13"/>
  <c r="L71" i="13"/>
  <c r="M71" i="13"/>
  <c r="N71" i="13"/>
  <c r="O71" i="13"/>
  <c r="P71" i="13"/>
  <c r="Q71" i="13"/>
  <c r="R71" i="13"/>
  <c r="S71" i="13"/>
  <c r="T71" i="13"/>
  <c r="U71" i="13"/>
  <c r="V71" i="13"/>
  <c r="W71" i="13"/>
  <c r="X71" i="13"/>
  <c r="Y71" i="13"/>
  <c r="Z71" i="13"/>
  <c r="A72" i="13"/>
  <c r="J72" i="13"/>
  <c r="K72" i="13"/>
  <c r="L72" i="13"/>
  <c r="M72" i="13"/>
  <c r="N72" i="13"/>
  <c r="O72" i="13"/>
  <c r="P72" i="13"/>
  <c r="Q72" i="13"/>
  <c r="R72" i="13"/>
  <c r="S72" i="13"/>
  <c r="T72" i="13"/>
  <c r="U72" i="13"/>
  <c r="V72" i="13"/>
  <c r="W72" i="13"/>
  <c r="X72" i="13"/>
  <c r="Y72" i="13"/>
  <c r="Z72" i="13"/>
  <c r="A73" i="13"/>
  <c r="J73" i="13"/>
  <c r="K73" i="13"/>
  <c r="L73" i="13"/>
  <c r="M73" i="13"/>
  <c r="N73" i="13"/>
  <c r="O73" i="13"/>
  <c r="P73" i="13"/>
  <c r="Q73" i="13"/>
  <c r="R73" i="13"/>
  <c r="S73" i="13"/>
  <c r="T73" i="13"/>
  <c r="U73" i="13"/>
  <c r="V73" i="13"/>
  <c r="W73" i="13"/>
  <c r="X73" i="13"/>
  <c r="Y73" i="13"/>
  <c r="Z73" i="13"/>
  <c r="A74" i="13"/>
  <c r="J74" i="13"/>
  <c r="K74" i="13"/>
  <c r="L74" i="13"/>
  <c r="M74" i="13"/>
  <c r="N74" i="13"/>
  <c r="O74" i="13"/>
  <c r="P74" i="13"/>
  <c r="Q74" i="13"/>
  <c r="R74" i="13"/>
  <c r="S74" i="13"/>
  <c r="T74" i="13"/>
  <c r="U74" i="13"/>
  <c r="V74" i="13"/>
  <c r="W74" i="13"/>
  <c r="X74" i="13"/>
  <c r="Y74" i="13"/>
  <c r="Z74" i="13"/>
  <c r="J75" i="13"/>
  <c r="K75" i="13"/>
  <c r="L75" i="13"/>
  <c r="M75" i="13"/>
  <c r="N75" i="13"/>
  <c r="O75" i="13"/>
  <c r="P75" i="13"/>
  <c r="Q75" i="13"/>
  <c r="R75" i="13"/>
  <c r="S75" i="13"/>
  <c r="T75" i="13"/>
  <c r="U75" i="13"/>
  <c r="V75" i="13"/>
  <c r="W75" i="13"/>
  <c r="X75" i="13"/>
  <c r="Y75" i="13"/>
  <c r="Z75" i="13"/>
  <c r="A76" i="13"/>
  <c r="J76" i="13"/>
  <c r="K76" i="13"/>
  <c r="L76" i="13"/>
  <c r="M76" i="13"/>
  <c r="N76" i="13"/>
  <c r="O76" i="13"/>
  <c r="P76" i="13"/>
  <c r="Q76" i="13"/>
  <c r="R76" i="13"/>
  <c r="S76" i="13"/>
  <c r="T76" i="13"/>
  <c r="U76" i="13"/>
  <c r="V76" i="13"/>
  <c r="W76" i="13"/>
  <c r="X76" i="13"/>
  <c r="Y76" i="13"/>
  <c r="Z76" i="13"/>
  <c r="J77" i="13"/>
  <c r="K77" i="13"/>
  <c r="L77" i="13"/>
  <c r="M77" i="13"/>
  <c r="N77" i="13"/>
  <c r="O77" i="13"/>
  <c r="P77" i="13"/>
  <c r="Q77" i="13"/>
  <c r="R77" i="13"/>
  <c r="S77" i="13"/>
  <c r="T77" i="13"/>
  <c r="U77" i="13"/>
  <c r="V77" i="13"/>
  <c r="W77" i="13"/>
  <c r="X77" i="13"/>
  <c r="Y77" i="13"/>
  <c r="Z77" i="13"/>
  <c r="J78" i="13"/>
  <c r="K78" i="13"/>
  <c r="L78" i="13"/>
  <c r="M78" i="13"/>
  <c r="N78" i="13"/>
  <c r="O78" i="13"/>
  <c r="P78" i="13"/>
  <c r="Q78" i="13"/>
  <c r="R78" i="13"/>
  <c r="S78" i="13"/>
  <c r="T78" i="13"/>
  <c r="U78" i="13"/>
  <c r="V78" i="13"/>
  <c r="W78" i="13"/>
  <c r="X78" i="13"/>
  <c r="Y78" i="13"/>
  <c r="Z78" i="13"/>
  <c r="J79" i="13"/>
  <c r="K79" i="13"/>
  <c r="L79" i="13"/>
  <c r="M79" i="13"/>
  <c r="N79" i="13"/>
  <c r="O79" i="13"/>
  <c r="P79" i="13"/>
  <c r="Q79" i="13"/>
  <c r="R79" i="13"/>
  <c r="S79" i="13"/>
  <c r="T79" i="13"/>
  <c r="U79" i="13"/>
  <c r="V79" i="13"/>
  <c r="W79" i="13"/>
  <c r="X79" i="13"/>
  <c r="Y79" i="13"/>
  <c r="Z79" i="13"/>
  <c r="J80" i="13"/>
  <c r="K80" i="13"/>
  <c r="L80" i="13"/>
  <c r="M80" i="13"/>
  <c r="N80" i="13"/>
  <c r="O80" i="13"/>
  <c r="P80" i="13"/>
  <c r="Q80" i="13"/>
  <c r="R80" i="13"/>
  <c r="S80" i="13"/>
  <c r="T80" i="13"/>
  <c r="U80" i="13"/>
  <c r="V80" i="13"/>
  <c r="W80" i="13"/>
  <c r="X80" i="13"/>
  <c r="Y80" i="13"/>
  <c r="Z80" i="13"/>
  <c r="G4" i="16"/>
  <c r="H4" i="16"/>
  <c r="G5" i="16"/>
  <c r="H5" i="16"/>
  <c r="G6" i="16"/>
  <c r="H6" i="16"/>
  <c r="G7" i="16"/>
  <c r="G18" i="16" s="1"/>
  <c r="I22" i="16" s="1"/>
  <c r="H7" i="16"/>
  <c r="G8" i="16"/>
  <c r="H8" i="16"/>
  <c r="G9" i="16"/>
  <c r="H9" i="16"/>
  <c r="G10" i="16"/>
  <c r="H10" i="16"/>
  <c r="G11" i="16"/>
  <c r="H11" i="16"/>
  <c r="G12" i="16"/>
  <c r="H12" i="16"/>
  <c r="G13" i="16"/>
  <c r="H13" i="16"/>
  <c r="G14" i="16"/>
  <c r="H14" i="16"/>
  <c r="G15" i="16"/>
  <c r="H15" i="16"/>
  <c r="G16" i="16"/>
  <c r="H16" i="16"/>
  <c r="E23" i="16"/>
  <c r="E24" i="16"/>
  <c r="E25" i="16"/>
  <c r="H25" i="16"/>
  <c r="H29" i="16" s="1"/>
  <c r="E26" i="16"/>
  <c r="H26" i="16"/>
  <c r="E27" i="16"/>
  <c r="H27" i="16"/>
  <c r="E28" i="16"/>
  <c r="H28" i="16"/>
  <c r="I28" i="16" s="1"/>
  <c r="AF6" i="1"/>
  <c r="AK7" i="1" s="1"/>
  <c r="AG6" i="1"/>
  <c r="H13" i="1"/>
  <c r="D23" i="1"/>
  <c r="H23" i="1"/>
  <c r="T23" i="1"/>
  <c r="D24" i="1"/>
  <c r="H24" i="1"/>
  <c r="J24" i="1"/>
  <c r="Q24" i="1"/>
  <c r="S24" i="1" s="1"/>
  <c r="T24" i="1"/>
  <c r="AF24" i="1"/>
  <c r="D25" i="1"/>
  <c r="H25" i="1"/>
  <c r="J25" i="1"/>
  <c r="Q25" i="1"/>
  <c r="S25" i="1"/>
  <c r="T25" i="1"/>
  <c r="D26" i="1"/>
  <c r="H26" i="1"/>
  <c r="J26" i="1"/>
  <c r="N26" i="1" s="1"/>
  <c r="Q26" i="1"/>
  <c r="S26" i="1"/>
  <c r="T26" i="1"/>
  <c r="AF26" i="1"/>
  <c r="D27" i="1"/>
  <c r="H27" i="1"/>
  <c r="J27" i="1"/>
  <c r="N27" i="1" s="1"/>
  <c r="Q27" i="1"/>
  <c r="S27" i="1"/>
  <c r="T27" i="1"/>
  <c r="D28" i="1"/>
  <c r="H28" i="1"/>
  <c r="J28" i="1"/>
  <c r="N28" i="1" s="1"/>
  <c r="Q28" i="1"/>
  <c r="S28" i="1"/>
  <c r="T28" i="1"/>
  <c r="AF28" i="1"/>
  <c r="D29" i="1"/>
  <c r="H29" i="1"/>
  <c r="J29" i="1"/>
  <c r="N29" i="1" s="1"/>
  <c r="Q29" i="1"/>
  <c r="S29" i="1"/>
  <c r="T29" i="1"/>
  <c r="AF29" i="1"/>
  <c r="D30" i="1"/>
  <c r="H30" i="1"/>
  <c r="J30" i="1"/>
  <c r="N30" i="1" s="1"/>
  <c r="Q30" i="1"/>
  <c r="S30" i="1"/>
  <c r="T30" i="1"/>
  <c r="AH30" i="1"/>
  <c r="AF32" i="1"/>
  <c r="Q33" i="1"/>
  <c r="S33" i="1" s="1"/>
  <c r="AE33" i="1"/>
  <c r="AF33" i="1"/>
  <c r="Q34" i="1"/>
  <c r="S34" i="1" s="1"/>
  <c r="AE34" i="1"/>
  <c r="AE35" i="1"/>
  <c r="AE36" i="1"/>
  <c r="AF36" i="1"/>
  <c r="Q37" i="1"/>
  <c r="S37" i="1"/>
  <c r="AE37" i="1"/>
  <c r="AF37" i="1"/>
  <c r="AF39" i="1"/>
  <c r="AF40" i="1"/>
  <c r="D45" i="1"/>
  <c r="H45" i="1"/>
  <c r="J45" i="1"/>
  <c r="D46" i="1"/>
  <c r="H46" i="1"/>
  <c r="J46" i="1"/>
  <c r="Q46" i="1"/>
  <c r="S46" i="1"/>
  <c r="D47" i="1"/>
  <c r="H47" i="1"/>
  <c r="J47" i="1"/>
  <c r="N47" i="1" s="1"/>
  <c r="Q47" i="1"/>
  <c r="S47" i="1"/>
  <c r="J48" i="1"/>
  <c r="N48" i="1" s="1"/>
  <c r="Q48" i="1"/>
  <c r="S48" i="1"/>
  <c r="Q49" i="1"/>
  <c r="S49" i="1"/>
  <c r="N51" i="1"/>
  <c r="W51" i="1" s="1"/>
  <c r="Y51" i="1" s="1"/>
  <c r="AE51" i="1"/>
  <c r="N52" i="1"/>
  <c r="AE52" i="1"/>
  <c r="N53" i="1"/>
  <c r="AE53" i="1"/>
  <c r="N54" i="1"/>
  <c r="Q54" i="1"/>
  <c r="S54" i="1"/>
  <c r="AE54" i="1"/>
  <c r="N55" i="1"/>
  <c r="Q55" i="1"/>
  <c r="S55" i="1"/>
  <c r="AE55" i="1"/>
  <c r="L56" i="1"/>
  <c r="U72" i="1"/>
  <c r="Y72" i="1" s="1"/>
  <c r="Y96" i="1"/>
  <c r="Y107" i="1"/>
  <c r="Y118" i="1"/>
  <c r="S125" i="1"/>
  <c r="W126" i="1" s="1"/>
  <c r="AD148" i="1"/>
  <c r="AD149" i="1"/>
  <c r="AQ26" i="1"/>
  <c r="AP27" i="1"/>
  <c r="AL28" i="1"/>
  <c r="AK25" i="1"/>
  <c r="AJ28" i="1"/>
  <c r="AL25" i="1"/>
  <c r="AK28" i="1"/>
  <c r="AN25" i="1"/>
  <c r="AN28" i="1"/>
  <c r="AM26" i="1"/>
  <c r="AP25" i="1"/>
  <c r="AO26" i="1"/>
  <c r="AP26" i="1"/>
  <c r="AO27" i="1"/>
  <c r="AQ27" i="1"/>
  <c r="AL24" i="1"/>
  <c r="AN24" i="1"/>
  <c r="AO24" i="1"/>
  <c r="AJ27" i="1"/>
  <c r="AM28" i="1"/>
  <c r="AK27" i="1"/>
  <c r="AL27" i="1"/>
  <c r="AN27" i="1"/>
  <c r="AP28" i="1"/>
  <c r="AM25" i="1"/>
  <c r="AP24" i="1"/>
  <c r="AN26" i="1"/>
  <c r="AQ25" i="1"/>
  <c r="AJ24" i="1"/>
  <c r="AK24" i="1"/>
  <c r="AJ25" i="1"/>
  <c r="AM24" i="1"/>
  <c r="AJ26" i="1"/>
  <c r="AK26" i="1"/>
  <c r="AL26" i="1"/>
  <c r="AQ24" i="1"/>
  <c r="AO25" i="1"/>
  <c r="AO28" i="1"/>
  <c r="AM27" i="1"/>
  <c r="AQ28" i="1"/>
  <c r="W29" i="1"/>
  <c r="Y29" i="1" s="1"/>
  <c r="W35" i="1"/>
  <c r="Y35" i="1" s="1"/>
  <c r="W28" i="1"/>
  <c r="Y28" i="1" s="1"/>
  <c r="W36" i="1"/>
  <c r="Y36" i="1" s="1"/>
  <c r="W27" i="1"/>
  <c r="Y27" i="1" s="1"/>
  <c r="W26" i="1"/>
  <c r="Y26" i="1" s="1"/>
  <c r="W37" i="1"/>
  <c r="Y37" i="1" s="1"/>
  <c r="W30" i="1"/>
  <c r="Y30" i="1" s="1"/>
  <c r="D45" i="22" l="1"/>
  <c r="B38" i="24"/>
  <c r="E38" i="24" s="1"/>
  <c r="D39" i="22" s="1"/>
  <c r="B40" i="23"/>
  <c r="B41" i="23"/>
  <c r="N46" i="1"/>
  <c r="K27" i="27"/>
  <c r="N24" i="1"/>
  <c r="B15" i="23"/>
  <c r="B16" i="23"/>
  <c r="C20" i="22" s="1"/>
  <c r="B8" i="23"/>
  <c r="C13" i="22" s="1"/>
  <c r="N45" i="1"/>
  <c r="F21" i="26"/>
  <c r="S59" i="1" s="1"/>
  <c r="Y119" i="1"/>
  <c r="S126" i="1" s="1"/>
  <c r="U73" i="1"/>
  <c r="D11" i="22"/>
  <c r="B8" i="24"/>
  <c r="B42" i="24" s="1"/>
  <c r="Q51" i="1"/>
  <c r="S51" i="1" s="1"/>
  <c r="S56" i="1" s="1"/>
  <c r="N25" i="1"/>
  <c r="AH7" i="1"/>
  <c r="AI7" i="1"/>
  <c r="AD151" i="1"/>
  <c r="AD152" i="1" s="1"/>
  <c r="W125" i="1"/>
  <c r="C47" i="22"/>
  <c r="V12" i="1"/>
  <c r="Y57" i="1"/>
  <c r="I27" i="16"/>
  <c r="I26" i="16"/>
  <c r="B31" i="23"/>
  <c r="B30" i="23"/>
  <c r="B29" i="24"/>
  <c r="B7" i="23"/>
  <c r="A15" i="13"/>
  <c r="B15" i="24"/>
  <c r="AM7" i="1"/>
  <c r="AJ7" i="1"/>
  <c r="AF52" i="1"/>
  <c r="AE47" i="1"/>
  <c r="AF34" i="1"/>
  <c r="AE28" i="1"/>
  <c r="J23" i="1"/>
  <c r="N23" i="1" s="1"/>
  <c r="A4" i="13"/>
  <c r="G65" i="25"/>
  <c r="AE7" i="1"/>
  <c r="A75" i="13"/>
  <c r="AG7" i="1"/>
  <c r="AL7" i="1"/>
  <c r="I25" i="16"/>
  <c r="I53" i="25"/>
  <c r="AE46" i="1"/>
  <c r="AE29" i="1"/>
  <c r="AF54" i="1"/>
  <c r="E29" i="16"/>
  <c r="F28" i="16" s="1"/>
  <c r="D40" i="22"/>
  <c r="AF25" i="1"/>
  <c r="AG26" i="1" s="1"/>
  <c r="I26" i="25"/>
  <c r="AE48" i="1"/>
  <c r="AE23" i="1"/>
  <c r="D36" i="22"/>
  <c r="AE24" i="1"/>
  <c r="A48" i="13"/>
  <c r="A80" i="13"/>
  <c r="A16" i="13"/>
  <c r="AF53" i="1"/>
  <c r="T72" i="1"/>
  <c r="AF7" i="1"/>
  <c r="AE45" i="1"/>
  <c r="AE30" i="1"/>
  <c r="E21" i="26" l="1"/>
  <c r="B45" i="24"/>
  <c r="B59" i="24" s="1"/>
  <c r="D47" i="22" s="1"/>
  <c r="E8" i="24"/>
  <c r="D9" i="22" s="1"/>
  <c r="B43" i="23"/>
  <c r="D31" i="23" s="1"/>
  <c r="C21" i="22" s="1"/>
  <c r="T73" i="1"/>
  <c r="Y73" i="1"/>
  <c r="AG24" i="1"/>
  <c r="AG28" i="1"/>
  <c r="AG30" i="1"/>
  <c r="B44" i="24"/>
  <c r="B58" i="24" s="1"/>
  <c r="D38" i="22" s="1"/>
  <c r="E29" i="24"/>
  <c r="D21" i="22" s="1"/>
  <c r="AG27" i="1"/>
  <c r="AF5" i="1"/>
  <c r="F25" i="16"/>
  <c r="F26" i="16"/>
  <c r="F27" i="16"/>
  <c r="C38" i="22"/>
  <c r="Q23" i="1"/>
  <c r="S23" i="1" s="1"/>
  <c r="S38" i="1" s="1"/>
  <c r="AG29" i="1"/>
  <c r="AG25" i="1"/>
  <c r="E15" i="24"/>
  <c r="D14" i="22" s="1"/>
  <c r="B43" i="24"/>
  <c r="B57" i="24" s="1"/>
  <c r="D20" i="22" s="1"/>
  <c r="U74" i="1"/>
  <c r="F23" i="16"/>
  <c r="AE56" i="1"/>
  <c r="W34" i="1" s="1"/>
  <c r="Y34" i="1" s="1"/>
  <c r="B56" i="24"/>
  <c r="AG23" i="1"/>
  <c r="F24" i="16"/>
  <c r="W33" i="1" l="1"/>
  <c r="Y33" i="1" s="1"/>
  <c r="W23" i="1"/>
  <c r="AC66" i="1" s="1"/>
  <c r="Y66" i="1" s="1"/>
  <c r="B46" i="24"/>
  <c r="D41" i="23"/>
  <c r="C39" i="22" s="1"/>
  <c r="D8" i="23"/>
  <c r="C9" i="22" s="1"/>
  <c r="D16" i="23"/>
  <c r="C14" i="22" s="1"/>
  <c r="C50" i="22"/>
  <c r="W24" i="1"/>
  <c r="Y24" i="1" s="1"/>
  <c r="W25" i="1"/>
  <c r="Y25" i="1" s="1"/>
  <c r="B60" i="24"/>
  <c r="B61" i="24" s="1"/>
  <c r="D50" i="22" s="1"/>
  <c r="D13" i="22"/>
  <c r="T74" i="1"/>
  <c r="Y74" i="1"/>
  <c r="Y75" i="1" s="1"/>
  <c r="S57" i="1" s="1"/>
  <c r="AC29" i="1" l="1"/>
  <c r="Y23" i="1"/>
  <c r="Y39" i="1" s="1"/>
  <c r="W66" i="1" l="1"/>
  <c r="E10" i="26"/>
  <c r="S58" i="1"/>
  <c r="S60" i="1" s="1"/>
  <c r="Y61" i="1" l="1"/>
  <c r="Y70" i="1" s="1"/>
  <c r="Y76" i="1" l="1"/>
  <c r="Y78" i="1" s="1"/>
  <c r="Y79" i="1" s="1"/>
  <c r="Y81" i="1" s="1"/>
  <c r="Y82"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Gutekunst, Jake</author>
  </authors>
  <commentList>
    <comment ref="C7" authorId="0" shapeId="0" xr:uid="{00000000-0006-0000-0200-000001000000}">
      <text>
        <r>
          <rPr>
            <b/>
            <sz val="9"/>
            <color indexed="81"/>
            <rFont val="Tahoma"/>
            <family val="2"/>
          </rPr>
          <t>Gutekunst, Jake:</t>
        </r>
        <r>
          <rPr>
            <sz val="9"/>
            <color indexed="81"/>
            <rFont val="Tahoma"/>
            <family val="2"/>
          </rPr>
          <t xml:space="preserve">
Consider updating this value to be higher</t>
        </r>
      </text>
    </comment>
    <comment ref="C16" authorId="0" shapeId="0" xr:uid="{00000000-0006-0000-0200-000002000000}">
      <text>
        <r>
          <rPr>
            <b/>
            <sz val="9"/>
            <color indexed="81"/>
            <rFont val="Tahoma"/>
            <family val="2"/>
          </rPr>
          <t>Gutekunst, Jake:</t>
        </r>
        <r>
          <rPr>
            <sz val="9"/>
            <color indexed="81"/>
            <rFont val="Tahoma"/>
            <family val="2"/>
          </rPr>
          <t xml:space="preserve">
Should be higher (match 900 at least)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Hasan, Manar</author>
  </authors>
  <commentList>
    <comment ref="D50" authorId="0" shapeId="0" xr:uid="{CFE2151C-33BE-4A83-93F2-62FBD032A0F6}">
      <text>
        <r>
          <rPr>
            <sz val="9"/>
            <color indexed="81"/>
            <rFont val="Tahoma"/>
            <family val="2"/>
          </rPr>
          <t>This total uses the method of compounding reductions (each reduction applies to the remaining amount after the previous reductions)</t>
        </r>
      </text>
    </comment>
  </commentList>
</comments>
</file>

<file path=xl/sharedStrings.xml><?xml version="1.0" encoding="utf-8"?>
<sst xmlns="http://schemas.openxmlformats.org/spreadsheetml/2006/main" count="2012" uniqueCount="730">
  <si>
    <t>Land Use Category</t>
  </si>
  <si>
    <t>ITE Land Use Code</t>
  </si>
  <si>
    <t>Development Unit</t>
  </si>
  <si>
    <t>PORT AND TERMINAL</t>
  </si>
  <si>
    <t>Truck Terminal</t>
  </si>
  <si>
    <t>030</t>
  </si>
  <si>
    <t>Acre</t>
  </si>
  <si>
    <t>INDUSTRIAL</t>
  </si>
  <si>
    <t>General Light Industrial</t>
  </si>
  <si>
    <t>110</t>
  </si>
  <si>
    <t>1,000 SF GFA</t>
  </si>
  <si>
    <t>Warehousing</t>
  </si>
  <si>
    <t>150</t>
  </si>
  <si>
    <t>Mini-Warehouse</t>
  </si>
  <si>
    <t>151</t>
  </si>
  <si>
    <t>RESIDENTIAL</t>
  </si>
  <si>
    <t>Single-Family Detached Housing</t>
  </si>
  <si>
    <t>210</t>
  </si>
  <si>
    <t>Dwelling Unit</t>
  </si>
  <si>
    <t>220</t>
  </si>
  <si>
    <t>Assisted Living</t>
  </si>
  <si>
    <t>254</t>
  </si>
  <si>
    <t>LODGING</t>
  </si>
  <si>
    <t>Hotel</t>
  </si>
  <si>
    <t>310</t>
  </si>
  <si>
    <t>Room</t>
  </si>
  <si>
    <t>Motel / Other Lodging Facilities</t>
  </si>
  <si>
    <t>320</t>
  </si>
  <si>
    <t>RECREATIONAL</t>
  </si>
  <si>
    <t>432</t>
  </si>
  <si>
    <t>Tee</t>
  </si>
  <si>
    <t>Golf Course</t>
  </si>
  <si>
    <t>430</t>
  </si>
  <si>
    <t>495</t>
  </si>
  <si>
    <t>465</t>
  </si>
  <si>
    <t>431</t>
  </si>
  <si>
    <t>Hole</t>
  </si>
  <si>
    <t>Multiplex Movie Theater</t>
  </si>
  <si>
    <t>445</t>
  </si>
  <si>
    <t>Screens</t>
  </si>
  <si>
    <t>Racquet / Tennis Club</t>
  </si>
  <si>
    <t>491</t>
  </si>
  <si>
    <t>Court</t>
  </si>
  <si>
    <t>INSTITUTIONAL</t>
  </si>
  <si>
    <t>560</t>
  </si>
  <si>
    <t>Day Care Center</t>
  </si>
  <si>
    <t>565</t>
  </si>
  <si>
    <t>522</t>
  </si>
  <si>
    <t>Students</t>
  </si>
  <si>
    <t>530</t>
  </si>
  <si>
    <t>540</t>
  </si>
  <si>
    <t>University / College</t>
  </si>
  <si>
    <t>550</t>
  </si>
  <si>
    <t>MEDICAL</t>
  </si>
  <si>
    <t>Clinic</t>
  </si>
  <si>
    <t>630</t>
  </si>
  <si>
    <t>Hospital</t>
  </si>
  <si>
    <t>610</t>
  </si>
  <si>
    <t>Beds</t>
  </si>
  <si>
    <t>Nursing Home</t>
  </si>
  <si>
    <t>620</t>
  </si>
  <si>
    <t>OFFICE</t>
  </si>
  <si>
    <t>Corporate Headquarters Building</t>
  </si>
  <si>
    <t>714</t>
  </si>
  <si>
    <t>General Office Building</t>
  </si>
  <si>
    <t>710</t>
  </si>
  <si>
    <t>720</t>
  </si>
  <si>
    <t>Single Tenant Office Building</t>
  </si>
  <si>
    <t>715</t>
  </si>
  <si>
    <t>750</t>
  </si>
  <si>
    <t>COMMERCIAL</t>
  </si>
  <si>
    <t>Automobile Care Center</t>
  </si>
  <si>
    <t>942</t>
  </si>
  <si>
    <t>Automobile Parts Sales</t>
  </si>
  <si>
    <t>843</t>
  </si>
  <si>
    <t>Gasoline/Service Station</t>
  </si>
  <si>
    <t>944</t>
  </si>
  <si>
    <t>945</t>
  </si>
  <si>
    <t>841</t>
  </si>
  <si>
    <t>941</t>
  </si>
  <si>
    <t>Self-Service Car Wash</t>
  </si>
  <si>
    <t>947</t>
  </si>
  <si>
    <t>Stall</t>
  </si>
  <si>
    <t>Tire Store</t>
  </si>
  <si>
    <t>848</t>
  </si>
  <si>
    <t>934</t>
  </si>
  <si>
    <t>933</t>
  </si>
  <si>
    <t>High Turnover (Sit-Down) Restaurant</t>
  </si>
  <si>
    <t>932</t>
  </si>
  <si>
    <t>931</t>
  </si>
  <si>
    <t>815</t>
  </si>
  <si>
    <t>817</t>
  </si>
  <si>
    <t>Home Improvement Superstore</t>
  </si>
  <si>
    <t>862</t>
  </si>
  <si>
    <t>881</t>
  </si>
  <si>
    <t>Shopping Center</t>
  </si>
  <si>
    <t>820</t>
  </si>
  <si>
    <t>Supermarket</t>
  </si>
  <si>
    <t>850</t>
  </si>
  <si>
    <t>Toy/Children's Superstore</t>
  </si>
  <si>
    <t>864</t>
  </si>
  <si>
    <t>SERVICES</t>
  </si>
  <si>
    <t>911</t>
  </si>
  <si>
    <t>912</t>
  </si>
  <si>
    <t>AUTOMOBILE RELATED</t>
  </si>
  <si>
    <t>DINING</t>
  </si>
  <si>
    <t>OTHER RETAIL</t>
  </si>
  <si>
    <t>Development Name:</t>
  </si>
  <si>
    <t>Applicant:</t>
  </si>
  <si>
    <t>Case Number:</t>
  </si>
  <si>
    <t>Land Uses (select from list):</t>
  </si>
  <si>
    <t>Development Unit:</t>
  </si>
  <si>
    <t># of Units:</t>
  </si>
  <si>
    <r>
      <t xml:space="preserve">Legal Description </t>
    </r>
    <r>
      <rPr>
        <b/>
        <sz val="10"/>
        <rFont val="Arial"/>
        <family val="2"/>
      </rPr>
      <t>(Lot, Block)</t>
    </r>
    <r>
      <rPr>
        <b/>
        <sz val="12"/>
        <rFont val="Arial"/>
        <family val="2"/>
      </rPr>
      <t>:</t>
    </r>
  </si>
  <si>
    <t>Impact Fee Per Development Unit:</t>
  </si>
  <si>
    <t xml:space="preserve">Notes: </t>
  </si>
  <si>
    <t>A</t>
  </si>
  <si>
    <t>B</t>
  </si>
  <si>
    <t>C</t>
  </si>
  <si>
    <t>D</t>
  </si>
  <si>
    <t>E</t>
  </si>
  <si>
    <t>F</t>
  </si>
  <si>
    <t>G</t>
  </si>
  <si>
    <t>L</t>
  </si>
  <si>
    <t>M</t>
  </si>
  <si>
    <t>N</t>
  </si>
  <si>
    <t>O</t>
  </si>
  <si>
    <t xml:space="preserve">Date of Final Plat Approval: </t>
  </si>
  <si>
    <t xml:space="preserve">Service Area (select from list): </t>
  </si>
  <si>
    <t>Land Use Description</t>
  </si>
  <si>
    <t>Emphasis on activities other than manufacturing; typically employing fewer than 500 workers</t>
  </si>
  <si>
    <t>Devoted to storage of materials but may included office and maintenance areas</t>
  </si>
  <si>
    <t>Facilities with a number of units rented to others for the storage of goods</t>
  </si>
  <si>
    <t>Single-family detached homes on individual lots</t>
  </si>
  <si>
    <t>At least 4 rental dwelling units per building</t>
  </si>
  <si>
    <t>Lodging facilities that may have small on-site restaurant or buffet area but little or no meeting space</t>
  </si>
  <si>
    <t>May include municipal courses and private country clubs; may have driving ranges, pro shops, and restaurant/banquet facilities</t>
  </si>
  <si>
    <t>Churches and houses of worship</t>
  </si>
  <si>
    <t>Medical and surgical facilities with overnight accommodations</t>
  </si>
  <si>
    <t>Office building housing corporate headquarters of a single company or organization</t>
  </si>
  <si>
    <t>Office buildings which house multiple tenants</t>
  </si>
  <si>
    <t>Single tenant office buildings other than corporate headquarters</t>
  </si>
  <si>
    <t>Automobile repair and servicing including stereo installations and upholstering</t>
  </si>
  <si>
    <t>Retail sale of auto parts but no on-site vehicle repair</t>
  </si>
  <si>
    <t>Gasoline sales without convenience store or car wash; may include repair</t>
  </si>
  <si>
    <t>New car dealerships, typically with automobile servicing, part sales, and used car sales</t>
  </si>
  <si>
    <t>Primary business is to perform oil changes and fluid/filter changes with other repair services not provided</t>
  </si>
  <si>
    <t>High-turnover fast food restaurant for carry-out and eat-in customers with a drive-thru window</t>
  </si>
  <si>
    <t>High-turnover fast food restaurant for carry-out and eat-in customers, but without a drive-thru window</t>
  </si>
  <si>
    <t>Building with a yard of planting or landscape stock; may have office, storage, shipping or greenhouse facilities</t>
  </si>
  <si>
    <t>Residential settings that provide either routine general protective oversight or assistance with activities</t>
  </si>
  <si>
    <t>Assessment Date</t>
  </si>
  <si>
    <t xml:space="preserve">Building Permit </t>
  </si>
  <si>
    <t>Trip Gen Rate (PM)</t>
  </si>
  <si>
    <t>Pass-by Rate</t>
  </si>
  <si>
    <t>Pass-by Source</t>
  </si>
  <si>
    <t>Trip Rate</t>
  </si>
  <si>
    <t>Adj. For     O-D</t>
  </si>
  <si>
    <t>Senior Adult Housing-Detached</t>
  </si>
  <si>
    <t>251</t>
  </si>
  <si>
    <t>Senior Adult Housing-Attached</t>
  </si>
  <si>
    <t>252</t>
  </si>
  <si>
    <t>Golf Driving Range</t>
  </si>
  <si>
    <t>Recreational Community Center</t>
  </si>
  <si>
    <t>Ice Skating Rink</t>
  </si>
  <si>
    <t>Miniature Golf Course</t>
  </si>
  <si>
    <t>High School</t>
  </si>
  <si>
    <t>Junior / Community College</t>
  </si>
  <si>
    <t>Animal Hospital/Veterinary Clinic</t>
  </si>
  <si>
    <t>640</t>
  </si>
  <si>
    <t>Medical-Dental Office Building</t>
  </si>
  <si>
    <t>Office Park</t>
  </si>
  <si>
    <t>1,000 SF GLA</t>
  </si>
  <si>
    <t>Quick Lubrication Vehicle Shop</t>
  </si>
  <si>
    <t>Servicing Positions</t>
  </si>
  <si>
    <t>Fast Food Restaurant with Drive-Thru Window</t>
  </si>
  <si>
    <t>Fast Food Restaurant without Drive-Thru Window</t>
  </si>
  <si>
    <t>Coffee/Donut Shop with Drive-Thru Window</t>
  </si>
  <si>
    <t>937</t>
  </si>
  <si>
    <t>Free-Standing Discount Store</t>
  </si>
  <si>
    <t>Nursery (Garden Center)</t>
  </si>
  <si>
    <t>Pharmacy/Drugstore w/o Drive-Thru Window</t>
  </si>
  <si>
    <t>880</t>
  </si>
  <si>
    <t>Pharmacy/Drugstore w/ Drive-Thru Window</t>
  </si>
  <si>
    <t>Department Store</t>
  </si>
  <si>
    <t>875</t>
  </si>
  <si>
    <t>Walk-In Bank</t>
  </si>
  <si>
    <t>Drive-In Bank</t>
  </si>
  <si>
    <t>Drive-in Lanes</t>
  </si>
  <si>
    <t>Hair Salon</t>
  </si>
  <si>
    <t>918</t>
  </si>
  <si>
    <t>Point of goods transfer between trucks, between trucks and rail, or between trucks and ports</t>
  </si>
  <si>
    <t>Facilities that specialize in the medical care and treatment of animals</t>
  </si>
  <si>
    <r>
      <t xml:space="preserve">Note: </t>
    </r>
    <r>
      <rPr>
        <i/>
        <sz val="9"/>
        <rFont val="Arial"/>
        <family val="2"/>
      </rPr>
      <t xml:space="preserve">Plat Approval and Building Permit dates must be selected prior to selecting land use.  </t>
    </r>
  </si>
  <si>
    <t>Manufacturing</t>
  </si>
  <si>
    <t>140</t>
  </si>
  <si>
    <t>221</t>
  </si>
  <si>
    <t>222</t>
  </si>
  <si>
    <t>Vehicle Fueling Position</t>
  </si>
  <si>
    <t>New Car Sales</t>
  </si>
  <si>
    <t>Quality Restaurant</t>
  </si>
  <si>
    <t>Point of good transfer between trucks or between trucks and rail</t>
  </si>
  <si>
    <t>Primary activity is conversion of raw materials or parts into finished products</t>
  </si>
  <si>
    <t>At least 3 rental dwelling units and between three and ten levels (floors) per building</t>
  </si>
  <si>
    <t>At least 3 rental dwelling units and more than ten levels (floors) per building</t>
  </si>
  <si>
    <t>Consists of detached independent living developments that include amenities such as golf courses and swimming pools</t>
  </si>
  <si>
    <t>Consists of attached independent living developments that include limited social or recreation services</t>
  </si>
  <si>
    <t>Residential settings that provide either routine general protective oversight or assistance with activities.</t>
  </si>
  <si>
    <t>Lodging facilities that typically have on-site restaurants, lounges, meeting and/or banquet rooms, or other retail shops and services</t>
  </si>
  <si>
    <t>Facilities with driving tees for practice; may provide individual or group lessons; may have prop shop and/or refreshment facilities</t>
  </si>
  <si>
    <t>Category includes racquet clubs, health/fitness clubs, can include facilities such as YMCA's</t>
  </si>
  <si>
    <t>Rinks for ice skating and related sports; may contain spectator areas and refreshment facilities</t>
  </si>
  <si>
    <t>One or more individual putting courses; category should not be used when part of a larger entertainment center(with batting cages, video game centers, etc)</t>
  </si>
  <si>
    <t>Movie theater with audience seating, minimum of ten screens, lobby, and refreshment area.</t>
  </si>
  <si>
    <t>Indoor or outdoor facilities specifically designed for playing tennis</t>
  </si>
  <si>
    <t>Generally includes facilities for care of pre-school aged children, generally includes classrooms, offices, eating areas, and playgrounds</t>
  </si>
  <si>
    <t>Serves students who have not yet entered high school</t>
  </si>
  <si>
    <t>Serves students who have completed middle or junior high school</t>
  </si>
  <si>
    <t>Two-year junior, community, or technical colleges</t>
  </si>
  <si>
    <t>Four-year universities or colleges that may or may not offer graduate programs</t>
  </si>
  <si>
    <t>Facilities with limited diagnostic and outpatient care</t>
  </si>
  <si>
    <t>Rest and convalescent homes with residents who do little or no driving</t>
  </si>
  <si>
    <t>Multi-tenant building with offices for physicians and/or dentists</t>
  </si>
  <si>
    <t>Office buildings (typically low-rise) in a campus setting and served by a common roadway system</t>
  </si>
  <si>
    <t>Gasoline sales with convenience store and car washes where the primary business is gasoline sales</t>
  </si>
  <si>
    <t>Has stalls for driver to park and wash the vehicle</t>
  </si>
  <si>
    <t>Primary business is sales and installation of tires; usually do not have large storage or warehouse area</t>
  </si>
  <si>
    <t>Restaurants with turnover rates less than one hour; typically includes moderately-priced chain restaurants</t>
  </si>
  <si>
    <t>Restaurants with turnover rates of one hour or longer; typically require reservations</t>
  </si>
  <si>
    <t>Coffee and Donut restaurants with drive-through windows, hold long store hours and have limited indoor seating</t>
  </si>
  <si>
    <t>Category includes free-standing stores with off-street parking; typically offer a variety of products and services with long store hours</t>
  </si>
  <si>
    <t>Warehouse-type facilities offering a large variety of products and services including lumber, tool, paint, lighting, and fixtures, among other items.</t>
  </si>
  <si>
    <t>Facilities that primarily sell prescription and non-prescription drugs without a drive-through window</t>
  </si>
  <si>
    <t>Facilities that primarily sell prescription and non-prescription drugs with a drive-through window</t>
  </si>
  <si>
    <t>Integrated group of commercial establishments; planning, owned, and managed as a unit</t>
  </si>
  <si>
    <t>Primary business is sale of groceries, food, and household cleaning items; may include photo, pharmacy, video rental, and/or ATM</t>
  </si>
  <si>
    <t>Businesses specializing in child-oriented merchandise</t>
  </si>
  <si>
    <t>Free-standing stores that specialize in the sale of apparel, footwear, bedding, home products, jewelry, etc.</t>
  </si>
  <si>
    <t>Banks with their own parking lots, no drive-in lanes but contain non-drive-through ATMs</t>
  </si>
  <si>
    <t>Banking facilities to conduct financial transactions from the vehicle; also usually apart of walk-in bank</t>
  </si>
  <si>
    <t>Facilities that specialize in cosmetic and beauty services including hair cutting and styling</t>
  </si>
  <si>
    <t>City of Austin, Texas</t>
  </si>
  <si>
    <t>http://www.austintexas.gov/department/street-impact-fee</t>
  </si>
  <si>
    <t>H</t>
  </si>
  <si>
    <t>I</t>
  </si>
  <si>
    <t>J</t>
  </si>
  <si>
    <t>P</t>
  </si>
  <si>
    <t>DT</t>
  </si>
  <si>
    <t>ETJ</t>
  </si>
  <si>
    <t>Trip Length Inside Loop (mi)</t>
  </si>
  <si>
    <t>Trip Length Outside Loop (mi)</t>
  </si>
  <si>
    <t>Modeled Trip Length Source</t>
  </si>
  <si>
    <t>NCTCOG Trip Length (mi)</t>
  </si>
  <si>
    <t>Adj. Trip Length Inside Loop (mi)</t>
  </si>
  <si>
    <t>Adj. Trip Length Oustide Loop (mi)</t>
  </si>
  <si>
    <t>Max Trip Length Inside Loop (mi)</t>
  </si>
  <si>
    <t>Max Trip Length Oustide Loop (mi)</t>
  </si>
  <si>
    <t>Veh-Mi Per Dev-Unit Inside Loop</t>
  </si>
  <si>
    <t xml:space="preserve">Collection Fee Per Dev-Unit
SA A
</t>
  </si>
  <si>
    <t xml:space="preserve">Collection Fee Per Dev-Unit
SA B
</t>
  </si>
  <si>
    <t xml:space="preserve">Collection Fee Per Dev-Unit
SA C
</t>
  </si>
  <si>
    <t xml:space="preserve">Collection Fee Per Dev-Unit
SA D
</t>
  </si>
  <si>
    <t xml:space="preserve">Collection Fee Per Dev-Unit
SA E
</t>
  </si>
  <si>
    <t xml:space="preserve">Collection Fee Per Dev-Unit
SA F
</t>
  </si>
  <si>
    <t xml:space="preserve">Collection Fee Per Dev-Unit
SA G
</t>
  </si>
  <si>
    <t xml:space="preserve">Collection Fee Per Dev-Unit
SA H
</t>
  </si>
  <si>
    <t xml:space="preserve">Collection Fee Per Dev-Unit
SA I
</t>
  </si>
  <si>
    <t xml:space="preserve">Collection Fee Per Dev-Unit
SA J
</t>
  </si>
  <si>
    <t xml:space="preserve">Collection Fee Per Dev-Unit
SA K
</t>
  </si>
  <si>
    <t xml:space="preserve">Collection Fee Per Dev-Unit
SA L
</t>
  </si>
  <si>
    <t xml:space="preserve">Collection Fee Per Dev-Unit
SA M
</t>
  </si>
  <si>
    <t xml:space="preserve">Collection Fee Per Dev-Unit
SA N
</t>
  </si>
  <si>
    <t xml:space="preserve">Collection Fee Per Dev-Unit
SA O
</t>
  </si>
  <si>
    <t xml:space="preserve">Collection Fee Per Dev-Unit
SA P
</t>
  </si>
  <si>
    <t xml:space="preserve">Collection Fee Per Dev-Unit
SA DT
</t>
  </si>
  <si>
    <t>RPA</t>
  </si>
  <si>
    <t>ATG</t>
  </si>
  <si>
    <t>Industrial Park</t>
  </si>
  <si>
    <t>Mid-Rise Apartments or Condominiums</t>
  </si>
  <si>
    <t>High-Rise Apartments or Condominiums</t>
  </si>
  <si>
    <t>Mobile Home Park</t>
  </si>
  <si>
    <t>RPAre</t>
  </si>
  <si>
    <t>Gasoline/Service Station w/ Conv Market</t>
  </si>
  <si>
    <t>Townhomes / Duplexes / Triplexes / 4-Plexes / ADUs</t>
  </si>
  <si>
    <t>STREET IMPACT FEE CALCULATION:</t>
  </si>
  <si>
    <t>Street Impact Fee:</t>
  </si>
  <si>
    <t>Veh-Mi Per Dev-Unit Outside Loop</t>
  </si>
  <si>
    <t xml:space="preserve">Total Value of any Street Impact Fee Offsets (for construction or contribution towards the City's Roadway Capacity Plan): </t>
  </si>
  <si>
    <t>TOTAL STREET IMPACT FEE COLLECTION AMOUNT AFTER OFFSETS AND REDUCTIONS:</t>
  </si>
  <si>
    <t>One or two levels (floors) per building such as duplex, townhomes, and single family houses &lt;1,200 SF</t>
  </si>
  <si>
    <t>Multi-family housing between three and ten levels (floors) per building</t>
  </si>
  <si>
    <t>Multi-family housing more than ten levels (floors) per building</t>
  </si>
  <si>
    <t>Emphasis on activities other than manufacturing in a free-standing facility devoted to a single use</t>
  </si>
  <si>
    <t>Contains a number of industrial or related facilities; characterized by a mix of highly diversified facilities</t>
  </si>
  <si>
    <t>Devoted to storage of materials but may include office and maintenance areas</t>
  </si>
  <si>
    <t>Facilities with a number of units or vaults rented to others for the storage of goods</t>
  </si>
  <si>
    <t>Consists of manufactured homes that are sited and installed on permanent foundations</t>
  </si>
  <si>
    <t>Category includes stand-alone public facilities often including classes and clubs for adults and children including YMCAs</t>
  </si>
  <si>
    <t>One or more individual putting courses; category should not be used when part of a mulitpurpose entertainment center (e.g. batting cages, go-carts)</t>
  </si>
  <si>
    <t>Movie theater with audience seating, minimum of ten (10) screens, lobby, and refreshment area.</t>
  </si>
  <si>
    <t>All places of worship</t>
  </si>
  <si>
    <t>Serves students who have not yet entered high school, and have completed elementary school</t>
  </si>
  <si>
    <t>Rest homes, chronic care, and convalescent homes with residents who do little or no driving</t>
  </si>
  <si>
    <t>Gasoline sales without convenience store; may include repair or car wash</t>
  </si>
  <si>
    <t>Gasoline sales with convenience store where the primary business is gasoline sales, with at least 10 fueling positions</t>
  </si>
  <si>
    <t>Used automobile sales dealerships; may include automobile servicing, and parts sales</t>
  </si>
  <si>
    <t>Has stalls for driver to park and wash the vehicle manually</t>
  </si>
  <si>
    <t>Primary business is sales and installation or repair of tires; usually do not have large storage or warehouse area</t>
  </si>
  <si>
    <t>High-turnover fast food restaurant for carry-out and eat-in customers with a drive-through window</t>
  </si>
  <si>
    <t>High-turnover fast food restaurant for carry-out and eat-in customers, but without a drive-through window</t>
  </si>
  <si>
    <t>Banking facilities to conduct financial transactions from the vehicle; also usually a part of walk-in bank</t>
  </si>
  <si>
    <t>Religious Place of Worship</t>
  </si>
  <si>
    <t>Elementary School</t>
  </si>
  <si>
    <t>Serves students attending kindergarten through the fifth or sixth grade; ususally located in residential communities</t>
  </si>
  <si>
    <t>Middle School / Junior High School</t>
  </si>
  <si>
    <t>PROPOSED LAND USES</t>
  </si>
  <si>
    <t>TOTAL POTENTIAL STREET IMPACT FEE COLLECTION AMOUNT :</t>
  </si>
  <si>
    <t>EXISTING LAND USES</t>
  </si>
  <si>
    <r>
      <t xml:space="preserve">Townhomes / Duplexes / Triplexes / 4-Plexes / </t>
    </r>
    <r>
      <rPr>
        <strike/>
        <sz val="10"/>
        <rFont val="Times New Roman"/>
        <family val="1"/>
      </rPr>
      <t>ADUs</t>
    </r>
  </si>
  <si>
    <r>
      <t xml:space="preserve">Senior Adult Housing </t>
    </r>
    <r>
      <rPr>
        <sz val="10"/>
        <color indexed="10"/>
        <rFont val="Times New Roman"/>
        <family val="1"/>
      </rPr>
      <t>or ADUs</t>
    </r>
  </si>
  <si>
    <r>
      <rPr>
        <strike/>
        <sz val="10"/>
        <color indexed="10"/>
        <rFont val="Times New Roman"/>
        <family val="1"/>
      </rPr>
      <t>New</t>
    </r>
    <r>
      <rPr>
        <sz val="10"/>
        <rFont val="Times New Roman"/>
        <family val="1"/>
      </rPr>
      <t xml:space="preserve"> Car Sales</t>
    </r>
  </si>
  <si>
    <r>
      <rPr>
        <sz val="10"/>
        <color indexed="10"/>
        <rFont val="Times New Roman"/>
        <family val="1"/>
      </rPr>
      <t>Sit Down</t>
    </r>
    <r>
      <rPr>
        <sz val="10"/>
        <rFont val="Times New Roman"/>
        <family val="1"/>
      </rPr>
      <t xml:space="preserve"> Restaurant</t>
    </r>
  </si>
  <si>
    <t>Collection Rate Reductions</t>
  </si>
  <si>
    <t>Maximum Fee Per 
Development Unit:</t>
  </si>
  <si>
    <t>Maximum Fee:</t>
  </si>
  <si>
    <t>Before December 21, 2020</t>
  </si>
  <si>
    <t>On or after December 21, 2020</t>
  </si>
  <si>
    <t>Before June 21, 2022</t>
  </si>
  <si>
    <t>On or after June 21, 2022</t>
  </si>
  <si>
    <t>On or after December 21, 2023</t>
  </si>
  <si>
    <t>X</t>
  </si>
  <si>
    <t>K, Inside SL 360</t>
  </si>
  <si>
    <t>K, Outside SL 360</t>
  </si>
  <si>
    <t>Collection Fee Per Dev-Unit
SA K
OUTSIDE       SL 360</t>
  </si>
  <si>
    <t>Collection Fee Per Dev-Unit
SA K
INSIDE           SL 360</t>
  </si>
  <si>
    <t>Existing Use Fee Reduction (if applicable)</t>
  </si>
  <si>
    <t>TIA Ref # (if applicable):</t>
  </si>
  <si>
    <t>PM Peak Trips</t>
  </si>
  <si>
    <t>Net PM Peak Trips</t>
  </si>
  <si>
    <t>Roadway Name:</t>
  </si>
  <si>
    <t>Classification:</t>
  </si>
  <si>
    <r>
      <t xml:space="preserve">Roadway Length:
</t>
    </r>
    <r>
      <rPr>
        <sz val="9"/>
        <rFont val="Arial"/>
        <family val="2"/>
      </rPr>
      <t>(Feet)</t>
    </r>
  </si>
  <si>
    <t>Number of 
Thru Lanes:</t>
  </si>
  <si>
    <t>Austin / Travis County Proportionality Worksheet - Summary of Costs</t>
  </si>
  <si>
    <t>Classification</t>
  </si>
  <si>
    <t>Capacity (vphpl)</t>
  </si>
  <si>
    <t>Number of Lanes</t>
  </si>
  <si>
    <t>Cost per Mile 
(for use in Demand Calculations)</t>
  </si>
  <si>
    <t>% of Roadway Network for Each Facility Type</t>
  </si>
  <si>
    <t>Cost Per Vehicle Mile (Demand)</t>
  </si>
  <si>
    <t>Cost Per Foot Per Lane</t>
  </si>
  <si>
    <t>Level 1</t>
  </si>
  <si>
    <t>Level 1 Alternative</t>
  </si>
  <si>
    <t>Level 2 Industrial</t>
  </si>
  <si>
    <t>Level 2 Urban</t>
  </si>
  <si>
    <t>Level 2 Suburban</t>
  </si>
  <si>
    <t>Level 2 Alternative</t>
  </si>
  <si>
    <t>Level 3 Industrial</t>
  </si>
  <si>
    <t>Level 3 Urban</t>
  </si>
  <si>
    <t>Level 3 Suburban</t>
  </si>
  <si>
    <t>Level 3 Alternative</t>
  </si>
  <si>
    <t>Level 4 Urban</t>
  </si>
  <si>
    <t>Level 4 Suburban</t>
  </si>
  <si>
    <t>Level 4 Alternative</t>
  </si>
  <si>
    <t>Average Cost per Vehicle Mile for Arterial Facilities 
(for use in impact of demand calculations)</t>
  </si>
  <si>
    <t>Average Cost per Vehicle Mile for Arterial Facilities with Transit 
(for use in impact of demand calculations)</t>
  </si>
  <si>
    <t>Centerline Miles of Facility</t>
  </si>
  <si>
    <t>% Miles Total</t>
  </si>
  <si>
    <t>All Level 1s</t>
  </si>
  <si>
    <t>Total</t>
  </si>
  <si>
    <t>ROADWAY SUPPLY ADDED TO SYSTEM SUBTOTAL:</t>
  </si>
  <si>
    <r>
      <t xml:space="preserve">Other Improvements </t>
    </r>
    <r>
      <rPr>
        <b/>
        <sz val="12"/>
        <rFont val="Arial"/>
        <family val="2"/>
      </rPr>
      <t>- Specific Improvements to be Built or Funded by the Applicant:</t>
    </r>
  </si>
  <si>
    <t>Location:</t>
  </si>
  <si>
    <t>Description of Improvement:</t>
  </si>
  <si>
    <t>OTHER IMPROVEMENTS ADDED TO SYSTEM SUBTOTAL:</t>
  </si>
  <si>
    <t>TOTAL VALUE OF SUPPLY ADDED TO THOROUGHFARE SYSTEM:</t>
  </si>
  <si>
    <t>ROW Dedication:</t>
  </si>
  <si>
    <t>General Description of ROW Dedication:</t>
  </si>
  <si>
    <t xml:space="preserve">Based on the results of this rough proportionality analysis, </t>
  </si>
  <si>
    <t xml:space="preserve">the value of capacity (supply) provided by the proposed development exceeds the anticipated impact of demand it places on the system.  </t>
  </si>
  <si>
    <t xml:space="preserve">the anticipated impact of demand on the system exceeds the value of capacity (supply) provided by the proposed development.  </t>
  </si>
  <si>
    <t xml:space="preserve">the value of capacity (supply) provided by the proposed development roughly equals the anticipated impact of demand it places on the system.  </t>
  </si>
  <si>
    <t xml:space="preserve">Given these assumptions, only </t>
  </si>
  <si>
    <t xml:space="preserve">% of the value of capacity supplied can be attributed to the proposed development.  </t>
  </si>
  <si>
    <t xml:space="preserve">Given these assumptions, the anticipated impact of demand of the development exceeds the value of capacity supplied by approximately </t>
  </si>
  <si>
    <t xml:space="preserve">%. </t>
  </si>
  <si>
    <t>Therefore, the roadway improvements are NOT roughly proportional to the impact of demand placed on the system (i.e. the applicant is adding more capacity than needed to support their development).</t>
  </si>
  <si>
    <t>Therefore, the roadway improvements required by the City are justified (i.e. the applicant is adding less capacity than needed to support their development).</t>
  </si>
  <si>
    <t>Therefore, the roadway improvements are roughly proportional to the demand placed on the system (i.e. the applicant is adding roughly the same amount of capacity as what is needed to support the development).</t>
  </si>
  <si>
    <t>Sensitivity</t>
  </si>
  <si>
    <t>SUPPLY / DEMAND COMPARISON:</t>
  </si>
  <si>
    <t>A comparison of the capacity provided by a development against the traffic impacts of the proposed development.</t>
  </si>
  <si>
    <t>TOTAL IMPACT OF DEMAND PLACED ON THOROUGHFARE SYSTEM:</t>
  </si>
  <si>
    <t>TOTAL VALUE OF CAPACITY (SUPPLY) ADDED TO THOROUGHFARE SYSTEM:</t>
  </si>
  <si>
    <t>Cost</t>
  </si>
  <si>
    <t>Comparison</t>
  </si>
  <si>
    <t>Note: Minimum Standards for access to and from a development may supersede the results of this analysis.</t>
  </si>
  <si>
    <r>
      <t>Estimated Cost</t>
    </r>
    <r>
      <rPr>
        <b/>
        <vertAlign val="superscript"/>
        <sz val="9"/>
        <rFont val="Arial"/>
        <family val="2"/>
      </rPr>
      <t>3</t>
    </r>
    <r>
      <rPr>
        <b/>
        <sz val="9"/>
        <rFont val="Arial"/>
        <family val="2"/>
      </rPr>
      <t xml:space="preserve">: </t>
    </r>
    <r>
      <rPr>
        <sz val="9"/>
        <rFont val="Arial"/>
        <family val="2"/>
      </rPr>
      <t>($)</t>
    </r>
  </si>
  <si>
    <r>
      <t>Estimated Cost</t>
    </r>
    <r>
      <rPr>
        <b/>
        <vertAlign val="superscript"/>
        <sz val="9"/>
        <rFont val="Arial"/>
        <family val="2"/>
      </rPr>
      <t>4</t>
    </r>
    <r>
      <rPr>
        <b/>
        <sz val="9"/>
        <rFont val="Arial"/>
        <family val="2"/>
      </rPr>
      <t xml:space="preserve">: </t>
    </r>
    <r>
      <rPr>
        <sz val="9"/>
        <rFont val="Arial"/>
        <family val="2"/>
      </rPr>
      <t>($)</t>
    </r>
  </si>
  <si>
    <r>
      <t xml:space="preserve">Right-of-Way Dedication </t>
    </r>
    <r>
      <rPr>
        <b/>
        <sz val="12"/>
        <rFont val="Arial"/>
        <family val="2"/>
      </rPr>
      <t>- ROW to be dedicated by the Applicant:</t>
    </r>
  </si>
  <si>
    <t>OTHER IMPROVEMENTS ADDED TO SYSTEM UNADJUSTED SUBTOTAL:</t>
  </si>
  <si>
    <t>ROUGH PROPORTIONALITY SUPPLY VS. DEMAND CHECK:</t>
  </si>
  <si>
    <t>TDM Plan Trip Reduction %*:</t>
  </si>
  <si>
    <t>Collection Rate Reductions Notes</t>
  </si>
  <si>
    <r>
      <t>SIF RCP Estimate</t>
    </r>
    <r>
      <rPr>
        <b/>
        <vertAlign val="superscript"/>
        <sz val="9"/>
        <rFont val="Arial"/>
        <family val="2"/>
      </rPr>
      <t xml:space="preserve">1 </t>
    </r>
    <r>
      <rPr>
        <b/>
        <sz val="9"/>
        <rFont val="Arial"/>
        <family val="2"/>
      </rPr>
      <t>:</t>
    </r>
    <r>
      <rPr>
        <b/>
        <vertAlign val="superscript"/>
        <sz val="9"/>
        <rFont val="Arial"/>
        <family val="2"/>
      </rPr>
      <t xml:space="preserve"> </t>
    </r>
    <r>
      <rPr>
        <sz val="9"/>
        <rFont val="Arial"/>
        <family val="2"/>
      </rPr>
      <t>($)</t>
    </r>
  </si>
  <si>
    <r>
      <t>Actual Cost, if greater than SIF RCP</t>
    </r>
    <r>
      <rPr>
        <b/>
        <vertAlign val="superscript"/>
        <sz val="9"/>
        <rFont val="Arial"/>
        <family val="2"/>
      </rPr>
      <t xml:space="preserve">2 </t>
    </r>
    <r>
      <rPr>
        <b/>
        <sz val="9"/>
        <rFont val="Arial"/>
        <family val="2"/>
      </rPr>
      <t xml:space="preserve">: </t>
    </r>
    <r>
      <rPr>
        <sz val="9"/>
        <rFont val="Arial"/>
        <family val="2"/>
      </rPr>
      <t>($)</t>
    </r>
  </si>
  <si>
    <r>
      <t>Roadway Supply</t>
    </r>
    <r>
      <rPr>
        <b/>
        <sz val="12"/>
        <rFont val="Arial"/>
        <family val="2"/>
      </rPr>
      <t>- Off-Site Roadway Capacity Plan Projects to be Built or Funded by the Applicant:</t>
    </r>
  </si>
  <si>
    <t>Maximum Assessable Fee</t>
  </si>
  <si>
    <t>Potential Collection Amounts</t>
  </si>
  <si>
    <t>Custom Land Uses (manually input):</t>
  </si>
  <si>
    <t>PM Peak Hour Trip Rate:</t>
  </si>
  <si>
    <r>
      <t xml:space="preserve">Demand:
</t>
    </r>
    <r>
      <rPr>
        <sz val="10"/>
        <rFont val="Arial"/>
        <family val="2"/>
      </rPr>
      <t>(Vehicle-Miles)</t>
    </r>
  </si>
  <si>
    <r>
      <t xml:space="preserve">Trip Length:
</t>
    </r>
    <r>
      <rPr>
        <sz val="10"/>
        <rFont val="Arial"/>
        <family val="2"/>
      </rPr>
      <t>(Miles)</t>
    </r>
  </si>
  <si>
    <t>Yes</t>
  </si>
  <si>
    <t>No</t>
  </si>
  <si>
    <t>INSIDE</t>
  </si>
  <si>
    <t>OUTSIDE</t>
  </si>
  <si>
    <t>Resource Links to External Documents</t>
  </si>
  <si>
    <t xml:space="preserve">SIF Ordinances: </t>
  </si>
  <si>
    <t>20201210-061</t>
  </si>
  <si>
    <t>20201210-062</t>
  </si>
  <si>
    <t>SIF Study</t>
  </si>
  <si>
    <t>LDC 25-6-101</t>
  </si>
  <si>
    <t>LDC 25-6-51</t>
  </si>
  <si>
    <t>Applicant must provide proof of reductions.</t>
  </si>
  <si>
    <r>
      <t xml:space="preserve">Reductions:
</t>
    </r>
    <r>
      <rPr>
        <u/>
        <sz val="10"/>
        <rFont val="Arial"/>
        <family val="2"/>
      </rPr>
      <t>Internal Capture / Mixed Use Reduction</t>
    </r>
    <r>
      <rPr>
        <i/>
        <sz val="10"/>
        <rFont val="Arial"/>
        <family val="2"/>
      </rPr>
      <t xml:space="preserve">.  The amount of street impacts fees can be reduced up to 20% per LDC 25-6-667.
</t>
    </r>
    <r>
      <rPr>
        <u/>
        <sz val="10"/>
        <rFont val="Arial"/>
        <family val="2"/>
      </rPr>
      <t>Transit Proximity Reduction</t>
    </r>
    <r>
      <rPr>
        <i/>
        <sz val="10"/>
        <rFont val="Arial"/>
        <family val="2"/>
      </rPr>
      <t xml:space="preserve">.  The amount of street impacts fees can be reduced up to 20% per LDC 25-6-667.
</t>
    </r>
    <r>
      <rPr>
        <u/>
        <sz val="10"/>
        <rFont val="Arial"/>
        <family val="2"/>
      </rPr>
      <t>Parking Reduction</t>
    </r>
    <r>
      <rPr>
        <i/>
        <sz val="10"/>
        <rFont val="Arial"/>
        <family val="2"/>
      </rPr>
      <t>.  The amount of street impacts fees can be reduced up to 20% per LDC 25-6-667.</t>
    </r>
    <r>
      <rPr>
        <i/>
        <sz val="10"/>
        <color indexed="10"/>
        <rFont val="Arial"/>
        <family val="2"/>
      </rPr>
      <t xml:space="preserve">
</t>
    </r>
    <r>
      <rPr>
        <u/>
        <sz val="10"/>
        <rFont val="Arial"/>
        <family val="2"/>
      </rPr>
      <t>Affordability Related Reduction</t>
    </r>
    <r>
      <rPr>
        <sz val="10"/>
        <rFont val="Arial"/>
        <family val="2"/>
      </rPr>
      <t>:</t>
    </r>
    <r>
      <rPr>
        <sz val="10"/>
        <color indexed="10"/>
        <rFont val="Arial"/>
        <family val="2"/>
      </rPr>
      <t xml:space="preserve"> </t>
    </r>
    <r>
      <rPr>
        <sz val="10"/>
        <rFont val="Arial"/>
        <family val="2"/>
      </rPr>
      <t xml:space="preserve">Reduction $ Amount is equal to # Affordable Units multiplied by "Impact Fee for Development Unit" above per LDC 25-6-668. </t>
    </r>
    <r>
      <rPr>
        <sz val="10"/>
        <color indexed="10"/>
        <rFont val="Arial"/>
        <family val="2"/>
      </rPr>
      <t>Confirm with Staff # of Affordable Units that meet criteria for reduction</t>
    </r>
    <r>
      <rPr>
        <i/>
        <sz val="10"/>
        <rFont val="Arial"/>
        <family val="2"/>
      </rPr>
      <t xml:space="preserve">
</t>
    </r>
  </si>
  <si>
    <t>SIF Roadway Capacity Plan Map</t>
  </si>
  <si>
    <t>Land Use (Affordable)</t>
  </si>
  <si>
    <t># Units</t>
  </si>
  <si>
    <r>
      <t>Development Unit:</t>
    </r>
    <r>
      <rPr>
        <b/>
        <vertAlign val="superscript"/>
        <sz val="10"/>
        <rFont val="Arial"/>
        <family val="2"/>
      </rPr>
      <t>1</t>
    </r>
  </si>
  <si>
    <r>
      <t>PM Peak Hour Trip Rate:</t>
    </r>
    <r>
      <rPr>
        <b/>
        <vertAlign val="superscript"/>
        <sz val="10"/>
        <rFont val="Arial"/>
        <family val="2"/>
      </rPr>
      <t>2</t>
    </r>
  </si>
  <si>
    <r>
      <t xml:space="preserve">Trip Length:
</t>
    </r>
    <r>
      <rPr>
        <sz val="10"/>
        <rFont val="Arial"/>
        <family val="2"/>
      </rPr>
      <t>(Miles)</t>
    </r>
    <r>
      <rPr>
        <vertAlign val="superscript"/>
        <sz val="10"/>
        <rFont val="Arial"/>
        <family val="2"/>
      </rPr>
      <t>3</t>
    </r>
  </si>
  <si>
    <r>
      <t>Residential?</t>
    </r>
    <r>
      <rPr>
        <b/>
        <vertAlign val="superscript"/>
        <sz val="10"/>
        <rFont val="Arial"/>
        <family val="2"/>
      </rPr>
      <t>4</t>
    </r>
  </si>
  <si>
    <r>
      <rPr>
        <b/>
        <sz val="10"/>
        <rFont val="Arial"/>
        <family val="2"/>
      </rPr>
      <t>Notes</t>
    </r>
    <r>
      <rPr>
        <sz val="10"/>
        <rFont val="Arial"/>
        <family val="2"/>
      </rPr>
      <t xml:space="preserve">: </t>
    </r>
    <r>
      <rPr>
        <vertAlign val="superscript"/>
        <sz val="10"/>
        <rFont val="Arial"/>
        <family val="2"/>
      </rPr>
      <t>1</t>
    </r>
    <r>
      <rPr>
        <sz val="10"/>
        <rFont val="Arial"/>
        <family val="2"/>
      </rPr>
      <t xml:space="preserve">Estimated planning level cost from latest adopted Street Impact Fee Roadway Capacity Plan; </t>
    </r>
    <r>
      <rPr>
        <vertAlign val="superscript"/>
        <sz val="10"/>
        <rFont val="Arial"/>
        <family val="2"/>
      </rPr>
      <t>2</t>
    </r>
    <r>
      <rPr>
        <sz val="10"/>
        <rFont val="Arial"/>
        <family val="2"/>
      </rPr>
      <t xml:space="preserve">Revised cost estimate, if available, for construction and engineering based on more detailed preliminary engineering and/or design; </t>
    </r>
    <r>
      <rPr>
        <vertAlign val="superscript"/>
        <sz val="10"/>
        <rFont val="Arial"/>
        <family val="2"/>
      </rPr>
      <t>3</t>
    </r>
    <r>
      <rPr>
        <sz val="10"/>
        <rFont val="Arial"/>
        <family val="2"/>
      </rPr>
      <t xml:space="preserve">All estimated improvement costs; </t>
    </r>
    <r>
      <rPr>
        <vertAlign val="superscript"/>
        <sz val="10"/>
        <rFont val="Arial"/>
        <family val="2"/>
      </rPr>
      <t>4</t>
    </r>
    <r>
      <rPr>
        <sz val="10"/>
        <rFont val="Arial"/>
        <family val="2"/>
      </rPr>
      <t>Cost of right-of-way should be estimated using County Appraisal District values (number of square feet of dedication multipled by the County Appraisal District Market Values).</t>
    </r>
  </si>
  <si>
    <t>Date of Worksheet:</t>
  </si>
  <si>
    <t xml:space="preserve">Staff Initals: </t>
  </si>
  <si>
    <t>SUBTOTAL PROPOSED LAND USES STREET IMPACT FEE COLLECTION AMOUNT :</t>
  </si>
  <si>
    <t>LDC Chapter 25 Article 9 Street Impact Fees</t>
  </si>
  <si>
    <t>Code Reference:</t>
  </si>
  <si>
    <t>SIF IC Reduction:</t>
  </si>
  <si>
    <t>SIF TP Reduction:</t>
  </si>
  <si>
    <t>SIF P Reduction:</t>
  </si>
  <si>
    <t>Located in University District Overlay?</t>
  </si>
  <si>
    <t>POTENTIAL SIF COLLECTION AMOUNT AFTER AFFORDABILITY REDUCTIONS:</t>
  </si>
  <si>
    <t>Mobility Related Street Impact Fee Reductions (%):</t>
  </si>
  <si>
    <t>Mobility Related Street Impact Fee Reductions ($):</t>
  </si>
  <si>
    <t>TOTAL POTENTIAL STREET IMPACT FEE COLLECTION AMOUNT AFTER AFFORDABILITY AND MOBILITY RELATED REDUCTIONS:</t>
  </si>
  <si>
    <t>TDM Points and Trip Reduction Calculator</t>
  </si>
  <si>
    <t>Project Name:</t>
  </si>
  <si>
    <t>Legal Description (Lot, Block)</t>
  </si>
  <si>
    <t>Project Number:</t>
  </si>
  <si>
    <t>Project Description:</t>
  </si>
  <si>
    <t>Applicant's Name:</t>
  </si>
  <si>
    <t>Contact Info (phone number/e-mail):</t>
  </si>
  <si>
    <t>Measures</t>
  </si>
  <si>
    <t>Notes/Criteria</t>
  </si>
  <si>
    <t>Level of Measure Implementation</t>
  </si>
  <si>
    <t>Trip Reduction %</t>
  </si>
  <si>
    <t>Context Area</t>
  </si>
  <si>
    <t>Downtown (SIF Service Area DT or University Neighborhood Overlay District), Urban (SIF Service Areas F, I, J, L, parts of K), or Urban Transition (All other Areas in City Limits)</t>
  </si>
  <si>
    <t>Contextual Trip Reduction Measures</t>
  </si>
  <si>
    <t>Internal Trip Capture (CTR-1)</t>
  </si>
  <si>
    <t>Include a mix of land uses to optimize internal-capture trip-reduction opportunities, providing residents and/or employees with on-site access to housing/jobs, goods, and services. 
This measure may be implemented to receive between 5 and 20 points in credit toward meeting TDM Plan points requirements, with one point received for each % of trips estimated to be captured internally (round down to nearest 5% for selecting category (i.e. 5-9% = 5 points / 5%, 10-14% = 10 points, 10 %, etc.), based on the amount agreed to by the City.</t>
  </si>
  <si>
    <t>Transit Proximity (CTR-2)</t>
  </si>
  <si>
    <t xml:space="preserve">Develop on a site that benefits from a level of transit service that can reduce trip generation by facilitating use of transit for site access and site-based travel.
At least half of the development site falls within ¼-mile of a High Capacity Transit stop, or 1/8-mile of a High Frequency (15 min) transit stop; and a complete sidewalk network is in place between the development site and the nearest transit stop. </t>
  </si>
  <si>
    <t>Category Caps for Points / Trip Reductions</t>
  </si>
  <si>
    <t>Total Possible for Category</t>
  </si>
  <si>
    <t>Parking Measures</t>
  </si>
  <si>
    <t>Reduced Parking Supply (P-1)</t>
  </si>
  <si>
    <t xml:space="preserve">Provide fewer parking spaces to offset the trip-generation impact of excess parking capacities. </t>
  </si>
  <si>
    <t>Unbundled Parking (P-2)</t>
  </si>
  <si>
    <t xml:space="preserve">Offer resident/tenant parking only as an optional amenity that is priced separately from the cost of associated building leases or housing-unit purchases. </t>
  </si>
  <si>
    <t>Daily Tenant Parking Rates (P-3)</t>
  </si>
  <si>
    <t xml:space="preserve">Price all unbundled tenant parking at daily or hourly rates to offset the trip-generation impact of monthly and annual permits. </t>
  </si>
  <si>
    <t>Visitor Parking Pricing (P-4)</t>
  </si>
  <si>
    <t>Price visitor parking at higher rates during peak travel demand periods for congestion pricing</t>
  </si>
  <si>
    <t>Amenities, Programs, and Incentives Measures</t>
  </si>
  <si>
    <t>Transportation Management Association Membership (API-1)</t>
  </si>
  <si>
    <t xml:space="preserve">Maintain full membership and actively participate in the activities and services provided by an established TMA as a proven-effective means of enhancing the benefits of the project’s TDM Plan measures.  </t>
  </si>
  <si>
    <t>Designated Mobility Coordinator (API-2)</t>
  </si>
  <si>
    <t xml:space="preserve">Designate a Mobility Coordinator to market, explain, and assist in the use of available non-driving mobility options among building tenants and visitors.  </t>
  </si>
  <si>
    <t>Marketing and Information (API-3)</t>
  </si>
  <si>
    <t>Parking Cash-Out (API-4)</t>
  </si>
  <si>
    <t xml:space="preserve">Require tenant employer who offer free/subsidized parking to their employees to also provide an equivalent cash benefit to those employees who forgo this benefit, to offset the trip-generation impact of free/subsidized parking. </t>
  </si>
  <si>
    <t>Universal Transit Pass (API-5.1)</t>
  </si>
  <si>
    <t>Available to Residents</t>
  </si>
  <si>
    <t>Available to Employees</t>
  </si>
  <si>
    <t>Subsidy Level toward CapMetro Unlimited Ride Pass</t>
  </si>
  <si>
    <t>Mobility Wallet (API-5.2)</t>
  </si>
  <si>
    <t>Funding level</t>
  </si>
  <si>
    <t>Ride-Home Benefit (API-6)</t>
  </si>
  <si>
    <t xml:space="preserve">Provide a self-funded Guaranteed Ride Home (or similar) benefit for building tenants that can be used as a supplement to the program offered by MyCommuteSolutions to encourage increased use of non-driving modes among building tenants.  </t>
  </si>
  <si>
    <t>Internet Acess Amenity (API-7)</t>
  </si>
  <si>
    <t xml:space="preserve">Provide free high-speed, broadband internet service to all residences to support remote-work and remote-learn capacities that can reduce work and school trips among residents.  </t>
  </si>
  <si>
    <t>Telecommuting Work Option (API-8)</t>
  </si>
  <si>
    <t>Provide option for employees to telecommute at least 1 day per week</t>
  </si>
  <si>
    <t>On-Site Daycare or School (API-9)</t>
  </si>
  <si>
    <t xml:space="preserve">Provide an on-site childcare facility or school to provide direct home- or work-end access to these destinations that can incentivize use of driving modes when they divert/extend commute trips. </t>
  </si>
  <si>
    <t>Delivery-Supportive Amenities (API-10)</t>
  </si>
  <si>
    <t xml:space="preserve">Accommodate and encourage goods deliveries by providing building amenities that facilitate secure reception and storage packages, groceries, prepared meals, and clothing.  </t>
  </si>
  <si>
    <t>Sustainable Mode Improvement Measures</t>
  </si>
  <si>
    <t>Pedestrian Access and Connectivity Improvements (SM-1)</t>
  </si>
  <si>
    <t xml:space="preserve">Improve area sidewalks, street crossings, urban trails, or other pedestrian facilities to encourage walking as a travel alternative to driving. </t>
  </si>
  <si>
    <t>Bicycle Access and Connectivity (SM-2)</t>
  </si>
  <si>
    <t xml:space="preserve">Improve area bicycle facilities (including bike-share stations), amenities (including bike-share memberships), or connectivity to regional bicycle networks to encourage cycling as a travel alternative to driving. </t>
  </si>
  <si>
    <t>Transit Access and Connectivity (SM-3)</t>
  </si>
  <si>
    <t xml:space="preserve">Improve area transit facilities and connections, including but not limited to adding or enhancing stations/stops and multimodal station/stop connections, including walking as well as shuttle connections, to encourage transit use as a travel alternative to driving. </t>
  </si>
  <si>
    <t>Rideshare Access and Connectivity (SM-4)</t>
  </si>
  <si>
    <t xml:space="preserve">Create and maintain a carpool, vanpool, school-pool, and/or other rideshare program to encourage use of these drive-alone travel modes for common development-based travel. </t>
  </si>
  <si>
    <t>Emerging Mobility Access and Connectivity (SM-5)</t>
  </si>
  <si>
    <t xml:space="preserve">Provide or increase access to emerging mobility modes and services, such as car-share, bike-share, electric scooters, hailed-ride services, etc. to encourage use of these drive-alone travel modes for common development-based travel. </t>
  </si>
  <si>
    <t>Site Plan Access and Connectivity (SM-6)</t>
  </si>
  <si>
    <t xml:space="preserve">Priority Improvements identified in an approved Sustainable Modes Analysis (10.3.0) for the proposed development’s Site Plan are included in a TDM Plan.  </t>
  </si>
  <si>
    <t>Overall TDM Program Cap</t>
  </si>
  <si>
    <t>Results</t>
  </si>
  <si>
    <t>Total Allowable Point Credits</t>
  </si>
  <si>
    <t>Total Allowable Trip Reduction Credits</t>
  </si>
  <si>
    <t>Total Allowable Point &amp; Trip Reduction Credits</t>
  </si>
  <si>
    <t>Points Requirements:</t>
  </si>
  <si>
    <t>20 points: if trip-generation is projected between 2,000 – 5,000 unadjusted trips</t>
  </si>
  <si>
    <t>30 points: if trip-generation is projected at more than 5,000 unadjusted trips</t>
  </si>
  <si>
    <t>TDM Plan Points Requirement Adjustment for Excess Parking</t>
  </si>
  <si>
    <t>Proposed Parking Supply</t>
  </si>
  <si>
    <t>TDM Plan Points Requirement Increasd by</t>
  </si>
  <si>
    <t>Downtown</t>
  </si>
  <si>
    <t>Urban</t>
  </si>
  <si>
    <t>Urban Transition</t>
  </si>
  <si>
    <t>101% - 110% of the Standard Parking Supply Ratio</t>
  </si>
  <si>
    <t>110% - 130% of the Standard Parking Supply Ratio</t>
  </si>
  <si>
    <t>130% - 150% of the Standard Parking Supply Ratio</t>
  </si>
  <si>
    <t>150% - 200% of the Standard Parking Supply Ratio</t>
  </si>
  <si>
    <t>At least 10% of a TDM Plan’s point requirement must be met via measures from within each category.</t>
  </si>
  <si>
    <t>No more than 50% of a TDM Plan’s point requirement may be met via measures within a single category.</t>
  </si>
  <si>
    <t>Proposed TDM Plan Point Credits</t>
  </si>
  <si>
    <t>Proposed TDM Plan Point Credit</t>
  </si>
  <si>
    <t>Maximum Points Allowed</t>
  </si>
  <si>
    <t>Total Points Entered for Category</t>
  </si>
  <si>
    <t>Allowable Points for Category</t>
  </si>
  <si>
    <t>Ride Home Programs (API-6)</t>
  </si>
  <si>
    <t>Internet Access Amenity (API-7)</t>
  </si>
  <si>
    <t>Total Allowable Points for TDM Program</t>
  </si>
  <si>
    <t>Total Allowable TDM Program Reduction</t>
  </si>
  <si>
    <t>Total Before Overall Maximum is Applied</t>
  </si>
  <si>
    <t>Sustainable Modes Improvement Measures</t>
  </si>
  <si>
    <t>Amenities, Programs &amp; Incentives Measures</t>
  </si>
  <si>
    <t>Contextual Trip Reduction</t>
  </si>
  <si>
    <t>Allowable Reduction by Category</t>
  </si>
  <si>
    <t>Overall Maximum</t>
  </si>
  <si>
    <t>Maximums by Category</t>
  </si>
  <si>
    <t>Total Potential TDM Program Reduction</t>
  </si>
  <si>
    <t>Reduction by Category</t>
  </si>
  <si>
    <t>Amenities, Programs, and Incentive Measures</t>
  </si>
  <si>
    <t>Maximum % Reduction Allowed</t>
  </si>
  <si>
    <t>Proposed TIA Trip Reduction %</t>
  </si>
  <si>
    <t xml:space="preserve">Site Plan Priority Improvements identified in an approved Sustainable Modes Analysis (10.3.0) are included in a TDM Plan. </t>
  </si>
  <si>
    <t xml:space="preserve">Priority Improvements identified in an approved Sustainable Modes Analysis (10.3.4.1) for the proposed development’s Site Plan are included in a TDM Plan. </t>
  </si>
  <si>
    <t xml:space="preserve">Priority Improvements identified in an approved Sustainable Modes Analysis (10.3.0) for emerging mobility access and connectivity are included in a TDM Plan. </t>
  </si>
  <si>
    <t xml:space="preserve">Priority Improvements identified in an approved Sustainable Modes Analysis (10.3.0) for rideshare access and connectivity are included in a TDM Plan. </t>
  </si>
  <si>
    <t xml:space="preserve">Priority Improvements identified in an approved Sustainable Modes Analysis (10.3.0) for transit access and connectivity are included in a TDM Plan. </t>
  </si>
  <si>
    <t xml:space="preserve">Priority Improvements identified in an approved Sustainable Modes Analysis (10.3.0) for bicycle access and connectivity are included in a TDM Plan. </t>
  </si>
  <si>
    <t xml:space="preserve">Priority Improvements identified in an approved Sustainable Modes Analysis  for pedestrian access and connectivity are included in a TDM Plan. </t>
  </si>
  <si>
    <t>This measure may be implemented as follows to receive credit toward meeting TDM Plan points requirements.  
•	Submitted plans identify either of the following building amenities:
•	Lockers or other storage facility for laundry, packages, or other “dry goods”
•	Temperature-maintaining or refrigerated storage device for groceries</t>
  </si>
  <si>
    <t>This measure may be implemented as follows to receive credit toward meeting TDM Plan points requirements.  
•	Submitted plans that identify ground-floor space designed to accommodate the proposed facility, and that complies with all State, County, and City requirements, including provisions within the LDC. 
•	Submitted plans identify a commitment to ensure the space will be occupied by a childcare facility or school.</t>
  </si>
  <si>
    <t>All residences are provided free high-speed, broadband service at the highest level of quality available to residences</t>
  </si>
  <si>
    <t>All residences are provided free high-speed, broadband service</t>
  </si>
  <si>
    <t xml:space="preserve">This measure may be implemented as follows to receive credit toward meeting TDM Plan points requirements.  
•	Evidence of a commitment to provide free, high-speed, broadband service to all dwelling units  - such as a service-provider contract/invoice, marketing materials that promote this amenity, or other  -- is included in a TDM Plan. </t>
  </si>
  <si>
    <t>Program available to building employees and residents</t>
  </si>
  <si>
    <t>Program limited to building employees</t>
  </si>
  <si>
    <t>This measure may be implemented as follows to receive credit toward meeting TDM Plan points requirements.  
•	A Guaranteed Ride Home benefit is defined for property tenants, inclusive of level of benefit, eligibility, and committed funding levels, is included in a TDM Plan.</t>
  </si>
  <si>
    <t>This measure may be implemented as follows to receive credit toward meeting TDM Plan points requirements.  
•	A Mobility Wallet benefit is defined for property tenants, inclusive of level of benefit, eligibility, and committed funding levels, is included in a TDM Plan.</t>
  </si>
  <si>
    <t xml:space="preserve">Fund Mobility Wallet accounts for all on-site residents and employees to encourage greater use of non-driving modes among building tenants. </t>
  </si>
  <si>
    <t>Contribution as share of CapMetro “local” fare 31-Day Pass cost</t>
  </si>
  <si>
    <t>This measure may be implemented as follows to receive credit toward meeting TDM Plan points requirements.  
•	A Universal Transit Pass benefit is defined for property tenants, inclusive of level of benefit, eligibility, and committed funding levels, is included in a TDM Plan.</t>
  </si>
  <si>
    <t xml:space="preserve">Provide free or subsidized transit passes to all development tenants to encourage use of transit as a travel alternative to driving. </t>
  </si>
  <si>
    <t>Subsidy Level as share of CapMetro “local” fare 31-Day Pass cost</t>
  </si>
  <si>
    <t>$100.00 / month</t>
  </si>
  <si>
    <t>$50.00 / month</t>
  </si>
  <si>
    <t>This measure may be implemented as follows to receive credit toward meeting TDM Plan points requirements.  
•	The majority of trips projected by the Trip Generation Analysis (10.2.0) are projected for proposed non-residential uses; and
•	Parking Cash-Out program is defined for tenant employers, inclusive of level of benefit, terms of eligibility that match those linked to a parking benefit is included in a TDM Plan</t>
  </si>
  <si>
    <t xml:space="preserve">This measure may be implemented as follows to receive credit toward meeting TDM Plan points requirements.  
•	A marketing and information program is defined, including frequency of proposed actions, estimated costs, funding allocations, and staffing committed for implementation is included in a TDM Plan. </t>
  </si>
  <si>
    <t xml:space="preserve">Provide individualized marketing and information campaigns to encourage the use of available non-driving mobility options among building tenants and visitors.  </t>
  </si>
  <si>
    <t>This measure may be implemented as follows to receive credit toward meeting TDM Plan points requirements.  
•	The name and contact information of the property’s Mobility Coordinator is identified in the TDM Plan</t>
  </si>
  <si>
    <t>Include a Designated Mobility Coordinator position  to manage and document TDM programs and activities</t>
  </si>
  <si>
    <t>This measure may be implemented as follows to receive credit toward meeting TDM Plan points requirements.  •	Documentation of membership in a TMA, or similar organization is included in a TDM Plan</t>
  </si>
  <si>
    <t>Are at least $2 per hour during identified congestion-pricing periods</t>
  </si>
  <si>
    <t>Are at least $1 per hour during identified congestion-pricing periods, including the first hour</t>
  </si>
  <si>
    <t>Are at least $1 per hour higher during identified congestion-pricing periods, after the first hour</t>
  </si>
  <si>
    <t>This measure may be implemented as follows to receive credit toward meeting TDM Plan points requirements.  
•	All visitor parking is priced at an hourly and/or daily rate, as follows.</t>
  </si>
  <si>
    <t>Price customer/visitor parking at higher rates during defined peak congestion periods to disincentivize travel by SOV during peak periods.</t>
  </si>
  <si>
    <t>All tenants</t>
  </si>
  <si>
    <t>All Non-resident tenants</t>
  </si>
  <si>
    <t>This measure may be implemented as follows to receive credit toward meeting TDM Plan points requirements, in addition to any points received for measure P-2.</t>
  </si>
  <si>
    <t xml:space="preserve">Price all unbundled tenant parking at daily (or hourly) rates to offset the trip-generation impact of monthly and annual permits.  </t>
  </si>
  <si>
    <t>Exceed the IRS limit on pre-tax parking purchases by at least 10%</t>
  </si>
  <si>
    <t xml:space="preserve"> https://www.irs.gov/publications/p15b#en_US_2020_publink1000193745</t>
  </si>
  <si>
    <t>Equal the IRS limit on pre-tax parking purchases ($270)**</t>
  </si>
  <si>
    <t>https://www.capmetro.org/fares/#!</t>
  </si>
  <si>
    <t>Equal or exceed the CapMetro unlimited 31-Day Pass “commuter” fare ($96.25)*</t>
  </si>
  <si>
    <t xml:space="preserve">This measure may be implemented as follows to receive credit toward meeting TDM Plan points requirements.  
All tenant parking is offered as an optional amenity, the cost of which is established independent of the cost for associated dwelling units and leased building space. </t>
  </si>
  <si>
    <t xml:space="preserve">Offer tenant parking (residents and commercial tenants) only as an optional amenity that is priced separately from the cost of associated building leases or housing-unit purchases. </t>
  </si>
  <si>
    <t>No Parking Supply</t>
  </si>
  <si>
    <t>1% - 20% of the Parking Required by the LDC</t>
  </si>
  <si>
    <t>21% to 50% of the Parking Required by the LDC</t>
  </si>
  <si>
    <t>51% to 80% of the Parking Required by the LDC</t>
  </si>
  <si>
    <t>The measure may be implemented by taking advantage of the exemption from the LDC’s minimum parking requirements that is afforded to developments with an approved TDM Plan,  to receive credit toward meeting TDM Plan points requirements. If parking requirement reduced by LDC, then “minimum requirement” above is replaced by reduced parking amount required.</t>
  </si>
  <si>
    <t>Parking (Vehicular TDM) Measures</t>
  </si>
  <si>
    <t>At least half of the development site falls within ¼-mile of a of a High Capacity transit stop, or 1/8-mile of a High Frequency (15 min) transit stop; and a complete sidewalk network is in place between the development site and the nearest transit stop. AND at least 1 point is also received for any Parking measure AND for either API-5 or API-6</t>
  </si>
  <si>
    <t xml:space="preserve">At least half of the development site falls within ¼-mile of a High Capacity transit stop, or 1/8-mile of a High Frequency (15 min) transit stop; and a complete sidewalk network is in place between the development site and the nearest transit stop. </t>
  </si>
  <si>
    <t xml:space="preserve">This measure may be implemented as follows to receive credit toward meeting TDM Plan points requirements.  
•	At least half of the development site falls within ¼-mile of a transit stop within a Transit Priority Network, or 1/8-mile of a High Frequency (15 min) transit stop; and
•	A complete sidewalk network is in place between the development site and the nearest transit stop. </t>
  </si>
  <si>
    <t xml:space="preserve">Develop on a site that benefits from a level of transit service that can reduce trip generation by facilitating use of transit for site access and site-based travel.  </t>
  </si>
  <si>
    <t>More than 20%</t>
  </si>
  <si>
    <t>15-19%</t>
  </si>
  <si>
    <t>10-14%</t>
  </si>
  <si>
    <t>5-9%</t>
  </si>
  <si>
    <t>This measure may be implemented to receive between 5 and 20 points in credit toward meeting TDM Plan points requirements, with one point received for each % of trips estimated to be captured internally (round down to nearest 5% for selecting category (i.e. 5-9% = 5 points / 5%, 10-14% = 10 points, 10 %, etc.), based on the amount agreed to by the City.</t>
  </si>
  <si>
    <t xml:space="preserve">Include a mix of land uses to optimize internal-capture trip-reduction opportunities, providing residents and/or employees with on-site access to housing/jobs, goods, and services. </t>
  </si>
  <si>
    <t>Approved Trip-Reduction Credit Criteria</t>
  </si>
  <si>
    <t>Blank (Do not edit cells in this column)</t>
  </si>
  <si>
    <t>Proposed TIA Trip Reduction % AND Rough Proportionality Credit %</t>
  </si>
  <si>
    <t>Points Credit</t>
  </si>
  <si>
    <t>Implementation Options</t>
  </si>
  <si>
    <t>Description</t>
  </si>
  <si>
    <t>Measure</t>
  </si>
  <si>
    <t>Transportation Criteria Manual</t>
  </si>
  <si>
    <t>University Neighborhood Overlay District</t>
  </si>
  <si>
    <t>TDM Points and Trip Reduction Calculator Instructions</t>
  </si>
  <si>
    <r>
      <rPr>
        <b/>
        <sz val="16"/>
        <color indexed="8"/>
        <rFont val="Calibri"/>
        <family val="2"/>
      </rPr>
      <t>Applicability Note – For developments that generate less than 2,000 unadjusted daily trips, TDM is not required. TDM measures may still be performed to achieve a trip reduction % and entered into the calculator.</t>
    </r>
    <r>
      <rPr>
        <sz val="16"/>
        <color indexed="8"/>
        <rFont val="Calibri"/>
        <family val="2"/>
      </rPr>
      <t xml:space="preserve">
1. For information related to TDM measures and implementation levels and TDM Plan points requirements, please see the Transportation Criteria Manual Section 10. See the tab “Point &amp; Trip Red. Look-up Table” for details of TDM points and % Trip Reductions associated with each TDM measure implementation level and context area (Downtown, Urban, or Urban Transition).
2. Context Areas are based upon boundaries from the Street Impact Fee study and University Neighborhood Overlay District. See the “Service Area” tab to locate the development’s context area and see “Resource Links” section below for a map of the University Neighborhood Overlay District.
3. Fill in all of the </t>
    </r>
    <r>
      <rPr>
        <b/>
        <sz val="16"/>
        <color indexed="13"/>
        <rFont val="Calibri"/>
        <family val="2"/>
      </rPr>
      <t>beige fields</t>
    </r>
    <r>
      <rPr>
        <sz val="16"/>
        <color indexed="8"/>
        <rFont val="Calibri"/>
        <family val="2"/>
      </rPr>
      <t xml:space="preserve"> for the proposed TDM measures and implementation levels using drop down menus in the “TDM Calculator Input” tab. For sites where internal capture is applicable, a % reduction in trips approved by applicable staff shall be manually entered on the “TDM Calculator Input” tab. Instructions are provided in each cell if an entry must be selected from a drop-down menu or manual entry. For developments that do not require TDM Plans, only the TDM measures being used may be filled in on the Calculator to determine a % trip reduction. At a minimum, the “Context Area” and one TDM measure must be filled in.
4. The section of the tab marked “Sustainable Mode Improvement Measures” must be filled in by staff and is related to infrastructure improvements related to TDM.</t>
    </r>
  </si>
  <si>
    <t>Street Impact Fee Calculation Worksheet</t>
  </si>
  <si>
    <t>Redevelopment Project? Updated based on existing land use input</t>
  </si>
  <si>
    <t>PUD/PDA Cases approved prior to December 21, 2020?</t>
  </si>
  <si>
    <r>
      <t xml:space="preserve">% Reduction
</t>
    </r>
    <r>
      <rPr>
        <sz val="10"/>
        <rFont val="Arial"/>
        <family val="2"/>
      </rPr>
      <t>(Per Ord. 20201210-061 Part2.D.4-6)</t>
    </r>
  </si>
  <si>
    <t>Maximum Assessable Fee Reduction</t>
  </si>
  <si>
    <t>(1) Effective date of the ordinance is December 21, 2020 and a grace period of 18 months applies.  As a result no fee until builing permits issued June 21, 2022 or later.
(2) Applicant may be eligible for reductions or offsets for infrastructure built.  Applicant to apply for either with Transportation and Public Works Department.
(3) Total Street Impact Fee Collection Amount represents the sum of Proposed Land Uses associated fees less Existing Land Uses associated fees, or net new trips.</t>
  </si>
  <si>
    <r>
      <t>Custom Land Uses Notes:</t>
    </r>
    <r>
      <rPr>
        <sz val="10"/>
        <rFont val="Arial"/>
        <family val="2"/>
      </rPr>
      <t xml:space="preserve"> </t>
    </r>
    <r>
      <rPr>
        <vertAlign val="superscript"/>
        <sz val="10"/>
        <rFont val="Arial"/>
        <family val="2"/>
      </rPr>
      <t>1</t>
    </r>
    <r>
      <rPr>
        <sz val="10"/>
        <rFont val="Arial"/>
        <family val="2"/>
      </rPr>
      <t>Development unit is basis for which trip generation is based on (e.g. Dwelling Unit, Beds, 1,000 s.f., etc.)</t>
    </r>
    <r>
      <rPr>
        <b/>
        <sz val="10"/>
        <rFont val="Arial"/>
        <family val="2"/>
      </rPr>
      <t xml:space="preserve"> </t>
    </r>
    <r>
      <rPr>
        <vertAlign val="superscript"/>
        <sz val="10"/>
        <rFont val="Arial"/>
        <family val="2"/>
      </rPr>
      <t>2</t>
    </r>
    <r>
      <rPr>
        <sz val="10"/>
        <rFont val="Arial"/>
        <family val="2"/>
      </rPr>
      <t xml:space="preserve">PM Peak Hour trip rate per 10th Edition of Institute of Engineer's Trip Generation Manual for peak hour of adjacent street traffic. Pass-by rates reduction can be applied for eligible categories. </t>
    </r>
    <r>
      <rPr>
        <vertAlign val="superscript"/>
        <sz val="10"/>
        <rFont val="Arial"/>
        <family val="2"/>
      </rPr>
      <t>3</t>
    </r>
    <r>
      <rPr>
        <sz val="10"/>
        <rFont val="Arial"/>
        <family val="2"/>
      </rPr>
      <t xml:space="preserve">Trip Length - select from similar land use trip length in "Collected_Rate" tab of spreadsheet or National Household Travel Survey for land use. Maximum Trip Length is 6 miles. </t>
    </r>
    <r>
      <rPr>
        <vertAlign val="superscript"/>
        <sz val="10"/>
        <rFont val="Arial"/>
        <family val="2"/>
      </rPr>
      <t>4</t>
    </r>
    <r>
      <rPr>
        <sz val="10"/>
        <rFont val="Arial"/>
        <family val="2"/>
      </rPr>
      <t>Select "Yes" if land use is residential and "No" if land use is non-residential.</t>
    </r>
  </si>
  <si>
    <r>
      <rPr>
        <b/>
        <sz val="9"/>
        <rFont val="Arial"/>
        <family val="2"/>
      </rPr>
      <t xml:space="preserve">Land Use Selection Note: </t>
    </r>
    <r>
      <rPr>
        <sz val="9"/>
        <rFont val="Arial"/>
        <family val="2"/>
      </rPr>
      <t>The land use categories are based on the descriptions contained within the ITE Trip Generation Manual 10th edition.  Questions regarding the appropriate category for a particular use may be directed to TPW Transportation Development Services staff.</t>
    </r>
  </si>
  <si>
    <t xml:space="preserve">Max Fee Per Dev-Unit
SA A
</t>
  </si>
  <si>
    <t xml:space="preserve">Max Fee Per Dev-Unit
SA B
</t>
  </si>
  <si>
    <t xml:space="preserve">Max Fee Per Dev-Unit
SA C
</t>
  </si>
  <si>
    <t xml:space="preserve">Max Fee Per Dev-Unit
SA D
</t>
  </si>
  <si>
    <t xml:space="preserve">Max Fee Per Dev-Unit
SA E
</t>
  </si>
  <si>
    <t>Max Fee Per Dev-Unit
SA F
INSIDE</t>
  </si>
  <si>
    <t xml:space="preserve">Max Fee Per Dev-Unit
SA G
</t>
  </si>
  <si>
    <t xml:space="preserve">Max Fee Per Dev-Unit
SA H
</t>
  </si>
  <si>
    <t>Max Fee Per Dev-Unit
SA I
INSIDE</t>
  </si>
  <si>
    <t>Max Fee Per Dev-Unit
SA J
INSIDE</t>
  </si>
  <si>
    <t>Max Fee Per Dev-Unit
SA K
INSIDE</t>
  </si>
  <si>
    <t>Max Fee Per Dev-Unit
SA L
INSIDE</t>
  </si>
  <si>
    <t xml:space="preserve">Max Fee Per Dev-Unit
SA M
</t>
  </si>
  <si>
    <t xml:space="preserve">Max Fee Per Dev-Unit
SA N
</t>
  </si>
  <si>
    <t xml:space="preserve">Max Fee Per Dev-Unit
SA O
</t>
  </si>
  <si>
    <t xml:space="preserve">Max Fee Per Dev-Unit
SA P
</t>
  </si>
  <si>
    <t>Max Fee Per Dev-Unit
SA DT
INSIDE</t>
  </si>
  <si>
    <t>TIA approved prior to December 21, 2020?</t>
  </si>
  <si>
    <t xml:space="preserve">Date of Building Permit Issue: </t>
  </si>
  <si>
    <t>Road Name</t>
  </si>
  <si>
    <t>Description of ROW Dedication</t>
  </si>
  <si>
    <t>RIGHT-OF-WAY DEDICATION VALUE:</t>
  </si>
  <si>
    <t>RIGHT-OF-WAY DEDICATION - ROW TO BE DEDICATED BY THE APPLICANT</t>
  </si>
  <si>
    <t>EASEMENT - TRANSPORTATION RELATED EASEMENT BY THE APPLICANT</t>
  </si>
  <si>
    <t>Description of Easement</t>
  </si>
  <si>
    <r>
      <t xml:space="preserve">ROW Dedication Value </t>
    </r>
    <r>
      <rPr>
        <sz val="10"/>
        <rFont val="Cambria"/>
        <family val="1"/>
      </rPr>
      <t>($)</t>
    </r>
  </si>
  <si>
    <t>Dedicated Land Area (sf)</t>
  </si>
  <si>
    <t>Easement Land Area (sf)</t>
  </si>
  <si>
    <t>EASEMENT VALUE:</t>
  </si>
  <si>
    <r>
      <t xml:space="preserve">Easement Value </t>
    </r>
    <r>
      <rPr>
        <sz val="10"/>
        <rFont val="Cambria"/>
        <family val="1"/>
      </rPr>
      <t>($)</t>
    </r>
  </si>
  <si>
    <t>Easement Name</t>
  </si>
  <si>
    <t>ROW Dedication Value</t>
  </si>
  <si>
    <t>Easement Value</t>
  </si>
  <si>
    <t>Within the RP as per LDC 25-6-662 &amp; LDC 25-6-23?</t>
  </si>
  <si>
    <t>Adjusted SIF collection based on adjusted SIF max?</t>
  </si>
  <si>
    <t>MAXIMUM ASSESSABLE FEE MINUS ROW DEDICATION, EASEMENT, TDM:</t>
  </si>
  <si>
    <t>Land Value ($/sf)*</t>
  </si>
  <si>
    <t>Easement Land Value ($/sf)*</t>
  </si>
  <si>
    <t>Item Name</t>
  </si>
  <si>
    <t>Road/Intersection Name</t>
  </si>
  <si>
    <t>ASMP Road Level(s)</t>
  </si>
  <si>
    <t>Total Estimated SIF Offset</t>
  </si>
  <si>
    <t>Length (ft) if applicable</t>
  </si>
  <si>
    <t>Width (ft) if applicable</t>
  </si>
  <si>
    <t>Cost ($)/unit</t>
  </si>
  <si>
    <r>
      <t xml:space="preserve">Cost per item </t>
    </r>
    <r>
      <rPr>
        <sz val="10"/>
        <rFont val="Cambria"/>
        <family val="1"/>
      </rPr>
      <t>($)</t>
    </r>
  </si>
  <si>
    <t>Item</t>
  </si>
  <si>
    <t>Sidewalk</t>
  </si>
  <si>
    <t>Curb-ramp</t>
  </si>
  <si>
    <t>SUP</t>
  </si>
  <si>
    <t>Bike Lane</t>
  </si>
  <si>
    <t>Travel Lane</t>
  </si>
  <si>
    <t>Turn Lane</t>
  </si>
  <si>
    <t>RRFB</t>
  </si>
  <si>
    <t>PHB</t>
  </si>
  <si>
    <t>Others</t>
  </si>
  <si>
    <t>Bulb Out</t>
  </si>
  <si>
    <t>New Traffic Signal</t>
  </si>
  <si>
    <t>Crosswalk</t>
  </si>
  <si>
    <t>Existing Signal Modification</t>
  </si>
  <si>
    <t>Retaining Wall</t>
  </si>
  <si>
    <t>Curb/gutter</t>
  </si>
  <si>
    <t>SL</t>
  </si>
  <si>
    <t>Unit</t>
  </si>
  <si>
    <t>LF</t>
  </si>
  <si>
    <t>Count</t>
  </si>
  <si>
    <t>SF</t>
  </si>
  <si>
    <t>Signage</t>
  </si>
  <si>
    <t>Marking</t>
  </si>
  <si>
    <t>Custom</t>
  </si>
  <si>
    <t>Cost ($)/Unit</t>
  </si>
  <si>
    <t>Units Constructed</t>
  </si>
  <si>
    <t>Counts if applicable</t>
  </si>
  <si>
    <t>ASMP ROW Requirements GIS Layer</t>
  </si>
  <si>
    <t>SIF offset estimate for item constructed by the applicant*</t>
  </si>
  <si>
    <t>ASMP Road Level</t>
  </si>
  <si>
    <t>TCM Sidewalk Width</t>
  </si>
  <si>
    <t>TCM Bike Lane Width</t>
  </si>
  <si>
    <t>TCM SUP Width (no curb &amp; gutter)</t>
  </si>
  <si>
    <t>Downtown DB</t>
  </si>
  <si>
    <t>UNO</t>
  </si>
  <si>
    <t>Subchapter E</t>
  </si>
  <si>
    <t>TOTAL EXISTING LAND USES FEE REDUCTION  :</t>
  </si>
  <si>
    <t>Custom Input Below</t>
  </si>
  <si>
    <t>Varies</t>
  </si>
  <si>
    <t>12' (5' clear +7' with tree grating)</t>
  </si>
  <si>
    <t>18'(10' clear +8' curbside)</t>
  </si>
  <si>
    <t>MAX ASSESSABLE FEE WITH NO REDUCTION:</t>
  </si>
  <si>
    <t>MAX ASSESSABLE FEE REDUCTION:</t>
  </si>
  <si>
    <t>Part of larger development?</t>
  </si>
  <si>
    <t>* Land Value is the County Appraisal value on the year of the dedication</t>
  </si>
  <si>
    <t>* Easement Land Value is based on County Appraisal value on the year of the dedication</t>
  </si>
  <si>
    <t>At least half of the development site falls within ¼-mile of a High Capacity transit stop, or 1/8-mile of a High Frequency (15 min) transit stop; and a complete sidewalk network is in place between the development site and the nearest transit stop, AND at least 1 point is also received for any Parking measure AND for either API-5 or API-6</t>
  </si>
  <si>
    <t>At least half of the development site falls within ¼-mile of a High Capacity transit stop, or 1/8-mile of a High Frequency (15 min) transit stop; and a complete sidewalk network is in place between the development site and the nearest transit stop, AND at least 1 point is also received for any Parking measure OR for either API-5 or API-6</t>
  </si>
  <si>
    <t>If any assumptions in land use, intensities, or ROW dedication change after the date of this worksheet, the applicant must notify staff to determine if the SIF needs to be reassessed.</t>
  </si>
  <si>
    <t>Worksheet Last Updated: 03/09/2026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</si>
</sst>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5" formatCode="&quot;$&quot;#,##0_);\(&quot;$&quot;#,##0\)"/>
    <numFmt numFmtId="6" formatCode="&quot;$&quot;#,##0_);[Red]\(&quot;$&quot;#,##0\)"/>
    <numFmt numFmtId="42" formatCode="_(&quot;$&quot;* #,##0_);_(&quot;$&quot;* \(#,##0\);_(&quot;$&quot;* &quot;-&quot;_);_(@_)"/>
    <numFmt numFmtId="44" formatCode="_(&quot;$&quot;* #,##0.00_);_(&quot;$&quot;* \(#,##0.00\);_(&quot;$&quot;* &quot;-&quot;??_);_(@_)"/>
    <numFmt numFmtId="164" formatCode="_(&quot;$&quot;* #,##0.00_);_(&quot;$&quot;* \(#,##0.00\);_(&quot;$&quot;* &quot;-&quot;_);_(@_)"/>
    <numFmt numFmtId="165" formatCode="0.000"/>
    <numFmt numFmtId="166" formatCode="&quot;$&quot;#,##0"/>
    <numFmt numFmtId="167" formatCode="&quot;$&quot;#,##0.00"/>
    <numFmt numFmtId="168" formatCode="0.0%"/>
    <numFmt numFmtId="169" formatCode="_(&quot;$&quot;* #,##0_);_(&quot;$&quot;* \(#,##0\);_(&quot;$&quot;* &quot;-&quot;??_);_(@_)"/>
  </numFmts>
  <fonts count="9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b/>
      <sz val="10"/>
      <name val="Arial"/>
      <family val="2"/>
    </font>
    <font>
      <u/>
      <sz val="10"/>
      <color indexed="12"/>
      <name val="Arial"/>
      <family val="2"/>
    </font>
    <font>
      <sz val="10"/>
      <name val="Arial"/>
      <family val="2"/>
    </font>
    <font>
      <b/>
      <sz val="12"/>
      <name val="Arial"/>
      <family val="2"/>
    </font>
    <font>
      <b/>
      <sz val="18"/>
      <name val="Arial"/>
      <family val="2"/>
    </font>
    <font>
      <i/>
      <sz val="7"/>
      <name val="Arial"/>
      <family val="2"/>
    </font>
    <font>
      <b/>
      <sz val="9"/>
      <name val="Arial"/>
      <family val="2"/>
    </font>
    <font>
      <i/>
      <sz val="9"/>
      <name val="Arial"/>
      <family val="2"/>
    </font>
    <font>
      <b/>
      <sz val="10"/>
      <name val="Times New Roman"/>
      <family val="1"/>
    </font>
    <font>
      <sz val="10"/>
      <name val="Arial"/>
      <family val="2"/>
    </font>
    <font>
      <b/>
      <u/>
      <sz val="10"/>
      <name val="Arial"/>
      <family val="2"/>
    </font>
    <font>
      <b/>
      <sz val="14"/>
      <name val="Arial"/>
      <family val="2"/>
    </font>
    <font>
      <b/>
      <sz val="11"/>
      <name val="Arial"/>
      <family val="2"/>
    </font>
    <font>
      <i/>
      <sz val="10"/>
      <name val="Arial"/>
      <family val="2"/>
    </font>
    <font>
      <sz val="9"/>
      <name val="Arial"/>
      <family val="2"/>
    </font>
    <font>
      <sz val="10"/>
      <name val="Times New Roman"/>
      <family val="1"/>
    </font>
    <font>
      <sz val="8"/>
      <name val="Arial"/>
      <family val="2"/>
    </font>
    <font>
      <b/>
      <i/>
      <sz val="9"/>
      <name val="Arial"/>
      <family val="2"/>
    </font>
    <font>
      <sz val="12"/>
      <name val="Arial"/>
      <family val="2"/>
    </font>
    <font>
      <u/>
      <sz val="10"/>
      <name val="Arial"/>
      <family val="2"/>
    </font>
    <font>
      <sz val="11"/>
      <name val="Times New Roman"/>
      <family val="1"/>
    </font>
    <font>
      <b/>
      <sz val="11"/>
      <name val="Times New Roman"/>
      <family val="1"/>
    </font>
    <font>
      <b/>
      <u/>
      <sz val="12"/>
      <name val="Arial"/>
      <family val="2"/>
    </font>
    <font>
      <strike/>
      <sz val="10"/>
      <name val="Times New Roman"/>
      <family val="1"/>
    </font>
    <font>
      <sz val="10"/>
      <color indexed="10"/>
      <name val="Times New Roman"/>
      <family val="1"/>
    </font>
    <font>
      <strike/>
      <sz val="10"/>
      <color indexed="10"/>
      <name val="Times New Roman"/>
      <family val="1"/>
    </font>
    <font>
      <b/>
      <u/>
      <sz val="9"/>
      <name val="Arial"/>
      <family val="2"/>
    </font>
    <font>
      <i/>
      <sz val="10"/>
      <color indexed="10"/>
      <name val="Arial"/>
      <family val="2"/>
    </font>
    <font>
      <b/>
      <u/>
      <sz val="14"/>
      <name val="Arial"/>
      <family val="2"/>
    </font>
    <font>
      <b/>
      <vertAlign val="superscript"/>
      <sz val="9"/>
      <name val="Arial"/>
      <family val="2"/>
    </font>
    <font>
      <b/>
      <sz val="16"/>
      <name val="Arial"/>
      <family val="2"/>
    </font>
    <font>
      <b/>
      <sz val="10"/>
      <color indexed="12"/>
      <name val="Arial"/>
      <family val="2"/>
    </font>
    <font>
      <b/>
      <sz val="9"/>
      <color indexed="81"/>
      <name val="Tahoma"/>
      <family val="2"/>
    </font>
    <font>
      <sz val="9"/>
      <color indexed="81"/>
      <name val="Tahoma"/>
      <family val="2"/>
    </font>
    <font>
      <vertAlign val="superscript"/>
      <sz val="10"/>
      <name val="Arial"/>
      <family val="2"/>
    </font>
    <font>
      <u/>
      <sz val="14"/>
      <color indexed="12"/>
      <name val="Arial"/>
      <family val="2"/>
    </font>
    <font>
      <sz val="10"/>
      <color indexed="10"/>
      <name val="Arial"/>
      <family val="2"/>
    </font>
    <font>
      <b/>
      <i/>
      <sz val="10"/>
      <name val="Arial"/>
      <family val="2"/>
    </font>
    <font>
      <b/>
      <vertAlign val="superscript"/>
      <sz val="10"/>
      <name val="Arial"/>
      <family val="2"/>
    </font>
    <font>
      <sz val="10"/>
      <name val="Arial"/>
      <family val="2"/>
    </font>
    <font>
      <sz val="16"/>
      <color indexed="8"/>
      <name val="Calibri"/>
      <family val="2"/>
    </font>
    <font>
      <b/>
      <sz val="16"/>
      <color indexed="8"/>
      <name val="Calibri"/>
      <family val="2"/>
    </font>
    <font>
      <b/>
      <sz val="16"/>
      <color indexed="13"/>
      <name val="Calibri"/>
      <family val="2"/>
    </font>
    <font>
      <u/>
      <sz val="16"/>
      <color indexed="12"/>
      <name val="Arial"/>
      <family val="2"/>
    </font>
    <font>
      <i/>
      <sz val="8"/>
      <name val="Arial"/>
      <family val="2"/>
    </font>
    <font>
      <sz val="10"/>
      <name val="Cambria"/>
      <family val="1"/>
    </font>
    <font>
      <sz val="11"/>
      <color theme="1"/>
      <name val="Calibri"/>
      <family val="2"/>
      <scheme val="minor"/>
    </font>
    <font>
      <sz val="11"/>
      <color theme="0"/>
      <name val="Calibri"/>
      <family val="2"/>
      <scheme val="minor"/>
    </font>
    <font>
      <u/>
      <sz val="11"/>
      <color theme="10"/>
      <name val="Calibri"/>
      <family val="2"/>
      <scheme val="minor"/>
    </font>
    <font>
      <b/>
      <sz val="11"/>
      <color theme="1"/>
      <name val="Calibri"/>
      <family val="2"/>
      <scheme val="minor"/>
    </font>
    <font>
      <sz val="11"/>
      <color rgb="FFFF0000"/>
      <name val="Calibri"/>
      <family val="2"/>
      <scheme val="minor"/>
    </font>
    <font>
      <b/>
      <i/>
      <sz val="10"/>
      <color rgb="FFFF0000"/>
      <name val="Arial"/>
      <family val="2"/>
    </font>
    <font>
      <b/>
      <i/>
      <sz val="9"/>
      <color rgb="FFFF0000"/>
      <name val="Arial"/>
      <family val="2"/>
    </font>
    <font>
      <i/>
      <sz val="9"/>
      <color rgb="FFFF0000"/>
      <name val="Arial"/>
      <family val="2"/>
    </font>
    <font>
      <sz val="16"/>
      <color theme="1"/>
      <name val="Calibri"/>
      <family val="2"/>
      <scheme val="minor"/>
    </font>
    <font>
      <b/>
      <u/>
      <sz val="18"/>
      <color theme="1"/>
      <name val="Calibri"/>
      <family val="2"/>
      <scheme val="minor"/>
    </font>
    <font>
      <sz val="10"/>
      <color theme="0"/>
      <name val="Arial"/>
      <family val="2"/>
    </font>
    <font>
      <b/>
      <sz val="16"/>
      <color theme="0"/>
      <name val="Arial"/>
      <family val="2"/>
    </font>
    <font>
      <sz val="10"/>
      <color theme="1"/>
      <name val="Arial"/>
      <family val="2"/>
    </font>
    <font>
      <b/>
      <sz val="10"/>
      <color theme="0"/>
      <name val="Arial"/>
      <family val="2"/>
    </font>
    <font>
      <b/>
      <sz val="12"/>
      <color theme="0"/>
      <name val="Arial"/>
      <family val="2"/>
    </font>
    <font>
      <b/>
      <sz val="10"/>
      <color rgb="FFFF0000"/>
      <name val="Arial"/>
      <family val="2"/>
    </font>
    <font>
      <b/>
      <sz val="10"/>
      <color theme="1"/>
      <name val="Arial"/>
      <family val="2"/>
    </font>
    <font>
      <i/>
      <sz val="10"/>
      <color theme="1"/>
      <name val="Arial"/>
      <family val="2"/>
    </font>
    <font>
      <b/>
      <sz val="11"/>
      <color rgb="FFFF0000"/>
      <name val="Calibri"/>
      <family val="2"/>
      <scheme val="minor"/>
    </font>
    <font>
      <b/>
      <sz val="14"/>
      <color theme="0"/>
      <name val="Arial"/>
      <family val="2"/>
    </font>
    <font>
      <sz val="10"/>
      <color rgb="FFC00000"/>
      <name val="Arial"/>
      <family val="2"/>
    </font>
    <font>
      <i/>
      <sz val="11"/>
      <color theme="1"/>
      <name val="Calibri"/>
      <family val="2"/>
      <scheme val="minor"/>
    </font>
    <font>
      <b/>
      <sz val="10"/>
      <color theme="4"/>
      <name val="Arial"/>
      <family val="2"/>
    </font>
    <font>
      <sz val="10"/>
      <color theme="4"/>
      <name val="Arial"/>
      <family val="2"/>
    </font>
    <font>
      <b/>
      <sz val="12"/>
      <color theme="1"/>
      <name val="Arial"/>
      <family val="2"/>
    </font>
    <font>
      <b/>
      <sz val="14"/>
      <color theme="1"/>
      <name val="Arial"/>
      <family val="2"/>
    </font>
    <font>
      <b/>
      <sz val="16"/>
      <color theme="0"/>
      <name val="Calibri"/>
      <family val="2"/>
      <scheme val="minor"/>
    </font>
    <font>
      <b/>
      <sz val="14"/>
      <color theme="0"/>
      <name val="Calibri"/>
      <family val="2"/>
      <scheme val="minor"/>
    </font>
    <font>
      <b/>
      <sz val="12"/>
      <color rgb="FFFF0000"/>
      <name val="Calibri"/>
      <family val="2"/>
      <scheme val="minor"/>
    </font>
    <font>
      <b/>
      <sz val="12"/>
      <color theme="1"/>
      <name val="Calibri"/>
      <family val="2"/>
      <scheme val="minor"/>
    </font>
    <font>
      <b/>
      <sz val="11"/>
      <color rgb="FFFF0000"/>
      <name val="Arial"/>
      <family val="2"/>
    </font>
    <font>
      <b/>
      <sz val="11"/>
      <color theme="0"/>
      <name val="Arial"/>
      <family val="2"/>
    </font>
    <font>
      <sz val="10"/>
      <name val="Cambria"/>
      <family val="1"/>
      <scheme val="major"/>
    </font>
    <font>
      <b/>
      <sz val="10"/>
      <name val="Cambria"/>
      <family val="1"/>
      <scheme val="major"/>
    </font>
    <font>
      <sz val="9"/>
      <name val="Cambria"/>
      <family val="1"/>
      <scheme val="major"/>
    </font>
    <font>
      <b/>
      <sz val="14"/>
      <name val="Cambria"/>
      <family val="1"/>
      <scheme val="major"/>
    </font>
    <font>
      <b/>
      <sz val="48"/>
      <color rgb="FF385723"/>
      <name val="Calibri Light"/>
      <family val="2"/>
    </font>
    <font>
      <sz val="48"/>
      <color theme="0"/>
      <name val="Calibri"/>
      <family val="2"/>
      <scheme val="minor"/>
    </font>
    <font>
      <sz val="24"/>
      <color theme="0"/>
      <name val="Calibri"/>
      <family val="2"/>
      <scheme val="minor"/>
    </font>
    <font>
      <sz val="10"/>
      <color rgb="FF000000"/>
      <name val="Arial"/>
      <family val="2"/>
    </font>
    <font>
      <sz val="11"/>
      <name val="Arial"/>
      <family val="2"/>
    </font>
    <font>
      <sz val="8"/>
      <name val="Cambria"/>
      <family val="1"/>
      <scheme val="major"/>
    </font>
    <font>
      <sz val="10"/>
      <color theme="1"/>
      <name val="Arial"/>
      <family val="2"/>
    </font>
    <font>
      <b/>
      <u/>
      <sz val="11"/>
      <name val="Arial"/>
      <family val="2"/>
    </font>
    <font>
      <sz val="10"/>
      <color theme="0"/>
      <name val="Cambria"/>
      <family val="1"/>
      <scheme val="major"/>
    </font>
    <font>
      <b/>
      <sz val="13"/>
      <name val="Cambria"/>
      <family val="1"/>
      <scheme val="major"/>
    </font>
    <font>
      <sz val="8"/>
      <color rgb="FF000000"/>
      <name val="Segoe UI"/>
      <family val="2"/>
    </font>
  </fonts>
  <fills count="31">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26"/>
        <bgColor indexed="64"/>
      </patternFill>
    </fill>
    <fill>
      <patternFill patternType="solid">
        <fgColor theme="0"/>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rgb="FFFFFFFF"/>
        <bgColor rgb="FF000000"/>
      </patternFill>
    </fill>
    <fill>
      <patternFill patternType="solid">
        <fgColor rgb="FFD9D9D9"/>
        <bgColor rgb="FF000000"/>
      </patternFill>
    </fill>
    <fill>
      <patternFill patternType="solid">
        <fgColor rgb="FF92D050"/>
        <bgColor rgb="FF000000"/>
      </patternFill>
    </fill>
    <fill>
      <patternFill patternType="solid">
        <fgColor rgb="FFFF0000"/>
        <bgColor rgb="FF000000"/>
      </patternFill>
    </fill>
    <fill>
      <patternFill patternType="solid">
        <fgColor rgb="FFFF0000"/>
        <bgColor indexed="64"/>
      </patternFill>
    </fill>
    <fill>
      <patternFill patternType="solid">
        <fgColor theme="0"/>
        <bgColor rgb="FF000000"/>
      </patternFill>
    </fill>
    <fill>
      <patternFill patternType="solid">
        <fgColor theme="7" tint="0.39997558519241921"/>
        <bgColor indexed="64"/>
      </patternFill>
    </fill>
    <fill>
      <patternFill patternType="solid">
        <fgColor rgb="FFFFC000"/>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0" tint="-0.14999847407452621"/>
        <bgColor indexed="64"/>
      </patternFill>
    </fill>
    <fill>
      <patternFill patternType="solid">
        <fgColor theme="3"/>
        <bgColor indexed="64"/>
      </patternFill>
    </fill>
    <fill>
      <patternFill patternType="solid">
        <fgColor theme="8" tint="0.59999389629810485"/>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8" tint="-0.499984740745262"/>
        <bgColor indexed="64"/>
      </patternFill>
    </fill>
    <fill>
      <patternFill patternType="solid">
        <fgColor rgb="FFFFFFCC"/>
        <bgColor indexed="64"/>
      </patternFill>
    </fill>
    <fill>
      <patternFill patternType="solid">
        <fgColor theme="3" tint="-0.249977111117893"/>
        <bgColor indexed="64"/>
      </patternFill>
    </fill>
    <fill>
      <patternFill patternType="solid">
        <fgColor theme="6" tint="-0.499984740745262"/>
        <bgColor indexed="64"/>
      </patternFill>
    </fill>
    <fill>
      <patternFill patternType="solid">
        <fgColor rgb="FFFFFF00"/>
        <bgColor rgb="FF000000"/>
      </patternFill>
    </fill>
    <fill>
      <patternFill patternType="solid">
        <fgColor theme="5" tint="0.39997558519241921"/>
        <bgColor indexed="64"/>
      </patternFill>
    </fill>
  </fills>
  <borders count="143">
    <border>
      <left/>
      <right/>
      <top/>
      <bottom/>
      <diagonal/>
    </border>
    <border>
      <left/>
      <right style="double">
        <color indexed="64"/>
      </right>
      <top style="double">
        <color indexed="64"/>
      </top>
      <bottom/>
      <diagonal/>
    </border>
    <border>
      <left/>
      <right style="double">
        <color indexed="64"/>
      </right>
      <top/>
      <bottom/>
      <diagonal/>
    </border>
    <border>
      <left style="double">
        <color indexed="64"/>
      </left>
      <right/>
      <top/>
      <bottom/>
      <diagonal/>
    </border>
    <border>
      <left style="thin">
        <color indexed="64"/>
      </left>
      <right style="thin">
        <color indexed="64"/>
      </right>
      <top style="thin">
        <color indexed="64"/>
      </top>
      <bottom style="thin">
        <color indexed="64"/>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double">
        <color indexed="64"/>
      </left>
      <right/>
      <top style="double">
        <color indexed="64"/>
      </top>
      <bottom/>
      <diagonal/>
    </border>
    <border>
      <left/>
      <right/>
      <top style="double">
        <color indexed="64"/>
      </top>
      <bottom/>
      <diagonal/>
    </border>
    <border>
      <left style="hair">
        <color indexed="64"/>
      </left>
      <right/>
      <top/>
      <bottom/>
      <diagonal/>
    </border>
    <border>
      <left style="hair">
        <color indexed="64"/>
      </left>
      <right/>
      <top/>
      <bottom style="hair">
        <color indexed="64"/>
      </bottom>
      <diagonal/>
    </border>
    <border>
      <left/>
      <right/>
      <top/>
      <bottom style="hair">
        <color indexed="64"/>
      </bottom>
      <diagonal/>
    </border>
    <border>
      <left/>
      <right style="hair">
        <color indexed="64"/>
      </right>
      <top/>
      <bottom/>
      <diagonal/>
    </border>
    <border>
      <left/>
      <right style="hair">
        <color indexed="64"/>
      </right>
      <top/>
      <bottom style="hair">
        <color indexed="64"/>
      </bottom>
      <diagonal/>
    </border>
    <border>
      <left style="thin">
        <color indexed="64"/>
      </left>
      <right style="thin">
        <color indexed="64"/>
      </right>
      <top style="hair">
        <color indexed="64"/>
      </top>
      <bottom style="medium">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diagonal/>
    </border>
    <border>
      <left style="thin">
        <color indexed="64"/>
      </left>
      <right/>
      <top/>
      <bottom/>
      <diagonal/>
    </border>
    <border>
      <left/>
      <right/>
      <top style="medium">
        <color indexed="64"/>
      </top>
      <bottom/>
      <diagonal/>
    </border>
    <border>
      <left style="medium">
        <color indexed="64"/>
      </left>
      <right style="medium">
        <color indexed="64"/>
      </right>
      <top style="medium">
        <color indexed="64"/>
      </top>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right/>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top/>
      <bottom style="hair">
        <color indexed="64"/>
      </bottom>
      <diagonal/>
    </border>
    <border>
      <left style="medium">
        <color indexed="64"/>
      </left>
      <right style="medium">
        <color indexed="64"/>
      </right>
      <top/>
      <bottom style="dotted">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diagonal/>
    </border>
    <border>
      <left style="medium">
        <color indexed="64"/>
      </left>
      <right style="medium">
        <color indexed="64"/>
      </right>
      <top style="dotted">
        <color indexed="64"/>
      </top>
      <bottom style="dotted">
        <color indexed="64"/>
      </bottom>
      <diagonal/>
    </border>
    <border>
      <left style="medium">
        <color indexed="64"/>
      </left>
      <right style="medium">
        <color indexed="64"/>
      </right>
      <top style="dotted">
        <color indexed="64"/>
      </top>
      <bottom style="medium">
        <color indexed="64"/>
      </bottom>
      <diagonal/>
    </border>
    <border>
      <left style="medium">
        <color indexed="64"/>
      </left>
      <right/>
      <top/>
      <bottom style="hair">
        <color indexed="64"/>
      </bottom>
      <diagonal/>
    </border>
    <border>
      <left/>
      <right style="thin">
        <color indexed="64"/>
      </right>
      <top/>
      <bottom style="hair">
        <color indexed="64"/>
      </bottom>
      <diagonal/>
    </border>
    <border>
      <left style="medium">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medium">
        <color indexed="64"/>
      </left>
      <right style="medium">
        <color indexed="64"/>
      </right>
      <top style="dotted">
        <color indexed="64"/>
      </top>
      <bottom/>
      <diagonal/>
    </border>
    <border>
      <left style="medium">
        <color indexed="64"/>
      </left>
      <right style="medium">
        <color indexed="64"/>
      </right>
      <top style="medium">
        <color indexed="64"/>
      </top>
      <bottom style="dotted">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style="thin">
        <color indexed="64"/>
      </left>
      <right/>
      <top style="medium">
        <color indexed="64"/>
      </top>
      <bottom style="hair">
        <color indexed="64"/>
      </bottom>
      <diagonal/>
    </border>
    <border>
      <left style="thin">
        <color indexed="64"/>
      </left>
      <right/>
      <top style="medium">
        <color indexed="64"/>
      </top>
      <bottom/>
      <diagonal/>
    </border>
    <border>
      <left style="medium">
        <color indexed="64"/>
      </left>
      <right/>
      <top/>
      <bottom style="medium">
        <color indexed="64"/>
      </bottom>
      <diagonal/>
    </border>
    <border>
      <left/>
      <right style="thin">
        <color indexed="64"/>
      </right>
      <top/>
      <bottom/>
      <diagonal/>
    </border>
    <border>
      <left style="medium">
        <color indexed="64"/>
      </left>
      <right/>
      <top/>
      <bottom/>
      <diagonal/>
    </border>
    <border>
      <left style="thin">
        <color indexed="64"/>
      </left>
      <right style="thin">
        <color indexed="64"/>
      </right>
      <top/>
      <bottom style="thin">
        <color indexed="64"/>
      </bottom>
      <diagonal/>
    </border>
    <border>
      <left style="thick">
        <color indexed="64"/>
      </left>
      <right style="thin">
        <color indexed="64"/>
      </right>
      <top style="thick">
        <color indexed="64"/>
      </top>
      <bottom style="thick">
        <color indexed="64"/>
      </bottom>
      <diagonal/>
    </border>
    <border>
      <left style="thin">
        <color indexed="64"/>
      </left>
      <right/>
      <top style="thick">
        <color indexed="64"/>
      </top>
      <bottom style="thick">
        <color indexed="64"/>
      </bottom>
      <diagonal/>
    </border>
    <border>
      <left style="medium">
        <color indexed="64"/>
      </left>
      <right style="medium">
        <color indexed="64"/>
      </right>
      <top style="medium">
        <color indexed="64"/>
      </top>
      <bottom style="thick">
        <color indexed="64"/>
      </bottom>
      <diagonal/>
    </border>
    <border>
      <left style="thick">
        <color indexed="64"/>
      </left>
      <right/>
      <top style="thick">
        <color indexed="64"/>
      </top>
      <bottom style="hair">
        <color indexed="64"/>
      </bottom>
      <diagonal/>
    </border>
    <border>
      <left style="thin">
        <color indexed="64"/>
      </left>
      <right/>
      <top style="thick">
        <color indexed="64"/>
      </top>
      <bottom style="hair">
        <color indexed="64"/>
      </bottom>
      <diagonal/>
    </border>
    <border>
      <left style="medium">
        <color indexed="64"/>
      </left>
      <right style="medium">
        <color indexed="64"/>
      </right>
      <top style="thick">
        <color indexed="64"/>
      </top>
      <bottom style="hair">
        <color indexed="64"/>
      </bottom>
      <diagonal/>
    </border>
    <border>
      <left style="thick">
        <color indexed="64"/>
      </left>
      <right/>
      <top/>
      <bottom/>
      <diagonal/>
    </border>
    <border>
      <left style="medium">
        <color indexed="64"/>
      </left>
      <right style="medium">
        <color indexed="64"/>
      </right>
      <top/>
      <bottom/>
      <diagonal/>
    </border>
    <border>
      <left style="thick">
        <color indexed="64"/>
      </left>
      <right/>
      <top style="thick">
        <color indexed="64"/>
      </top>
      <bottom style="thick">
        <color indexed="64"/>
      </bottom>
      <diagonal/>
    </border>
    <border>
      <left style="medium">
        <color indexed="64"/>
      </left>
      <right style="medium">
        <color indexed="64"/>
      </right>
      <top style="thick">
        <color indexed="64"/>
      </top>
      <bottom style="thick">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hair">
        <color indexed="64"/>
      </bottom>
      <diagonal/>
    </border>
    <border>
      <left style="medium">
        <color indexed="64"/>
      </left>
      <right style="medium">
        <color indexed="64"/>
      </right>
      <top style="hair">
        <color indexed="64"/>
      </top>
      <bottom style="hair">
        <color indexed="64"/>
      </bottom>
      <diagonal/>
    </border>
    <border>
      <left style="medium">
        <color indexed="64"/>
      </left>
      <right style="medium">
        <color indexed="64"/>
      </right>
      <top style="hair">
        <color indexed="64"/>
      </top>
      <bottom/>
      <diagonal/>
    </border>
    <border>
      <left style="medium">
        <color indexed="64"/>
      </left>
      <right style="medium">
        <color indexed="64"/>
      </right>
      <top/>
      <bottom style="medium">
        <color indexed="64"/>
      </bottom>
      <diagonal/>
    </border>
    <border>
      <left style="thin">
        <color indexed="64"/>
      </left>
      <right style="medium">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bottom style="thin">
        <color indexed="64"/>
      </bottom>
      <diagonal/>
    </border>
    <border>
      <left style="medium">
        <color indexed="64"/>
      </left>
      <right style="medium">
        <color indexed="64"/>
      </right>
      <top style="medium">
        <color indexed="64"/>
      </top>
      <bottom style="medium">
        <color indexed="64"/>
      </bottom>
      <diagonal/>
    </border>
    <border>
      <left/>
      <right/>
      <top/>
      <bottom style="dotted">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hair">
        <color indexed="64"/>
      </left>
      <right/>
      <top style="hair">
        <color indexed="64"/>
      </top>
      <bottom/>
      <diagonal/>
    </border>
    <border>
      <left/>
      <right style="hair">
        <color indexed="64"/>
      </right>
      <top style="hair">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right/>
      <top style="thick">
        <color theme="0"/>
      </top>
      <bottom/>
      <diagonal/>
    </border>
    <border>
      <left/>
      <right/>
      <top style="thick">
        <color theme="0"/>
      </top>
      <bottom style="thick">
        <color theme="0"/>
      </bottom>
      <diagonal/>
    </border>
    <border>
      <left/>
      <right style="thick">
        <color theme="0"/>
      </right>
      <top style="thick">
        <color theme="0"/>
      </top>
      <bottom style="thick">
        <color theme="0"/>
      </bottom>
      <diagonal/>
    </border>
    <border>
      <left/>
      <right style="thick">
        <color theme="0"/>
      </right>
      <top/>
      <bottom style="thick">
        <color theme="0"/>
      </bottom>
      <diagonal/>
    </border>
    <border>
      <left/>
      <right style="thick">
        <color theme="0"/>
      </right>
      <top/>
      <bottom/>
      <diagonal/>
    </border>
    <border>
      <left style="thick">
        <color theme="0"/>
      </left>
      <right style="thick">
        <color theme="0"/>
      </right>
      <top/>
      <bottom/>
      <diagonal/>
    </border>
    <border>
      <left/>
      <right style="thick">
        <color theme="0"/>
      </right>
      <top style="thick">
        <color theme="0"/>
      </top>
      <bottom/>
      <diagonal/>
    </border>
    <border>
      <left/>
      <right/>
      <top/>
      <bottom style="thick">
        <color theme="0"/>
      </bottom>
      <diagonal/>
    </border>
    <border>
      <left style="thick">
        <color theme="0"/>
      </left>
      <right style="thick">
        <color theme="0"/>
      </right>
      <top style="thick">
        <color theme="0"/>
      </top>
      <bottom style="thick">
        <color theme="0"/>
      </bottom>
      <diagonal/>
    </border>
    <border>
      <left style="thick">
        <color theme="0"/>
      </left>
      <right style="thick">
        <color theme="0"/>
      </right>
      <top style="thick">
        <color theme="0"/>
      </top>
      <bottom/>
      <diagonal/>
    </border>
    <border>
      <left/>
      <right/>
      <top/>
      <bottom style="medium">
        <color theme="0"/>
      </bottom>
      <diagonal/>
    </border>
    <border>
      <left/>
      <right/>
      <top style="medium">
        <color theme="0"/>
      </top>
      <bottom/>
      <diagonal/>
    </border>
    <border>
      <left style="medium">
        <color theme="0"/>
      </left>
      <right style="medium">
        <color theme="0"/>
      </right>
      <top/>
      <bottom/>
      <diagonal/>
    </border>
    <border>
      <left/>
      <right style="medium">
        <color theme="0"/>
      </right>
      <top/>
      <bottom style="medium">
        <color theme="0"/>
      </bottom>
      <diagonal/>
    </border>
    <border>
      <left style="medium">
        <color theme="0"/>
      </left>
      <right/>
      <top/>
      <bottom style="medium">
        <color theme="0"/>
      </bottom>
      <diagonal/>
    </border>
    <border>
      <left style="medium">
        <color theme="0"/>
      </left>
      <right/>
      <top style="medium">
        <color theme="0"/>
      </top>
      <bottom/>
      <diagonal/>
    </border>
    <border>
      <left style="thick">
        <color theme="0"/>
      </left>
      <right/>
      <top/>
      <bottom/>
      <diagonal/>
    </border>
    <border>
      <left style="thick">
        <color theme="0"/>
      </left>
      <right/>
      <top/>
      <bottom style="thick">
        <color theme="0"/>
      </bottom>
      <diagonal/>
    </border>
    <border>
      <left style="thick">
        <color theme="0"/>
      </left>
      <right style="thick">
        <color theme="0"/>
      </right>
      <top/>
      <bottom style="thick">
        <color theme="0"/>
      </bottom>
      <diagonal/>
    </border>
    <border>
      <left style="medium">
        <color theme="0"/>
      </left>
      <right/>
      <top/>
      <bottom/>
      <diagonal/>
    </border>
    <border>
      <left style="medium">
        <color theme="0"/>
      </left>
      <right/>
      <top/>
      <bottom style="thin">
        <color indexed="64"/>
      </bottom>
      <diagonal/>
    </border>
    <border>
      <left style="medium">
        <color theme="0"/>
      </left>
      <right/>
      <top style="thin">
        <color indexed="64"/>
      </top>
      <bottom/>
      <diagonal/>
    </border>
    <border>
      <left/>
      <right style="medium">
        <color theme="0"/>
      </right>
      <top style="medium">
        <color theme="0"/>
      </top>
      <bottom/>
      <diagonal/>
    </border>
    <border>
      <left style="medium">
        <color theme="0"/>
      </left>
      <right style="medium">
        <color theme="0"/>
      </right>
      <top style="medium">
        <color theme="0"/>
      </top>
      <bottom/>
      <diagonal/>
    </border>
    <border>
      <left style="medium">
        <color theme="0"/>
      </left>
      <right style="medium">
        <color theme="0"/>
      </right>
      <top/>
      <bottom style="medium">
        <color theme="0"/>
      </bottom>
      <diagonal/>
    </border>
    <border>
      <left style="medium">
        <color theme="0"/>
      </left>
      <right style="medium">
        <color theme="0"/>
      </right>
      <top style="medium">
        <color theme="0"/>
      </top>
      <bottom style="thin">
        <color theme="0"/>
      </bottom>
      <diagonal/>
    </border>
    <border>
      <left style="medium">
        <color theme="0"/>
      </left>
      <right style="medium">
        <color theme="0"/>
      </right>
      <top/>
      <bottom style="thin">
        <color theme="0"/>
      </bottom>
      <diagonal/>
    </border>
    <border>
      <left style="medium">
        <color theme="0"/>
      </left>
      <right style="medium">
        <color theme="0"/>
      </right>
      <top style="thin">
        <color theme="0"/>
      </top>
      <bottom style="thin">
        <color theme="0"/>
      </bottom>
      <diagonal/>
    </border>
    <border>
      <left style="medium">
        <color theme="0"/>
      </left>
      <right style="medium">
        <color theme="0"/>
      </right>
      <top style="thin">
        <color theme="0"/>
      </top>
      <bottom style="medium">
        <color theme="0"/>
      </bottom>
      <diagonal/>
    </border>
    <border>
      <left style="medium">
        <color theme="0"/>
      </left>
      <right/>
      <top style="medium">
        <color theme="0"/>
      </top>
      <bottom style="thick">
        <color theme="0"/>
      </bottom>
      <diagonal/>
    </border>
    <border>
      <left style="medium">
        <color theme="0"/>
      </left>
      <right/>
      <top style="thick">
        <color theme="0"/>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thin">
        <color rgb="FF505050"/>
      </left>
      <right style="thin">
        <color rgb="FF505050"/>
      </right>
      <top style="thin">
        <color rgb="FF505050"/>
      </top>
      <bottom style="thin">
        <color rgb="FF505050"/>
      </bottom>
      <diagonal/>
    </border>
    <border>
      <left style="thin">
        <color rgb="FF505050"/>
      </left>
      <right/>
      <top style="thin">
        <color rgb="FF505050"/>
      </top>
      <bottom style="thin">
        <color rgb="FF505050"/>
      </bottom>
      <diagonal/>
    </border>
    <border>
      <left style="thin">
        <color rgb="FF505050"/>
      </left>
      <right style="thin">
        <color rgb="FF505050"/>
      </right>
      <top style="thin">
        <color rgb="FF505050"/>
      </top>
      <bottom/>
      <diagonal/>
    </border>
    <border>
      <left style="thin">
        <color rgb="FF505050"/>
      </left>
      <right/>
      <top style="thin">
        <color rgb="FF505050"/>
      </top>
      <bottom/>
      <diagonal/>
    </border>
  </borders>
  <cellStyleXfs count="14">
    <xf numFmtId="0" fontId="0" fillId="0" borderId="0"/>
    <xf numFmtId="44" fontId="4" fillId="0" borderId="0" applyFont="0" applyFill="0" applyBorder="0" applyAlignment="0" applyProtection="0"/>
    <xf numFmtId="0" fontId="7" fillId="0" borderId="0" applyNumberFormat="0" applyFill="0" applyBorder="0" applyAlignment="0" applyProtection="0">
      <alignment vertical="top"/>
      <protection locked="0"/>
    </xf>
    <xf numFmtId="0" fontId="54" fillId="0" borderId="0" applyNumberFormat="0" applyFill="0" applyBorder="0" applyAlignment="0" applyProtection="0"/>
    <xf numFmtId="0" fontId="8" fillId="0" borderId="0"/>
    <xf numFmtId="0" fontId="8" fillId="0" borderId="0"/>
    <xf numFmtId="0" fontId="15" fillId="0" borderId="0"/>
    <xf numFmtId="0" fontId="4" fillId="0" borderId="0"/>
    <xf numFmtId="0" fontId="52" fillId="0" borderId="0"/>
    <xf numFmtId="0" fontId="8" fillId="0" borderId="0"/>
    <xf numFmtId="0" fontId="8" fillId="0" borderId="0"/>
    <xf numFmtId="0" fontId="8" fillId="0" borderId="0"/>
    <xf numFmtId="9" fontId="4" fillId="0" borderId="0" applyFont="0" applyFill="0" applyBorder="0" applyAlignment="0" applyProtection="0"/>
    <xf numFmtId="9" fontId="52" fillId="0" borderId="0" applyFont="0" applyFill="0" applyBorder="0" applyAlignment="0" applyProtection="0"/>
  </cellStyleXfs>
  <cellXfs count="917">
    <xf numFmtId="0" fontId="0" fillId="0" borderId="0" xfId="0"/>
    <xf numFmtId="0" fontId="21" fillId="0" borderId="15" xfId="4" applyFont="1" applyBorder="1"/>
    <xf numFmtId="0" fontId="21" fillId="0" borderId="16" xfId="4" applyFont="1" applyBorder="1"/>
    <xf numFmtId="0" fontId="21" fillId="5" borderId="0" xfId="4" applyFont="1" applyFill="1"/>
    <xf numFmtId="49" fontId="21" fillId="5" borderId="0" xfId="4" applyNumberFormat="1" applyFont="1" applyFill="1" applyAlignment="1">
      <alignment horizontal="center"/>
    </xf>
    <xf numFmtId="0" fontId="14" fillId="0" borderId="17" xfId="4" applyFont="1" applyBorder="1" applyAlignment="1">
      <alignment horizontal="center" vertical="center" wrapText="1"/>
    </xf>
    <xf numFmtId="2" fontId="21" fillId="0" borderId="17" xfId="11" applyNumberFormat="1" applyFont="1" applyBorder="1" applyAlignment="1">
      <alignment horizontal="center"/>
    </xf>
    <xf numFmtId="9" fontId="21" fillId="0" borderId="17" xfId="4" applyNumberFormat="1" applyFont="1" applyBorder="1" applyAlignment="1">
      <alignment horizontal="center"/>
    </xf>
    <xf numFmtId="0" fontId="21" fillId="0" borderId="17" xfId="4" applyFont="1" applyBorder="1" applyAlignment="1">
      <alignment horizontal="center"/>
    </xf>
    <xf numFmtId="2" fontId="21" fillId="0" borderId="17" xfId="4" applyNumberFormat="1" applyFont="1" applyBorder="1" applyAlignment="1">
      <alignment horizontal="center"/>
    </xf>
    <xf numFmtId="2" fontId="21" fillId="0" borderId="17" xfId="5" applyNumberFormat="1" applyFont="1" applyBorder="1" applyAlignment="1">
      <alignment horizontal="center"/>
    </xf>
    <xf numFmtId="9" fontId="21" fillId="0" borderId="18" xfId="4" applyNumberFormat="1" applyFont="1" applyBorder="1" applyAlignment="1">
      <alignment horizontal="center"/>
    </xf>
    <xf numFmtId="2" fontId="21" fillId="0" borderId="18" xfId="4" applyNumberFormat="1" applyFont="1" applyBorder="1" applyAlignment="1">
      <alignment horizontal="center"/>
    </xf>
    <xf numFmtId="0" fontId="21" fillId="0" borderId="18" xfId="4" applyFont="1" applyBorder="1" applyAlignment="1">
      <alignment horizontal="center"/>
    </xf>
    <xf numFmtId="0" fontId="14" fillId="0" borderId="18" xfId="4" applyFont="1" applyBorder="1" applyAlignment="1">
      <alignment vertical="center" wrapText="1"/>
    </xf>
    <xf numFmtId="0" fontId="21" fillId="0" borderId="19" xfId="4" applyFont="1" applyBorder="1" applyAlignment="1">
      <alignment horizontal="center"/>
    </xf>
    <xf numFmtId="44" fontId="14" fillId="0" borderId="20" xfId="4" applyNumberFormat="1" applyFont="1" applyBorder="1" applyAlignment="1">
      <alignment horizontal="center" vertical="center"/>
    </xf>
    <xf numFmtId="2" fontId="21" fillId="0" borderId="15" xfId="4" applyNumberFormat="1" applyFont="1" applyBorder="1" applyAlignment="1">
      <alignment horizontal="center"/>
    </xf>
    <xf numFmtId="2" fontId="21" fillId="0" borderId="16" xfId="4" applyNumberFormat="1" applyFont="1" applyBorder="1" applyAlignment="1">
      <alignment horizontal="center"/>
    </xf>
    <xf numFmtId="2" fontId="21" fillId="0" borderId="21" xfId="4" applyNumberFormat="1" applyFont="1" applyBorder="1" applyAlignment="1">
      <alignment horizontal="center"/>
    </xf>
    <xf numFmtId="2" fontId="21" fillId="0" borderId="22" xfId="4" applyNumberFormat="1" applyFont="1" applyBorder="1" applyAlignment="1">
      <alignment horizontal="center"/>
    </xf>
    <xf numFmtId="2" fontId="21" fillId="0" borderId="21" xfId="5" applyNumberFormat="1" applyFont="1" applyBorder="1" applyAlignment="1">
      <alignment horizontal="center"/>
    </xf>
    <xf numFmtId="2" fontId="21" fillId="0" borderId="15" xfId="5" applyNumberFormat="1" applyFont="1" applyBorder="1" applyAlignment="1">
      <alignment horizontal="center"/>
    </xf>
    <xf numFmtId="2" fontId="21" fillId="0" borderId="23" xfId="4" applyNumberFormat="1" applyFont="1" applyBorder="1" applyAlignment="1">
      <alignment horizontal="center"/>
    </xf>
    <xf numFmtId="49" fontId="14" fillId="9" borderId="24" xfId="4" applyNumberFormat="1" applyFont="1" applyFill="1" applyBorder="1" applyAlignment="1">
      <alignment horizontal="center" vertical="center" wrapText="1"/>
    </xf>
    <xf numFmtId="0" fontId="14" fillId="9" borderId="24" xfId="4" applyFont="1" applyFill="1" applyBorder="1" applyAlignment="1">
      <alignment horizontal="center" vertical="center" wrapText="1"/>
    </xf>
    <xf numFmtId="2" fontId="14" fillId="9" borderId="24" xfId="4" applyNumberFormat="1" applyFont="1" applyFill="1" applyBorder="1" applyAlignment="1">
      <alignment horizontal="center" vertical="center" wrapText="1"/>
    </xf>
    <xf numFmtId="9" fontId="14" fillId="9" borderId="24" xfId="4" applyNumberFormat="1" applyFont="1" applyFill="1" applyBorder="1" applyAlignment="1">
      <alignment horizontal="center" vertical="center" wrapText="1"/>
    </xf>
    <xf numFmtId="2" fontId="14" fillId="10" borderId="24" xfId="4" applyNumberFormat="1" applyFont="1" applyFill="1" applyBorder="1" applyAlignment="1">
      <alignment horizontal="center" vertical="center" wrapText="1"/>
    </xf>
    <xf numFmtId="2" fontId="14" fillId="9" borderId="0" xfId="4" applyNumberFormat="1" applyFont="1" applyFill="1" applyAlignment="1">
      <alignment horizontal="center" vertical="center" wrapText="1"/>
    </xf>
    <xf numFmtId="2" fontId="14" fillId="10" borderId="20" xfId="4" applyNumberFormat="1" applyFont="1" applyFill="1" applyBorder="1" applyAlignment="1">
      <alignment horizontal="center" vertical="center" wrapText="1"/>
    </xf>
    <xf numFmtId="0" fontId="21" fillId="9" borderId="0" xfId="9" applyFont="1" applyFill="1"/>
    <xf numFmtId="0" fontId="21" fillId="9" borderId="25" xfId="9" applyFont="1" applyFill="1" applyBorder="1"/>
    <xf numFmtId="0" fontId="21" fillId="9" borderId="26" xfId="9" applyFont="1" applyFill="1" applyBorder="1"/>
    <xf numFmtId="0" fontId="21" fillId="9" borderId="27" xfId="9" applyFont="1" applyFill="1" applyBorder="1"/>
    <xf numFmtId="2" fontId="21" fillId="9" borderId="15" xfId="10" applyNumberFormat="1" applyFont="1" applyFill="1" applyBorder="1" applyAlignment="1">
      <alignment horizontal="center"/>
    </xf>
    <xf numFmtId="0" fontId="21" fillId="9" borderId="15" xfId="4" applyFont="1" applyFill="1" applyBorder="1"/>
    <xf numFmtId="0" fontId="21" fillId="9" borderId="15" xfId="11" applyFont="1" applyFill="1" applyBorder="1" applyAlignment="1">
      <alignment horizontal="center"/>
    </xf>
    <xf numFmtId="2" fontId="21" fillId="9" borderId="15" xfId="11" applyNumberFormat="1" applyFont="1" applyFill="1" applyBorder="1" applyAlignment="1">
      <alignment horizontal="center"/>
    </xf>
    <xf numFmtId="9" fontId="21" fillId="9" borderId="15" xfId="4" applyNumberFormat="1" applyFont="1" applyFill="1" applyBorder="1" applyAlignment="1">
      <alignment horizontal="center"/>
    </xf>
    <xf numFmtId="0" fontId="21" fillId="9" borderId="15" xfId="4" applyFont="1" applyFill="1" applyBorder="1" applyAlignment="1">
      <alignment horizontal="center"/>
    </xf>
    <xf numFmtId="2" fontId="21" fillId="11" borderId="15" xfId="4" applyNumberFormat="1" applyFont="1" applyFill="1" applyBorder="1" applyAlignment="1">
      <alignment horizontal="center"/>
    </xf>
    <xf numFmtId="2" fontId="21" fillId="9" borderId="15" xfId="5" applyNumberFormat="1" applyFont="1" applyFill="1" applyBorder="1" applyAlignment="1">
      <alignment horizontal="center"/>
    </xf>
    <xf numFmtId="2" fontId="21" fillId="9" borderId="28" xfId="4" applyNumberFormat="1" applyFont="1" applyFill="1" applyBorder="1" applyAlignment="1">
      <alignment horizontal="center"/>
    </xf>
    <xf numFmtId="2" fontId="21" fillId="9" borderId="15" xfId="4" applyNumberFormat="1" applyFont="1" applyFill="1" applyBorder="1" applyAlignment="1">
      <alignment horizontal="center"/>
    </xf>
    <xf numFmtId="2" fontId="21" fillId="10" borderId="28" xfId="4" applyNumberFormat="1" applyFont="1" applyFill="1" applyBorder="1" applyAlignment="1">
      <alignment horizontal="center"/>
    </xf>
    <xf numFmtId="2" fontId="21" fillId="9" borderId="29" xfId="4" applyNumberFormat="1" applyFont="1" applyFill="1" applyBorder="1" applyAlignment="1">
      <alignment horizontal="center"/>
    </xf>
    <xf numFmtId="164" fontId="21" fillId="0" borderId="30" xfId="4" applyNumberFormat="1" applyFont="1" applyBorder="1" applyAlignment="1">
      <alignment horizontal="center"/>
    </xf>
    <xf numFmtId="0" fontId="21" fillId="9" borderId="21" xfId="9" applyFont="1" applyFill="1" applyBorder="1"/>
    <xf numFmtId="49" fontId="21" fillId="9" borderId="21" xfId="10" applyNumberFormat="1" applyFont="1" applyFill="1" applyBorder="1" applyAlignment="1">
      <alignment horizontal="center"/>
    </xf>
    <xf numFmtId="0" fontId="21" fillId="9" borderId="21" xfId="4" applyFont="1" applyFill="1" applyBorder="1"/>
    <xf numFmtId="0" fontId="21" fillId="9" borderId="21" xfId="11" applyFont="1" applyFill="1" applyBorder="1" applyAlignment="1">
      <alignment horizontal="center"/>
    </xf>
    <xf numFmtId="2" fontId="21" fillId="9" borderId="21" xfId="11" applyNumberFormat="1" applyFont="1" applyFill="1" applyBorder="1" applyAlignment="1">
      <alignment horizontal="center"/>
    </xf>
    <xf numFmtId="9" fontId="21" fillId="9" borderId="21" xfId="4" applyNumberFormat="1" applyFont="1" applyFill="1" applyBorder="1" applyAlignment="1">
      <alignment horizontal="center"/>
    </xf>
    <xf numFmtId="0" fontId="21" fillId="9" borderId="21" xfId="4" applyFont="1" applyFill="1" applyBorder="1" applyAlignment="1">
      <alignment horizontal="center"/>
    </xf>
    <xf numFmtId="2" fontId="21" fillId="9" borderId="21" xfId="4" applyNumberFormat="1" applyFont="1" applyFill="1" applyBorder="1" applyAlignment="1">
      <alignment horizontal="center"/>
    </xf>
    <xf numFmtId="2" fontId="21" fillId="9" borderId="21" xfId="5" applyNumberFormat="1" applyFont="1" applyFill="1" applyBorder="1" applyAlignment="1">
      <alignment horizontal="center"/>
    </xf>
    <xf numFmtId="9" fontId="21" fillId="9" borderId="31" xfId="4" applyNumberFormat="1" applyFont="1" applyFill="1" applyBorder="1" applyAlignment="1">
      <alignment horizontal="center"/>
    </xf>
    <xf numFmtId="2" fontId="21" fillId="9" borderId="31" xfId="4" applyNumberFormat="1" applyFont="1" applyFill="1" applyBorder="1" applyAlignment="1">
      <alignment horizontal="center"/>
    </xf>
    <xf numFmtId="0" fontId="21" fillId="9" borderId="31" xfId="4" applyFont="1" applyFill="1" applyBorder="1" applyAlignment="1">
      <alignment horizontal="center"/>
    </xf>
    <xf numFmtId="0" fontId="21" fillId="10" borderId="31" xfId="4" applyFont="1" applyFill="1" applyBorder="1" applyAlignment="1">
      <alignment horizontal="center"/>
    </xf>
    <xf numFmtId="2" fontId="21" fillId="9" borderId="0" xfId="4" applyNumberFormat="1" applyFont="1" applyFill="1" applyAlignment="1">
      <alignment horizontal="center"/>
    </xf>
    <xf numFmtId="164" fontId="21" fillId="0" borderId="32" xfId="4" applyNumberFormat="1" applyFont="1" applyBorder="1" applyAlignment="1">
      <alignment horizontal="center"/>
    </xf>
    <xf numFmtId="0" fontId="21" fillId="9" borderId="33" xfId="9" applyFont="1" applyFill="1" applyBorder="1"/>
    <xf numFmtId="0" fontId="21" fillId="9" borderId="34" xfId="9" applyFont="1" applyFill="1" applyBorder="1"/>
    <xf numFmtId="0" fontId="21" fillId="9" borderId="35" xfId="9" applyFont="1" applyFill="1" applyBorder="1"/>
    <xf numFmtId="2" fontId="21" fillId="9" borderId="16" xfId="10" applyNumberFormat="1" applyFont="1" applyFill="1" applyBorder="1" applyAlignment="1">
      <alignment horizontal="center"/>
    </xf>
    <xf numFmtId="0" fontId="21" fillId="9" borderId="16" xfId="4" applyFont="1" applyFill="1" applyBorder="1"/>
    <xf numFmtId="0" fontId="21" fillId="9" borderId="16" xfId="11" applyFont="1" applyFill="1" applyBorder="1" applyAlignment="1">
      <alignment horizontal="center"/>
    </xf>
    <xf numFmtId="2" fontId="21" fillId="9" borderId="16" xfId="11" applyNumberFormat="1" applyFont="1" applyFill="1" applyBorder="1" applyAlignment="1">
      <alignment horizontal="center"/>
    </xf>
    <xf numFmtId="9" fontId="21" fillId="9" borderId="16" xfId="4" applyNumberFormat="1" applyFont="1" applyFill="1" applyBorder="1" applyAlignment="1">
      <alignment horizontal="center"/>
    </xf>
    <xf numFmtId="0" fontId="21" fillId="9" borderId="16" xfId="4" applyFont="1" applyFill="1" applyBorder="1" applyAlignment="1">
      <alignment horizontal="center"/>
    </xf>
    <xf numFmtId="2" fontId="21" fillId="11" borderId="16" xfId="4" applyNumberFormat="1" applyFont="1" applyFill="1" applyBorder="1" applyAlignment="1">
      <alignment horizontal="center"/>
    </xf>
    <xf numFmtId="2" fontId="21" fillId="9" borderId="16" xfId="5" applyNumberFormat="1" applyFont="1" applyFill="1" applyBorder="1" applyAlignment="1">
      <alignment horizontal="center"/>
    </xf>
    <xf numFmtId="2" fontId="21" fillId="9" borderId="36" xfId="4" applyNumberFormat="1" applyFont="1" applyFill="1" applyBorder="1" applyAlignment="1">
      <alignment horizontal="center"/>
    </xf>
    <xf numFmtId="2" fontId="21" fillId="9" borderId="16" xfId="4" applyNumberFormat="1" applyFont="1" applyFill="1" applyBorder="1" applyAlignment="1">
      <alignment horizontal="center"/>
    </xf>
    <xf numFmtId="2" fontId="21" fillId="9" borderId="37" xfId="4" applyNumberFormat="1" applyFont="1" applyFill="1" applyBorder="1" applyAlignment="1">
      <alignment horizontal="center"/>
    </xf>
    <xf numFmtId="2" fontId="21" fillId="10" borderId="37" xfId="4" applyNumberFormat="1" applyFont="1" applyFill="1" applyBorder="1" applyAlignment="1">
      <alignment horizontal="center"/>
    </xf>
    <xf numFmtId="164" fontId="21" fillId="0" borderId="38" xfId="4" applyNumberFormat="1" applyFont="1" applyBorder="1" applyAlignment="1">
      <alignment horizontal="center"/>
    </xf>
    <xf numFmtId="1" fontId="21" fillId="9" borderId="16" xfId="10" applyNumberFormat="1" applyFont="1" applyFill="1" applyBorder="1" applyAlignment="1">
      <alignment horizontal="center"/>
    </xf>
    <xf numFmtId="164" fontId="21" fillId="0" borderId="39" xfId="4" applyNumberFormat="1" applyFont="1" applyBorder="1" applyAlignment="1">
      <alignment horizontal="center"/>
    </xf>
    <xf numFmtId="0" fontId="14" fillId="9" borderId="40" xfId="9" applyFont="1" applyFill="1" applyBorder="1"/>
    <xf numFmtId="0" fontId="21" fillId="9" borderId="12" xfId="9" applyFont="1" applyFill="1" applyBorder="1"/>
    <xf numFmtId="0" fontId="21" fillId="9" borderId="41" xfId="9" applyFont="1" applyFill="1" applyBorder="1"/>
    <xf numFmtId="2" fontId="21" fillId="9" borderId="21" xfId="10" applyNumberFormat="1" applyFont="1" applyFill="1" applyBorder="1" applyAlignment="1">
      <alignment horizontal="center"/>
    </xf>
    <xf numFmtId="2" fontId="21" fillId="9" borderId="18" xfId="4" applyNumberFormat="1" applyFont="1" applyFill="1" applyBorder="1" applyAlignment="1">
      <alignment horizontal="center"/>
    </xf>
    <xf numFmtId="2" fontId="21" fillId="10" borderId="18" xfId="4" applyNumberFormat="1" applyFont="1" applyFill="1" applyBorder="1" applyAlignment="1">
      <alignment horizontal="center"/>
    </xf>
    <xf numFmtId="0" fontId="21" fillId="9" borderId="40" xfId="9" applyFont="1" applyFill="1" applyBorder="1"/>
    <xf numFmtId="2" fontId="21" fillId="11" borderId="21" xfId="4" applyNumberFormat="1" applyFont="1" applyFill="1" applyBorder="1" applyAlignment="1">
      <alignment horizontal="center"/>
    </xf>
    <xf numFmtId="164" fontId="21" fillId="9" borderId="38" xfId="4" applyNumberFormat="1" applyFont="1" applyFill="1" applyBorder="1" applyAlignment="1">
      <alignment horizontal="center"/>
    </xf>
    <xf numFmtId="0" fontId="21" fillId="9" borderId="42" xfId="9" applyFont="1" applyFill="1" applyBorder="1"/>
    <xf numFmtId="0" fontId="21" fillId="9" borderId="43" xfId="9" applyFont="1" applyFill="1" applyBorder="1"/>
    <xf numFmtId="0" fontId="21" fillId="9" borderId="44" xfId="9" applyFont="1" applyFill="1" applyBorder="1"/>
    <xf numFmtId="1" fontId="21" fillId="9" borderId="22" xfId="10" applyNumberFormat="1" applyFont="1" applyFill="1" applyBorder="1" applyAlignment="1">
      <alignment horizontal="center"/>
    </xf>
    <xf numFmtId="0" fontId="21" fillId="9" borderId="22" xfId="4" applyFont="1" applyFill="1" applyBorder="1"/>
    <xf numFmtId="0" fontId="21" fillId="9" borderId="22" xfId="11" applyFont="1" applyFill="1" applyBorder="1" applyAlignment="1">
      <alignment horizontal="center"/>
    </xf>
    <xf numFmtId="2" fontId="21" fillId="9" borderId="22" xfId="11" applyNumberFormat="1" applyFont="1" applyFill="1" applyBorder="1" applyAlignment="1">
      <alignment horizontal="center"/>
    </xf>
    <xf numFmtId="9" fontId="21" fillId="9" borderId="22" xfId="4" applyNumberFormat="1" applyFont="1" applyFill="1" applyBorder="1" applyAlignment="1">
      <alignment horizontal="center"/>
    </xf>
    <xf numFmtId="0" fontId="21" fillId="9" borderId="22" xfId="4" applyFont="1" applyFill="1" applyBorder="1" applyAlignment="1">
      <alignment horizontal="center"/>
    </xf>
    <xf numFmtId="2" fontId="21" fillId="9" borderId="22" xfId="10" applyNumberFormat="1" applyFont="1" applyFill="1" applyBorder="1" applyAlignment="1">
      <alignment horizontal="center"/>
    </xf>
    <xf numFmtId="2" fontId="21" fillId="11" borderId="22" xfId="4" applyNumberFormat="1" applyFont="1" applyFill="1" applyBorder="1" applyAlignment="1">
      <alignment horizontal="center"/>
    </xf>
    <xf numFmtId="2" fontId="21" fillId="9" borderId="22" xfId="5" applyNumberFormat="1" applyFont="1" applyFill="1" applyBorder="1" applyAlignment="1">
      <alignment horizontal="center"/>
    </xf>
    <xf numFmtId="164" fontId="21" fillId="9" borderId="45" xfId="4" applyNumberFormat="1" applyFont="1" applyFill="1" applyBorder="1" applyAlignment="1">
      <alignment horizontal="center"/>
    </xf>
    <xf numFmtId="164" fontId="21" fillId="9" borderId="46" xfId="4" applyNumberFormat="1" applyFont="1" applyFill="1" applyBorder="1" applyAlignment="1">
      <alignment horizontal="center"/>
    </xf>
    <xf numFmtId="164" fontId="21" fillId="0" borderId="45" xfId="4" applyNumberFormat="1" applyFont="1" applyBorder="1" applyAlignment="1">
      <alignment horizontal="center"/>
    </xf>
    <xf numFmtId="164" fontId="21" fillId="0" borderId="46" xfId="4" applyNumberFormat="1" applyFont="1" applyBorder="1" applyAlignment="1">
      <alignment horizontal="center"/>
    </xf>
    <xf numFmtId="2" fontId="21" fillId="10" borderId="36" xfId="4" applyNumberFormat="1" applyFont="1" applyFill="1" applyBorder="1" applyAlignment="1">
      <alignment horizontal="center"/>
    </xf>
    <xf numFmtId="0" fontId="21" fillId="9" borderId="47" xfId="9" applyFont="1" applyFill="1" applyBorder="1"/>
    <xf numFmtId="2" fontId="21" fillId="9" borderId="23" xfId="10" applyNumberFormat="1" applyFont="1" applyFill="1" applyBorder="1" applyAlignment="1">
      <alignment horizontal="center"/>
    </xf>
    <xf numFmtId="0" fontId="21" fillId="9" borderId="23" xfId="4" applyFont="1" applyFill="1" applyBorder="1"/>
    <xf numFmtId="2" fontId="21" fillId="9" borderId="23" xfId="11" applyNumberFormat="1" applyFont="1" applyFill="1" applyBorder="1" applyAlignment="1">
      <alignment horizontal="center"/>
    </xf>
    <xf numFmtId="9" fontId="21" fillId="9" borderId="23" xfId="4" applyNumberFormat="1" applyFont="1" applyFill="1" applyBorder="1" applyAlignment="1">
      <alignment horizontal="center"/>
    </xf>
    <xf numFmtId="0" fontId="21" fillId="9" borderId="23" xfId="4" applyFont="1" applyFill="1" applyBorder="1" applyAlignment="1">
      <alignment horizontal="center"/>
    </xf>
    <xf numFmtId="2" fontId="21" fillId="9" borderId="23" xfId="4" applyNumberFormat="1" applyFont="1" applyFill="1" applyBorder="1" applyAlignment="1">
      <alignment horizontal="center"/>
    </xf>
    <xf numFmtId="2" fontId="21" fillId="9" borderId="23" xfId="5" applyNumberFormat="1" applyFont="1" applyFill="1" applyBorder="1" applyAlignment="1">
      <alignment horizontal="center"/>
    </xf>
    <xf numFmtId="2" fontId="21" fillId="9" borderId="48" xfId="4" applyNumberFormat="1" applyFont="1" applyFill="1" applyBorder="1" applyAlignment="1">
      <alignment horizontal="center"/>
    </xf>
    <xf numFmtId="2" fontId="21" fillId="10" borderId="48" xfId="4" applyNumberFormat="1" applyFont="1" applyFill="1" applyBorder="1" applyAlignment="1">
      <alignment horizontal="center"/>
    </xf>
    <xf numFmtId="0" fontId="14" fillId="9" borderId="49" xfId="9" applyFont="1" applyFill="1" applyBorder="1"/>
    <xf numFmtId="0" fontId="21" fillId="9" borderId="50" xfId="9" applyFont="1" applyFill="1" applyBorder="1"/>
    <xf numFmtId="0" fontId="21" fillId="9" borderId="51" xfId="9" applyFont="1" applyFill="1" applyBorder="1"/>
    <xf numFmtId="2" fontId="21" fillId="9" borderId="52" xfId="10" applyNumberFormat="1" applyFont="1" applyFill="1" applyBorder="1" applyAlignment="1">
      <alignment horizontal="center"/>
    </xf>
    <xf numFmtId="0" fontId="21" fillId="9" borderId="52" xfId="4" applyFont="1" applyFill="1" applyBorder="1"/>
    <xf numFmtId="0" fontId="21" fillId="9" borderId="52" xfId="11" applyFont="1" applyFill="1" applyBorder="1" applyAlignment="1">
      <alignment horizontal="center"/>
    </xf>
    <xf numFmtId="2" fontId="21" fillId="9" borderId="52" xfId="11" applyNumberFormat="1" applyFont="1" applyFill="1" applyBorder="1" applyAlignment="1">
      <alignment horizontal="center"/>
    </xf>
    <xf numFmtId="9" fontId="21" fillId="9" borderId="52" xfId="4" applyNumberFormat="1" applyFont="1" applyFill="1" applyBorder="1" applyAlignment="1">
      <alignment horizontal="center"/>
    </xf>
    <xf numFmtId="0" fontId="21" fillId="9" borderId="52" xfId="4" applyFont="1" applyFill="1" applyBorder="1" applyAlignment="1">
      <alignment horizontal="center"/>
    </xf>
    <xf numFmtId="2" fontId="21" fillId="9" borderId="52" xfId="4" applyNumberFormat="1" applyFont="1" applyFill="1" applyBorder="1" applyAlignment="1">
      <alignment horizontal="center"/>
    </xf>
    <xf numFmtId="2" fontId="21" fillId="9" borderId="52" xfId="5" applyNumberFormat="1" applyFont="1" applyFill="1" applyBorder="1" applyAlignment="1">
      <alignment horizontal="center"/>
    </xf>
    <xf numFmtId="2" fontId="21" fillId="9" borderId="53" xfId="4" applyNumberFormat="1" applyFont="1" applyFill="1" applyBorder="1" applyAlignment="1">
      <alignment horizontal="center"/>
    </xf>
    <xf numFmtId="2" fontId="21" fillId="9" borderId="54" xfId="4" applyNumberFormat="1" applyFont="1" applyFill="1" applyBorder="1" applyAlignment="1">
      <alignment horizontal="center"/>
    </xf>
    <xf numFmtId="2" fontId="21" fillId="10" borderId="54" xfId="4" applyNumberFormat="1" applyFont="1" applyFill="1" applyBorder="1" applyAlignment="1">
      <alignment horizontal="center"/>
    </xf>
    <xf numFmtId="0" fontId="14" fillId="9" borderId="34" xfId="9" applyFont="1" applyFill="1" applyBorder="1"/>
    <xf numFmtId="0" fontId="21" fillId="9" borderId="49" xfId="9" applyFont="1" applyFill="1" applyBorder="1"/>
    <xf numFmtId="0" fontId="14" fillId="9" borderId="50" xfId="9" applyFont="1" applyFill="1" applyBorder="1"/>
    <xf numFmtId="0" fontId="21" fillId="0" borderId="52" xfId="4" applyFont="1" applyBorder="1"/>
    <xf numFmtId="2" fontId="21" fillId="10" borderId="53" xfId="4" applyNumberFormat="1" applyFont="1" applyFill="1" applyBorder="1" applyAlignment="1">
      <alignment horizontal="center"/>
    </xf>
    <xf numFmtId="0" fontId="21" fillId="9" borderId="23" xfId="11" applyFont="1" applyFill="1" applyBorder="1" applyAlignment="1">
      <alignment horizontal="center"/>
    </xf>
    <xf numFmtId="0" fontId="21" fillId="9" borderId="24" xfId="4" applyFont="1" applyFill="1" applyBorder="1"/>
    <xf numFmtId="2" fontId="21" fillId="10" borderId="31" xfId="4" applyNumberFormat="1" applyFont="1" applyFill="1" applyBorder="1" applyAlignment="1">
      <alignment horizontal="center"/>
    </xf>
    <xf numFmtId="0" fontId="21" fillId="9" borderId="55" xfId="9" applyFont="1" applyFill="1" applyBorder="1"/>
    <xf numFmtId="0" fontId="21" fillId="9" borderId="29" xfId="9" applyFont="1" applyFill="1" applyBorder="1"/>
    <xf numFmtId="0" fontId="21" fillId="9" borderId="17" xfId="4" applyFont="1" applyFill="1" applyBorder="1"/>
    <xf numFmtId="2" fontId="21" fillId="9" borderId="22" xfId="4" applyNumberFormat="1" applyFont="1" applyFill="1" applyBorder="1" applyAlignment="1">
      <alignment horizontal="center"/>
    </xf>
    <xf numFmtId="2" fontId="21" fillId="9" borderId="17" xfId="11" applyNumberFormat="1" applyFont="1" applyFill="1" applyBorder="1" applyAlignment="1">
      <alignment horizontal="center"/>
    </xf>
    <xf numFmtId="9" fontId="21" fillId="9" borderId="17" xfId="4" applyNumberFormat="1" applyFont="1" applyFill="1" applyBorder="1" applyAlignment="1">
      <alignment horizontal="center"/>
    </xf>
    <xf numFmtId="2" fontId="21" fillId="9" borderId="17" xfId="4" applyNumberFormat="1" applyFont="1" applyFill="1" applyBorder="1" applyAlignment="1">
      <alignment horizontal="center"/>
    </xf>
    <xf numFmtId="1" fontId="0" fillId="0" borderId="0" xfId="0" applyNumberFormat="1"/>
    <xf numFmtId="1" fontId="21" fillId="9" borderId="17" xfId="11" applyNumberFormat="1" applyFont="1" applyFill="1" applyBorder="1" applyAlignment="1">
      <alignment horizontal="center"/>
    </xf>
    <xf numFmtId="1" fontId="21" fillId="9" borderId="17" xfId="4" applyNumberFormat="1" applyFont="1" applyFill="1" applyBorder="1" applyAlignment="1">
      <alignment horizontal="center"/>
    </xf>
    <xf numFmtId="1" fontId="21" fillId="9" borderId="18" xfId="4" applyNumberFormat="1" applyFont="1" applyFill="1" applyBorder="1" applyAlignment="1">
      <alignment horizontal="center"/>
    </xf>
    <xf numFmtId="1" fontId="21" fillId="10" borderId="18" xfId="4" applyNumberFormat="1" applyFont="1" applyFill="1" applyBorder="1" applyAlignment="1">
      <alignment horizontal="center"/>
    </xf>
    <xf numFmtId="0" fontId="21" fillId="9" borderId="56" xfId="9" applyFont="1" applyFill="1" applyBorder="1"/>
    <xf numFmtId="0" fontId="14" fillId="9" borderId="56" xfId="4" applyFont="1" applyFill="1" applyBorder="1" applyAlignment="1">
      <alignment horizontal="center" vertical="center" wrapText="1"/>
    </xf>
    <xf numFmtId="0" fontId="14" fillId="9" borderId="0" xfId="4" applyFont="1" applyFill="1" applyAlignment="1">
      <alignment horizontal="center" vertical="center" wrapText="1"/>
    </xf>
    <xf numFmtId="49" fontId="14" fillId="9" borderId="17" xfId="4" applyNumberFormat="1" applyFont="1" applyFill="1" applyBorder="1" applyAlignment="1">
      <alignment horizontal="center" vertical="center" wrapText="1"/>
    </xf>
    <xf numFmtId="0" fontId="14" fillId="9" borderId="17" xfId="4" applyFont="1" applyFill="1" applyBorder="1" applyAlignment="1">
      <alignment horizontal="center" vertical="center" wrapText="1"/>
    </xf>
    <xf numFmtId="2" fontId="14" fillId="9" borderId="17" xfId="4" applyNumberFormat="1" applyFont="1" applyFill="1" applyBorder="1" applyAlignment="1">
      <alignment horizontal="center" vertical="center" wrapText="1"/>
    </xf>
    <xf numFmtId="9" fontId="14" fillId="9" borderId="17" xfId="4" applyNumberFormat="1" applyFont="1" applyFill="1" applyBorder="1" applyAlignment="1">
      <alignment horizontal="center" vertical="center" wrapText="1"/>
    </xf>
    <xf numFmtId="2" fontId="14" fillId="9" borderId="18" xfId="4" applyNumberFormat="1" applyFont="1" applyFill="1" applyBorder="1" applyAlignment="1">
      <alignment horizontal="center" vertical="center" wrapText="1"/>
    </xf>
    <xf numFmtId="0" fontId="14" fillId="9" borderId="18" xfId="4" applyFont="1" applyFill="1" applyBorder="1" applyAlignment="1">
      <alignment horizontal="center" vertical="center" wrapText="1"/>
    </xf>
    <xf numFmtId="2" fontId="14" fillId="10" borderId="18" xfId="4" applyNumberFormat="1" applyFont="1" applyFill="1" applyBorder="1" applyAlignment="1">
      <alignment horizontal="center" vertical="center" wrapText="1"/>
    </xf>
    <xf numFmtId="0" fontId="14" fillId="9" borderId="57" xfId="4" applyFont="1" applyFill="1" applyBorder="1" applyAlignment="1">
      <alignment horizontal="center" vertical="center" wrapText="1"/>
    </xf>
    <xf numFmtId="0" fontId="14" fillId="9" borderId="33" xfId="9" applyFont="1" applyFill="1" applyBorder="1"/>
    <xf numFmtId="2" fontId="21" fillId="9" borderId="0" xfId="10" applyNumberFormat="1" applyFont="1" applyFill="1" applyAlignment="1">
      <alignment horizontal="center"/>
    </xf>
    <xf numFmtId="0" fontId="21" fillId="0" borderId="0" xfId="4" applyFont="1"/>
    <xf numFmtId="0" fontId="21" fillId="9" borderId="0" xfId="11" applyFont="1" applyFill="1" applyAlignment="1">
      <alignment horizontal="center"/>
    </xf>
    <xf numFmtId="0" fontId="21" fillId="9" borderId="0" xfId="4" applyFont="1" applyFill="1" applyAlignment="1">
      <alignment horizontal="center"/>
    </xf>
    <xf numFmtId="164" fontId="21" fillId="0" borderId="0" xfId="4" applyNumberFormat="1" applyFont="1" applyAlignment="1">
      <alignment horizontal="center"/>
    </xf>
    <xf numFmtId="0" fontId="27" fillId="5" borderId="59" xfId="4" applyFont="1" applyFill="1" applyBorder="1" applyAlignment="1">
      <alignment horizontal="center" vertical="center" wrapText="1"/>
    </xf>
    <xf numFmtId="49" fontId="27" fillId="5" borderId="60" xfId="4" applyNumberFormat="1" applyFont="1" applyFill="1" applyBorder="1" applyAlignment="1">
      <alignment horizontal="center" vertical="center" wrapText="1"/>
    </xf>
    <xf numFmtId="0" fontId="27" fillId="0" borderId="61" xfId="4" applyFont="1" applyBorder="1" applyAlignment="1">
      <alignment horizontal="center" vertical="center" wrapText="1"/>
    </xf>
    <xf numFmtId="0" fontId="27" fillId="5" borderId="62" xfId="4" applyFont="1" applyFill="1" applyBorder="1" applyAlignment="1">
      <alignment horizontal="center" vertical="center" wrapText="1"/>
    </xf>
    <xf numFmtId="49" fontId="27" fillId="5" borderId="63" xfId="4" applyNumberFormat="1" applyFont="1" applyFill="1" applyBorder="1" applyAlignment="1">
      <alignment horizontal="center" vertical="center" wrapText="1"/>
    </xf>
    <xf numFmtId="0" fontId="27" fillId="0" borderId="64" xfId="4" applyFont="1" applyBorder="1" applyAlignment="1">
      <alignment horizontal="center" vertical="center" wrapText="1"/>
    </xf>
    <xf numFmtId="0" fontId="27" fillId="5" borderId="65" xfId="4" applyFont="1" applyFill="1" applyBorder="1" applyAlignment="1">
      <alignment horizontal="center" vertical="center" wrapText="1"/>
    </xf>
    <xf numFmtId="49" fontId="27" fillId="5" borderId="18" xfId="4" applyNumberFormat="1" applyFont="1" applyFill="1" applyBorder="1" applyAlignment="1">
      <alignment horizontal="center" vertical="center" wrapText="1"/>
    </xf>
    <xf numFmtId="0" fontId="27" fillId="0" borderId="66" xfId="4" applyFont="1" applyBorder="1" applyAlignment="1">
      <alignment horizontal="center" vertical="center" wrapText="1"/>
    </xf>
    <xf numFmtId="0" fontId="27" fillId="5" borderId="67" xfId="4" applyFont="1" applyFill="1" applyBorder="1" applyAlignment="1">
      <alignment horizontal="center" vertical="center" wrapText="1"/>
    </xf>
    <xf numFmtId="0" fontId="27" fillId="0" borderId="68" xfId="4" applyFont="1" applyBorder="1" applyAlignment="1">
      <alignment horizontal="center" vertical="center" wrapText="1"/>
    </xf>
    <xf numFmtId="0" fontId="27" fillId="9" borderId="40" xfId="9" applyFont="1" applyFill="1" applyBorder="1"/>
    <xf numFmtId="49" fontId="26" fillId="0" borderId="53" xfId="10" applyNumberFormat="1" applyFont="1" applyBorder="1" applyAlignment="1">
      <alignment horizontal="center" vertical="center"/>
    </xf>
    <xf numFmtId="0" fontId="26" fillId="0" borderId="69" xfId="4" applyFont="1" applyBorder="1" applyAlignment="1">
      <alignment vertical="center"/>
    </xf>
    <xf numFmtId="0" fontId="26" fillId="9" borderId="25" xfId="9" applyFont="1" applyFill="1" applyBorder="1"/>
    <xf numFmtId="2" fontId="26" fillId="9" borderId="28" xfId="10" applyNumberFormat="1" applyFont="1" applyFill="1" applyBorder="1" applyAlignment="1">
      <alignment horizontal="center"/>
    </xf>
    <xf numFmtId="0" fontId="26" fillId="0" borderId="70" xfId="4" applyFont="1" applyBorder="1"/>
    <xf numFmtId="49" fontId="26" fillId="9" borderId="31" xfId="10" applyNumberFormat="1" applyFont="1" applyFill="1" applyBorder="1" applyAlignment="1">
      <alignment horizontal="center"/>
    </xf>
    <xf numFmtId="0" fontId="26" fillId="0" borderId="71" xfId="4" applyFont="1" applyBorder="1"/>
    <xf numFmtId="0" fontId="26" fillId="9" borderId="33" xfId="9" applyFont="1" applyFill="1" applyBorder="1"/>
    <xf numFmtId="2" fontId="26" fillId="9" borderId="36" xfId="10" applyNumberFormat="1" applyFont="1" applyFill="1" applyBorder="1" applyAlignment="1">
      <alignment horizontal="center"/>
    </xf>
    <xf numFmtId="0" fontId="26" fillId="0" borderId="72" xfId="4" applyFont="1" applyBorder="1"/>
    <xf numFmtId="1" fontId="26" fillId="9" borderId="36" xfId="10" applyNumberFormat="1" applyFont="1" applyFill="1" applyBorder="1" applyAlignment="1">
      <alignment horizontal="center"/>
    </xf>
    <xf numFmtId="2" fontId="26" fillId="9" borderId="31" xfId="10" applyNumberFormat="1" applyFont="1" applyFill="1" applyBorder="1" applyAlignment="1">
      <alignment horizontal="center"/>
    </xf>
    <xf numFmtId="0" fontId="26" fillId="9" borderId="40" xfId="9" applyFont="1" applyFill="1" applyBorder="1"/>
    <xf numFmtId="0" fontId="26" fillId="9" borderId="42" xfId="9" applyFont="1" applyFill="1" applyBorder="1"/>
    <xf numFmtId="1" fontId="26" fillId="9" borderId="37" xfId="10" applyNumberFormat="1" applyFont="1" applyFill="1" applyBorder="1" applyAlignment="1">
      <alignment horizontal="center"/>
    </xf>
    <xf numFmtId="0" fontId="26" fillId="0" borderId="73" xfId="4" applyFont="1" applyBorder="1"/>
    <xf numFmtId="2" fontId="26" fillId="9" borderId="37" xfId="10" applyNumberFormat="1" applyFont="1" applyFill="1" applyBorder="1" applyAlignment="1">
      <alignment horizontal="center"/>
    </xf>
    <xf numFmtId="0" fontId="26" fillId="9" borderId="55" xfId="9" applyFont="1" applyFill="1" applyBorder="1"/>
    <xf numFmtId="2" fontId="26" fillId="9" borderId="48" xfId="10" applyNumberFormat="1" applyFont="1" applyFill="1" applyBorder="1" applyAlignment="1">
      <alignment horizontal="center"/>
    </xf>
    <xf numFmtId="0" fontId="26" fillId="0" borderId="74" xfId="4" applyFont="1" applyBorder="1"/>
    <xf numFmtId="0" fontId="27" fillId="9" borderId="49" xfId="9" applyFont="1" applyFill="1" applyBorder="1"/>
    <xf numFmtId="2" fontId="26" fillId="9" borderId="53" xfId="10" applyNumberFormat="1" applyFont="1" applyFill="1" applyBorder="1" applyAlignment="1">
      <alignment horizontal="center"/>
    </xf>
    <xf numFmtId="0" fontId="26" fillId="0" borderId="69" xfId="4" applyFont="1" applyBorder="1"/>
    <xf numFmtId="0" fontId="27" fillId="9" borderId="33" xfId="9" applyFont="1" applyFill="1" applyBorder="1"/>
    <xf numFmtId="0" fontId="26" fillId="0" borderId="20" xfId="4" applyFont="1" applyBorder="1"/>
    <xf numFmtId="0" fontId="26" fillId="0" borderId="66" xfId="4" applyFont="1" applyBorder="1"/>
    <xf numFmtId="2" fontId="21" fillId="10" borderId="0" xfId="4" applyNumberFormat="1" applyFont="1" applyFill="1" applyAlignment="1">
      <alignment horizontal="center"/>
    </xf>
    <xf numFmtId="2" fontId="21" fillId="10" borderId="43" xfId="4" applyNumberFormat="1" applyFont="1" applyFill="1" applyBorder="1" applyAlignment="1">
      <alignment horizontal="center"/>
    </xf>
    <xf numFmtId="2" fontId="21" fillId="10" borderId="26" xfId="4" applyNumberFormat="1" applyFont="1" applyFill="1" applyBorder="1" applyAlignment="1">
      <alignment horizontal="center"/>
    </xf>
    <xf numFmtId="0" fontId="21" fillId="9" borderId="75" xfId="11" applyFont="1" applyFill="1" applyBorder="1" applyAlignment="1">
      <alignment horizontal="center"/>
    </xf>
    <xf numFmtId="0" fontId="21" fillId="5" borderId="76" xfId="9" applyFont="1" applyFill="1" applyBorder="1"/>
    <xf numFmtId="0" fontId="21" fillId="9" borderId="77" xfId="11" applyFont="1" applyFill="1" applyBorder="1" applyAlignment="1">
      <alignment horizontal="center"/>
    </xf>
    <xf numFmtId="0" fontId="21" fillId="5" borderId="78" xfId="9" applyFont="1" applyFill="1" applyBorder="1"/>
    <xf numFmtId="0" fontId="21" fillId="9" borderId="79" xfId="11" applyFont="1" applyFill="1" applyBorder="1" applyAlignment="1">
      <alignment horizontal="center"/>
    </xf>
    <xf numFmtId="1" fontId="21" fillId="5" borderId="16" xfId="10" applyNumberFormat="1" applyFont="1" applyFill="1" applyBorder="1" applyAlignment="1">
      <alignment horizontal="center"/>
    </xf>
    <xf numFmtId="0" fontId="21" fillId="5" borderId="16" xfId="4" applyFont="1" applyFill="1" applyBorder="1"/>
    <xf numFmtId="0" fontId="21" fillId="5" borderId="16" xfId="11" applyFont="1" applyFill="1" applyBorder="1" applyAlignment="1">
      <alignment horizontal="center"/>
    </xf>
    <xf numFmtId="2" fontId="21" fillId="9" borderId="41" xfId="11" applyNumberFormat="1" applyFont="1" applyFill="1" applyBorder="1" applyAlignment="1">
      <alignment horizontal="center"/>
    </xf>
    <xf numFmtId="2" fontId="21" fillId="9" borderId="35" xfId="11" applyNumberFormat="1" applyFont="1" applyFill="1" applyBorder="1" applyAlignment="1">
      <alignment horizontal="center"/>
    </xf>
    <xf numFmtId="2" fontId="21" fillId="9" borderId="27" xfId="11" applyNumberFormat="1" applyFont="1" applyFill="1" applyBorder="1" applyAlignment="1">
      <alignment horizontal="center"/>
    </xf>
    <xf numFmtId="0" fontId="21" fillId="12" borderId="25" xfId="9" applyFont="1" applyFill="1" applyBorder="1"/>
    <xf numFmtId="0" fontId="21" fillId="12" borderId="26" xfId="9" applyFont="1" applyFill="1" applyBorder="1"/>
    <xf numFmtId="0" fontId="21" fillId="12" borderId="27" xfId="9" applyFont="1" applyFill="1" applyBorder="1"/>
    <xf numFmtId="2" fontId="21" fillId="12" borderId="15" xfId="10" applyNumberFormat="1" applyFont="1" applyFill="1" applyBorder="1" applyAlignment="1">
      <alignment horizontal="center"/>
    </xf>
    <xf numFmtId="0" fontId="21" fillId="12" borderId="15" xfId="4" applyFont="1" applyFill="1" applyBorder="1"/>
    <xf numFmtId="0" fontId="21" fillId="12" borderId="15" xfId="11" applyFont="1" applyFill="1" applyBorder="1" applyAlignment="1">
      <alignment horizontal="center"/>
    </xf>
    <xf numFmtId="2" fontId="21" fillId="12" borderId="15" xfId="11" applyNumberFormat="1" applyFont="1" applyFill="1" applyBorder="1" applyAlignment="1">
      <alignment horizontal="center"/>
    </xf>
    <xf numFmtId="9" fontId="21" fillId="12" borderId="15" xfId="4" applyNumberFormat="1" applyFont="1" applyFill="1" applyBorder="1" applyAlignment="1">
      <alignment horizontal="center"/>
    </xf>
    <xf numFmtId="0" fontId="21" fillId="12" borderId="15" xfId="4" applyFont="1" applyFill="1" applyBorder="1" applyAlignment="1">
      <alignment horizontal="center"/>
    </xf>
    <xf numFmtId="2" fontId="21" fillId="13" borderId="15" xfId="4" applyNumberFormat="1" applyFont="1" applyFill="1" applyBorder="1" applyAlignment="1">
      <alignment horizontal="center"/>
    </xf>
    <xf numFmtId="2" fontId="21" fillId="12" borderId="15" xfId="4" applyNumberFormat="1" applyFont="1" applyFill="1" applyBorder="1" applyAlignment="1">
      <alignment horizontal="center"/>
    </xf>
    <xf numFmtId="2" fontId="21" fillId="12" borderId="15" xfId="5" applyNumberFormat="1" applyFont="1" applyFill="1" applyBorder="1" applyAlignment="1">
      <alignment horizontal="center"/>
    </xf>
    <xf numFmtId="2" fontId="21" fillId="12" borderId="28" xfId="4" applyNumberFormat="1" applyFont="1" applyFill="1" applyBorder="1" applyAlignment="1">
      <alignment horizontal="center"/>
    </xf>
    <xf numFmtId="0" fontId="21" fillId="12" borderId="33" xfId="9" applyFont="1" applyFill="1" applyBorder="1"/>
    <xf numFmtId="0" fontId="21" fillId="12" borderId="34" xfId="9" applyFont="1" applyFill="1" applyBorder="1"/>
    <xf numFmtId="0" fontId="21" fillId="12" borderId="35" xfId="9" applyFont="1" applyFill="1" applyBorder="1"/>
    <xf numFmtId="1" fontId="21" fillId="12" borderId="16" xfId="10" applyNumberFormat="1" applyFont="1" applyFill="1" applyBorder="1" applyAlignment="1">
      <alignment horizontal="center"/>
    </xf>
    <xf numFmtId="0" fontId="21" fillId="12" borderId="16" xfId="4" applyFont="1" applyFill="1" applyBorder="1"/>
    <xf numFmtId="0" fontId="21" fillId="12" borderId="16" xfId="11" applyFont="1" applyFill="1" applyBorder="1" applyAlignment="1">
      <alignment horizontal="center"/>
    </xf>
    <xf numFmtId="2" fontId="21" fillId="12" borderId="16" xfId="11" applyNumberFormat="1" applyFont="1" applyFill="1" applyBorder="1" applyAlignment="1">
      <alignment horizontal="center"/>
    </xf>
    <xf numFmtId="9" fontId="21" fillId="12" borderId="16" xfId="4" applyNumberFormat="1" applyFont="1" applyFill="1" applyBorder="1" applyAlignment="1">
      <alignment horizontal="center"/>
    </xf>
    <xf numFmtId="0" fontId="21" fillId="12" borderId="16" xfId="4" applyFont="1" applyFill="1" applyBorder="1" applyAlignment="1">
      <alignment horizontal="center"/>
    </xf>
    <xf numFmtId="2" fontId="21" fillId="13" borderId="16" xfId="4" applyNumberFormat="1" applyFont="1" applyFill="1" applyBorder="1" applyAlignment="1">
      <alignment horizontal="center"/>
    </xf>
    <xf numFmtId="2" fontId="21" fillId="12" borderId="16" xfId="4" applyNumberFormat="1" applyFont="1" applyFill="1" applyBorder="1" applyAlignment="1">
      <alignment horizontal="center"/>
    </xf>
    <xf numFmtId="2" fontId="21" fillId="12" borderId="16" xfId="5" applyNumberFormat="1" applyFont="1" applyFill="1" applyBorder="1" applyAlignment="1">
      <alignment horizontal="center"/>
    </xf>
    <xf numFmtId="2" fontId="21" fillId="12" borderId="36" xfId="4" applyNumberFormat="1" applyFont="1" applyFill="1" applyBorder="1" applyAlignment="1">
      <alignment horizontal="center"/>
    </xf>
    <xf numFmtId="2" fontId="21" fillId="12" borderId="37" xfId="4" applyNumberFormat="1" applyFont="1" applyFill="1" applyBorder="1" applyAlignment="1">
      <alignment horizontal="center"/>
    </xf>
    <xf numFmtId="2" fontId="21" fillId="12" borderId="16" xfId="10" applyNumberFormat="1" applyFont="1" applyFill="1" applyBorder="1" applyAlignment="1">
      <alignment horizontal="center"/>
    </xf>
    <xf numFmtId="0" fontId="21" fillId="12" borderId="42" xfId="9" applyFont="1" applyFill="1" applyBorder="1"/>
    <xf numFmtId="0" fontId="21" fillId="12" borderId="43" xfId="9" applyFont="1" applyFill="1" applyBorder="1"/>
    <xf numFmtId="0" fontId="21" fillId="12" borderId="44" xfId="9" applyFont="1" applyFill="1" applyBorder="1"/>
    <xf numFmtId="1" fontId="21" fillId="12" borderId="22" xfId="10" applyNumberFormat="1" applyFont="1" applyFill="1" applyBorder="1" applyAlignment="1">
      <alignment horizontal="center"/>
    </xf>
    <xf numFmtId="0" fontId="21" fillId="12" borderId="22" xfId="4" applyFont="1" applyFill="1" applyBorder="1"/>
    <xf numFmtId="0" fontId="21" fillId="12" borderId="22" xfId="11" applyFont="1" applyFill="1" applyBorder="1" applyAlignment="1">
      <alignment horizontal="center"/>
    </xf>
    <xf numFmtId="2" fontId="21" fillId="12" borderId="22" xfId="11" applyNumberFormat="1" applyFont="1" applyFill="1" applyBorder="1" applyAlignment="1">
      <alignment horizontal="center"/>
    </xf>
    <xf numFmtId="9" fontId="21" fillId="12" borderId="22" xfId="4" applyNumberFormat="1" applyFont="1" applyFill="1" applyBorder="1" applyAlignment="1">
      <alignment horizontal="center"/>
    </xf>
    <xf numFmtId="0" fontId="21" fillId="12" borderId="22" xfId="4" applyFont="1" applyFill="1" applyBorder="1" applyAlignment="1">
      <alignment horizontal="center"/>
    </xf>
    <xf numFmtId="2" fontId="21" fillId="13" borderId="22" xfId="4" applyNumberFormat="1" applyFont="1" applyFill="1" applyBorder="1" applyAlignment="1">
      <alignment horizontal="center"/>
    </xf>
    <xf numFmtId="2" fontId="21" fillId="12" borderId="22" xfId="10" applyNumberFormat="1" applyFont="1" applyFill="1" applyBorder="1" applyAlignment="1">
      <alignment horizontal="center"/>
    </xf>
    <xf numFmtId="2" fontId="21" fillId="12" borderId="22" xfId="4" applyNumberFormat="1" applyFont="1" applyFill="1" applyBorder="1" applyAlignment="1">
      <alignment horizontal="center"/>
    </xf>
    <xf numFmtId="2" fontId="21" fillId="13" borderId="15" xfId="5" applyNumberFormat="1" applyFont="1" applyFill="1" applyBorder="1" applyAlignment="1">
      <alignment horizontal="center"/>
    </xf>
    <xf numFmtId="0" fontId="21" fillId="12" borderId="40" xfId="9" applyFont="1" applyFill="1" applyBorder="1"/>
    <xf numFmtId="0" fontId="21" fillId="12" borderId="12" xfId="9" applyFont="1" applyFill="1" applyBorder="1"/>
    <xf numFmtId="0" fontId="21" fillId="12" borderId="41" xfId="9" applyFont="1" applyFill="1" applyBorder="1"/>
    <xf numFmtId="2" fontId="21" fillId="12" borderId="21" xfId="10" applyNumberFormat="1" applyFont="1" applyFill="1" applyBorder="1" applyAlignment="1">
      <alignment horizontal="center"/>
    </xf>
    <xf numFmtId="0" fontId="21" fillId="12" borderId="21" xfId="11" applyFont="1" applyFill="1" applyBorder="1" applyAlignment="1">
      <alignment horizontal="center"/>
    </xf>
    <xf numFmtId="2" fontId="21" fillId="12" borderId="21" xfId="11" applyNumberFormat="1" applyFont="1" applyFill="1" applyBorder="1" applyAlignment="1">
      <alignment horizontal="center"/>
    </xf>
    <xf numFmtId="9" fontId="21" fillId="12" borderId="21" xfId="4" applyNumberFormat="1" applyFont="1" applyFill="1" applyBorder="1" applyAlignment="1">
      <alignment horizontal="center"/>
    </xf>
    <xf numFmtId="0" fontId="21" fillId="12" borderId="21" xfId="4" applyFont="1" applyFill="1" applyBorder="1" applyAlignment="1">
      <alignment horizontal="center"/>
    </xf>
    <xf numFmtId="2" fontId="21" fillId="12" borderId="21" xfId="4" applyNumberFormat="1" applyFont="1" applyFill="1" applyBorder="1" applyAlignment="1">
      <alignment horizontal="center"/>
    </xf>
    <xf numFmtId="2" fontId="21" fillId="12" borderId="31" xfId="4" applyNumberFormat="1" applyFont="1" applyFill="1" applyBorder="1" applyAlignment="1">
      <alignment horizontal="center"/>
    </xf>
    <xf numFmtId="0" fontId="21" fillId="14" borderId="34" xfId="9" applyFont="1" applyFill="1" applyBorder="1"/>
    <xf numFmtId="0" fontId="21" fillId="14" borderId="35" xfId="9" applyFont="1" applyFill="1" applyBorder="1"/>
    <xf numFmtId="2" fontId="21" fillId="14" borderId="16" xfId="10" applyNumberFormat="1" applyFont="1" applyFill="1" applyBorder="1" applyAlignment="1">
      <alignment horizontal="center"/>
    </xf>
    <xf numFmtId="0" fontId="21" fillId="14" borderId="16" xfId="4" applyFont="1" applyFill="1" applyBorder="1"/>
    <xf numFmtId="0" fontId="21" fillId="14" borderId="16" xfId="11" applyFont="1" applyFill="1" applyBorder="1" applyAlignment="1">
      <alignment horizontal="center"/>
    </xf>
    <xf numFmtId="2" fontId="21" fillId="14" borderId="16" xfId="11" applyNumberFormat="1" applyFont="1" applyFill="1" applyBorder="1" applyAlignment="1">
      <alignment horizontal="center"/>
    </xf>
    <xf numFmtId="9" fontId="21" fillId="14" borderId="16" xfId="4" applyNumberFormat="1" applyFont="1" applyFill="1" applyBorder="1" applyAlignment="1">
      <alignment horizontal="center"/>
    </xf>
    <xf numFmtId="0" fontId="21" fillId="14" borderId="16" xfId="4" applyFont="1" applyFill="1" applyBorder="1" applyAlignment="1">
      <alignment horizontal="center"/>
    </xf>
    <xf numFmtId="2" fontId="21" fillId="14" borderId="16" xfId="4" applyNumberFormat="1" applyFont="1" applyFill="1" applyBorder="1" applyAlignment="1">
      <alignment horizontal="center"/>
    </xf>
    <xf numFmtId="2" fontId="21" fillId="14" borderId="36" xfId="4" applyNumberFormat="1" applyFont="1" applyFill="1" applyBorder="1" applyAlignment="1">
      <alignment horizontal="center"/>
    </xf>
    <xf numFmtId="0" fontId="21" fillId="14" borderId="33" xfId="9" applyFont="1" applyFill="1" applyBorder="1"/>
    <xf numFmtId="0" fontId="21" fillId="13" borderId="15" xfId="4" applyFont="1" applyFill="1" applyBorder="1"/>
    <xf numFmtId="0" fontId="36" fillId="3" borderId="0" xfId="7" applyFont="1" applyFill="1" applyAlignment="1">
      <alignment horizontal="center" vertical="center"/>
    </xf>
    <xf numFmtId="0" fontId="36" fillId="0" borderId="0" xfId="7" applyFont="1" applyAlignment="1">
      <alignment horizontal="center" vertical="center"/>
    </xf>
    <xf numFmtId="0" fontId="4" fillId="0" borderId="0" xfId="7" applyAlignment="1">
      <alignment vertical="center"/>
    </xf>
    <xf numFmtId="0" fontId="6" fillId="0" borderId="4" xfId="7" applyFont="1" applyBorder="1" applyAlignment="1">
      <alignment horizontal="center" vertical="center" wrapText="1"/>
    </xf>
    <xf numFmtId="0" fontId="6" fillId="0" borderId="86" xfId="7" applyFont="1" applyBorder="1" applyAlignment="1">
      <alignment horizontal="center" vertical="center" wrapText="1"/>
    </xf>
    <xf numFmtId="0" fontId="6" fillId="0" borderId="87" xfId="7" applyFont="1" applyBorder="1" applyAlignment="1">
      <alignment horizontal="center" vertical="center" wrapText="1"/>
    </xf>
    <xf numFmtId="0" fontId="6" fillId="5" borderId="88" xfId="7" applyFont="1" applyFill="1" applyBorder="1" applyAlignment="1">
      <alignment horizontal="center" vertical="center" wrapText="1"/>
    </xf>
    <xf numFmtId="0" fontId="6" fillId="0" borderId="89" xfId="7" applyFont="1" applyBorder="1" applyAlignment="1">
      <alignment horizontal="center" vertical="center" wrapText="1"/>
    </xf>
    <xf numFmtId="0" fontId="4" fillId="3" borderId="0" xfId="7" applyFill="1"/>
    <xf numFmtId="0" fontId="4" fillId="0" borderId="0" xfId="7"/>
    <xf numFmtId="0" fontId="37" fillId="5" borderId="72" xfId="7" applyFont="1" applyFill="1" applyBorder="1" applyAlignment="1">
      <alignment horizontal="center"/>
    </xf>
    <xf numFmtId="0" fontId="4" fillId="0" borderId="4" xfId="7" applyBorder="1" applyAlignment="1">
      <alignment horizontal="center"/>
    </xf>
    <xf numFmtId="0" fontId="4" fillId="0" borderId="86" xfId="7" applyBorder="1" applyAlignment="1">
      <alignment horizontal="center"/>
    </xf>
    <xf numFmtId="42" fontId="4" fillId="0" borderId="87" xfId="7" applyNumberFormat="1" applyBorder="1" applyAlignment="1">
      <alignment horizontal="center"/>
    </xf>
    <xf numFmtId="10" fontId="0" fillId="0" borderId="88" xfId="12" applyNumberFormat="1" applyFont="1" applyBorder="1" applyAlignment="1">
      <alignment horizontal="center"/>
    </xf>
    <xf numFmtId="44" fontId="6" fillId="0" borderId="89" xfId="7" applyNumberFormat="1" applyFont="1" applyBorder="1" applyAlignment="1">
      <alignment horizontal="center"/>
    </xf>
    <xf numFmtId="44" fontId="4" fillId="0" borderId="89" xfId="7" applyNumberFormat="1" applyBorder="1" applyAlignment="1">
      <alignment horizontal="center"/>
    </xf>
    <xf numFmtId="0" fontId="37" fillId="0" borderId="72" xfId="7" applyFont="1" applyBorder="1" applyAlignment="1">
      <alignment horizontal="center"/>
    </xf>
    <xf numFmtId="9" fontId="0" fillId="0" borderId="88" xfId="12" applyFont="1" applyBorder="1" applyAlignment="1">
      <alignment horizontal="center"/>
    </xf>
    <xf numFmtId="0" fontId="37" fillId="6" borderId="72" xfId="7" applyFont="1" applyFill="1" applyBorder="1" applyAlignment="1">
      <alignment horizontal="center"/>
    </xf>
    <xf numFmtId="0" fontId="4" fillId="6" borderId="4" xfId="7" applyFill="1" applyBorder="1" applyAlignment="1">
      <alignment horizontal="center"/>
    </xf>
    <xf numFmtId="0" fontId="4" fillId="6" borderId="86" xfId="7" applyFill="1" applyBorder="1" applyAlignment="1">
      <alignment horizontal="center"/>
    </xf>
    <xf numFmtId="42" fontId="4" fillId="6" borderId="87" xfId="7" applyNumberFormat="1" applyFill="1" applyBorder="1" applyAlignment="1">
      <alignment horizontal="center"/>
    </xf>
    <xf numFmtId="10" fontId="4" fillId="6" borderId="88" xfId="12" applyNumberFormat="1" applyFill="1" applyBorder="1" applyAlignment="1">
      <alignment horizontal="center"/>
    </xf>
    <xf numFmtId="44" fontId="6" fillId="6" borderId="89" xfId="7" applyNumberFormat="1" applyFont="1" applyFill="1" applyBorder="1" applyAlignment="1">
      <alignment horizontal="center"/>
    </xf>
    <xf numFmtId="44" fontId="4" fillId="6" borderId="89" xfId="7" applyNumberFormat="1" applyFill="1" applyBorder="1" applyAlignment="1">
      <alignment horizontal="center"/>
    </xf>
    <xf numFmtId="0" fontId="37" fillId="15" borderId="72" xfId="7" applyFont="1" applyFill="1" applyBorder="1" applyAlignment="1">
      <alignment horizontal="center"/>
    </xf>
    <xf numFmtId="0" fontId="4" fillId="15" borderId="4" xfId="7" applyFill="1" applyBorder="1" applyAlignment="1">
      <alignment horizontal="center"/>
    </xf>
    <xf numFmtId="0" fontId="4" fillId="15" borderId="86" xfId="7" applyFill="1" applyBorder="1" applyAlignment="1">
      <alignment horizontal="center"/>
    </xf>
    <xf numFmtId="42" fontId="4" fillId="15" borderId="87" xfId="7" applyNumberFormat="1" applyFill="1" applyBorder="1" applyAlignment="1">
      <alignment horizontal="center"/>
    </xf>
    <xf numFmtId="10" fontId="4" fillId="15" borderId="88" xfId="12" applyNumberFormat="1" applyFill="1" applyBorder="1" applyAlignment="1">
      <alignment horizontal="center"/>
    </xf>
    <xf numFmtId="44" fontId="6" fillId="15" borderId="89" xfId="7" applyNumberFormat="1" applyFont="1" applyFill="1" applyBorder="1" applyAlignment="1">
      <alignment horizontal="center"/>
    </xf>
    <xf numFmtId="44" fontId="4" fillId="15" borderId="89" xfId="7" applyNumberFormat="1" applyFill="1" applyBorder="1" applyAlignment="1">
      <alignment horizontal="center"/>
    </xf>
    <xf numFmtId="0" fontId="37" fillId="5" borderId="70" xfId="7" applyFont="1" applyFill="1" applyBorder="1" applyAlignment="1">
      <alignment horizontal="center"/>
    </xf>
    <xf numFmtId="0" fontId="4" fillId="5" borderId="4" xfId="7" applyFill="1" applyBorder="1" applyAlignment="1">
      <alignment horizontal="center"/>
    </xf>
    <xf numFmtId="0" fontId="4" fillId="5" borderId="86" xfId="7" applyFill="1" applyBorder="1" applyAlignment="1">
      <alignment horizontal="center"/>
    </xf>
    <xf numFmtId="42" fontId="4" fillId="5" borderId="87" xfId="7" applyNumberFormat="1" applyFill="1" applyBorder="1" applyAlignment="1">
      <alignment horizontal="center"/>
    </xf>
    <xf numFmtId="9" fontId="4" fillId="5" borderId="88" xfId="12" applyFill="1" applyBorder="1" applyAlignment="1">
      <alignment horizontal="center"/>
    </xf>
    <xf numFmtId="44" fontId="6" fillId="5" borderId="89" xfId="7" applyNumberFormat="1" applyFont="1" applyFill="1" applyBorder="1" applyAlignment="1">
      <alignment horizontal="center"/>
    </xf>
    <xf numFmtId="44" fontId="4" fillId="5" borderId="89" xfId="7" applyNumberFormat="1" applyFill="1" applyBorder="1" applyAlignment="1">
      <alignment horizontal="center"/>
    </xf>
    <xf numFmtId="0" fontId="6" fillId="0" borderId="90" xfId="7" applyFont="1" applyBorder="1" applyAlignment="1">
      <alignment horizontal="right" wrapText="1"/>
    </xf>
    <xf numFmtId="44" fontId="6" fillId="15" borderId="91" xfId="7" applyNumberFormat="1" applyFont="1" applyFill="1" applyBorder="1" applyAlignment="1">
      <alignment horizontal="left" vertical="center"/>
    </xf>
    <xf numFmtId="44" fontId="6" fillId="0" borderId="90" xfId="7" applyNumberFormat="1" applyFont="1" applyBorder="1" applyAlignment="1">
      <alignment horizontal="center" vertical="center"/>
    </xf>
    <xf numFmtId="0" fontId="4" fillId="0" borderId="0" xfId="7" applyAlignment="1">
      <alignment horizontal="center"/>
    </xf>
    <xf numFmtId="44" fontId="4" fillId="3" borderId="0" xfId="7" applyNumberFormat="1" applyFill="1"/>
    <xf numFmtId="0" fontId="37" fillId="16" borderId="72" xfId="7" applyFont="1" applyFill="1" applyBorder="1" applyAlignment="1">
      <alignment horizontal="center"/>
    </xf>
    <xf numFmtId="10" fontId="0" fillId="0" borderId="0" xfId="12" applyNumberFormat="1" applyFont="1"/>
    <xf numFmtId="44" fontId="4" fillId="0" borderId="0" xfId="7" applyNumberFormat="1"/>
    <xf numFmtId="0" fontId="37" fillId="6" borderId="66" xfId="7" applyFont="1" applyFill="1" applyBorder="1" applyAlignment="1">
      <alignment horizontal="center"/>
    </xf>
    <xf numFmtId="0" fontId="52" fillId="0" borderId="0" xfId="8"/>
    <xf numFmtId="44" fontId="14" fillId="10" borderId="20" xfId="1" applyFont="1" applyFill="1" applyBorder="1" applyAlignment="1">
      <alignment horizontal="center" vertical="center" wrapText="1"/>
    </xf>
    <xf numFmtId="44" fontId="0" fillId="0" borderId="0" xfId="1" applyFont="1"/>
    <xf numFmtId="0" fontId="60" fillId="0" borderId="0" xfId="8" applyFont="1"/>
    <xf numFmtId="0" fontId="60" fillId="0" borderId="0" xfId="8" applyFont="1" applyProtection="1">
      <protection locked="0"/>
    </xf>
    <xf numFmtId="0" fontId="41" fillId="0" borderId="0" xfId="2" applyFont="1" applyAlignment="1" applyProtection="1">
      <protection locked="0"/>
    </xf>
    <xf numFmtId="0" fontId="52" fillId="0" borderId="0" xfId="8" applyProtection="1">
      <protection locked="0"/>
    </xf>
    <xf numFmtId="0" fontId="7" fillId="0" borderId="0" xfId="2" applyAlignment="1" applyProtection="1"/>
    <xf numFmtId="0" fontId="61" fillId="0" borderId="0" xfId="8" applyFont="1"/>
    <xf numFmtId="0" fontId="41" fillId="0" borderId="0" xfId="2" applyFont="1" applyAlignment="1" applyProtection="1"/>
    <xf numFmtId="0" fontId="63" fillId="17" borderId="105" xfId="8" applyFont="1" applyFill="1" applyBorder="1" applyAlignment="1">
      <alignment horizontal="left"/>
    </xf>
    <xf numFmtId="0" fontId="63" fillId="17" borderId="0" xfId="8" applyFont="1" applyFill="1" applyAlignment="1">
      <alignment horizontal="left"/>
    </xf>
    <xf numFmtId="0" fontId="63" fillId="18" borderId="106" xfId="8" applyFont="1" applyFill="1" applyBorder="1" applyAlignment="1">
      <alignment horizontal="left" wrapText="1"/>
    </xf>
    <xf numFmtId="0" fontId="63" fillId="18" borderId="106" xfId="8" applyFont="1" applyFill="1" applyBorder="1" applyAlignment="1">
      <alignment horizontal="right"/>
    </xf>
    <xf numFmtId="0" fontId="63" fillId="18" borderId="107" xfId="8" applyFont="1" applyFill="1" applyBorder="1" applyAlignment="1">
      <alignment horizontal="right"/>
    </xf>
    <xf numFmtId="0" fontId="64" fillId="19" borderId="108" xfId="8" applyFont="1" applyFill="1" applyBorder="1" applyAlignment="1">
      <alignment horizontal="left" wrapText="1"/>
    </xf>
    <xf numFmtId="0" fontId="19" fillId="19" borderId="108" xfId="8" applyFont="1" applyFill="1" applyBorder="1" applyAlignment="1">
      <alignment wrapText="1"/>
    </xf>
    <xf numFmtId="0" fontId="65" fillId="20" borderId="109" xfId="8" applyFont="1" applyFill="1" applyBorder="1" applyAlignment="1">
      <alignment horizontal="right"/>
    </xf>
    <xf numFmtId="0" fontId="66" fillId="18" borderId="106" xfId="8" applyFont="1" applyFill="1" applyBorder="1" applyAlignment="1">
      <alignment wrapText="1"/>
    </xf>
    <xf numFmtId="0" fontId="4" fillId="19" borderId="107" xfId="8" applyFont="1" applyFill="1" applyBorder="1" applyAlignment="1">
      <alignment wrapText="1"/>
    </xf>
    <xf numFmtId="1" fontId="64" fillId="21" borderId="107" xfId="13" applyNumberFormat="1" applyFont="1" applyFill="1" applyBorder="1" applyAlignment="1">
      <alignment horizontal="right"/>
    </xf>
    <xf numFmtId="0" fontId="64" fillId="19" borderId="107" xfId="8" applyFont="1" applyFill="1" applyBorder="1" applyAlignment="1">
      <alignment wrapText="1"/>
    </xf>
    <xf numFmtId="0" fontId="19" fillId="19" borderId="107" xfId="8" applyFont="1" applyFill="1" applyBorder="1" applyAlignment="1">
      <alignment wrapText="1"/>
    </xf>
    <xf numFmtId="0" fontId="67" fillId="19" borderId="107" xfId="8" applyFont="1" applyFill="1" applyBorder="1" applyAlignment="1">
      <alignment wrapText="1"/>
    </xf>
    <xf numFmtId="0" fontId="65" fillId="20" borderId="110" xfId="8" applyFont="1" applyFill="1" applyBorder="1" applyAlignment="1">
      <alignment horizontal="left" wrapText="1"/>
    </xf>
    <xf numFmtId="0" fontId="67" fillId="22" borderId="107" xfId="8" applyFont="1" applyFill="1" applyBorder="1" applyAlignment="1">
      <alignment horizontal="right"/>
    </xf>
    <xf numFmtId="0" fontId="68" fillId="19" borderId="107" xfId="8" applyFont="1" applyFill="1" applyBorder="1" applyAlignment="1">
      <alignment wrapText="1"/>
    </xf>
    <xf numFmtId="0" fontId="6" fillId="22" borderId="107" xfId="8" applyFont="1" applyFill="1" applyBorder="1" applyAlignment="1">
      <alignment horizontal="right"/>
    </xf>
    <xf numFmtId="0" fontId="66" fillId="18" borderId="107" xfId="8" applyFont="1" applyFill="1" applyBorder="1" applyAlignment="1">
      <alignment wrapText="1"/>
    </xf>
    <xf numFmtId="0" fontId="69" fillId="19" borderId="111" xfId="8" applyFont="1" applyFill="1" applyBorder="1" applyAlignment="1">
      <alignment wrapText="1"/>
    </xf>
    <xf numFmtId="0" fontId="65" fillId="20" borderId="109" xfId="8" applyFont="1" applyFill="1" applyBorder="1" applyAlignment="1">
      <alignment horizontal="left" wrapText="1"/>
    </xf>
    <xf numFmtId="0" fontId="64" fillId="19" borderId="111" xfId="8" applyFont="1" applyFill="1" applyBorder="1" applyAlignment="1">
      <alignment wrapText="1"/>
    </xf>
    <xf numFmtId="9" fontId="70" fillId="0" borderId="0" xfId="13" applyFont="1"/>
    <xf numFmtId="0" fontId="67" fillId="19" borderId="111" xfId="8" applyFont="1" applyFill="1" applyBorder="1" applyAlignment="1">
      <alignment wrapText="1"/>
    </xf>
    <xf numFmtId="0" fontId="71" fillId="18" borderId="112" xfId="8" applyFont="1" applyFill="1" applyBorder="1" applyAlignment="1">
      <alignment horizontal="left" wrapText="1"/>
    </xf>
    <xf numFmtId="0" fontId="71" fillId="18" borderId="112" xfId="8" applyFont="1" applyFill="1" applyBorder="1" applyAlignment="1">
      <alignment horizontal="right"/>
    </xf>
    <xf numFmtId="0" fontId="9" fillId="23" borderId="106" xfId="8" applyFont="1" applyFill="1" applyBorder="1" applyAlignment="1">
      <alignment horizontal="left" wrapText="1"/>
    </xf>
    <xf numFmtId="0" fontId="9" fillId="23" borderId="107" xfId="8" applyFont="1" applyFill="1" applyBorder="1" applyAlignment="1">
      <alignment horizontal="right"/>
    </xf>
    <xf numFmtId="0" fontId="52" fillId="0" borderId="0" xfId="8" applyAlignment="1">
      <alignment wrapText="1"/>
    </xf>
    <xf numFmtId="0" fontId="52" fillId="0" borderId="0" xfId="8" applyAlignment="1">
      <alignment horizontal="right"/>
    </xf>
    <xf numFmtId="0" fontId="55" fillId="0" borderId="81" xfId="8" applyFont="1" applyBorder="1"/>
    <xf numFmtId="0" fontId="64" fillId="0" borderId="0" xfId="8" applyFont="1"/>
    <xf numFmtId="0" fontId="52" fillId="0" borderId="18" xfId="8" applyBorder="1"/>
    <xf numFmtId="0" fontId="72" fillId="0" borderId="0" xfId="8" applyFont="1"/>
    <xf numFmtId="0" fontId="73" fillId="0" borderId="0" xfId="8" applyFont="1"/>
    <xf numFmtId="0" fontId="52" fillId="0" borderId="4" xfId="8" applyBorder="1" applyAlignment="1">
      <alignment horizontal="center" wrapText="1"/>
    </xf>
    <xf numFmtId="0" fontId="52" fillId="0" borderId="4" xfId="8" applyBorder="1" applyAlignment="1">
      <alignment horizontal="center"/>
    </xf>
    <xf numFmtId="1" fontId="52" fillId="0" borderId="4" xfId="8" applyNumberFormat="1" applyBorder="1" applyAlignment="1">
      <alignment horizontal="center" wrapText="1"/>
    </xf>
    <xf numFmtId="1" fontId="52" fillId="0" borderId="4" xfId="8" applyNumberFormat="1" applyBorder="1" applyAlignment="1">
      <alignment horizontal="center"/>
    </xf>
    <xf numFmtId="0" fontId="52" fillId="0" borderId="83" xfId="8" applyBorder="1"/>
    <xf numFmtId="0" fontId="4" fillId="19" borderId="107" xfId="8" applyFont="1" applyFill="1" applyBorder="1"/>
    <xf numFmtId="0" fontId="64" fillId="22" borderId="113" xfId="8" applyFont="1" applyFill="1" applyBorder="1" applyAlignment="1">
      <alignment horizontal="right"/>
    </xf>
    <xf numFmtId="0" fontId="74" fillId="19" borderId="107" xfId="8" applyFont="1" applyFill="1" applyBorder="1"/>
    <xf numFmtId="0" fontId="74" fillId="22" borderId="113" xfId="8" applyFont="1" applyFill="1" applyBorder="1" applyAlignment="1">
      <alignment horizontal="right"/>
    </xf>
    <xf numFmtId="0" fontId="68" fillId="19" borderId="107" xfId="8" applyFont="1" applyFill="1" applyBorder="1"/>
    <xf numFmtId="0" fontId="68" fillId="22" borderId="113" xfId="8" applyFont="1" applyFill="1" applyBorder="1" applyAlignment="1">
      <alignment horizontal="right"/>
    </xf>
    <xf numFmtId="0" fontId="56" fillId="0" borderId="0" xfId="8" applyFont="1"/>
    <xf numFmtId="0" fontId="64" fillId="19" borderId="107" xfId="8" applyFont="1" applyFill="1" applyBorder="1"/>
    <xf numFmtId="0" fontId="64" fillId="22" borderId="113" xfId="8" applyFont="1" applyFill="1" applyBorder="1"/>
    <xf numFmtId="0" fontId="75" fillId="22" borderId="113" xfId="8" applyFont="1" applyFill="1" applyBorder="1"/>
    <xf numFmtId="0" fontId="68" fillId="22" borderId="113" xfId="8" applyFont="1" applyFill="1" applyBorder="1"/>
    <xf numFmtId="0" fontId="64" fillId="19" borderId="111" xfId="8" applyFont="1" applyFill="1" applyBorder="1"/>
    <xf numFmtId="0" fontId="64" fillId="0" borderId="107" xfId="8" applyFont="1" applyBorder="1"/>
    <xf numFmtId="0" fontId="64" fillId="0" borderId="113" xfId="8" applyFont="1" applyBorder="1"/>
    <xf numFmtId="0" fontId="76" fillId="19" borderId="107" xfId="8" applyFont="1" applyFill="1" applyBorder="1"/>
    <xf numFmtId="0" fontId="76" fillId="22" borderId="114" xfId="8" applyFont="1" applyFill="1" applyBorder="1"/>
    <xf numFmtId="0" fontId="67" fillId="22" borderId="114" xfId="8" applyFont="1" applyFill="1" applyBorder="1"/>
    <xf numFmtId="9" fontId="52" fillId="0" borderId="0" xfId="8" applyNumberFormat="1" applyAlignment="1">
      <alignment wrapText="1"/>
    </xf>
    <xf numFmtId="168" fontId="68" fillId="22" borderId="114" xfId="13" applyNumberFormat="1" applyFont="1" applyFill="1" applyBorder="1" applyAlignment="1">
      <alignment horizontal="right"/>
    </xf>
    <xf numFmtId="0" fontId="68" fillId="19" borderId="109" xfId="8" applyFont="1" applyFill="1" applyBorder="1"/>
    <xf numFmtId="0" fontId="69" fillId="19" borderId="107" xfId="8" applyFont="1" applyFill="1" applyBorder="1"/>
    <xf numFmtId="168" fontId="68" fillId="22" borderId="114" xfId="13" applyNumberFormat="1" applyFont="1" applyFill="1" applyBorder="1"/>
    <xf numFmtId="0" fontId="77" fillId="19" borderId="0" xfId="8" applyFont="1" applyFill="1" applyAlignment="1">
      <alignment horizontal="left" vertical="center"/>
    </xf>
    <xf numFmtId="168" fontId="68" fillId="22" borderId="113" xfId="13" applyNumberFormat="1" applyFont="1" applyFill="1" applyBorder="1" applyAlignment="1">
      <alignment horizontal="right"/>
    </xf>
    <xf numFmtId="168" fontId="68" fillId="22" borderId="114" xfId="12" applyNumberFormat="1" applyFont="1" applyFill="1" applyBorder="1" applyAlignment="1">
      <alignment horizontal="right"/>
    </xf>
    <xf numFmtId="0" fontId="68" fillId="19" borderId="111" xfId="8" applyFont="1" applyFill="1" applyBorder="1"/>
    <xf numFmtId="168" fontId="64" fillId="22" borderId="113" xfId="13" applyNumberFormat="1" applyFont="1" applyFill="1" applyBorder="1"/>
    <xf numFmtId="168" fontId="68" fillId="22" borderId="113" xfId="13" applyNumberFormat="1" applyFont="1" applyFill="1" applyBorder="1"/>
    <xf numFmtId="168" fontId="64" fillId="22" borderId="113" xfId="13" applyNumberFormat="1" applyFont="1" applyFill="1" applyBorder="1" applyAlignment="1">
      <alignment horizontal="right"/>
    </xf>
    <xf numFmtId="0" fontId="64" fillId="19" borderId="0" xfId="8" applyFont="1" applyFill="1"/>
    <xf numFmtId="0" fontId="52" fillId="0" borderId="115" xfId="8" applyBorder="1"/>
    <xf numFmtId="0" fontId="52" fillId="0" borderId="116" xfId="8" applyBorder="1"/>
    <xf numFmtId="0" fontId="52" fillId="0" borderId="0" xfId="8" applyAlignment="1">
      <alignment horizontal="left"/>
    </xf>
    <xf numFmtId="0" fontId="52" fillId="0" borderId="0" xfId="8" applyAlignment="1">
      <alignment horizontal="left" wrapText="1"/>
    </xf>
    <xf numFmtId="0" fontId="52" fillId="24" borderId="93" xfId="8" applyFill="1" applyBorder="1" applyAlignment="1">
      <alignment vertical="center"/>
    </xf>
    <xf numFmtId="0" fontId="52" fillId="24" borderId="82" xfId="8" applyFill="1" applyBorder="1" applyAlignment="1">
      <alignment vertical="center"/>
    </xf>
    <xf numFmtId="0" fontId="45" fillId="24" borderId="82" xfId="13" applyNumberFormat="1" applyFont="1" applyFill="1" applyBorder="1" applyAlignment="1">
      <alignment horizontal="left" vertical="center"/>
    </xf>
    <xf numFmtId="168" fontId="45" fillId="24" borderId="82" xfId="12" applyNumberFormat="1" applyFont="1" applyFill="1" applyBorder="1" applyAlignment="1">
      <alignment horizontal="left" vertical="center"/>
    </xf>
    <xf numFmtId="0" fontId="52" fillId="24" borderId="82" xfId="8" applyFill="1" applyBorder="1" applyAlignment="1">
      <alignment horizontal="left" vertical="center"/>
    </xf>
    <xf numFmtId="0" fontId="52" fillId="24" borderId="56" xfId="8" applyFill="1" applyBorder="1" applyAlignment="1">
      <alignment vertical="center"/>
    </xf>
    <xf numFmtId="0" fontId="52" fillId="24" borderId="0" xfId="8" applyFill="1" applyAlignment="1">
      <alignment vertical="center"/>
    </xf>
    <xf numFmtId="0" fontId="45" fillId="24" borderId="0" xfId="13" applyNumberFormat="1" applyFont="1" applyFill="1" applyAlignment="1">
      <alignment horizontal="left" vertical="center"/>
    </xf>
    <xf numFmtId="168" fontId="45" fillId="24" borderId="0" xfId="12" applyNumberFormat="1" applyFont="1" applyFill="1" applyAlignment="1">
      <alignment horizontal="left" vertical="center"/>
    </xf>
    <xf numFmtId="0" fontId="52" fillId="24" borderId="0" xfId="8" applyFill="1" applyAlignment="1">
      <alignment horizontal="left" vertical="center"/>
    </xf>
    <xf numFmtId="168" fontId="52" fillId="24" borderId="0" xfId="12" applyNumberFormat="1" applyFont="1" applyFill="1" applyAlignment="1">
      <alignment horizontal="left" vertical="center"/>
    </xf>
    <xf numFmtId="0" fontId="52" fillId="21" borderId="56" xfId="8" applyFill="1" applyBorder="1" applyAlignment="1">
      <alignment vertical="center"/>
    </xf>
    <xf numFmtId="0" fontId="52" fillId="21" borderId="0" xfId="8" applyFill="1" applyAlignment="1">
      <alignment vertical="center"/>
    </xf>
    <xf numFmtId="0" fontId="45" fillId="21" borderId="0" xfId="13" applyNumberFormat="1" applyFont="1" applyFill="1" applyAlignment="1">
      <alignment horizontal="left" vertical="center"/>
    </xf>
    <xf numFmtId="168" fontId="45" fillId="21" borderId="0" xfId="12" applyNumberFormat="1" applyFont="1" applyFill="1" applyAlignment="1">
      <alignment horizontal="left" vertical="center"/>
    </xf>
    <xf numFmtId="0" fontId="52" fillId="21" borderId="0" xfId="8" applyFill="1" applyAlignment="1">
      <alignment horizontal="left" vertical="center"/>
    </xf>
    <xf numFmtId="168" fontId="52" fillId="21" borderId="0" xfId="12" applyNumberFormat="1" applyFont="1" applyFill="1" applyAlignment="1">
      <alignment horizontal="left" vertical="center"/>
    </xf>
    <xf numFmtId="10" fontId="45" fillId="24" borderId="0" xfId="12" applyNumberFormat="1" applyFont="1" applyFill="1" applyAlignment="1">
      <alignment horizontal="left" vertical="center"/>
    </xf>
    <xf numFmtId="0" fontId="52" fillId="21" borderId="0" xfId="13" applyNumberFormat="1" applyFill="1" applyAlignment="1">
      <alignment horizontal="left" vertical="center"/>
    </xf>
    <xf numFmtId="10" fontId="45" fillId="21" borderId="0" xfId="12" applyNumberFormat="1" applyFont="1" applyFill="1" applyAlignment="1">
      <alignment horizontal="left" vertical="center"/>
    </xf>
    <xf numFmtId="0" fontId="52" fillId="21" borderId="92" xfId="8" applyFill="1" applyBorder="1" applyAlignment="1">
      <alignment vertical="center"/>
    </xf>
    <xf numFmtId="0" fontId="52" fillId="21" borderId="80" xfId="8" applyFill="1" applyBorder="1" applyAlignment="1">
      <alignment vertical="center"/>
    </xf>
    <xf numFmtId="0" fontId="45" fillId="21" borderId="80" xfId="13" applyNumberFormat="1" applyFont="1" applyFill="1" applyBorder="1" applyAlignment="1">
      <alignment horizontal="left" vertical="center"/>
    </xf>
    <xf numFmtId="10" fontId="45" fillId="21" borderId="80" xfId="12" applyNumberFormat="1" applyFont="1" applyFill="1" applyBorder="1" applyAlignment="1">
      <alignment horizontal="left" vertical="center"/>
    </xf>
    <xf numFmtId="168" fontId="45" fillId="21" borderId="80" xfId="12" applyNumberFormat="1" applyFont="1" applyFill="1" applyBorder="1" applyAlignment="1">
      <alignment horizontal="left" vertical="center"/>
    </xf>
    <xf numFmtId="0" fontId="52" fillId="21" borderId="80" xfId="8" applyFill="1" applyBorder="1" applyAlignment="1">
      <alignment horizontal="left" vertical="center"/>
    </xf>
    <xf numFmtId="168" fontId="52" fillId="21" borderId="80" xfId="12" applyNumberFormat="1" applyFont="1" applyFill="1" applyBorder="1" applyAlignment="1">
      <alignment horizontal="left" vertical="center"/>
    </xf>
    <xf numFmtId="0" fontId="52" fillId="24" borderId="56" xfId="8" applyFill="1" applyBorder="1" applyAlignment="1">
      <alignment horizontal="left" vertical="center" wrapText="1"/>
    </xf>
    <xf numFmtId="0" fontId="52" fillId="24" borderId="0" xfId="8" applyFill="1" applyAlignment="1">
      <alignment horizontal="left" vertical="center" wrapText="1"/>
    </xf>
    <xf numFmtId="9" fontId="52" fillId="24" borderId="0" xfId="8" applyNumberFormat="1" applyFill="1" applyAlignment="1">
      <alignment horizontal="left" vertical="center" wrapText="1"/>
    </xf>
    <xf numFmtId="168" fontId="52" fillId="24" borderId="0" xfId="12" applyNumberFormat="1" applyFont="1" applyFill="1" applyAlignment="1">
      <alignment horizontal="left" vertical="center" wrapText="1"/>
    </xf>
    <xf numFmtId="0" fontId="52" fillId="24" borderId="92" xfId="8" applyFill="1" applyBorder="1" applyAlignment="1">
      <alignment horizontal="left" vertical="center" wrapText="1"/>
    </xf>
    <xf numFmtId="0" fontId="52" fillId="24" borderId="80" xfId="8" applyFill="1" applyBorder="1" applyAlignment="1">
      <alignment horizontal="left" vertical="center" wrapText="1"/>
    </xf>
    <xf numFmtId="9" fontId="52" fillId="24" borderId="80" xfId="8" applyNumberFormat="1" applyFill="1" applyBorder="1" applyAlignment="1">
      <alignment horizontal="left" vertical="center" wrapText="1"/>
    </xf>
    <xf numFmtId="168" fontId="52" fillId="24" borderId="80" xfId="12" applyNumberFormat="1" applyFont="1" applyFill="1" applyBorder="1" applyAlignment="1">
      <alignment horizontal="left" vertical="center" wrapText="1"/>
    </xf>
    <xf numFmtId="0" fontId="52" fillId="21" borderId="92" xfId="8" applyFill="1" applyBorder="1" applyAlignment="1">
      <alignment horizontal="left" vertical="center" wrapText="1"/>
    </xf>
    <xf numFmtId="0" fontId="52" fillId="21" borderId="80" xfId="8" applyFill="1" applyBorder="1" applyAlignment="1">
      <alignment horizontal="left" vertical="center" wrapText="1"/>
    </xf>
    <xf numFmtId="9" fontId="52" fillId="21" borderId="80" xfId="8" applyNumberFormat="1" applyFill="1" applyBorder="1" applyAlignment="1">
      <alignment horizontal="left" vertical="center" wrapText="1"/>
    </xf>
    <xf numFmtId="168" fontId="52" fillId="21" borderId="80" xfId="12" applyNumberFormat="1" applyFont="1" applyFill="1" applyBorder="1" applyAlignment="1">
      <alignment horizontal="left" vertical="center" wrapText="1"/>
    </xf>
    <xf numFmtId="0" fontId="52" fillId="24" borderId="93" xfId="8" applyFill="1" applyBorder="1" applyAlignment="1">
      <alignment horizontal="left" vertical="center" wrapText="1"/>
    </xf>
    <xf numFmtId="0" fontId="52" fillId="24" borderId="82" xfId="8" applyFill="1" applyBorder="1" applyAlignment="1">
      <alignment horizontal="left" vertical="center" wrapText="1"/>
    </xf>
    <xf numFmtId="0" fontId="52" fillId="21" borderId="56" xfId="8" applyFill="1" applyBorder="1" applyAlignment="1">
      <alignment horizontal="left" vertical="center" wrapText="1"/>
    </xf>
    <xf numFmtId="0" fontId="52" fillId="21" borderId="0" xfId="8" applyFill="1" applyAlignment="1">
      <alignment horizontal="left" vertical="center" wrapText="1"/>
    </xf>
    <xf numFmtId="0" fontId="52" fillId="24" borderId="56" xfId="8" applyFill="1" applyBorder="1" applyAlignment="1">
      <alignment horizontal="left" vertical="center"/>
    </xf>
    <xf numFmtId="9" fontId="52" fillId="21" borderId="0" xfId="8" applyNumberFormat="1" applyFill="1" applyAlignment="1">
      <alignment horizontal="left" vertical="center" wrapText="1"/>
    </xf>
    <xf numFmtId="0" fontId="55" fillId="24" borderId="56" xfId="8" applyFont="1" applyFill="1" applyBorder="1" applyAlignment="1">
      <alignment horizontal="left" vertical="center" wrapText="1"/>
    </xf>
    <xf numFmtId="0" fontId="55" fillId="24" borderId="0" xfId="8" applyFont="1" applyFill="1" applyAlignment="1">
      <alignment horizontal="left" vertical="center" wrapText="1"/>
    </xf>
    <xf numFmtId="9" fontId="55" fillId="24" borderId="0" xfId="8" applyNumberFormat="1" applyFont="1" applyFill="1" applyAlignment="1">
      <alignment horizontal="left" vertical="center" wrapText="1"/>
    </xf>
    <xf numFmtId="0" fontId="52" fillId="21" borderId="56" xfId="8" applyFill="1" applyBorder="1" applyAlignment="1">
      <alignment horizontal="left" vertical="center"/>
    </xf>
    <xf numFmtId="0" fontId="55" fillId="21" borderId="56" xfId="8" applyFont="1" applyFill="1" applyBorder="1" applyAlignment="1">
      <alignment horizontal="left" vertical="center" wrapText="1"/>
    </xf>
    <xf numFmtId="0" fontId="55" fillId="21" borderId="0" xfId="8" applyFont="1" applyFill="1" applyAlignment="1">
      <alignment horizontal="left" vertical="center" wrapText="1"/>
    </xf>
    <xf numFmtId="9" fontId="45" fillId="21" borderId="0" xfId="13" applyFont="1" applyFill="1" applyAlignment="1">
      <alignment horizontal="left" vertical="center" wrapText="1"/>
    </xf>
    <xf numFmtId="168" fontId="45" fillId="21" borderId="0" xfId="12" applyNumberFormat="1" applyFont="1" applyFill="1" applyAlignment="1">
      <alignment horizontal="left" vertical="center" wrapText="1"/>
    </xf>
    <xf numFmtId="168" fontId="52" fillId="21" borderId="0" xfId="12" applyNumberFormat="1" applyFont="1" applyFill="1" applyAlignment="1">
      <alignment horizontal="left" vertical="center" wrapText="1"/>
    </xf>
    <xf numFmtId="0" fontId="54" fillId="24" borderId="0" xfId="3" applyFill="1" applyAlignment="1">
      <alignment horizontal="left" vertical="center" wrapText="1"/>
    </xf>
    <xf numFmtId="0" fontId="45" fillId="24" borderId="0" xfId="13" applyNumberFormat="1" applyFont="1" applyFill="1" applyAlignment="1">
      <alignment horizontal="left" vertical="center" wrapText="1"/>
    </xf>
    <xf numFmtId="168" fontId="45" fillId="24" borderId="0" xfId="12" applyNumberFormat="1" applyFont="1" applyFill="1" applyAlignment="1">
      <alignment horizontal="left" vertical="center" wrapText="1"/>
    </xf>
    <xf numFmtId="0" fontId="45" fillId="21" borderId="0" xfId="13" applyNumberFormat="1" applyFont="1" applyFill="1" applyAlignment="1">
      <alignment horizontal="left" vertical="center" wrapText="1"/>
    </xf>
    <xf numFmtId="0" fontId="55" fillId="21" borderId="0" xfId="8" applyFont="1" applyFill="1" applyAlignment="1">
      <alignment vertical="center"/>
    </xf>
    <xf numFmtId="0" fontId="52" fillId="21" borderId="0" xfId="8" applyFill="1" applyAlignment="1">
      <alignment vertical="center" wrapText="1"/>
    </xf>
    <xf numFmtId="0" fontId="55" fillId="24" borderId="0" xfId="8" applyFont="1" applyFill="1" applyAlignment="1">
      <alignment vertical="center" wrapText="1"/>
    </xf>
    <xf numFmtId="0" fontId="54" fillId="24" borderId="0" xfId="3" applyFill="1" applyAlignment="1">
      <alignment horizontal="left" vertical="center"/>
    </xf>
    <xf numFmtId="0" fontId="52" fillId="24" borderId="0" xfId="8" applyFill="1" applyAlignment="1">
      <alignment vertical="center" wrapText="1"/>
    </xf>
    <xf numFmtId="0" fontId="78" fillId="25" borderId="117" xfId="8" applyFont="1" applyFill="1" applyBorder="1" applyAlignment="1">
      <alignment horizontal="left" vertical="center" wrapText="1"/>
    </xf>
    <xf numFmtId="0" fontId="52" fillId="21" borderId="56" xfId="8" applyFill="1" applyBorder="1" applyAlignment="1">
      <alignment vertical="center" wrapText="1"/>
    </xf>
    <xf numFmtId="9" fontId="45" fillId="21" borderId="0" xfId="13" applyFont="1" applyFill="1" applyAlignment="1">
      <alignment horizontal="left" vertical="center"/>
    </xf>
    <xf numFmtId="0" fontId="52" fillId="21" borderId="92" xfId="8" applyFill="1" applyBorder="1" applyAlignment="1">
      <alignment vertical="center" wrapText="1"/>
    </xf>
    <xf numFmtId="0" fontId="79" fillId="25" borderId="115" xfId="8" applyFont="1" applyFill="1" applyBorder="1" applyAlignment="1">
      <alignment horizontal="left" wrapText="1"/>
    </xf>
    <xf numFmtId="0" fontId="79" fillId="25" borderId="118" xfId="8" applyFont="1" applyFill="1" applyBorder="1" applyAlignment="1">
      <alignment horizontal="left" wrapText="1"/>
    </xf>
    <xf numFmtId="0" fontId="79" fillId="25" borderId="119" xfId="8" applyFont="1" applyFill="1" applyBorder="1" applyAlignment="1">
      <alignment horizontal="left" wrapText="1"/>
    </xf>
    <xf numFmtId="0" fontId="79" fillId="25" borderId="119" xfId="8" applyFont="1" applyFill="1" applyBorder="1" applyAlignment="1">
      <alignment horizontal="left" vertical="center" wrapText="1"/>
    </xf>
    <xf numFmtId="0" fontId="53" fillId="25" borderId="0" xfId="8" applyFont="1" applyFill="1" applyAlignment="1">
      <alignment horizontal="left"/>
    </xf>
    <xf numFmtId="0" fontId="79" fillId="25" borderId="120" xfId="8" applyFont="1" applyFill="1" applyBorder="1" applyAlignment="1">
      <alignment horizontal="left" vertical="center" wrapText="1"/>
    </xf>
    <xf numFmtId="0" fontId="36" fillId="26" borderId="0" xfId="8" applyFont="1" applyFill="1" applyAlignment="1" applyProtection="1">
      <alignment horizontal="left"/>
      <protection locked="0"/>
    </xf>
    <xf numFmtId="0" fontId="64" fillId="26" borderId="107" xfId="8" applyFont="1" applyFill="1" applyBorder="1" applyAlignment="1" applyProtection="1">
      <alignment horizontal="right" wrapText="1"/>
      <protection locked="0"/>
    </xf>
    <xf numFmtId="9" fontId="64" fillId="26" borderId="108" xfId="13" applyFont="1" applyFill="1" applyBorder="1" applyAlignment="1" applyProtection="1">
      <alignment horizontal="right" wrapText="1"/>
      <protection locked="0"/>
    </xf>
    <xf numFmtId="9" fontId="64" fillId="26" borderId="107" xfId="13" applyFont="1" applyFill="1" applyBorder="1" applyAlignment="1" applyProtection="1">
      <alignment horizontal="right" wrapText="1"/>
      <protection locked="0"/>
    </xf>
    <xf numFmtId="0" fontId="55" fillId="0" borderId="18" xfId="8" applyFont="1" applyBorder="1"/>
    <xf numFmtId="0" fontId="49" fillId="0" borderId="0" xfId="2" applyFont="1" applyAlignment="1" applyProtection="1">
      <protection locked="0"/>
    </xf>
    <xf numFmtId="9" fontId="52" fillId="0" borderId="0" xfId="12" applyFont="1"/>
    <xf numFmtId="0" fontId="65" fillId="20" borderId="121" xfId="8" applyFont="1" applyFill="1" applyBorder="1" applyAlignment="1">
      <alignment wrapText="1"/>
    </xf>
    <xf numFmtId="0" fontId="80" fillId="0" borderId="113" xfId="8" applyFont="1" applyBorder="1" applyAlignment="1">
      <alignment wrapText="1"/>
    </xf>
    <xf numFmtId="0" fontId="81" fillId="0" borderId="113" xfId="8" applyFont="1" applyBorder="1" applyAlignment="1">
      <alignment wrapText="1"/>
    </xf>
    <xf numFmtId="0" fontId="65" fillId="20" borderId="122" xfId="8" applyFont="1" applyFill="1" applyBorder="1" applyAlignment="1">
      <alignment wrapText="1"/>
    </xf>
    <xf numFmtId="9" fontId="71" fillId="18" borderId="112" xfId="12" applyFont="1" applyFill="1" applyBorder="1" applyAlignment="1">
      <alignment horizontal="right"/>
    </xf>
    <xf numFmtId="9" fontId="9" fillId="23" borderId="107" xfId="12" applyFont="1" applyFill="1" applyBorder="1" applyAlignment="1">
      <alignment horizontal="right"/>
    </xf>
    <xf numFmtId="0" fontId="4" fillId="4" borderId="84" xfId="0" applyFont="1" applyFill="1" applyBorder="1" applyAlignment="1" applyProtection="1">
      <alignment horizontal="center" vertical="center"/>
      <protection locked="0"/>
    </xf>
    <xf numFmtId="0" fontId="4" fillId="4" borderId="58" xfId="0" applyFont="1" applyFill="1" applyBorder="1" applyAlignment="1" applyProtection="1">
      <alignment horizontal="center" vertical="center"/>
      <protection locked="0"/>
    </xf>
    <xf numFmtId="0" fontId="20" fillId="4" borderId="4" xfId="0" applyFont="1" applyFill="1" applyBorder="1" applyAlignment="1" applyProtection="1">
      <alignment vertical="center"/>
      <protection locked="0"/>
    </xf>
    <xf numFmtId="0" fontId="8" fillId="4" borderId="4" xfId="0" applyFont="1" applyFill="1" applyBorder="1" applyAlignment="1" applyProtection="1">
      <alignment horizontal="center" vertical="center"/>
      <protection locked="0"/>
    </xf>
    <xf numFmtId="0" fontId="4" fillId="4" borderId="4" xfId="0" applyFont="1" applyFill="1" applyBorder="1" applyAlignment="1" applyProtection="1">
      <alignment horizontal="center" vertical="center"/>
      <protection locked="0"/>
    </xf>
    <xf numFmtId="9" fontId="8" fillId="4" borderId="4" xfId="12" applyFont="1" applyFill="1" applyBorder="1" applyAlignment="1" applyProtection="1">
      <alignment horizontal="center" vertical="center"/>
      <protection locked="0"/>
    </xf>
    <xf numFmtId="1" fontId="4" fillId="4" borderId="4" xfId="12" applyNumberFormat="1" applyFont="1" applyFill="1" applyBorder="1" applyAlignment="1" applyProtection="1">
      <alignment horizontal="right" vertical="center"/>
      <protection locked="0"/>
    </xf>
    <xf numFmtId="0" fontId="86" fillId="4" borderId="4" xfId="0" applyFont="1" applyFill="1" applyBorder="1" applyAlignment="1" applyProtection="1">
      <alignment vertical="center"/>
      <protection locked="0"/>
    </xf>
    <xf numFmtId="2" fontId="86" fillId="4" borderId="4" xfId="0" applyNumberFormat="1" applyFont="1" applyFill="1" applyBorder="1" applyAlignment="1" applyProtection="1">
      <alignment vertical="center"/>
      <protection locked="0"/>
    </xf>
    <xf numFmtId="0" fontId="86" fillId="4" borderId="95" xfId="0" applyFont="1" applyFill="1" applyBorder="1" applyAlignment="1" applyProtection="1">
      <alignment vertical="center"/>
      <protection locked="0"/>
    </xf>
    <xf numFmtId="2" fontId="86" fillId="4" borderId="95" xfId="0" applyNumberFormat="1" applyFont="1" applyFill="1" applyBorder="1" applyAlignment="1" applyProtection="1">
      <alignment vertical="center"/>
      <protection locked="0"/>
    </xf>
    <xf numFmtId="44" fontId="0" fillId="4" borderId="4" xfId="1" applyFont="1" applyFill="1" applyBorder="1" applyAlignment="1" applyProtection="1">
      <alignment horizontal="center" vertical="center"/>
      <protection locked="0"/>
    </xf>
    <xf numFmtId="0" fontId="3" fillId="0" borderId="0" xfId="8" quotePrefix="1" applyFont="1" applyAlignment="1">
      <alignment horizontal="center"/>
    </xf>
    <xf numFmtId="0" fontId="0" fillId="6" borderId="0" xfId="0" applyFill="1"/>
    <xf numFmtId="0" fontId="21" fillId="6" borderId="76" xfId="9" applyFont="1" applyFill="1" applyBorder="1"/>
    <xf numFmtId="0" fontId="21" fillId="29" borderId="34" xfId="9" applyFont="1" applyFill="1" applyBorder="1"/>
    <xf numFmtId="0" fontId="21" fillId="29" borderId="35" xfId="9" applyFont="1" applyFill="1" applyBorder="1"/>
    <xf numFmtId="2" fontId="21" fillId="29" borderId="16" xfId="10" applyNumberFormat="1" applyFont="1" applyFill="1" applyBorder="1" applyAlignment="1">
      <alignment horizontal="center"/>
    </xf>
    <xf numFmtId="0" fontId="21" fillId="29" borderId="16" xfId="4" applyFont="1" applyFill="1" applyBorder="1"/>
    <xf numFmtId="0" fontId="21" fillId="29" borderId="77" xfId="11" applyFont="1" applyFill="1" applyBorder="1" applyAlignment="1">
      <alignment horizontal="center"/>
    </xf>
    <xf numFmtId="2" fontId="21" fillId="29" borderId="35" xfId="11" applyNumberFormat="1" applyFont="1" applyFill="1" applyBorder="1" applyAlignment="1">
      <alignment horizontal="center"/>
    </xf>
    <xf numFmtId="9" fontId="21" fillId="29" borderId="16" xfId="4" applyNumberFormat="1" applyFont="1" applyFill="1" applyBorder="1" applyAlignment="1">
      <alignment horizontal="center"/>
    </xf>
    <xf numFmtId="0" fontId="21" fillId="29" borderId="16" xfId="4" applyFont="1" applyFill="1" applyBorder="1" applyAlignment="1">
      <alignment horizontal="center"/>
    </xf>
    <xf numFmtId="2" fontId="21" fillId="29" borderId="16" xfId="4" applyNumberFormat="1" applyFont="1" applyFill="1" applyBorder="1" applyAlignment="1">
      <alignment horizontal="center"/>
    </xf>
    <xf numFmtId="2" fontId="21" fillId="29" borderId="16" xfId="5" applyNumberFormat="1" applyFont="1" applyFill="1" applyBorder="1" applyAlignment="1">
      <alignment horizontal="center"/>
    </xf>
    <xf numFmtId="2" fontId="21" fillId="29" borderId="36" xfId="4" applyNumberFormat="1" applyFont="1" applyFill="1" applyBorder="1" applyAlignment="1">
      <alignment horizontal="center"/>
    </xf>
    <xf numFmtId="2" fontId="21" fillId="29" borderId="37" xfId="4" applyNumberFormat="1" applyFont="1" applyFill="1" applyBorder="1" applyAlignment="1">
      <alignment horizontal="center"/>
    </xf>
    <xf numFmtId="2" fontId="21" fillId="29" borderId="0" xfId="4" applyNumberFormat="1" applyFont="1" applyFill="1" applyAlignment="1">
      <alignment horizontal="center"/>
    </xf>
    <xf numFmtId="164" fontId="21" fillId="6" borderId="38" xfId="4" applyNumberFormat="1" applyFont="1" applyFill="1" applyBorder="1" applyAlignment="1">
      <alignment horizontal="center"/>
    </xf>
    <xf numFmtId="1" fontId="86" fillId="4" borderId="4" xfId="1" applyNumberFormat="1" applyFont="1" applyFill="1" applyBorder="1" applyAlignment="1" applyProtection="1">
      <alignment vertical="center"/>
      <protection locked="0"/>
    </xf>
    <xf numFmtId="2" fontId="86" fillId="4" borderId="4" xfId="1" applyNumberFormat="1" applyFont="1" applyFill="1" applyBorder="1" applyAlignment="1" applyProtection="1">
      <alignment vertical="center"/>
      <protection locked="0"/>
    </xf>
    <xf numFmtId="44" fontId="86" fillId="4" borderId="4" xfId="1" applyFont="1" applyFill="1" applyBorder="1" applyAlignment="1" applyProtection="1">
      <alignment vertical="center"/>
      <protection locked="0"/>
    </xf>
    <xf numFmtId="1" fontId="86" fillId="4" borderId="4" xfId="0" applyNumberFormat="1" applyFont="1" applyFill="1" applyBorder="1" applyAlignment="1" applyProtection="1">
      <alignment vertical="center"/>
      <protection locked="0"/>
    </xf>
    <xf numFmtId="0" fontId="96" fillId="0" borderId="0" xfId="0" applyFont="1" applyProtection="1">
      <protection locked="0"/>
    </xf>
    <xf numFmtId="0" fontId="2" fillId="24" borderId="0" xfId="8" applyFont="1" applyFill="1" applyAlignment="1">
      <alignment horizontal="left" vertical="center"/>
    </xf>
    <xf numFmtId="0" fontId="0" fillId="5" borderId="8" xfId="0" applyFill="1" applyBorder="1" applyProtection="1"/>
    <xf numFmtId="0" fontId="0" fillId="5" borderId="9" xfId="0" applyFill="1" applyBorder="1" applyProtection="1"/>
    <xf numFmtId="0" fontId="0" fillId="2" borderId="1" xfId="0" applyFill="1" applyBorder="1" applyProtection="1"/>
    <xf numFmtId="0" fontId="4" fillId="3" borderId="0" xfId="0" applyFont="1" applyFill="1" applyProtection="1"/>
    <xf numFmtId="0" fontId="0" fillId="0" borderId="0" xfId="0" applyProtection="1"/>
    <xf numFmtId="0" fontId="10" fillId="5" borderId="3" xfId="0" applyFont="1" applyFill="1" applyBorder="1" applyAlignment="1" applyProtection="1">
      <alignment vertical="center"/>
    </xf>
    <xf numFmtId="0" fontId="0" fillId="5" borderId="0" xfId="0" applyFill="1" applyProtection="1"/>
    <xf numFmtId="0" fontId="0" fillId="2" borderId="2" xfId="0" applyFill="1" applyBorder="1" applyAlignment="1" applyProtection="1">
      <alignment vertical="center"/>
    </xf>
    <xf numFmtId="14" fontId="0" fillId="0" borderId="0" xfId="0" applyNumberFormat="1" applyProtection="1"/>
    <xf numFmtId="0" fontId="7" fillId="5" borderId="0" xfId="2" applyFill="1" applyBorder="1" applyAlignment="1" applyProtection="1">
      <alignment horizontal="right" vertical="center"/>
    </xf>
    <xf numFmtId="0" fontId="0" fillId="0" borderId="0" xfId="0" applyAlignment="1" applyProtection="1">
      <alignment horizontal="left"/>
    </xf>
    <xf numFmtId="0" fontId="4" fillId="0" borderId="0" xfId="0" applyFont="1" applyProtection="1"/>
    <xf numFmtId="0" fontId="0" fillId="2" borderId="3" xfId="0" applyFill="1" applyBorder="1" applyAlignment="1" applyProtection="1">
      <alignment vertical="center"/>
    </xf>
    <xf numFmtId="0" fontId="0" fillId="2" borderId="0" xfId="0" applyFill="1" applyAlignment="1" applyProtection="1">
      <alignment vertical="center"/>
    </xf>
    <xf numFmtId="0" fontId="0" fillId="6" borderId="0" xfId="0" applyFill="1" applyAlignment="1" applyProtection="1">
      <alignment horizontal="center"/>
    </xf>
    <xf numFmtId="0" fontId="9" fillId="2" borderId="0" xfId="0" applyFont="1" applyFill="1" applyAlignment="1" applyProtection="1">
      <alignment horizontal="right" vertical="center"/>
    </xf>
    <xf numFmtId="0" fontId="0" fillId="0" borderId="0" xfId="0" applyAlignment="1" applyProtection="1">
      <alignment vertical="center"/>
    </xf>
    <xf numFmtId="0" fontId="4" fillId="0" borderId="0" xfId="0" applyFont="1" applyAlignment="1" applyProtection="1">
      <alignment horizontal="center" vertical="center"/>
    </xf>
    <xf numFmtId="14" fontId="0" fillId="0" borderId="0" xfId="0" applyNumberFormat="1" applyAlignment="1" applyProtection="1">
      <alignment vertical="center"/>
    </xf>
    <xf numFmtId="0" fontId="0" fillId="6" borderId="0" xfId="0" applyFill="1" applyAlignment="1" applyProtection="1">
      <alignment horizontal="center" vertical="center"/>
    </xf>
    <xf numFmtId="0" fontId="0" fillId="0" borderId="0" xfId="0" applyAlignment="1" applyProtection="1">
      <alignment horizontal="center" vertical="center"/>
    </xf>
    <xf numFmtId="0" fontId="4" fillId="7" borderId="0" xfId="0" applyFont="1" applyFill="1" applyAlignment="1" applyProtection="1">
      <alignment horizontal="center" vertical="center"/>
    </xf>
    <xf numFmtId="0" fontId="6" fillId="0" borderId="0" xfId="0" applyFont="1" applyAlignment="1" applyProtection="1">
      <alignment vertical="center"/>
    </xf>
    <xf numFmtId="1" fontId="0" fillId="0" borderId="0" xfId="0" applyNumberFormat="1" applyAlignment="1" applyProtection="1">
      <alignment vertical="center"/>
    </xf>
    <xf numFmtId="14" fontId="9" fillId="0" borderId="80" xfId="0" applyNumberFormat="1" applyFont="1" applyBorder="1" applyAlignment="1" applyProtection="1">
      <alignment horizontal="right" vertical="center"/>
    </xf>
    <xf numFmtId="0" fontId="0" fillId="2" borderId="0" xfId="0" applyFill="1" applyAlignment="1" applyProtection="1">
      <alignment horizontal="left" vertical="center"/>
    </xf>
    <xf numFmtId="0" fontId="13" fillId="2" borderId="0" xfId="0" applyFont="1" applyFill="1" applyAlignment="1" applyProtection="1">
      <alignment horizontal="left"/>
    </xf>
    <xf numFmtId="0" fontId="11" fillId="2" borderId="0" xfId="0" applyFont="1" applyFill="1" applyAlignment="1" applyProtection="1">
      <alignment horizontal="right"/>
    </xf>
    <xf numFmtId="0" fontId="6" fillId="0" borderId="0" xfId="0" applyFont="1" applyProtection="1"/>
    <xf numFmtId="0" fontId="4" fillId="0" borderId="0" xfId="0" applyFont="1" applyAlignment="1" applyProtection="1">
      <alignment vertical="center"/>
    </xf>
    <xf numFmtId="0" fontId="0" fillId="2" borderId="84" xfId="0" applyFill="1" applyBorder="1" applyAlignment="1" applyProtection="1">
      <alignment vertical="center"/>
    </xf>
    <xf numFmtId="0" fontId="50" fillId="2" borderId="0" xfId="0" applyFont="1" applyFill="1" applyAlignment="1" applyProtection="1">
      <alignment horizontal="left" vertical="center"/>
    </xf>
    <xf numFmtId="0" fontId="6" fillId="2" borderId="0" xfId="0" applyFont="1" applyFill="1" applyAlignment="1" applyProtection="1">
      <alignment horizontal="right" vertical="center"/>
    </xf>
    <xf numFmtId="0" fontId="59" fillId="2" borderId="18" xfId="0" applyFont="1" applyFill="1" applyBorder="1" applyAlignment="1" applyProtection="1">
      <alignment vertical="center"/>
    </xf>
    <xf numFmtId="0" fontId="59" fillId="2" borderId="0" xfId="0" applyFont="1" applyFill="1" applyAlignment="1" applyProtection="1">
      <alignment vertical="center"/>
    </xf>
    <xf numFmtId="0" fontId="50" fillId="2" borderId="0" xfId="0" applyFont="1" applyFill="1" applyAlignment="1" applyProtection="1">
      <alignment horizontal="left"/>
    </xf>
    <xf numFmtId="0" fontId="11" fillId="2" borderId="0" xfId="0" applyFont="1" applyFill="1" applyAlignment="1" applyProtection="1">
      <alignment horizontal="right" vertical="center"/>
    </xf>
    <xf numFmtId="0" fontId="0" fillId="6" borderId="0" xfId="0" applyFill="1" applyProtection="1"/>
    <xf numFmtId="0" fontId="19" fillId="2" borderId="0" xfId="0" applyFont="1" applyFill="1" applyAlignment="1" applyProtection="1">
      <alignment horizontal="left"/>
    </xf>
    <xf numFmtId="49" fontId="0" fillId="5" borderId="0" xfId="0" applyNumberFormat="1" applyFill="1" applyAlignment="1" applyProtection="1">
      <alignment horizontal="center" vertical="center"/>
    </xf>
    <xf numFmtId="0" fontId="0" fillId="8" borderId="0" xfId="0" applyFill="1" applyAlignment="1" applyProtection="1">
      <alignment vertical="center"/>
    </xf>
    <xf numFmtId="0" fontId="0" fillId="2" borderId="5" xfId="0" applyFill="1" applyBorder="1" applyAlignment="1" applyProtection="1">
      <alignment vertical="center"/>
    </xf>
    <xf numFmtId="0" fontId="0" fillId="2" borderId="7" xfId="0" applyFill="1" applyBorder="1" applyAlignment="1" applyProtection="1">
      <alignment vertical="center"/>
    </xf>
    <xf numFmtId="0" fontId="8" fillId="0" borderId="0" xfId="0" applyFont="1" applyAlignment="1" applyProtection="1">
      <alignment vertical="center"/>
    </xf>
    <xf numFmtId="0" fontId="17" fillId="2" borderId="0" xfId="0" applyFont="1" applyFill="1" applyAlignment="1" applyProtection="1">
      <alignment vertical="center"/>
    </xf>
    <xf numFmtId="0" fontId="28" fillId="2" borderId="0" xfId="0" applyFont="1" applyFill="1" applyAlignment="1" applyProtection="1">
      <alignment vertical="center"/>
    </xf>
    <xf numFmtId="0" fontId="16" fillId="2" borderId="0" xfId="0" applyFont="1" applyFill="1" applyAlignment="1" applyProtection="1">
      <alignment horizontal="center" vertical="center"/>
    </xf>
    <xf numFmtId="0" fontId="6" fillId="2" borderId="10" xfId="0" applyFont="1" applyFill="1" applyBorder="1" applyAlignment="1" applyProtection="1">
      <alignment horizontal="center" vertical="center" wrapText="1"/>
    </xf>
    <xf numFmtId="0" fontId="6" fillId="2" borderId="13" xfId="0" applyFont="1" applyFill="1" applyBorder="1" applyAlignment="1" applyProtection="1">
      <alignment horizontal="center" vertical="center" wrapText="1"/>
    </xf>
    <xf numFmtId="0" fontId="6" fillId="2" borderId="0" xfId="0" applyFont="1" applyFill="1" applyAlignment="1" applyProtection="1">
      <alignment vertical="center"/>
    </xf>
    <xf numFmtId="0" fontId="6" fillId="2" borderId="0" xfId="0" applyFont="1" applyFill="1" applyAlignment="1" applyProtection="1">
      <alignment horizontal="left" vertical="center"/>
    </xf>
    <xf numFmtId="0" fontId="6" fillId="2" borderId="0" xfId="0" applyFont="1" applyFill="1" applyAlignment="1" applyProtection="1">
      <alignment horizontal="center" vertical="center" wrapText="1"/>
    </xf>
    <xf numFmtId="0" fontId="4" fillId="3" borderId="0" xfId="0" applyFont="1" applyFill="1" applyAlignment="1" applyProtection="1">
      <alignment vertical="center"/>
    </xf>
    <xf numFmtId="44" fontId="4" fillId="0" borderId="0" xfId="0" applyNumberFormat="1" applyFont="1" applyAlignment="1" applyProtection="1">
      <alignment vertical="center"/>
    </xf>
    <xf numFmtId="44" fontId="8" fillId="0" borderId="0" xfId="0" applyNumberFormat="1" applyFont="1" applyAlignment="1" applyProtection="1">
      <alignment vertical="center"/>
    </xf>
    <xf numFmtId="44" fontId="0" fillId="0" borderId="0" xfId="0" applyNumberFormat="1" applyAlignment="1" applyProtection="1">
      <alignment vertical="center"/>
    </xf>
    <xf numFmtId="42" fontId="0" fillId="0" borderId="0" xfId="0" applyNumberFormat="1" applyAlignment="1" applyProtection="1">
      <alignment horizontal="center" vertical="center"/>
    </xf>
    <xf numFmtId="0" fontId="58" fillId="2" borderId="0" xfId="0" applyFont="1" applyFill="1" applyAlignment="1" applyProtection="1">
      <alignment horizontal="left" vertical="top" wrapText="1"/>
    </xf>
    <xf numFmtId="0" fontId="18" fillId="2" borderId="13" xfId="0" applyFont="1" applyFill="1" applyBorder="1" applyAlignment="1" applyProtection="1">
      <alignment horizontal="center" vertical="center" wrapText="1"/>
    </xf>
    <xf numFmtId="0" fontId="0" fillId="2" borderId="0" xfId="0" applyFill="1" applyAlignment="1" applyProtection="1">
      <alignment horizontal="center" vertical="center"/>
    </xf>
    <xf numFmtId="2" fontId="0" fillId="2" borderId="0" xfId="0" applyNumberFormat="1" applyFill="1" applyAlignment="1" applyProtection="1">
      <alignment horizontal="center" vertical="center"/>
    </xf>
    <xf numFmtId="44" fontId="0" fillId="2" borderId="10" xfId="0" applyNumberFormat="1" applyFill="1" applyBorder="1" applyAlignment="1" applyProtection="1">
      <alignment horizontal="center" vertical="center" wrapText="1"/>
    </xf>
    <xf numFmtId="44" fontId="0" fillId="2" borderId="0" xfId="0" applyNumberFormat="1" applyFill="1" applyAlignment="1" applyProtection="1">
      <alignment horizontal="center" vertical="center"/>
    </xf>
    <xf numFmtId="44" fontId="0" fillId="2" borderId="13" xfId="0" applyNumberFormat="1" applyFill="1" applyBorder="1" applyAlignment="1" applyProtection="1">
      <alignment horizontal="center" vertical="center" wrapText="1"/>
    </xf>
    <xf numFmtId="44" fontId="62" fillId="2" borderId="0" xfId="0" applyNumberFormat="1" applyFont="1" applyFill="1" applyAlignment="1" applyProtection="1">
      <alignment horizontal="center" vertical="center" wrapText="1"/>
    </xf>
    <xf numFmtId="44" fontId="0" fillId="2" borderId="0" xfId="0" applyNumberFormat="1" applyFill="1" applyAlignment="1" applyProtection="1">
      <alignment horizontal="center" vertical="center" wrapText="1"/>
    </xf>
    <xf numFmtId="44" fontId="8" fillId="2" borderId="13" xfId="0" applyNumberFormat="1" applyFont="1" applyFill="1" applyBorder="1" applyAlignment="1" applyProtection="1">
      <alignment horizontal="center" vertical="center" wrapText="1"/>
    </xf>
    <xf numFmtId="2" fontId="0" fillId="0" borderId="0" xfId="0" applyNumberFormat="1" applyAlignment="1" applyProtection="1">
      <alignment vertical="center"/>
    </xf>
    <xf numFmtId="165" fontId="0" fillId="0" borderId="0" xfId="0" applyNumberFormat="1" applyProtection="1"/>
    <xf numFmtId="42" fontId="8" fillId="0" borderId="0" xfId="0" applyNumberFormat="1" applyFont="1" applyAlignment="1" applyProtection="1">
      <alignment horizontal="center" vertical="center"/>
    </xf>
    <xf numFmtId="0" fontId="23" fillId="2" borderId="80" xfId="0" applyFont="1" applyFill="1" applyBorder="1" applyAlignment="1" applyProtection="1">
      <alignment vertical="top" wrapText="1"/>
    </xf>
    <xf numFmtId="2" fontId="0" fillId="2" borderId="0" xfId="0" applyNumberFormat="1" applyFill="1" applyAlignment="1" applyProtection="1">
      <alignment vertical="center"/>
    </xf>
    <xf numFmtId="44" fontId="0" fillId="2" borderId="11" xfId="0" applyNumberFormat="1" applyFill="1" applyBorder="1" applyAlignment="1" applyProtection="1">
      <alignment horizontal="center" vertical="center" wrapText="1"/>
    </xf>
    <xf numFmtId="44" fontId="0" fillId="2" borderId="12" xfId="0" applyNumberFormat="1" applyFill="1" applyBorder="1" applyAlignment="1" applyProtection="1">
      <alignment horizontal="center" vertical="center"/>
    </xf>
    <xf numFmtId="44" fontId="8" fillId="2" borderId="14" xfId="0" applyNumberFormat="1" applyFont="1" applyFill="1" applyBorder="1" applyAlignment="1" applyProtection="1">
      <alignment horizontal="center" vertical="center" wrapText="1"/>
    </xf>
    <xf numFmtId="44" fontId="8" fillId="2" borderId="0" xfId="0" applyNumberFormat="1" applyFont="1" applyFill="1" applyAlignment="1" applyProtection="1">
      <alignment horizontal="center" vertical="center" wrapText="1"/>
    </xf>
    <xf numFmtId="0" fontId="43" fillId="2" borderId="0" xfId="0" applyFont="1" applyFill="1" applyAlignment="1" applyProtection="1">
      <alignment vertical="center" wrapText="1"/>
    </xf>
    <xf numFmtId="0" fontId="95" fillId="2" borderId="0" xfId="0" applyFont="1" applyFill="1" applyAlignment="1" applyProtection="1">
      <alignment horizontal="right" vertical="center"/>
    </xf>
    <xf numFmtId="44" fontId="6" fillId="2" borderId="0" xfId="0" applyNumberFormat="1" applyFont="1" applyFill="1" applyAlignment="1" applyProtection="1">
      <alignment vertical="center"/>
    </xf>
    <xf numFmtId="0" fontId="18" fillId="2" borderId="0" xfId="0" applyFont="1" applyFill="1" applyAlignment="1" applyProtection="1">
      <alignment horizontal="right" vertical="center"/>
    </xf>
    <xf numFmtId="44" fontId="6" fillId="2" borderId="4" xfId="0" applyNumberFormat="1" applyFont="1" applyFill="1" applyBorder="1" applyAlignment="1" applyProtection="1">
      <alignment vertical="center"/>
    </xf>
    <xf numFmtId="0" fontId="23" fillId="2" borderId="0" xfId="0" applyFont="1" applyFill="1" applyAlignment="1" applyProtection="1">
      <alignment vertical="top" wrapText="1"/>
    </xf>
    <xf numFmtId="0" fontId="28" fillId="2" borderId="0" xfId="0" applyFont="1" applyFill="1" applyAlignment="1" applyProtection="1">
      <alignment horizontal="right" vertical="center"/>
    </xf>
    <xf numFmtId="44" fontId="9" fillId="2" borderId="0" xfId="0" applyNumberFormat="1" applyFont="1" applyFill="1" applyAlignment="1" applyProtection="1">
      <alignment vertical="center"/>
    </xf>
    <xf numFmtId="44" fontId="57" fillId="2" borderId="0" xfId="0" applyNumberFormat="1" applyFont="1" applyFill="1" applyAlignment="1" applyProtection="1">
      <alignment horizontal="right" vertical="center"/>
    </xf>
    <xf numFmtId="0" fontId="24" fillId="2" borderId="0" xfId="0" applyFont="1" applyFill="1" applyAlignment="1" applyProtection="1">
      <alignment vertical="center"/>
    </xf>
    <xf numFmtId="0" fontId="9" fillId="2" borderId="10" xfId="0" applyFont="1" applyFill="1" applyBorder="1" applyAlignment="1" applyProtection="1">
      <alignment horizontal="right" vertical="center"/>
    </xf>
    <xf numFmtId="0" fontId="9" fillId="2" borderId="13" xfId="0" applyFont="1" applyFill="1" applyBorder="1" applyAlignment="1" applyProtection="1">
      <alignment horizontal="right" vertical="center"/>
    </xf>
    <xf numFmtId="1" fontId="0" fillId="0" borderId="0" xfId="0" applyNumberFormat="1" applyProtection="1"/>
    <xf numFmtId="0" fontId="4" fillId="0" borderId="0" xfId="0" applyFont="1" applyAlignment="1" applyProtection="1">
      <alignment horizontal="center"/>
    </xf>
    <xf numFmtId="0" fontId="9" fillId="2" borderId="12" xfId="0" applyFont="1" applyFill="1" applyBorder="1" applyAlignment="1" applyProtection="1">
      <alignment horizontal="right" vertical="center"/>
    </xf>
    <xf numFmtId="44" fontId="0" fillId="2" borderId="14" xfId="0" applyNumberFormat="1" applyFill="1" applyBorder="1" applyAlignment="1" applyProtection="1">
      <alignment horizontal="center" vertical="center" wrapText="1"/>
    </xf>
    <xf numFmtId="2" fontId="6" fillId="6" borderId="0" xfId="0" applyNumberFormat="1" applyFont="1" applyFill="1" applyAlignment="1" applyProtection="1">
      <alignment vertical="center"/>
    </xf>
    <xf numFmtId="9" fontId="0" fillId="0" borderId="0" xfId="0" applyNumberFormat="1" applyProtection="1"/>
    <xf numFmtId="44" fontId="9" fillId="2" borderId="4" xfId="0" applyNumberFormat="1" applyFont="1" applyFill="1" applyBorder="1" applyAlignment="1" applyProtection="1">
      <alignment vertical="center"/>
    </xf>
    <xf numFmtId="44" fontId="18" fillId="0" borderId="0" xfId="0" applyNumberFormat="1" applyFont="1" applyProtection="1"/>
    <xf numFmtId="0" fontId="58" fillId="2" borderId="0" xfId="0" applyFont="1" applyFill="1" applyAlignment="1" applyProtection="1">
      <alignment vertical="top" wrapText="1"/>
    </xf>
    <xf numFmtId="0" fontId="22" fillId="2" borderId="0" xfId="0" applyFont="1" applyFill="1" applyAlignment="1" applyProtection="1">
      <alignment vertical="top" wrapText="1"/>
    </xf>
    <xf numFmtId="44" fontId="18" fillId="2" borderId="0" xfId="0" applyNumberFormat="1" applyFont="1" applyFill="1" applyAlignment="1" applyProtection="1">
      <alignment vertical="center"/>
    </xf>
    <xf numFmtId="0" fontId="0" fillId="2" borderId="3" xfId="0" applyFill="1" applyBorder="1" applyProtection="1"/>
    <xf numFmtId="0" fontId="12" fillId="2" borderId="0" xfId="0" applyFont="1" applyFill="1" applyAlignment="1" applyProtection="1">
      <alignment vertical="center" wrapText="1"/>
    </xf>
    <xf numFmtId="0" fontId="12" fillId="2" borderId="81" xfId="0" applyFont="1" applyFill="1" applyBorder="1" applyAlignment="1" applyProtection="1">
      <alignment vertical="center" wrapText="1"/>
    </xf>
    <xf numFmtId="0" fontId="0" fillId="2" borderId="2" xfId="0" applyFill="1" applyBorder="1" applyProtection="1"/>
    <xf numFmtId="0" fontId="0" fillId="5" borderId="3" xfId="0" applyFill="1" applyBorder="1" applyProtection="1"/>
    <xf numFmtId="0" fontId="0" fillId="5" borderId="18" xfId="0" applyFill="1" applyBorder="1" applyProtection="1"/>
    <xf numFmtId="0" fontId="0" fillId="5" borderId="2" xfId="0" applyFill="1" applyBorder="1" applyProtection="1"/>
    <xf numFmtId="0" fontId="19" fillId="5" borderId="80" xfId="0" applyFont="1" applyFill="1" applyBorder="1" applyAlignment="1" applyProtection="1">
      <alignment vertical="top" wrapText="1"/>
    </xf>
    <xf numFmtId="0" fontId="19" fillId="5" borderId="0" xfId="0" applyFont="1" applyFill="1" applyAlignment="1" applyProtection="1">
      <alignment vertical="top" wrapText="1"/>
    </xf>
    <xf numFmtId="0" fontId="6" fillId="5" borderId="92" xfId="0" applyFont="1" applyFill="1" applyBorder="1" applyAlignment="1" applyProtection="1">
      <alignment horizontal="center" wrapText="1"/>
    </xf>
    <xf numFmtId="0" fontId="0" fillId="0" borderId="94" xfId="0" applyBorder="1" applyProtection="1"/>
    <xf numFmtId="44" fontId="0" fillId="0" borderId="0" xfId="1" applyFont="1" applyProtection="1"/>
    <xf numFmtId="0" fontId="0" fillId="0" borderId="92" xfId="0" applyBorder="1" applyProtection="1"/>
    <xf numFmtId="0" fontId="0" fillId="0" borderId="56" xfId="0" applyBorder="1" applyProtection="1"/>
    <xf numFmtId="9" fontId="4" fillId="5" borderId="4" xfId="12" applyFont="1" applyFill="1" applyBorder="1" applyAlignment="1" applyProtection="1">
      <alignment horizontal="right" vertical="center"/>
    </xf>
    <xf numFmtId="9" fontId="4" fillId="5" borderId="4" xfId="12" applyFont="1" applyFill="1" applyBorder="1" applyAlignment="1" applyProtection="1">
      <alignment horizontal="right" vertical="center"/>
      <protection hidden="1"/>
    </xf>
    <xf numFmtId="9" fontId="15" fillId="5" borderId="4" xfId="12" applyFont="1" applyFill="1" applyBorder="1" applyAlignment="1" applyProtection="1">
      <alignment horizontal="right" vertical="center"/>
    </xf>
    <xf numFmtId="0" fontId="4" fillId="5" borderId="83" xfId="0" applyFont="1" applyFill="1" applyBorder="1" applyProtection="1"/>
    <xf numFmtId="0" fontId="0" fillId="5" borderId="82" xfId="0" applyFill="1" applyBorder="1" applyProtection="1"/>
    <xf numFmtId="0" fontId="0" fillId="5" borderId="93" xfId="0" applyFill="1" applyBorder="1" applyProtection="1"/>
    <xf numFmtId="0" fontId="6" fillId="5" borderId="82" xfId="0" applyFont="1" applyFill="1" applyBorder="1" applyAlignment="1" applyProtection="1">
      <alignment horizontal="right" vertical="center"/>
    </xf>
    <xf numFmtId="0" fontId="6" fillId="5" borderId="94" xfId="0" applyFont="1" applyFill="1" applyBorder="1" applyAlignment="1" applyProtection="1">
      <alignment horizontal="right" vertical="center"/>
    </xf>
    <xf numFmtId="0" fontId="24" fillId="5" borderId="0" xfId="0" applyFont="1" applyFill="1" applyProtection="1"/>
    <xf numFmtId="0" fontId="24" fillId="0" borderId="0" xfId="0" applyFont="1" applyProtection="1"/>
    <xf numFmtId="0" fontId="92" fillId="5" borderId="0" xfId="0" applyFont="1" applyFill="1" applyAlignment="1" applyProtection="1">
      <alignment horizontal="right"/>
    </xf>
    <xf numFmtId="44" fontId="18" fillId="2" borderId="4" xfId="0" applyNumberFormat="1" applyFont="1" applyFill="1" applyBorder="1" applyAlignment="1" applyProtection="1">
      <alignment horizontal="left" vertical="center"/>
    </xf>
    <xf numFmtId="44" fontId="0" fillId="4" borderId="4" xfId="1" applyFont="1" applyFill="1" applyBorder="1" applyAlignment="1" applyProtection="1">
      <alignment horizontal="center" vertical="center"/>
    </xf>
    <xf numFmtId="0" fontId="0" fillId="5" borderId="4" xfId="0" applyFill="1" applyBorder="1" applyAlignment="1" applyProtection="1">
      <alignment horizontal="right" vertical="center" wrapText="1"/>
    </xf>
    <xf numFmtId="0" fontId="17" fillId="2" borderId="0" xfId="0" applyFont="1" applyFill="1" applyAlignment="1" applyProtection="1">
      <alignment horizontal="right" vertical="center"/>
    </xf>
    <xf numFmtId="0" fontId="0" fillId="5" borderId="5" xfId="0" applyFill="1" applyBorder="1" applyProtection="1"/>
    <xf numFmtId="0" fontId="0" fillId="5" borderId="6" xfId="0" applyFill="1" applyBorder="1" applyProtection="1"/>
    <xf numFmtId="0" fontId="17" fillId="2" borderId="6" xfId="0" applyFont="1" applyFill="1" applyBorder="1" applyAlignment="1" applyProtection="1">
      <alignment horizontal="right" vertical="center"/>
    </xf>
    <xf numFmtId="44" fontId="18" fillId="2" borderId="6" xfId="0" applyNumberFormat="1" applyFont="1" applyFill="1" applyBorder="1" applyAlignment="1" applyProtection="1">
      <alignment vertical="center"/>
    </xf>
    <xf numFmtId="0" fontId="0" fillId="5" borderId="7" xfId="0" applyFill="1" applyBorder="1" applyProtection="1"/>
    <xf numFmtId="0" fontId="17" fillId="0" borderId="85" xfId="6" applyFont="1" applyBorder="1" applyAlignment="1" applyProtection="1">
      <alignment vertical="center"/>
    </xf>
    <xf numFmtId="0" fontId="34" fillId="0" borderId="85" xfId="6" applyFont="1" applyBorder="1" applyAlignment="1" applyProtection="1">
      <alignment vertical="center"/>
    </xf>
    <xf numFmtId="0" fontId="12" fillId="0" borderId="0" xfId="6" applyFont="1" applyAlignment="1" applyProtection="1">
      <alignment horizontal="left" vertical="center"/>
    </xf>
    <xf numFmtId="0" fontId="12" fillId="0" borderId="0" xfId="6" applyFont="1" applyAlignment="1" applyProtection="1">
      <alignment horizontal="center" vertical="center" wrapText="1"/>
    </xf>
    <xf numFmtId="0" fontId="12" fillId="5" borderId="0" xfId="6" applyFont="1" applyFill="1" applyAlignment="1" applyProtection="1">
      <alignment horizontal="center" vertical="center" wrapText="1"/>
    </xf>
    <xf numFmtId="44" fontId="45" fillId="5" borderId="0" xfId="1" applyFont="1" applyFill="1" applyBorder="1" applyAlignment="1" applyProtection="1">
      <alignment horizontal="center" vertical="center"/>
    </xf>
    <xf numFmtId="166" fontId="0" fillId="4" borderId="4" xfId="1" applyNumberFormat="1" applyFont="1" applyFill="1" applyBorder="1" applyAlignment="1" applyProtection="1">
      <alignment horizontal="center" vertical="center"/>
    </xf>
    <xf numFmtId="0" fontId="9" fillId="0" borderId="0" xfId="6" applyFont="1" applyAlignment="1" applyProtection="1">
      <alignment horizontal="right" vertical="center"/>
    </xf>
    <xf numFmtId="0" fontId="15" fillId="0" borderId="0" xfId="6" applyAlignment="1" applyProtection="1">
      <alignment vertical="center"/>
    </xf>
    <xf numFmtId="5" fontId="9" fillId="0" borderId="0" xfId="6" applyNumberFormat="1" applyFont="1" applyAlignment="1" applyProtection="1">
      <alignment horizontal="center" vertical="center"/>
    </xf>
    <xf numFmtId="0" fontId="12" fillId="0" borderId="0" xfId="6" applyFont="1" applyAlignment="1" applyProtection="1">
      <alignment vertical="center"/>
    </xf>
    <xf numFmtId="166" fontId="9" fillId="0" borderId="0" xfId="6" applyNumberFormat="1" applyFont="1" applyAlignment="1" applyProtection="1">
      <alignment horizontal="center" vertical="center"/>
    </xf>
    <xf numFmtId="0" fontId="17" fillId="0" borderId="85" xfId="6" applyFont="1" applyBorder="1" applyAlignment="1" applyProtection="1">
      <alignment horizontal="left" vertical="center"/>
    </xf>
    <xf numFmtId="0" fontId="17" fillId="0" borderId="0" xfId="6" applyFont="1" applyAlignment="1" applyProtection="1">
      <alignment horizontal="right" vertical="center"/>
    </xf>
    <xf numFmtId="6" fontId="17" fillId="0" borderId="0" xfId="6" applyNumberFormat="1" applyFont="1" applyAlignment="1" applyProtection="1">
      <alignment horizontal="center"/>
    </xf>
    <xf numFmtId="0" fontId="9" fillId="0" borderId="0" xfId="6" applyFont="1" applyAlignment="1" applyProtection="1">
      <alignment vertical="center"/>
    </xf>
    <xf numFmtId="0" fontId="6" fillId="0" borderId="0" xfId="6" applyFont="1" applyAlignment="1" applyProtection="1">
      <alignment horizontal="right" vertical="center"/>
    </xf>
    <xf numFmtId="167" fontId="6" fillId="5" borderId="0" xfId="1" applyNumberFormat="1" applyFont="1" applyFill="1" applyBorder="1" applyAlignment="1" applyProtection="1">
      <alignment horizontal="center" vertical="center"/>
    </xf>
    <xf numFmtId="10" fontId="12" fillId="0" borderId="0" xfId="6" applyNumberFormat="1" applyFont="1" applyAlignment="1" applyProtection="1">
      <alignment horizontal="center" vertical="center"/>
    </xf>
    <xf numFmtId="9" fontId="6" fillId="0" borderId="0" xfId="6" applyNumberFormat="1" applyFont="1" applyAlignment="1" applyProtection="1">
      <alignment horizontal="center" vertical="center"/>
    </xf>
    <xf numFmtId="0" fontId="13" fillId="0" borderId="0" xfId="6" applyFont="1" applyAlignment="1" applyProtection="1">
      <alignment vertical="center"/>
    </xf>
    <xf numFmtId="0" fontId="8" fillId="5" borderId="6" xfId="0" applyFont="1" applyFill="1" applyBorder="1" applyProtection="1"/>
    <xf numFmtId="0" fontId="6" fillId="0" borderId="0" xfId="6" applyFont="1" applyAlignment="1" applyProtection="1">
      <alignment vertical="center"/>
    </xf>
    <xf numFmtId="0" fontId="15" fillId="0" borderId="0" xfId="6" applyProtection="1"/>
    <xf numFmtId="10" fontId="15" fillId="0" borderId="0" xfId="6" applyNumberFormat="1" applyAlignment="1" applyProtection="1">
      <alignment vertical="center"/>
    </xf>
    <xf numFmtId="39" fontId="15" fillId="0" borderId="0" xfId="6" applyNumberFormat="1" applyProtection="1"/>
    <xf numFmtId="0" fontId="6" fillId="0" borderId="0" xfId="6" applyFont="1" applyProtection="1"/>
    <xf numFmtId="0" fontId="84" fillId="0" borderId="0" xfId="0" applyFont="1" applyProtection="1"/>
    <xf numFmtId="0" fontId="85" fillId="19" borderId="4" xfId="6" applyFont="1" applyFill="1" applyBorder="1" applyAlignment="1" applyProtection="1">
      <alignment horizontal="left" vertical="center" wrapText="1"/>
    </xf>
    <xf numFmtId="0" fontId="85" fillId="19" borderId="4" xfId="6" applyFont="1" applyFill="1" applyBorder="1" applyAlignment="1" applyProtection="1">
      <alignment vertical="center" wrapText="1"/>
    </xf>
    <xf numFmtId="0" fontId="85" fillId="19" borderId="4" xfId="6" applyFont="1" applyFill="1" applyBorder="1" applyAlignment="1" applyProtection="1">
      <alignment horizontal="center" vertical="center" wrapText="1"/>
    </xf>
    <xf numFmtId="2" fontId="86" fillId="19" borderId="4" xfId="1" applyNumberFormat="1" applyFont="1" applyFill="1" applyBorder="1" applyAlignment="1" applyProtection="1">
      <alignment vertical="center"/>
      <protection hidden="1"/>
    </xf>
    <xf numFmtId="0" fontId="87" fillId="19" borderId="102" xfId="0" applyFont="1" applyFill="1" applyBorder="1" applyProtection="1"/>
    <xf numFmtId="0" fontId="87" fillId="19" borderId="103" xfId="0" applyFont="1" applyFill="1" applyBorder="1" applyProtection="1"/>
    <xf numFmtId="2" fontId="85" fillId="19" borderId="103" xfId="0" applyNumberFormat="1" applyFont="1" applyFill="1" applyBorder="1" applyProtection="1"/>
    <xf numFmtId="44" fontId="85" fillId="19" borderId="103" xfId="1" applyFont="1" applyFill="1" applyBorder="1" applyAlignment="1" applyProtection="1"/>
    <xf numFmtId="2" fontId="87" fillId="19" borderId="84" xfId="1" applyNumberFormat="1" applyFont="1" applyFill="1" applyBorder="1" applyProtection="1">
      <protection hidden="1"/>
    </xf>
    <xf numFmtId="44" fontId="84" fillId="0" borderId="0" xfId="0" applyNumberFormat="1" applyFont="1" applyProtection="1"/>
    <xf numFmtId="0" fontId="93" fillId="0" borderId="0" xfId="0" applyFont="1" applyProtection="1"/>
    <xf numFmtId="2" fontId="86" fillId="19" borderId="95" xfId="1" applyNumberFormat="1" applyFont="1" applyFill="1" applyBorder="1" applyAlignment="1" applyProtection="1">
      <alignment vertical="center"/>
      <protection hidden="1"/>
    </xf>
    <xf numFmtId="0" fontId="87" fillId="19" borderId="96" xfId="0" applyFont="1" applyFill="1" applyBorder="1" applyProtection="1"/>
    <xf numFmtId="0" fontId="85" fillId="19" borderId="81" xfId="6" applyFont="1" applyFill="1" applyBorder="1" applyAlignment="1" applyProtection="1">
      <alignment horizontal="left" vertical="center" wrapText="1"/>
      <protection hidden="1"/>
    </xf>
    <xf numFmtId="0" fontId="85" fillId="19" borderId="141" xfId="6" applyFont="1" applyFill="1" applyBorder="1" applyAlignment="1" applyProtection="1">
      <alignment horizontal="left" vertical="center" wrapText="1"/>
      <protection hidden="1"/>
    </xf>
    <xf numFmtId="44" fontId="86" fillId="19" borderId="4" xfId="1" applyFont="1" applyFill="1" applyBorder="1" applyAlignment="1" applyProtection="1">
      <alignment vertical="center"/>
      <protection hidden="1"/>
    </xf>
    <xf numFmtId="0" fontId="6" fillId="0" borderId="4" xfId="0" applyFont="1" applyBorder="1" applyProtection="1"/>
    <xf numFmtId="0" fontId="0" fillId="0" borderId="4" xfId="0" applyBorder="1" applyProtection="1"/>
    <xf numFmtId="0" fontId="94" fillId="0" borderId="142" xfId="0" applyFont="1" applyBorder="1" applyProtection="1">
      <protection hidden="1"/>
    </xf>
    <xf numFmtId="169" fontId="94" fillId="0" borderId="141" xfId="1" applyNumberFormat="1" applyFont="1" applyFill="1" applyBorder="1" applyProtection="1">
      <protection hidden="1"/>
    </xf>
    <xf numFmtId="0" fontId="64" fillId="0" borderId="142" xfId="0" applyFont="1" applyBorder="1" applyProtection="1">
      <protection hidden="1"/>
    </xf>
    <xf numFmtId="0" fontId="94" fillId="0" borderId="140" xfId="0" applyFont="1" applyBorder="1" applyProtection="1">
      <protection hidden="1"/>
    </xf>
    <xf numFmtId="169" fontId="94" fillId="0" borderId="139" xfId="1" applyNumberFormat="1" applyFont="1" applyFill="1" applyBorder="1" applyProtection="1">
      <protection hidden="1"/>
    </xf>
    <xf numFmtId="0" fontId="94" fillId="0" borderId="0" xfId="0" applyFont="1" applyProtection="1"/>
    <xf numFmtId="2" fontId="87" fillId="19" borderId="103" xfId="0" applyNumberFormat="1" applyFont="1" applyFill="1" applyBorder="1" applyProtection="1"/>
    <xf numFmtId="44" fontId="87" fillId="19" borderId="103" xfId="1" applyFont="1" applyFill="1" applyBorder="1" applyAlignment="1" applyProtection="1"/>
    <xf numFmtId="44" fontId="85" fillId="19" borderId="84" xfId="1" applyFont="1" applyFill="1" applyBorder="1" applyProtection="1">
      <protection hidden="1"/>
    </xf>
    <xf numFmtId="0" fontId="1" fillId="24" borderId="0" xfId="8" applyFont="1" applyFill="1" applyAlignment="1">
      <alignment horizontal="left" vertical="center" wrapText="1"/>
    </xf>
    <xf numFmtId="168" fontId="83" fillId="20" borderId="114" xfId="12" applyNumberFormat="1" applyFont="1" applyFill="1" applyBorder="1"/>
    <xf numFmtId="168" fontId="82" fillId="20" borderId="110" xfId="12" applyNumberFormat="1" applyFont="1" applyFill="1" applyBorder="1"/>
    <xf numFmtId="168" fontId="83" fillId="20" borderId="110" xfId="12" applyNumberFormat="1" applyFont="1" applyFill="1" applyBorder="1"/>
    <xf numFmtId="168" fontId="65" fillId="20" borderId="110" xfId="12" applyNumberFormat="1" applyFont="1" applyFill="1" applyBorder="1"/>
    <xf numFmtId="168" fontId="67" fillId="20" borderId="110" xfId="12" applyNumberFormat="1" applyFont="1" applyFill="1" applyBorder="1"/>
    <xf numFmtId="0" fontId="6" fillId="5" borderId="0" xfId="0" applyFont="1" applyFill="1" applyAlignment="1" applyProtection="1">
      <alignment horizontal="right" vertical="center"/>
    </xf>
    <xf numFmtId="0" fontId="10" fillId="5" borderId="3" xfId="0" applyFont="1" applyFill="1" applyBorder="1" applyAlignment="1" applyProtection="1">
      <alignment horizontal="right" vertical="center"/>
    </xf>
    <xf numFmtId="0" fontId="10" fillId="5" borderId="0" xfId="0" applyFont="1" applyFill="1" applyAlignment="1" applyProtection="1">
      <alignment horizontal="right" vertical="center"/>
    </xf>
    <xf numFmtId="0" fontId="0" fillId="0" borderId="0" xfId="0" applyAlignment="1" applyProtection="1">
      <alignment horizontal="center"/>
    </xf>
    <xf numFmtId="0" fontId="6" fillId="0" borderId="0" xfId="6" applyFont="1" applyAlignment="1" applyProtection="1">
      <alignment horizontal="center" vertical="center"/>
    </xf>
    <xf numFmtId="0" fontId="6" fillId="5" borderId="0" xfId="0" applyFont="1" applyFill="1" applyAlignment="1" applyProtection="1">
      <alignment horizontal="right" vertical="center" wrapText="1"/>
    </xf>
    <xf numFmtId="44" fontId="86" fillId="4" borderId="4" xfId="1" applyFont="1" applyFill="1" applyBorder="1" applyAlignment="1" applyProtection="1">
      <alignment vertical="center"/>
    </xf>
    <xf numFmtId="44" fontId="86" fillId="4" borderId="95" xfId="1" applyFont="1" applyFill="1" applyBorder="1" applyAlignment="1" applyProtection="1">
      <alignment vertical="center"/>
    </xf>
    <xf numFmtId="0" fontId="6" fillId="2" borderId="0" xfId="0" applyFont="1" applyFill="1" applyAlignment="1" applyProtection="1">
      <alignment horizontal="left" vertical="center" wrapText="1"/>
    </xf>
    <xf numFmtId="0" fontId="32" fillId="2" borderId="80" xfId="0" applyFont="1" applyFill="1" applyBorder="1" applyAlignment="1" applyProtection="1">
      <alignment horizontal="center" vertical="center" wrapText="1"/>
    </xf>
    <xf numFmtId="0" fontId="32" fillId="2" borderId="82" xfId="0" applyFont="1" applyFill="1" applyBorder="1" applyAlignment="1" applyProtection="1">
      <alignment horizontal="center" vertical="center" wrapText="1"/>
    </xf>
    <xf numFmtId="0" fontId="16" fillId="0" borderId="81" xfId="0" applyFont="1" applyBorder="1" applyAlignment="1" applyProtection="1">
      <alignment horizontal="center" vertical="center"/>
    </xf>
    <xf numFmtId="0" fontId="16" fillId="0" borderId="80" xfId="0" applyFont="1" applyBorder="1" applyAlignment="1" applyProtection="1">
      <alignment horizontal="center" vertical="center"/>
    </xf>
    <xf numFmtId="0" fontId="16" fillId="0" borderId="92" xfId="0" applyFont="1" applyBorder="1" applyAlignment="1" applyProtection="1">
      <alignment horizontal="center" vertical="center"/>
    </xf>
    <xf numFmtId="0" fontId="16" fillId="0" borderId="83" xfId="0" applyFont="1" applyBorder="1" applyAlignment="1" applyProtection="1">
      <alignment horizontal="center" vertical="center"/>
    </xf>
    <xf numFmtId="0" fontId="16" fillId="0" borderId="82" xfId="0" applyFont="1" applyBorder="1" applyAlignment="1" applyProtection="1">
      <alignment horizontal="center" vertical="center"/>
    </xf>
    <xf numFmtId="0" fontId="16" fillId="0" borderId="93" xfId="0" applyFont="1" applyBorder="1" applyAlignment="1" applyProtection="1">
      <alignment horizontal="center" vertical="center"/>
    </xf>
    <xf numFmtId="44" fontId="0" fillId="4" borderId="86" xfId="1" applyFont="1" applyFill="1" applyBorder="1" applyAlignment="1" applyProtection="1">
      <alignment horizontal="center" vertical="center"/>
    </xf>
    <xf numFmtId="44" fontId="0" fillId="4" borderId="88" xfId="1" applyFont="1" applyFill="1" applyBorder="1" applyAlignment="1" applyProtection="1">
      <alignment horizontal="center" vertical="center"/>
    </xf>
    <xf numFmtId="44" fontId="0" fillId="4" borderId="94" xfId="1" applyFont="1" applyFill="1" applyBorder="1" applyAlignment="1" applyProtection="1">
      <alignment horizontal="center" vertical="center"/>
    </xf>
    <xf numFmtId="0" fontId="16" fillId="2" borderId="97" xfId="0" applyFont="1" applyFill="1" applyBorder="1" applyAlignment="1" applyProtection="1">
      <alignment horizontal="center" vertical="center"/>
    </xf>
    <xf numFmtId="0" fontId="16" fillId="2" borderId="43" xfId="0" applyFont="1" applyFill="1" applyBorder="1" applyAlignment="1" applyProtection="1">
      <alignment horizontal="center" vertical="center"/>
    </xf>
    <xf numFmtId="0" fontId="16" fillId="2" borderId="98" xfId="0" applyFont="1" applyFill="1" applyBorder="1" applyAlignment="1" applyProtection="1">
      <alignment horizontal="center" vertical="center"/>
    </xf>
    <xf numFmtId="0" fontId="4" fillId="5" borderId="0" xfId="0" applyFont="1" applyFill="1" applyAlignment="1" applyProtection="1">
      <alignment horizontal="left" vertical="center" wrapText="1"/>
    </xf>
    <xf numFmtId="0" fontId="0" fillId="5" borderId="0" xfId="0" applyFill="1" applyAlignment="1" applyProtection="1">
      <alignment horizontal="left" vertical="center" wrapText="1"/>
    </xf>
    <xf numFmtId="0" fontId="19" fillId="5" borderId="81" xfId="0" applyFont="1" applyFill="1" applyBorder="1" applyAlignment="1" applyProtection="1">
      <alignment horizontal="left" vertical="top" wrapText="1"/>
    </xf>
    <xf numFmtId="0" fontId="19" fillId="5" borderId="80" xfId="0" applyFont="1" applyFill="1" applyBorder="1" applyAlignment="1" applyProtection="1">
      <alignment horizontal="left" vertical="top" wrapText="1"/>
    </xf>
    <xf numFmtId="0" fontId="19" fillId="5" borderId="18" xfId="0" applyFont="1" applyFill="1" applyBorder="1" applyAlignment="1" applyProtection="1">
      <alignment horizontal="left" vertical="top" wrapText="1"/>
    </xf>
    <xf numFmtId="0" fontId="19" fillId="5" borderId="0" xfId="0" applyFont="1" applyFill="1" applyAlignment="1" applyProtection="1">
      <alignment horizontal="left" vertical="top" wrapText="1"/>
    </xf>
    <xf numFmtId="0" fontId="6" fillId="5" borderId="0" xfId="0" applyFont="1" applyFill="1" applyAlignment="1" applyProtection="1">
      <alignment horizontal="center" wrapText="1"/>
    </xf>
    <xf numFmtId="9" fontId="4" fillId="4" borderId="4" xfId="12" applyFont="1" applyFill="1" applyBorder="1" applyAlignment="1" applyProtection="1">
      <alignment horizontal="center" vertical="center"/>
      <protection locked="0"/>
    </xf>
    <xf numFmtId="0" fontId="6" fillId="5" borderId="0" xfId="0" applyFont="1" applyFill="1" applyAlignment="1" applyProtection="1">
      <alignment horizontal="right" vertical="center" wrapText="1"/>
    </xf>
    <xf numFmtId="0" fontId="6" fillId="2" borderId="56" xfId="0" applyFont="1" applyFill="1" applyBorder="1" applyAlignment="1" applyProtection="1">
      <alignment horizontal="right" vertical="center" wrapText="1"/>
    </xf>
    <xf numFmtId="0" fontId="8" fillId="0" borderId="0" xfId="0" applyFont="1" applyAlignment="1" applyProtection="1">
      <alignment horizontal="center"/>
    </xf>
    <xf numFmtId="0" fontId="0" fillId="0" borderId="0" xfId="0" applyAlignment="1" applyProtection="1">
      <alignment horizontal="center"/>
    </xf>
    <xf numFmtId="0" fontId="0" fillId="8" borderId="0" xfId="0" applyFill="1" applyAlignment="1" applyProtection="1">
      <alignment horizontal="center"/>
    </xf>
    <xf numFmtId="0" fontId="20" fillId="2" borderId="0" xfId="0" applyFont="1" applyFill="1" applyAlignment="1" applyProtection="1">
      <alignment horizontal="left" vertical="top" wrapText="1"/>
    </xf>
    <xf numFmtId="0" fontId="4" fillId="5" borderId="0" xfId="0" applyFont="1" applyFill="1" applyAlignment="1" applyProtection="1">
      <alignment horizontal="left" wrapText="1"/>
    </xf>
    <xf numFmtId="0" fontId="0" fillId="5" borderId="0" xfId="0" applyFill="1" applyAlignment="1" applyProtection="1">
      <alignment horizontal="left" wrapText="1"/>
    </xf>
    <xf numFmtId="0" fontId="6" fillId="0" borderId="0" xfId="6" applyFont="1" applyAlignment="1" applyProtection="1">
      <alignment horizontal="center" vertical="center"/>
    </xf>
    <xf numFmtId="44" fontId="4" fillId="5" borderId="95" xfId="1" applyFont="1" applyFill="1" applyBorder="1" applyAlignment="1" applyProtection="1">
      <alignment horizontal="center" vertical="center"/>
    </xf>
    <xf numFmtId="44" fontId="4" fillId="5" borderId="17" xfId="1" applyFont="1" applyFill="1" applyBorder="1" applyAlignment="1" applyProtection="1">
      <alignment horizontal="center" vertical="center"/>
    </xf>
    <xf numFmtId="44" fontId="4" fillId="5" borderId="58" xfId="1" applyFont="1" applyFill="1" applyBorder="1" applyAlignment="1" applyProtection="1">
      <alignment horizontal="center" vertical="center"/>
    </xf>
    <xf numFmtId="0" fontId="16" fillId="0" borderId="97" xfId="0" applyFont="1" applyBorder="1" applyAlignment="1" applyProtection="1">
      <alignment horizontal="center" vertical="center"/>
    </xf>
    <xf numFmtId="0" fontId="16" fillId="0" borderId="43" xfId="0" applyFont="1" applyBorder="1" applyAlignment="1" applyProtection="1">
      <alignment horizontal="center" vertical="center"/>
    </xf>
    <xf numFmtId="0" fontId="16" fillId="0" borderId="98" xfId="0" applyFont="1" applyBorder="1" applyAlignment="1" applyProtection="1">
      <alignment horizontal="center" vertical="center"/>
    </xf>
    <xf numFmtId="0" fontId="6" fillId="5" borderId="0" xfId="0" applyFont="1" applyFill="1" applyAlignment="1" applyProtection="1">
      <alignment horizontal="right" vertical="center"/>
    </xf>
    <xf numFmtId="0" fontId="6" fillId="5" borderId="6" xfId="0" applyFont="1" applyFill="1" applyBorder="1" applyAlignment="1" applyProtection="1">
      <alignment horizontal="right" vertical="center"/>
    </xf>
    <xf numFmtId="9" fontId="20" fillId="0" borderId="0" xfId="0" applyNumberFormat="1" applyFont="1" applyAlignment="1" applyProtection="1">
      <alignment horizontal="left" vertical="center" wrapText="1"/>
    </xf>
    <xf numFmtId="9" fontId="20" fillId="0" borderId="6" xfId="0" applyNumberFormat="1" applyFont="1" applyBorder="1" applyAlignment="1" applyProtection="1">
      <alignment horizontal="left" vertical="center" wrapText="1"/>
    </xf>
    <xf numFmtId="0" fontId="10" fillId="5" borderId="3" xfId="0" applyFont="1" applyFill="1" applyBorder="1" applyAlignment="1" applyProtection="1">
      <alignment horizontal="right" vertical="center"/>
    </xf>
    <xf numFmtId="0" fontId="10" fillId="5" borderId="0" xfId="0" applyFont="1" applyFill="1" applyAlignment="1" applyProtection="1">
      <alignment horizontal="right" vertical="center"/>
    </xf>
    <xf numFmtId="0" fontId="6" fillId="4" borderId="88" xfId="0" applyFont="1" applyFill="1" applyBorder="1" applyAlignment="1" applyProtection="1">
      <alignment horizontal="left" vertical="center"/>
      <protection locked="0"/>
    </xf>
    <xf numFmtId="0" fontId="6" fillId="4" borderId="82" xfId="0" applyFont="1" applyFill="1" applyBorder="1" applyAlignment="1" applyProtection="1">
      <alignment horizontal="left" vertical="center"/>
      <protection locked="0"/>
    </xf>
    <xf numFmtId="0" fontId="6" fillId="4" borderId="88" xfId="0" applyFont="1" applyFill="1" applyBorder="1" applyAlignment="1" applyProtection="1">
      <alignment horizontal="left" vertical="center" wrapText="1"/>
      <protection locked="0"/>
    </xf>
    <xf numFmtId="14" fontId="4" fillId="4" borderId="86" xfId="0" applyNumberFormat="1" applyFont="1" applyFill="1" applyBorder="1" applyAlignment="1" applyProtection="1">
      <alignment horizontal="center" vertical="center"/>
      <protection locked="0"/>
    </xf>
    <xf numFmtId="14" fontId="4" fillId="4" borderId="88" xfId="0" applyNumberFormat="1" applyFont="1" applyFill="1" applyBorder="1" applyAlignment="1" applyProtection="1">
      <alignment horizontal="center" vertical="center"/>
      <protection locked="0"/>
    </xf>
    <xf numFmtId="14" fontId="4" fillId="4" borderId="94" xfId="0" applyNumberFormat="1" applyFont="1" applyFill="1" applyBorder="1" applyAlignment="1" applyProtection="1">
      <alignment horizontal="center" vertical="center"/>
      <protection locked="0"/>
    </xf>
    <xf numFmtId="14" fontId="4" fillId="4" borderId="83" xfId="0" applyNumberFormat="1" applyFont="1" applyFill="1" applyBorder="1" applyAlignment="1" applyProtection="1">
      <alignment horizontal="center" vertical="center"/>
      <protection locked="0"/>
    </xf>
    <xf numFmtId="14" fontId="4" fillId="4" borderId="82" xfId="0" applyNumberFormat="1" applyFont="1" applyFill="1" applyBorder="1" applyAlignment="1" applyProtection="1">
      <alignment horizontal="center" vertical="center"/>
      <protection locked="0"/>
    </xf>
    <xf numFmtId="14" fontId="4" fillId="4" borderId="93" xfId="0" applyNumberFormat="1" applyFont="1" applyFill="1" applyBorder="1" applyAlignment="1" applyProtection="1">
      <alignment horizontal="center" vertical="center"/>
      <protection locked="0"/>
    </xf>
    <xf numFmtId="0" fontId="6" fillId="4" borderId="88" xfId="0" applyFont="1" applyFill="1" applyBorder="1" applyAlignment="1" applyProtection="1">
      <alignment horizontal="center" vertical="center"/>
      <protection locked="0"/>
    </xf>
    <xf numFmtId="0" fontId="9" fillId="2" borderId="80" xfId="0" applyFont="1" applyFill="1" applyBorder="1" applyAlignment="1" applyProtection="1">
      <alignment horizontal="center" vertical="center"/>
    </xf>
    <xf numFmtId="14" fontId="6" fillId="26" borderId="88" xfId="0" applyNumberFormat="1" applyFont="1" applyFill="1" applyBorder="1" applyAlignment="1" applyProtection="1">
      <alignment horizontal="center" vertical="center"/>
      <protection locked="0"/>
    </xf>
    <xf numFmtId="0" fontId="6" fillId="4" borderId="88" xfId="0" applyFont="1" applyFill="1" applyBorder="1" applyAlignment="1" applyProtection="1">
      <alignment horizontal="left" vertical="center" wrapText="1"/>
    </xf>
    <xf numFmtId="0" fontId="6" fillId="0" borderId="86" xfId="7" applyFont="1" applyBorder="1" applyAlignment="1">
      <alignment horizontal="right" wrapText="1"/>
    </xf>
    <xf numFmtId="0" fontId="6" fillId="0" borderId="88" xfId="7" applyFont="1" applyBorder="1" applyAlignment="1">
      <alignment horizontal="right" wrapText="1"/>
    </xf>
    <xf numFmtId="0" fontId="6" fillId="0" borderId="90" xfId="7" applyFont="1" applyBorder="1" applyAlignment="1">
      <alignment horizontal="right" wrapText="1"/>
    </xf>
    <xf numFmtId="0" fontId="36" fillId="0" borderId="99" xfId="7" applyFont="1" applyBorder="1" applyAlignment="1">
      <alignment horizontal="center" vertical="center"/>
    </xf>
    <xf numFmtId="0" fontId="36" fillId="0" borderId="100" xfId="7" applyFont="1" applyBorder="1" applyAlignment="1">
      <alignment horizontal="center" vertical="center"/>
    </xf>
    <xf numFmtId="0" fontId="36" fillId="0" borderId="101" xfId="7" applyFont="1" applyBorder="1" applyAlignment="1">
      <alignment horizontal="center" vertical="center"/>
    </xf>
    <xf numFmtId="0" fontId="4" fillId="0" borderId="87" xfId="7" applyBorder="1" applyAlignment="1">
      <alignment horizontal="center"/>
    </xf>
    <xf numFmtId="0" fontId="4" fillId="0" borderId="86" xfId="7" applyBorder="1" applyAlignment="1">
      <alignment horizontal="center"/>
    </xf>
    <xf numFmtId="0" fontId="4" fillId="0" borderId="88" xfId="7" applyBorder="1" applyAlignment="1">
      <alignment horizontal="center"/>
    </xf>
    <xf numFmtId="0" fontId="4" fillId="0" borderId="90" xfId="7" applyBorder="1" applyAlignment="1">
      <alignment horizontal="center"/>
    </xf>
    <xf numFmtId="0" fontId="97" fillId="19" borderId="102" xfId="0" applyFont="1" applyFill="1" applyBorder="1" applyAlignment="1" applyProtection="1">
      <alignment horizontal="left"/>
    </xf>
    <xf numFmtId="0" fontId="97" fillId="19" borderId="103" xfId="0" applyFont="1" applyFill="1" applyBorder="1" applyAlignment="1" applyProtection="1">
      <alignment horizontal="left"/>
    </xf>
    <xf numFmtId="0" fontId="97" fillId="19" borderId="96" xfId="0" applyFont="1" applyFill="1" applyBorder="1" applyAlignment="1" applyProtection="1">
      <alignment horizontal="left"/>
    </xf>
    <xf numFmtId="0" fontId="85" fillId="30" borderId="86" xfId="0" applyFont="1" applyFill="1" applyBorder="1" applyAlignment="1" applyProtection="1">
      <alignment horizontal="left" vertical="center"/>
    </xf>
    <xf numFmtId="0" fontId="85" fillId="30" borderId="88" xfId="0" applyFont="1" applyFill="1" applyBorder="1" applyAlignment="1" applyProtection="1">
      <alignment horizontal="left" vertical="center"/>
    </xf>
    <xf numFmtId="0" fontId="85" fillId="30" borderId="94" xfId="0" applyFont="1" applyFill="1" applyBorder="1" applyAlignment="1" applyProtection="1">
      <alignment horizontal="left" vertical="center"/>
    </xf>
    <xf numFmtId="0" fontId="0" fillId="0" borderId="4" xfId="0" applyBorder="1" applyAlignment="1" applyProtection="1">
      <alignment horizontal="center"/>
    </xf>
    <xf numFmtId="0" fontId="0" fillId="0" borderId="86" xfId="0" applyBorder="1" applyAlignment="1" applyProtection="1">
      <alignment horizontal="center"/>
    </xf>
    <xf numFmtId="0" fontId="0" fillId="0" borderId="88" xfId="0" applyBorder="1" applyAlignment="1" applyProtection="1">
      <alignment horizontal="center"/>
    </xf>
    <xf numFmtId="0" fontId="0" fillId="0" borderId="94" xfId="0" applyBorder="1" applyAlignment="1" applyProtection="1">
      <alignment horizontal="center"/>
    </xf>
    <xf numFmtId="0" fontId="4" fillId="0" borderId="86" xfId="0" applyFont="1" applyBorder="1" applyAlignment="1" applyProtection="1">
      <alignment horizontal="center"/>
    </xf>
    <xf numFmtId="0" fontId="14" fillId="9" borderId="104" xfId="4" applyFont="1" applyFill="1" applyBorder="1" applyAlignment="1">
      <alignment horizontal="center" vertical="center" wrapText="1"/>
    </xf>
    <xf numFmtId="0" fontId="14" fillId="9" borderId="24" xfId="4" applyFont="1" applyFill="1" applyBorder="1" applyAlignment="1">
      <alignment horizontal="center" vertical="center" wrapText="1"/>
    </xf>
    <xf numFmtId="0" fontId="88" fillId="0" borderId="0" xfId="0" applyFont="1" applyAlignment="1">
      <alignment horizontal="center" vertical="center" wrapText="1" readingOrder="1"/>
    </xf>
    <xf numFmtId="0" fontId="60" fillId="0" borderId="0" xfId="8" applyFont="1" applyAlignment="1">
      <alignment horizontal="left" wrapText="1"/>
    </xf>
    <xf numFmtId="0" fontId="89" fillId="27" borderId="112" xfId="8" applyFont="1" applyFill="1" applyBorder="1" applyAlignment="1">
      <alignment horizontal="center" vertical="center"/>
    </xf>
    <xf numFmtId="0" fontId="63" fillId="17" borderId="105" xfId="8" applyFont="1" applyFill="1" applyBorder="1" applyAlignment="1">
      <alignment horizontal="left"/>
    </xf>
    <xf numFmtId="0" fontId="36" fillId="26" borderId="0" xfId="8" applyFont="1" applyFill="1" applyAlignment="1" applyProtection="1">
      <alignment horizontal="left"/>
      <protection locked="0"/>
    </xf>
    <xf numFmtId="0" fontId="63" fillId="17" borderId="0" xfId="8" applyFont="1" applyFill="1" applyAlignment="1">
      <alignment horizontal="left"/>
    </xf>
    <xf numFmtId="0" fontId="36" fillId="26" borderId="112" xfId="8" applyFont="1" applyFill="1" applyBorder="1" applyAlignment="1" applyProtection="1">
      <alignment horizontal="left"/>
      <protection locked="0"/>
    </xf>
    <xf numFmtId="0" fontId="52" fillId="0" borderId="0" xfId="8" applyAlignment="1">
      <alignment horizontal="center" wrapText="1"/>
    </xf>
    <xf numFmtId="0" fontId="64" fillId="19" borderId="114" xfId="8" applyFont="1" applyFill="1" applyBorder="1" applyAlignment="1">
      <alignment horizontal="left" vertical="center" wrapText="1"/>
    </xf>
    <xf numFmtId="0" fontId="64" fillId="19" borderId="110" xfId="8" applyFont="1" applyFill="1" applyBorder="1" applyAlignment="1">
      <alignment horizontal="left" vertical="center" wrapText="1"/>
    </xf>
    <xf numFmtId="0" fontId="64" fillId="19" borderId="123" xfId="8" applyFont="1" applyFill="1" applyBorder="1" applyAlignment="1">
      <alignment horizontal="left" vertical="center" wrapText="1"/>
    </xf>
    <xf numFmtId="0" fontId="64" fillId="19" borderId="111" xfId="8" applyFont="1" applyFill="1" applyBorder="1" applyAlignment="1">
      <alignment horizontal="left" vertical="center" wrapText="1"/>
    </xf>
    <xf numFmtId="0" fontId="64" fillId="19" borderId="109" xfId="8" applyFont="1" applyFill="1" applyBorder="1" applyAlignment="1">
      <alignment horizontal="left" vertical="center" wrapText="1"/>
    </xf>
    <xf numFmtId="0" fontId="64" fillId="19" borderId="108" xfId="8" applyFont="1" applyFill="1" applyBorder="1" applyAlignment="1">
      <alignment horizontal="left" vertical="center" wrapText="1"/>
    </xf>
    <xf numFmtId="0" fontId="55" fillId="0" borderId="18" xfId="8" applyFont="1" applyBorder="1" applyAlignment="1">
      <alignment horizontal="left"/>
    </xf>
    <xf numFmtId="0" fontId="55" fillId="0" borderId="0" xfId="8" applyFont="1" applyAlignment="1">
      <alignment horizontal="left"/>
    </xf>
    <xf numFmtId="168" fontId="65" fillId="20" borderId="110" xfId="12" applyNumberFormat="1" applyFont="1" applyFill="1" applyBorder="1" applyAlignment="1">
      <alignment horizontal="right"/>
    </xf>
    <xf numFmtId="0" fontId="52" fillId="21" borderId="80" xfId="8" applyFill="1" applyBorder="1" applyAlignment="1">
      <alignment horizontal="left" vertical="center" wrapText="1"/>
    </xf>
    <xf numFmtId="0" fontId="52" fillId="21" borderId="0" xfId="8" applyFill="1" applyAlignment="1">
      <alignment horizontal="left" vertical="center" wrapText="1"/>
    </xf>
    <xf numFmtId="0" fontId="55" fillId="24" borderId="124" xfId="8" applyFont="1" applyFill="1" applyBorder="1" applyAlignment="1">
      <alignment horizontal="left" vertical="center" wrapText="1"/>
    </xf>
    <xf numFmtId="0" fontId="55" fillId="24" borderId="125" xfId="8" applyFont="1" applyFill="1" applyBorder="1" applyAlignment="1">
      <alignment horizontal="left" vertical="center" wrapText="1"/>
    </xf>
    <xf numFmtId="0" fontId="52" fillId="24" borderId="0" xfId="8" applyFill="1" applyAlignment="1">
      <alignment horizontal="left" vertical="center" wrapText="1"/>
    </xf>
    <xf numFmtId="0" fontId="55" fillId="21" borderId="126" xfId="8" applyFont="1" applyFill="1" applyBorder="1" applyAlignment="1">
      <alignment horizontal="left" vertical="center" wrapText="1"/>
    </xf>
    <xf numFmtId="0" fontId="55" fillId="21" borderId="124" xfId="8" applyFont="1" applyFill="1" applyBorder="1" applyAlignment="1">
      <alignment horizontal="left" vertical="center" wrapText="1"/>
    </xf>
    <xf numFmtId="0" fontId="79" fillId="25" borderId="120" xfId="8" applyFont="1" applyFill="1" applyBorder="1" applyAlignment="1">
      <alignment horizontal="left" vertical="center" wrapText="1"/>
    </xf>
    <xf numFmtId="0" fontId="79" fillId="25" borderId="116" xfId="8" applyFont="1" applyFill="1" applyBorder="1" applyAlignment="1">
      <alignment horizontal="left" vertical="center" wrapText="1"/>
    </xf>
    <xf numFmtId="0" fontId="79" fillId="25" borderId="127" xfId="8" applyFont="1" applyFill="1" applyBorder="1" applyAlignment="1">
      <alignment horizontal="left" vertical="center" wrapText="1"/>
    </xf>
    <xf numFmtId="0" fontId="79" fillId="25" borderId="119" xfId="8" applyFont="1" applyFill="1" applyBorder="1" applyAlignment="1">
      <alignment horizontal="left" vertical="center" wrapText="1"/>
    </xf>
    <xf numFmtId="0" fontId="79" fillId="25" borderId="115" xfId="8" applyFont="1" applyFill="1" applyBorder="1" applyAlignment="1">
      <alignment horizontal="left" vertical="center" wrapText="1"/>
    </xf>
    <xf numFmtId="0" fontId="79" fillId="25" borderId="118" xfId="8" applyFont="1" applyFill="1" applyBorder="1" applyAlignment="1">
      <alignment horizontal="left" vertical="center" wrapText="1"/>
    </xf>
    <xf numFmtId="0" fontId="78" fillId="25" borderId="128" xfId="8" applyFont="1" applyFill="1" applyBorder="1" applyAlignment="1">
      <alignment horizontal="center" vertical="center"/>
    </xf>
    <xf numFmtId="0" fontId="78" fillId="25" borderId="117" xfId="8" applyFont="1" applyFill="1" applyBorder="1" applyAlignment="1">
      <alignment horizontal="center" vertical="center"/>
    </xf>
    <xf numFmtId="0" fontId="78" fillId="25" borderId="129" xfId="8" applyFont="1" applyFill="1" applyBorder="1" applyAlignment="1">
      <alignment horizontal="center" vertical="center"/>
    </xf>
    <xf numFmtId="0" fontId="78" fillId="25" borderId="116" xfId="8" applyFont="1" applyFill="1" applyBorder="1" applyAlignment="1">
      <alignment horizontal="center" vertical="center"/>
    </xf>
    <xf numFmtId="0" fontId="78" fillId="25" borderId="0" xfId="8" applyFont="1" applyFill="1" applyAlignment="1">
      <alignment horizontal="center" vertical="center"/>
    </xf>
    <xf numFmtId="0" fontId="79" fillId="25" borderId="128" xfId="8" applyFont="1" applyFill="1" applyBorder="1" applyAlignment="1">
      <alignment horizontal="left" vertical="center" wrapText="1"/>
    </xf>
    <xf numFmtId="0" fontId="79" fillId="25" borderId="129" xfId="8" applyFont="1" applyFill="1" applyBorder="1" applyAlignment="1">
      <alignment horizontal="left" vertical="center" wrapText="1"/>
    </xf>
    <xf numFmtId="0" fontId="78" fillId="25" borderId="130" xfId="8" applyFont="1" applyFill="1" applyBorder="1" applyAlignment="1">
      <alignment horizontal="left" vertical="center" wrapText="1"/>
    </xf>
    <xf numFmtId="0" fontId="78" fillId="25" borderId="131" xfId="8" applyFont="1" applyFill="1" applyBorder="1" applyAlignment="1">
      <alignment horizontal="left" vertical="center" wrapText="1"/>
    </xf>
    <xf numFmtId="0" fontId="78" fillId="25" borderId="132" xfId="8" applyFont="1" applyFill="1" applyBorder="1" applyAlignment="1">
      <alignment horizontal="left" vertical="center" wrapText="1"/>
    </xf>
    <xf numFmtId="0" fontId="78" fillId="25" borderId="133" xfId="8" applyFont="1" applyFill="1" applyBorder="1" applyAlignment="1">
      <alignment horizontal="left" vertical="center" wrapText="1"/>
    </xf>
    <xf numFmtId="0" fontId="52" fillId="21" borderId="0" xfId="8" applyFill="1" applyAlignment="1">
      <alignment horizontal="center" vertical="center" wrapText="1"/>
    </xf>
    <xf numFmtId="0" fontId="55" fillId="24" borderId="124" xfId="8" applyFont="1" applyFill="1" applyBorder="1" applyAlignment="1">
      <alignment horizontal="left" vertical="center"/>
    </xf>
    <xf numFmtId="0" fontId="55" fillId="24" borderId="125" xfId="8" applyFont="1" applyFill="1" applyBorder="1" applyAlignment="1">
      <alignment horizontal="left" vertical="center"/>
    </xf>
    <xf numFmtId="0" fontId="52" fillId="24" borderId="0" xfId="8" applyFill="1" applyAlignment="1">
      <alignment horizontal="center" vertical="center" wrapText="1"/>
    </xf>
    <xf numFmtId="0" fontId="52" fillId="24" borderId="82" xfId="8" applyFill="1" applyBorder="1" applyAlignment="1">
      <alignment horizontal="center" vertical="center" wrapText="1"/>
    </xf>
    <xf numFmtId="0" fontId="55" fillId="24" borderId="126" xfId="8" applyFont="1" applyFill="1" applyBorder="1" applyAlignment="1">
      <alignment horizontal="left" vertical="center"/>
    </xf>
    <xf numFmtId="0" fontId="55" fillId="21" borderId="124" xfId="8" applyFont="1" applyFill="1" applyBorder="1" applyAlignment="1">
      <alignment horizontal="left" vertical="center"/>
    </xf>
    <xf numFmtId="0" fontId="52" fillId="24" borderId="82" xfId="8" applyFill="1" applyBorder="1" applyAlignment="1">
      <alignment horizontal="left" vertical="center" wrapText="1"/>
    </xf>
    <xf numFmtId="0" fontId="55" fillId="21" borderId="126" xfId="8" applyFont="1" applyFill="1" applyBorder="1" applyAlignment="1">
      <alignment horizontal="left" vertical="center"/>
    </xf>
    <xf numFmtId="0" fontId="55" fillId="21" borderId="80" xfId="8" applyFont="1" applyFill="1" applyBorder="1" applyAlignment="1">
      <alignment horizontal="left" vertical="center" wrapText="1"/>
    </xf>
    <xf numFmtId="0" fontId="55" fillId="21" borderId="0" xfId="8" applyFont="1" applyFill="1" applyAlignment="1">
      <alignment horizontal="left" vertical="center" wrapText="1"/>
    </xf>
    <xf numFmtId="0" fontId="55" fillId="24" borderId="0" xfId="8" applyFont="1" applyFill="1" applyAlignment="1">
      <alignment horizontal="left" vertical="center"/>
    </xf>
    <xf numFmtId="0" fontId="55" fillId="24" borderId="82" xfId="8" applyFont="1" applyFill="1" applyBorder="1" applyAlignment="1">
      <alignment horizontal="left" vertical="center"/>
    </xf>
    <xf numFmtId="0" fontId="55" fillId="21" borderId="0" xfId="8" applyFont="1" applyFill="1" applyAlignment="1">
      <alignment horizontal="left" vertical="center"/>
    </xf>
    <xf numFmtId="0" fontId="68" fillId="19" borderId="106" xfId="8" applyFont="1" applyFill="1" applyBorder="1"/>
    <xf numFmtId="0" fontId="68" fillId="19" borderId="105" xfId="8" applyFont="1" applyFill="1" applyBorder="1"/>
    <xf numFmtId="0" fontId="90" fillId="27" borderId="0" xfId="8" applyFont="1" applyFill="1" applyAlignment="1">
      <alignment horizontal="center" vertical="center"/>
    </xf>
    <xf numFmtId="0" fontId="65" fillId="20" borderId="112" xfId="8" applyFont="1" applyFill="1" applyBorder="1" applyAlignment="1">
      <alignment horizontal="left"/>
    </xf>
    <xf numFmtId="0" fontId="65" fillId="20" borderId="106" xfId="8" applyFont="1" applyFill="1" applyBorder="1" applyAlignment="1">
      <alignment horizontal="left"/>
    </xf>
    <xf numFmtId="0" fontId="65" fillId="20" borderId="0" xfId="8" applyFont="1" applyFill="1" applyAlignment="1">
      <alignment horizontal="left" wrapText="1"/>
    </xf>
    <xf numFmtId="0" fontId="65" fillId="20" borderId="112" xfId="8" applyFont="1" applyFill="1" applyBorder="1" applyAlignment="1">
      <alignment horizontal="left" wrapText="1"/>
    </xf>
    <xf numFmtId="0" fontId="65" fillId="20" borderId="109" xfId="8" applyFont="1" applyFill="1" applyBorder="1" applyAlignment="1">
      <alignment horizontal="left" wrapText="1"/>
    </xf>
    <xf numFmtId="0" fontId="65" fillId="20" borderId="108" xfId="8" applyFont="1" applyFill="1" applyBorder="1" applyAlignment="1">
      <alignment horizontal="left" wrapText="1"/>
    </xf>
    <xf numFmtId="0" fontId="67" fillId="22" borderId="110" xfId="8" applyFont="1" applyFill="1" applyBorder="1" applyAlignment="1">
      <alignment horizontal="right"/>
    </xf>
    <xf numFmtId="0" fontId="67" fillId="22" borderId="123" xfId="8" applyFont="1" applyFill="1" applyBorder="1" applyAlignment="1">
      <alignment horizontal="right"/>
    </xf>
    <xf numFmtId="0" fontId="67" fillId="22" borderId="121" xfId="8" applyFont="1" applyFill="1" applyBorder="1" applyAlignment="1">
      <alignment horizontal="right"/>
    </xf>
    <xf numFmtId="0" fontId="67" fillId="22" borderId="122" xfId="8" applyFont="1" applyFill="1" applyBorder="1" applyAlignment="1">
      <alignment horizontal="right"/>
    </xf>
    <xf numFmtId="0" fontId="64" fillId="19" borderId="106" xfId="8" applyFont="1" applyFill="1" applyBorder="1"/>
    <xf numFmtId="0" fontId="67" fillId="22" borderId="110" xfId="8" applyFont="1" applyFill="1" applyBorder="1"/>
    <xf numFmtId="0" fontId="67" fillId="22" borderId="123" xfId="8" applyFont="1" applyFill="1" applyBorder="1"/>
    <xf numFmtId="0" fontId="64" fillId="19" borderId="107" xfId="8" applyFont="1" applyFill="1" applyBorder="1"/>
    <xf numFmtId="0" fontId="68" fillId="19" borderId="111" xfId="8" applyFont="1" applyFill="1" applyBorder="1"/>
    <xf numFmtId="0" fontId="77" fillId="19" borderId="0" xfId="8" applyFont="1" applyFill="1" applyAlignment="1">
      <alignment horizontal="left" vertical="center"/>
    </xf>
    <xf numFmtId="168" fontId="67" fillId="22" borderId="114" xfId="13" applyNumberFormat="1" applyFont="1" applyFill="1" applyBorder="1" applyAlignment="1">
      <alignment horizontal="right"/>
    </xf>
    <xf numFmtId="168" fontId="67" fillId="22" borderId="110" xfId="13" applyNumberFormat="1" applyFont="1" applyFill="1" applyBorder="1" applyAlignment="1">
      <alignment horizontal="right"/>
    </xf>
    <xf numFmtId="0" fontId="90" fillId="28" borderId="0" xfId="8" applyFont="1" applyFill="1" applyAlignment="1">
      <alignment horizontal="center" vertical="center"/>
    </xf>
    <xf numFmtId="0" fontId="65" fillId="20" borderId="134" xfId="8" applyFont="1" applyFill="1" applyBorder="1" applyAlignment="1">
      <alignment horizontal="left"/>
    </xf>
    <xf numFmtId="0" fontId="65" fillId="20" borderId="135" xfId="8" applyFont="1" applyFill="1" applyBorder="1" applyAlignment="1">
      <alignment horizontal="left"/>
    </xf>
    <xf numFmtId="0" fontId="65" fillId="20" borderId="116" xfId="8" applyFont="1" applyFill="1" applyBorder="1" applyAlignment="1">
      <alignment horizontal="left" wrapText="1"/>
    </xf>
    <xf numFmtId="0" fontId="65" fillId="20" borderId="115" xfId="8" applyFont="1" applyFill="1" applyBorder="1" applyAlignment="1">
      <alignment horizontal="left" wrapText="1"/>
    </xf>
    <xf numFmtId="0" fontId="65" fillId="20" borderId="127" xfId="8" applyFont="1" applyFill="1" applyBorder="1" applyAlignment="1">
      <alignment horizontal="left" wrapText="1"/>
    </xf>
    <xf numFmtId="0" fontId="65" fillId="20" borderId="118" xfId="8" applyFont="1" applyFill="1" applyBorder="1" applyAlignment="1">
      <alignment horizontal="left" wrapText="1"/>
    </xf>
    <xf numFmtId="168" fontId="67" fillId="22" borderId="105" xfId="13" applyNumberFormat="1" applyFont="1" applyFill="1" applyBorder="1" applyAlignment="1">
      <alignment horizontal="right"/>
    </xf>
    <xf numFmtId="168" fontId="67" fillId="22" borderId="0" xfId="13" applyNumberFormat="1" applyFont="1" applyFill="1" applyAlignment="1">
      <alignment horizontal="right"/>
    </xf>
    <xf numFmtId="0" fontId="77" fillId="19" borderId="116" xfId="8" applyFont="1" applyFill="1" applyBorder="1" applyAlignment="1">
      <alignment horizontal="center" vertical="center"/>
    </xf>
    <xf numFmtId="0" fontId="77" fillId="19" borderId="0" xfId="8" applyFont="1" applyFill="1" applyAlignment="1">
      <alignment horizontal="center" vertical="center"/>
    </xf>
    <xf numFmtId="0" fontId="64" fillId="19" borderId="136" xfId="8" applyFont="1" applyFill="1" applyBorder="1" applyAlignment="1">
      <alignment horizontal="center"/>
    </xf>
    <xf numFmtId="0" fontId="64" fillId="19" borderId="137" xfId="8" applyFont="1" applyFill="1" applyBorder="1" applyAlignment="1">
      <alignment horizontal="center"/>
    </xf>
    <xf numFmtId="0" fontId="64" fillId="19" borderId="138" xfId="8" applyFont="1" applyFill="1" applyBorder="1" applyAlignment="1">
      <alignment horizontal="center"/>
    </xf>
    <xf numFmtId="0" fontId="77" fillId="19" borderId="120" xfId="8" applyFont="1" applyFill="1" applyBorder="1" applyAlignment="1">
      <alignment horizontal="left" vertical="center"/>
    </xf>
    <xf numFmtId="0" fontId="77" fillId="19" borderId="116" xfId="8" applyFont="1" applyFill="1" applyBorder="1" applyAlignment="1">
      <alignment horizontal="left" vertical="center"/>
    </xf>
    <xf numFmtId="0" fontId="77" fillId="19" borderId="127" xfId="8" applyFont="1" applyFill="1" applyBorder="1" applyAlignment="1">
      <alignment horizontal="left" vertical="center"/>
    </xf>
    <xf numFmtId="0" fontId="77" fillId="19" borderId="119" xfId="8" applyFont="1" applyFill="1" applyBorder="1" applyAlignment="1">
      <alignment horizontal="left" vertical="center"/>
    </xf>
    <xf numFmtId="0" fontId="77" fillId="19" borderId="115" xfId="8" applyFont="1" applyFill="1" applyBorder="1" applyAlignment="1">
      <alignment horizontal="left" vertical="center"/>
    </xf>
    <xf numFmtId="0" fontId="77" fillId="19" borderId="118" xfId="8" applyFont="1" applyFill="1" applyBorder="1" applyAlignment="1">
      <alignment horizontal="left" vertical="center"/>
    </xf>
    <xf numFmtId="0" fontId="77" fillId="19" borderId="115" xfId="8" applyFont="1" applyFill="1" applyBorder="1" applyAlignment="1">
      <alignment horizontal="center" vertical="center"/>
    </xf>
    <xf numFmtId="168" fontId="67" fillId="22" borderId="116" xfId="13" applyNumberFormat="1" applyFont="1" applyFill="1" applyBorder="1" applyAlignment="1">
      <alignment horizontal="right"/>
    </xf>
  </cellXfs>
  <cellStyles count="14">
    <cellStyle name="Currency" xfId="1" builtinId="4"/>
    <cellStyle name="Hyperlink" xfId="2" builtinId="8"/>
    <cellStyle name="Hyperlink 2" xfId="3" xr:uid="{00000000-0005-0000-0000-000002000000}"/>
    <cellStyle name="Normal" xfId="0" builtinId="0"/>
    <cellStyle name="Normal 10" xfId="4" xr:uid="{00000000-0005-0000-0000-000004000000}"/>
    <cellStyle name="Normal 11" xfId="5" xr:uid="{00000000-0005-0000-0000-000005000000}"/>
    <cellStyle name="Normal 2" xfId="6" xr:uid="{00000000-0005-0000-0000-000006000000}"/>
    <cellStyle name="Normal 3" xfId="7" xr:uid="{00000000-0005-0000-0000-000007000000}"/>
    <cellStyle name="Normal 4" xfId="8" xr:uid="{00000000-0005-0000-0000-000008000000}"/>
    <cellStyle name="Normal 6" xfId="9" xr:uid="{00000000-0005-0000-0000-000009000000}"/>
    <cellStyle name="Normal 7" xfId="10" xr:uid="{00000000-0005-0000-0000-00000A000000}"/>
    <cellStyle name="Normal 9" xfId="11" xr:uid="{00000000-0005-0000-0000-00000B000000}"/>
    <cellStyle name="Percent" xfId="12" builtinId="5"/>
    <cellStyle name="Percent 2" xfId="13" xr:uid="{00000000-0005-0000-0000-00000D000000}"/>
  </cellStyles>
  <dxfs count="209">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ill>
        <patternFill patternType="mediumGray">
          <bgColor theme="0" tint="-0.24994659260841701"/>
        </patternFill>
      </fill>
    </dxf>
    <dxf>
      <fill>
        <patternFill patternType="mediumGray">
          <bgColor theme="0" tint="-0.24994659260841701"/>
        </patternFill>
      </fill>
    </dxf>
    <dxf>
      <fill>
        <patternFill patternType="mediumGray">
          <bgColor theme="0" tint="-0.24994659260841701"/>
        </patternFill>
      </fill>
    </dxf>
    <dxf>
      <font>
        <b val="0"/>
        <i/>
        <condense val="0"/>
        <extend val="0"/>
        <color indexed="22"/>
      </font>
    </dxf>
    <dxf>
      <font>
        <b val="0"/>
        <i/>
        <color rgb="FFFF0000"/>
      </font>
    </dxf>
    <dxf>
      <font>
        <b val="0"/>
        <i/>
        <condense val="0"/>
        <extend val="0"/>
        <color indexed="10"/>
      </font>
    </dxf>
    <dxf>
      <font>
        <b val="0"/>
        <i/>
        <color rgb="FFFF0000"/>
      </font>
    </dxf>
    <dxf>
      <font>
        <b val="0"/>
        <i/>
        <color rgb="FFFF0000"/>
      </font>
    </dxf>
    <dxf>
      <font>
        <b val="0"/>
        <i/>
        <color rgb="FFFF0000"/>
      </font>
    </dxf>
    <dxf>
      <font>
        <b/>
        <i val="0"/>
        <color rgb="FFFF0000"/>
      </font>
    </dxf>
    <dxf>
      <font>
        <b val="0"/>
        <i/>
        <color rgb="FFFF0000"/>
      </font>
    </dxf>
    <dxf>
      <font>
        <b val="0"/>
        <i/>
        <color rgb="FFFF0000"/>
      </font>
    </dxf>
    <dxf>
      <font>
        <b val="0"/>
        <i/>
        <condense val="0"/>
        <extend val="0"/>
        <color indexed="10"/>
      </font>
    </dxf>
    <dxf>
      <font>
        <b val="0"/>
        <i/>
        <color rgb="FFFF0000"/>
      </font>
    </dxf>
    <dxf>
      <font>
        <b val="0"/>
        <i/>
        <color rgb="FFFF0000"/>
      </font>
    </dxf>
    <dxf>
      <font>
        <b val="0"/>
        <i/>
        <color rgb="FFFF0000"/>
      </font>
    </dxf>
    <dxf>
      <font>
        <b/>
        <i val="0"/>
        <color rgb="FFFF0000"/>
      </font>
    </dxf>
    <dxf>
      <font>
        <b val="0"/>
        <i/>
        <color rgb="FFFF0000"/>
      </font>
    </dxf>
    <dxf>
      <font>
        <color rgb="FF9C0006"/>
      </font>
      <fill>
        <patternFill>
          <bgColor rgb="FFFFC7CE"/>
        </patternFill>
      </fill>
    </dxf>
    <dxf>
      <font>
        <color rgb="FF9C0006"/>
      </font>
      <fill>
        <patternFill>
          <bgColor rgb="FFFFC7CE"/>
        </patternFill>
      </fill>
    </dxf>
    <dxf>
      <font>
        <b val="0"/>
        <i/>
        <color rgb="FFFF0000"/>
      </font>
    </dxf>
    <dxf>
      <font>
        <b/>
        <i val="0"/>
        <color rgb="FFFF0000"/>
      </font>
      <fill>
        <patternFill patternType="none">
          <bgColor indexed="6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rgb="FFFF0000"/>
      </font>
    </dxf>
    <dxf>
      <font>
        <b val="0"/>
        <i/>
        <color rgb="FFFF0000"/>
      </font>
    </dxf>
    <dxf>
      <font>
        <b val="0"/>
        <i/>
        <condense val="0"/>
        <extend val="0"/>
        <color indexed="10"/>
      </font>
    </dxf>
    <dxf>
      <font>
        <b val="0"/>
        <i/>
        <color rgb="FFFF0000"/>
      </font>
    </dxf>
    <dxf>
      <font>
        <b val="0"/>
        <i/>
        <color rgb="FFFF0000"/>
      </font>
    </dxf>
    <dxf>
      <font>
        <b val="0"/>
        <i/>
        <color rgb="FFFF0000"/>
      </font>
    </dxf>
    <dxf>
      <font>
        <b val="0"/>
        <i/>
        <color rgb="FFFF0000"/>
      </font>
    </dxf>
    <dxf>
      <font>
        <b val="0"/>
        <i/>
        <condense val="0"/>
        <extend val="0"/>
        <color indexed="1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i val="0"/>
        <color rgb="FFFF0000"/>
      </font>
    </dxf>
    <dxf>
      <font>
        <b val="0"/>
        <i/>
        <color rgb="FFFF0000"/>
      </font>
    </dxf>
    <dxf>
      <font>
        <b val="0"/>
        <i/>
        <color rgb="FFFF0000"/>
      </font>
    </dxf>
    <dxf>
      <font>
        <b val="0"/>
        <i/>
        <color rgb="FFFF0000"/>
      </font>
    </dxf>
    <dxf>
      <font>
        <b val="0"/>
        <i/>
        <condense val="0"/>
        <extend val="0"/>
        <color indexed="1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ndense val="0"/>
        <extend val="0"/>
        <color indexed="10"/>
      </font>
    </dxf>
    <dxf>
      <font>
        <b val="0"/>
        <i/>
        <color rgb="FFFF0000"/>
      </font>
    </dxf>
    <dxf>
      <font>
        <b val="0"/>
        <i/>
        <color rgb="FFFF0000"/>
      </font>
    </dxf>
    <dxf>
      <font>
        <b val="0"/>
        <i/>
        <color rgb="FFFF0000"/>
      </font>
    </dxf>
    <dxf>
      <font>
        <b val="0"/>
        <i/>
        <color rgb="FFFF0000"/>
      </font>
    </dxf>
    <dxf>
      <font>
        <b val="0"/>
        <i/>
        <color rgb="FFFF0000"/>
      </font>
    </dxf>
    <dxf>
      <font>
        <color rgb="FF9C0006"/>
      </font>
      <fill>
        <patternFill>
          <bgColor rgb="FFFFC7CE"/>
        </patternFill>
      </fill>
    </dxf>
    <dxf>
      <font>
        <b val="0"/>
        <i/>
        <color rgb="FFFF0000"/>
      </font>
    </dxf>
    <dxf>
      <font>
        <color rgb="FF9C0006"/>
      </font>
      <fill>
        <patternFill>
          <bgColor rgb="FFFFC7CE"/>
        </patternFill>
      </fill>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ndense val="0"/>
        <extend val="0"/>
        <color indexed="1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ndense val="0"/>
        <extend val="0"/>
        <color indexed="22"/>
      </font>
    </dxf>
    <dxf>
      <font>
        <b val="0"/>
        <i/>
        <condense val="0"/>
        <extend val="0"/>
        <color indexed="22"/>
      </font>
    </dxf>
    <dxf>
      <font>
        <b val="0"/>
        <i/>
        <condense val="0"/>
        <extend val="0"/>
        <color indexed="22"/>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ndense val="0"/>
        <extend val="0"/>
        <color indexed="1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i val="0"/>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color rgb="FF9C0006"/>
      </font>
      <fill>
        <patternFill>
          <bgColor rgb="FFFFC7CE"/>
        </patternFill>
      </fill>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ndense val="0"/>
        <extend val="0"/>
        <color indexed="10"/>
      </font>
    </dxf>
    <dxf>
      <font>
        <b val="0"/>
        <i/>
        <color rgb="FFFF0000"/>
      </font>
    </dxf>
    <dxf>
      <font>
        <b val="0"/>
        <i/>
        <color rgb="FFFF0000"/>
      </font>
    </dxf>
    <dxf>
      <font>
        <b val="0"/>
        <i/>
        <color rgb="FFFF0000"/>
      </font>
    </dxf>
    <dxf>
      <font>
        <b val="0"/>
        <i/>
        <condense val="0"/>
        <extend val="0"/>
        <color indexed="22"/>
      </font>
    </dxf>
    <dxf>
      <font>
        <b val="0"/>
        <i/>
        <condense val="0"/>
        <extend val="0"/>
        <color indexed="22"/>
      </font>
    </dxf>
    <dxf>
      <font>
        <b val="0"/>
        <i/>
        <condense val="0"/>
        <extend val="0"/>
        <color indexed="22"/>
      </font>
    </dxf>
    <dxf>
      <font>
        <b val="0"/>
        <i/>
        <condense val="0"/>
        <extend val="0"/>
        <color indexed="22"/>
      </font>
    </dxf>
    <dxf>
      <font>
        <b val="0"/>
        <i/>
        <condense val="0"/>
        <extend val="0"/>
        <color indexed="22"/>
      </font>
    </dxf>
  </dxfs>
  <tableStyles count="0" defaultTableStyle="TableStyleMedium9" defaultPivotStyle="PivotStyleLight16"/>
  <colors>
    <mruColors>
      <color rgb="FFFE0000"/>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E23"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45720</xdr:rowOff>
    </xdr:from>
    <xdr:to>
      <xdr:col>13</xdr:col>
      <xdr:colOff>99060</xdr:colOff>
      <xdr:row>32</xdr:row>
      <xdr:rowOff>45720</xdr:rowOff>
    </xdr:to>
    <xdr:pic>
      <xdr:nvPicPr>
        <xdr:cNvPr id="13524" name="Picture 1">
          <a:extLst>
            <a:ext uri="{FF2B5EF4-FFF2-40B4-BE49-F238E27FC236}">
              <a16:creationId xmlns:a16="http://schemas.microsoft.com/office/drawing/2014/main" id="{00000000-0008-0000-0000-0000D43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11636" b="13138"/>
        <a:stretch>
          <a:fillRect/>
        </a:stretch>
      </xdr:blipFill>
      <xdr:spPr bwMode="auto">
        <a:xfrm>
          <a:off x="0" y="45720"/>
          <a:ext cx="10812780" cy="5852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861060</xdr:colOff>
      <xdr:row>31</xdr:row>
      <xdr:rowOff>76200</xdr:rowOff>
    </xdr:from>
    <xdr:to>
      <xdr:col>11</xdr:col>
      <xdr:colOff>609600</xdr:colOff>
      <xdr:row>34</xdr:row>
      <xdr:rowOff>121920</xdr:rowOff>
    </xdr:to>
    <xdr:sp macro="" textlink="">
      <xdr:nvSpPr>
        <xdr:cNvPr id="2" name="TextBox 1">
          <a:extLst>
            <a:ext uri="{FF2B5EF4-FFF2-40B4-BE49-F238E27FC236}">
              <a16:creationId xmlns:a16="http://schemas.microsoft.com/office/drawing/2014/main" id="{BCD675AF-5F38-0072-E5F4-01D26D514362}"/>
            </a:ext>
          </a:extLst>
        </xdr:cNvPr>
        <xdr:cNvSpPr txBox="1"/>
      </xdr:nvSpPr>
      <xdr:spPr>
        <a:xfrm>
          <a:off x="861060" y="5745480"/>
          <a:ext cx="9212580" cy="76962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t>Fill in all of the beige fields in the "ROW Dedication &amp; Easement"</a:t>
          </a:r>
          <a:r>
            <a:rPr lang="en-US" sz="1800" baseline="0"/>
            <a:t> tab with names, descriptions, and the area dedicated. </a:t>
          </a:r>
          <a:endParaRPr lang="en-US" sz="1800"/>
        </a:p>
      </xdr:txBody>
    </xdr:sp>
    <xdr:clientData/>
  </xdr:twoCellAnchor>
  <xdr:twoCellAnchor>
    <xdr:from>
      <xdr:col>0</xdr:col>
      <xdr:colOff>426720</xdr:colOff>
      <xdr:row>31</xdr:row>
      <xdr:rowOff>68580</xdr:rowOff>
    </xdr:from>
    <xdr:to>
      <xdr:col>0</xdr:col>
      <xdr:colOff>792480</xdr:colOff>
      <xdr:row>33</xdr:row>
      <xdr:rowOff>114300</xdr:rowOff>
    </xdr:to>
    <xdr:sp macro="" textlink="">
      <xdr:nvSpPr>
        <xdr:cNvPr id="3" name="TextBox 2">
          <a:extLst>
            <a:ext uri="{FF2B5EF4-FFF2-40B4-BE49-F238E27FC236}">
              <a16:creationId xmlns:a16="http://schemas.microsoft.com/office/drawing/2014/main" id="{6BAB4E46-7297-40AF-ADD8-DAFF9C744D1D}"/>
            </a:ext>
          </a:extLst>
        </xdr:cNvPr>
        <xdr:cNvSpPr txBox="1"/>
      </xdr:nvSpPr>
      <xdr:spPr>
        <a:xfrm>
          <a:off x="426720" y="5737860"/>
          <a:ext cx="365760" cy="4114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t>8.</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3692</xdr:colOff>
      <xdr:row>1</xdr:row>
      <xdr:rowOff>139683</xdr:rowOff>
    </xdr:from>
    <xdr:to>
      <xdr:col>15</xdr:col>
      <xdr:colOff>546652</xdr:colOff>
      <xdr:row>4</xdr:row>
      <xdr:rowOff>33271</xdr:rowOff>
    </xdr:to>
    <xdr:sp macro="" textlink="">
      <xdr:nvSpPr>
        <xdr:cNvPr id="3" name="TextBoxFormal">
          <a:extLst>
            <a:ext uri="{FF2B5EF4-FFF2-40B4-BE49-F238E27FC236}">
              <a16:creationId xmlns:a16="http://schemas.microsoft.com/office/drawing/2014/main" id="{00000000-0008-0000-0100-000003000000}"/>
            </a:ext>
          </a:extLst>
        </xdr:cNvPr>
        <xdr:cNvSpPr txBox="1"/>
      </xdr:nvSpPr>
      <xdr:spPr>
        <a:xfrm>
          <a:off x="2836344" y="247357"/>
          <a:ext cx="7409243" cy="721849"/>
        </a:xfrm>
        <a:prstGeom prst="rect">
          <a:avLst/>
        </a:prstGeom>
        <a:solidFill>
          <a:srgbClr val="FE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lnSpc>
              <a:spcPts val="1300"/>
            </a:lnSpc>
          </a:pPr>
          <a:r>
            <a:rPr lang="en-US" sz="1600" b="1" i="0">
              <a:solidFill>
                <a:schemeClr val="bg1"/>
              </a:solidFill>
            </a:rPr>
            <a:t>THIS WORKSHEET IS FOR ESTIMATION PURPOSES ONLY BASED ON THE CURRENT ORDINANCE.</a:t>
          </a:r>
          <a:r>
            <a:rPr lang="en-US" sz="1600" b="1" i="0" baseline="0">
              <a:solidFill>
                <a:schemeClr val="bg1"/>
              </a:solidFill>
            </a:rPr>
            <a:t> THE FINAL FEE SHALL BE DETERMINED BASED ON THE ORDINANCE IN EFFECT AT THE TIME OF BUILDING PERMIT APPLICATION. </a:t>
          </a:r>
          <a:endParaRPr lang="en-US" sz="1600" b="1" i="0">
            <a:solidFill>
              <a:schemeClr val="bg1"/>
            </a:solidFill>
          </a:endParaRPr>
        </a:p>
      </xdr:txBody>
    </xdr:sp>
    <xdr:clientData/>
  </xdr:twoCellAnchor>
  <xdr:twoCellAnchor editAs="oneCell">
    <xdr:from>
      <xdr:col>1</xdr:col>
      <xdr:colOff>60960</xdr:colOff>
      <xdr:row>1</xdr:row>
      <xdr:rowOff>7620</xdr:rowOff>
    </xdr:from>
    <xdr:to>
      <xdr:col>1</xdr:col>
      <xdr:colOff>933450</xdr:colOff>
      <xdr:row>5</xdr:row>
      <xdr:rowOff>0</xdr:rowOff>
    </xdr:to>
    <xdr:pic>
      <xdr:nvPicPr>
        <xdr:cNvPr id="14827" name="Picture 3">
          <a:extLst>
            <a:ext uri="{FF2B5EF4-FFF2-40B4-BE49-F238E27FC236}">
              <a16:creationId xmlns:a16="http://schemas.microsoft.com/office/drawing/2014/main" id="{00000000-0008-0000-0100-0000EB39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20980" y="106680"/>
          <a:ext cx="861060" cy="982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16</xdr:col>
          <xdr:colOff>190500</xdr:colOff>
          <xdr:row>1</xdr:row>
          <xdr:rowOff>171450</xdr:rowOff>
        </xdr:from>
        <xdr:to>
          <xdr:col>16</xdr:col>
          <xdr:colOff>819150</xdr:colOff>
          <xdr:row>3</xdr:row>
          <xdr:rowOff>257175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View</a:t>
              </a:r>
            </a:p>
          </xdr:txBody>
        </xdr:sp>
        <xdr:clientData fPrintsWithSheet="0"/>
      </xdr:twoCellAnchor>
    </mc:Choice>
    <mc:Fallback/>
  </mc:AlternateContent>
  <xdr:twoCellAnchor>
    <xdr:from>
      <xdr:col>2</xdr:col>
      <xdr:colOff>7005</xdr:colOff>
      <xdr:row>1</xdr:row>
      <xdr:rowOff>142982</xdr:rowOff>
    </xdr:from>
    <xdr:to>
      <xdr:col>15</xdr:col>
      <xdr:colOff>549965</xdr:colOff>
      <xdr:row>4</xdr:row>
      <xdr:rowOff>36570</xdr:rowOff>
    </xdr:to>
    <xdr:sp macro="" textlink="">
      <xdr:nvSpPr>
        <xdr:cNvPr id="2" name="TextBoxFinal" hidden="1">
          <a:extLst>
            <a:ext uri="{FF2B5EF4-FFF2-40B4-BE49-F238E27FC236}">
              <a16:creationId xmlns:a16="http://schemas.microsoft.com/office/drawing/2014/main" id="{923F1900-C59F-4970-B5E8-8181CC09E701}"/>
            </a:ext>
          </a:extLst>
        </xdr:cNvPr>
        <xdr:cNvSpPr txBox="1"/>
      </xdr:nvSpPr>
      <xdr:spPr>
        <a:xfrm>
          <a:off x="2839657" y="250656"/>
          <a:ext cx="7409243" cy="721849"/>
        </a:xfrm>
        <a:prstGeom prst="rect">
          <a:avLst/>
        </a:prstGeom>
        <a:solidFill>
          <a:srgbClr val="FE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lnSpc>
              <a:spcPts val="1300"/>
            </a:lnSpc>
          </a:pPr>
          <a:r>
            <a:rPr lang="en-US" sz="1600" b="1" i="0">
              <a:solidFill>
                <a:schemeClr val="bg1"/>
              </a:solidFill>
            </a:rPr>
            <a:t>THIS WORKSHEET IS FOR THE FINAL FEE AND IS </a:t>
          </a:r>
          <a:r>
            <a:rPr lang="en-US" sz="1600" b="1" i="0" baseline="0">
              <a:solidFill>
                <a:schemeClr val="bg1"/>
              </a:solidFill>
            </a:rPr>
            <a:t>DETERMINED BASED ON THE ORDINANCE IN EFFECT AT THE TIME OF BUILDING PERMIT APPLICATION. </a:t>
          </a:r>
          <a:endParaRPr lang="en-US" sz="1600" b="1" i="0">
            <a:solidFill>
              <a:schemeClr val="bg1"/>
            </a:solidFill>
          </a:endParaRPr>
        </a:p>
      </xdr:txBody>
    </xdr:sp>
    <xdr:clientData/>
  </xdr:twoCellAnchor>
  <mc:AlternateContent xmlns:mc="http://schemas.openxmlformats.org/markup-compatibility/2006">
    <mc:Choice xmlns:a14="http://schemas.microsoft.com/office/drawing/2010/main" Requires="a14">
      <xdr:twoCellAnchor>
        <xdr:from>
          <xdr:col>16</xdr:col>
          <xdr:colOff>1162050</xdr:colOff>
          <xdr:row>1</xdr:row>
          <xdr:rowOff>144946</xdr:rowOff>
        </xdr:from>
        <xdr:to>
          <xdr:col>18</xdr:col>
          <xdr:colOff>536714</xdr:colOff>
          <xdr:row>3</xdr:row>
          <xdr:rowOff>210793</xdr:rowOff>
        </xdr:to>
        <xdr:grpSp>
          <xdr:nvGrpSpPr>
            <xdr:cNvPr id="4" name="Group 3">
              <a:extLst>
                <a:ext uri="{FF2B5EF4-FFF2-40B4-BE49-F238E27FC236}">
                  <a16:creationId xmlns:a16="http://schemas.microsoft.com/office/drawing/2014/main" id="{7222A3DE-D2BC-9E1D-1446-79C118DCC844}"/>
                </a:ext>
              </a:extLst>
            </xdr:cNvPr>
            <xdr:cNvGrpSpPr/>
          </xdr:nvGrpSpPr>
          <xdr:grpSpPr>
            <a:xfrm>
              <a:off x="10230971" y="245799"/>
              <a:ext cx="0" cy="626141"/>
              <a:chOff x="0" y="252619"/>
              <a:chExt cx="0" cy="629069"/>
            </a:xfrm>
          </xdr:grpSpPr>
          <xdr:sp macro="" textlink="">
            <xdr:nvSpPr>
              <xdr:cNvPr id="2055" name="Option 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252619"/>
                <a:ext cx="0" cy="34413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Prelim SIF</a:t>
                </a:r>
              </a:p>
            </xdr:txBody>
          </xdr:sp>
          <xdr:sp macro="" textlink="">
            <xdr:nvSpPr>
              <xdr:cNvPr id="2056" name="Option 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540441"/>
                <a:ext cx="0" cy="34124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Final SIF</a:t>
                </a:r>
              </a:p>
            </xdr:txBody>
          </xdr:sp>
        </xdr:grp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180975</xdr:colOff>
          <xdr:row>1</xdr:row>
          <xdr:rowOff>28575</xdr:rowOff>
        </xdr:from>
        <xdr:to>
          <xdr:col>6</xdr:col>
          <xdr:colOff>857250</xdr:colOff>
          <xdr:row>3</xdr:row>
          <xdr:rowOff>57150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3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Internal Use Only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2238375</xdr:colOff>
          <xdr:row>21</xdr:row>
          <xdr:rowOff>85725</xdr:rowOff>
        </xdr:from>
        <xdr:to>
          <xdr:col>4</xdr:col>
          <xdr:colOff>0</xdr:colOff>
          <xdr:row>24</xdr:row>
          <xdr:rowOff>85725</xdr:rowOff>
        </xdr:to>
        <xdr:sp macro="" textlink="">
          <xdr:nvSpPr>
            <xdr:cNvPr id="25602" name="Check Box 2" hidden="1">
              <a:extLst>
                <a:ext uri="{63B3BB69-23CF-44E3-9099-C40C66FF867C}">
                  <a14:compatExt spid="_x0000_s25602"/>
                </a:ext>
                <a:ext uri="{FF2B5EF4-FFF2-40B4-BE49-F238E27FC236}">
                  <a16:creationId xmlns:a16="http://schemas.microsoft.com/office/drawing/2014/main" id="{00000000-0008-0000-0300-000002640000}"/>
                </a:ext>
              </a:extLst>
            </xdr:cNvPr>
            <xdr:cNvSpPr/>
          </xdr:nvSpPr>
          <xdr:spPr bwMode="auto">
            <a:xfrm>
              <a:off x="0" y="0"/>
              <a:ext cx="0" cy="0"/>
            </a:xfrm>
            <a:prstGeom prst="rect">
              <a:avLst/>
            </a:prstGeom>
            <a:solidFill>
              <a:srgbClr val="FFFFCC"/>
            </a:solidFill>
            <a:ln w="9525">
              <a:solidFill>
                <a:srgbClr val="000000" mc:Ignorable="a14" a14:legacySpreadsheetColorIndex="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this box if there is NO ROW/Easement Dedication</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600075</xdr:colOff>
      <xdr:row>27</xdr:row>
      <xdr:rowOff>133350</xdr:rowOff>
    </xdr:from>
    <xdr:to>
      <xdr:col>10</xdr:col>
      <xdr:colOff>933450</xdr:colOff>
      <xdr:row>32</xdr:row>
      <xdr:rowOff>114300</xdr:rowOff>
    </xdr:to>
    <xdr:sp macro="" textlink="">
      <xdr:nvSpPr>
        <xdr:cNvPr id="2" name="TextBox 1">
          <a:extLst>
            <a:ext uri="{FF2B5EF4-FFF2-40B4-BE49-F238E27FC236}">
              <a16:creationId xmlns:a16="http://schemas.microsoft.com/office/drawing/2014/main" id="{2DF3342B-E729-5785-C640-C27547613D37}"/>
            </a:ext>
          </a:extLst>
        </xdr:cNvPr>
        <xdr:cNvSpPr txBox="1"/>
      </xdr:nvSpPr>
      <xdr:spPr>
        <a:xfrm>
          <a:off x="600075" y="4933950"/>
          <a:ext cx="9534525" cy="7905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kern="1200"/>
            <a:t>* DISCLAIMER:</a:t>
          </a:r>
        </a:p>
        <a:p>
          <a:r>
            <a:rPr lang="en-US" sz="1100" kern="1200"/>
            <a:t>-</a:t>
          </a:r>
          <a:r>
            <a:rPr lang="en-US" sz="1100" kern="1200" baseline="0"/>
            <a:t> </a:t>
          </a:r>
          <a:r>
            <a:rPr lang="en-US"/>
            <a:t>These</a:t>
          </a:r>
          <a:r>
            <a:rPr lang="en-US" baseline="0"/>
            <a:t> initial </a:t>
          </a:r>
          <a:r>
            <a:rPr lang="en-US"/>
            <a:t>estimates are</a:t>
          </a:r>
          <a:r>
            <a:rPr lang="en-US" baseline="0"/>
            <a:t> </a:t>
          </a:r>
          <a:r>
            <a:rPr lang="en-US"/>
            <a:t>intended to help staff prioritizing mitigations. However, the applicant must submit the official Street Impact Fee (SIF) offset agreement with the actual cost or cost estimates</a:t>
          </a:r>
          <a:r>
            <a:rPr lang="en-US" baseline="0"/>
            <a:t> by licensed engineer as per </a:t>
          </a:r>
          <a:r>
            <a:rPr lang="en-US"/>
            <a:t>with the SIF ordinances and administrative SIF guidelines. For more information, please visit our </a:t>
          </a:r>
          <a:r>
            <a:rPr lang="en-US">
              <a:hlinkClick xmlns:r="http://schemas.openxmlformats.org/officeDocument/2006/relationships" r:id=""/>
            </a:rPr>
            <a:t>SIF website</a:t>
          </a:r>
          <a:r>
            <a:rPr lang="en-US"/>
            <a:t>.</a:t>
          </a:r>
        </a:p>
        <a:p>
          <a:endParaRPr lang="en-US" sz="1100" kern="12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769620</xdr:colOff>
      <xdr:row>62</xdr:row>
      <xdr:rowOff>30480</xdr:rowOff>
    </xdr:to>
    <xdr:pic>
      <xdr:nvPicPr>
        <xdr:cNvPr id="16595" name="Picture 2">
          <a:extLst>
            <a:ext uri="{FF2B5EF4-FFF2-40B4-BE49-F238E27FC236}">
              <a16:creationId xmlns:a16="http://schemas.microsoft.com/office/drawing/2014/main" id="{00000000-0008-0000-0400-0000D34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73240" cy="10424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ausfp01\TX_AUS\AUS_TPTO\064424314%20-%20Austin%20RP%20Update\TECH\XLS\Worksheet\DRAFT_COA_Rough_Proportionality_Worksheet_Update_v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portionality"/>
      <sheetName val="Land Use Chart"/>
      <sheetName val="Summary of Roadway Costs"/>
      <sheetName val="PayItems"/>
      <sheetName val="Level1"/>
      <sheetName val="Level1_Alternative"/>
      <sheetName val="Level2_Industrial"/>
      <sheetName val="Level2_Urban"/>
      <sheetName val="Level2_Suburban"/>
      <sheetName val="Level2_Alternative"/>
      <sheetName val="Level3_Urban"/>
      <sheetName val="Level3_Suburban"/>
      <sheetName val="Level3_Industrial"/>
      <sheetName val="Level3_Alternative"/>
      <sheetName val="Level4_Urban"/>
      <sheetName val="Level4_Suburban"/>
      <sheetName val="Level4_Alternative"/>
    </sheetNames>
    <sheetDataSet>
      <sheetData sheetId="0"/>
      <sheetData sheetId="1">
        <row r="2">
          <cell r="B2" t="str">
            <v>Land Use Category</v>
          </cell>
        </row>
        <row r="3">
          <cell r="B3"/>
        </row>
        <row r="4">
          <cell r="B4" t="str">
            <v>PORT AND TERMINAL</v>
          </cell>
        </row>
        <row r="5">
          <cell r="B5" t="str">
            <v>Truck Terminal</v>
          </cell>
        </row>
        <row r="6">
          <cell r="B6" t="str">
            <v>INDUSTRIAL</v>
          </cell>
        </row>
        <row r="7">
          <cell r="B7" t="str">
            <v>General Light Industrial</v>
          </cell>
        </row>
        <row r="8">
          <cell r="B8" t="str">
            <v>Industrial Park</v>
          </cell>
        </row>
        <row r="9">
          <cell r="B9" t="str">
            <v>Manufacturing</v>
          </cell>
        </row>
        <row r="10">
          <cell r="B10" t="str">
            <v>Warehousing</v>
          </cell>
        </row>
        <row r="11">
          <cell r="B11" t="str">
            <v>Mini-Warehouse</v>
          </cell>
        </row>
        <row r="12">
          <cell r="B12" t="str">
            <v>RESIDENTIAL</v>
          </cell>
        </row>
        <row r="13">
          <cell r="B13" t="str">
            <v>Single-Family Detached Housing</v>
          </cell>
        </row>
        <row r="14">
          <cell r="B14" t="str">
            <v>Multifamily Housing (Low-Rise)</v>
          </cell>
        </row>
        <row r="15">
          <cell r="B15" t="str">
            <v>Multifamily Housing (Mid-Rise)</v>
          </cell>
        </row>
        <row r="16">
          <cell r="B16" t="str">
            <v>Multifamily Housing (High-Rise)</v>
          </cell>
        </row>
        <row r="17">
          <cell r="B17" t="str">
            <v>Mobile Home Park</v>
          </cell>
        </row>
        <row r="18">
          <cell r="B18" t="str">
            <v>Senior Adult Housing-Detached</v>
          </cell>
        </row>
        <row r="19">
          <cell r="B19" t="str">
            <v>Senior Adult Housing-Attached</v>
          </cell>
        </row>
        <row r="20">
          <cell r="B20" t="str">
            <v>Assisted Living</v>
          </cell>
        </row>
        <row r="21">
          <cell r="B21" t="str">
            <v>LODGING</v>
          </cell>
        </row>
        <row r="22">
          <cell r="B22" t="str">
            <v>Hotel</v>
          </cell>
        </row>
        <row r="23">
          <cell r="B23" t="str">
            <v>Motel / Other Lodging Facilities</v>
          </cell>
        </row>
        <row r="24">
          <cell r="B24" t="str">
            <v>RECREATIONAL</v>
          </cell>
        </row>
        <row r="25">
          <cell r="B25" t="str">
            <v>Golf Driving Range</v>
          </cell>
        </row>
        <row r="26">
          <cell r="B26" t="str">
            <v>Golf Course</v>
          </cell>
        </row>
        <row r="27">
          <cell r="B27" t="str">
            <v>Recreational Community Center</v>
          </cell>
        </row>
        <row r="28">
          <cell r="B28" t="str">
            <v>Ice Skating Rink</v>
          </cell>
        </row>
        <row r="29">
          <cell r="B29" t="str">
            <v>Miniature Golf Course</v>
          </cell>
        </row>
        <row r="30">
          <cell r="B30" t="str">
            <v>Multiplex Movie Theater</v>
          </cell>
        </row>
        <row r="31">
          <cell r="B31" t="str">
            <v>Racquet / Tennis Club</v>
          </cell>
        </row>
        <row r="32">
          <cell r="B32" t="str">
            <v>INSTITUTIONAL</v>
          </cell>
        </row>
        <row r="33">
          <cell r="B33" t="str">
            <v>Religious Place of Worship</v>
          </cell>
        </row>
        <row r="34">
          <cell r="B34" t="str">
            <v>Day Care Center</v>
          </cell>
        </row>
        <row r="35">
          <cell r="B35" t="str">
            <v>Elementary School</v>
          </cell>
        </row>
        <row r="36">
          <cell r="B36" t="str">
            <v>Middle School/Junior High School</v>
          </cell>
        </row>
        <row r="37">
          <cell r="B37" t="str">
            <v>High School</v>
          </cell>
        </row>
        <row r="38">
          <cell r="B38" t="str">
            <v>Junior / Community College</v>
          </cell>
        </row>
        <row r="39">
          <cell r="B39" t="str">
            <v>University / College</v>
          </cell>
        </row>
        <row r="40">
          <cell r="B40" t="str">
            <v>MEDICAL</v>
          </cell>
        </row>
        <row r="41">
          <cell r="B41" t="str">
            <v>Clinic</v>
          </cell>
        </row>
        <row r="42">
          <cell r="B42" t="str">
            <v>Hospital</v>
          </cell>
        </row>
        <row r="43">
          <cell r="B43" t="str">
            <v>Nursing Home</v>
          </cell>
        </row>
        <row r="44">
          <cell r="B44" t="str">
            <v>Animal Hospital/Veterinary Clinic</v>
          </cell>
        </row>
        <row r="45">
          <cell r="B45" t="str">
            <v>OFFICE</v>
          </cell>
        </row>
        <row r="46">
          <cell r="B46" t="str">
            <v>Corporate Headquarters Building</v>
          </cell>
        </row>
        <row r="47">
          <cell r="B47" t="str">
            <v>General Office Building</v>
          </cell>
        </row>
        <row r="48">
          <cell r="B48" t="str">
            <v>Medical/Dental Office</v>
          </cell>
        </row>
        <row r="49">
          <cell r="B49" t="str">
            <v>Single Tenant Office Building</v>
          </cell>
        </row>
        <row r="50">
          <cell r="B50" t="str">
            <v>Office/Business Park</v>
          </cell>
        </row>
        <row r="51">
          <cell r="B51" t="str">
            <v>COMMERCIAL</v>
          </cell>
        </row>
        <row r="52">
          <cell r="B52" t="str">
            <v xml:space="preserve">     AUTOMOBILE RELATED</v>
          </cell>
        </row>
        <row r="53">
          <cell r="B53" t="str">
            <v>Automobile Care Center</v>
          </cell>
        </row>
        <row r="54">
          <cell r="B54" t="str">
            <v>Automobile Parts Sales</v>
          </cell>
        </row>
        <row r="55">
          <cell r="B55" t="str">
            <v>Gasoline/Service Station</v>
          </cell>
        </row>
        <row r="56">
          <cell r="B56" t="str">
            <v>Gasoline/Service Station w/ Conv Market</v>
          </cell>
        </row>
        <row r="57">
          <cell r="B57" t="str">
            <v>Car Sales (Old)</v>
          </cell>
        </row>
        <row r="58">
          <cell r="B58" t="str">
            <v>Quick Lubrication Vehicle Shop</v>
          </cell>
        </row>
        <row r="59">
          <cell r="B59" t="str">
            <v>Self-Service Car Wash</v>
          </cell>
        </row>
        <row r="60">
          <cell r="B60" t="str">
            <v>Tire Store</v>
          </cell>
        </row>
        <row r="61">
          <cell r="B61" t="str">
            <v xml:space="preserve">     DINING</v>
          </cell>
        </row>
        <row r="62">
          <cell r="B62" t="str">
            <v>Fast Food Restaurant with Drive-Thru</v>
          </cell>
        </row>
        <row r="63">
          <cell r="B63" t="str">
            <v>Fast Food Restaurant without Drive-Thru</v>
          </cell>
        </row>
        <row r="64">
          <cell r="B64" t="str">
            <v>High Turnover (Sit-Down) Restaurant</v>
          </cell>
        </row>
        <row r="65">
          <cell r="B65" t="str">
            <v>Quality Restaurant</v>
          </cell>
        </row>
        <row r="66">
          <cell r="B66" t="str">
            <v>Coffee/Donut Shop with Drive-Thru Window</v>
          </cell>
        </row>
        <row r="67">
          <cell r="B67" t="str">
            <v xml:space="preserve">     OTHER RETAIL</v>
          </cell>
        </row>
        <row r="68">
          <cell r="B68" t="str">
            <v>Free-Standing Discount Store</v>
          </cell>
        </row>
        <row r="69">
          <cell r="B69" t="str">
            <v>Nursery (Garden Center)</v>
          </cell>
        </row>
        <row r="70">
          <cell r="B70" t="str">
            <v>Home Improvement Superstore</v>
          </cell>
        </row>
        <row r="71">
          <cell r="B71" t="str">
            <v>Pharmacy/Drugstore w/o Drive-Thru</v>
          </cell>
        </row>
        <row r="72">
          <cell r="B72" t="str">
            <v>Pharmacy/Drugstore w Drive-Thru</v>
          </cell>
        </row>
        <row r="73">
          <cell r="B73" t="str">
            <v>Shopping Center</v>
          </cell>
        </row>
        <row r="74">
          <cell r="B74" t="str">
            <v>Supermarket</v>
          </cell>
        </row>
        <row r="75">
          <cell r="B75" t="str">
            <v>Toy/Children's Superstore</v>
          </cell>
        </row>
        <row r="76">
          <cell r="B76" t="str">
            <v>Department Store</v>
          </cell>
        </row>
        <row r="77">
          <cell r="B77" t="str">
            <v>SERVICES</v>
          </cell>
        </row>
        <row r="78">
          <cell r="B78" t="str">
            <v>Walk-In Bank</v>
          </cell>
        </row>
        <row r="79">
          <cell r="B79" t="str">
            <v>Drive-In Bank</v>
          </cell>
        </row>
        <row r="80">
          <cell r="B80" t="str">
            <v>Hair Salon</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library.municode.com/tx/austin/codes/land_development_code?nodeId=TIT25LADE_CH25-6TR_ART9STIMFE" TargetMode="External"/><Relationship Id="rId3" Type="http://schemas.openxmlformats.org/officeDocument/2006/relationships/hyperlink" Target="https://www.austintexas.gov/edims/document.cfm?id=351491" TargetMode="External"/><Relationship Id="rId7" Type="http://schemas.openxmlformats.org/officeDocument/2006/relationships/hyperlink" Target="https://kimleyhorn.sharepoint.com/sites/ITDept/SitePages/Map-Office-Drives.aspxhttps:/library.municode.com/tx/austin/codes/land_development_code?nodeId=TIT25LADE_CH25-6TR_ART9STIMFE" TargetMode="External"/><Relationship Id="rId2" Type="http://schemas.openxmlformats.org/officeDocument/2006/relationships/hyperlink" Target="https://www.austintexas.gov/edims/document.cfm?id=352739" TargetMode="External"/><Relationship Id="rId1" Type="http://schemas.openxmlformats.org/officeDocument/2006/relationships/hyperlink" Target="https://www.austintexas.gov/edims/document.cfm?id=352887" TargetMode="External"/><Relationship Id="rId6" Type="http://schemas.openxmlformats.org/officeDocument/2006/relationships/hyperlink" Target="https://austin.maps.arcgis.com/apps/View/index.html?appid=af6815a6521747f3a5dc1dfd11a8da6e" TargetMode="External"/><Relationship Id="rId5" Type="http://schemas.openxmlformats.org/officeDocument/2006/relationships/hyperlink" Target="https://library.municode.com/tx/austin/codes/land_development_code?nodeId=TIT25LADE_CH25-6TR_ART3TRIMANMI" TargetMode="External"/><Relationship Id="rId10" Type="http://schemas.openxmlformats.org/officeDocument/2006/relationships/drawing" Target="../drawings/drawing1.xml"/><Relationship Id="rId4" Type="http://schemas.openxmlformats.org/officeDocument/2006/relationships/hyperlink" Target="https://library.municode.com/tx/austin/codes/land_development_code?nodeId=TIT25LADE_CH25-6TR_ART2TRIMRI-WDE_DIV2REDERI-W"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trlProp" Target="../ctrlProps/ctrlProp3.xml"/><Relationship Id="rId2" Type="http://schemas.openxmlformats.org/officeDocument/2006/relationships/printerSettings" Target="../printerSettings/printerSettings2.bin"/><Relationship Id="rId1" Type="http://schemas.openxmlformats.org/officeDocument/2006/relationships/hyperlink" Target="http://www.austintexas.gov/department/street-impact-fee"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https://maps.austintexas.gov/GIS/PropertyProfile/" TargetMode="Externa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https://www.austintexas.gov/edims/document.cfm?id=3062" TargetMode="External"/><Relationship Id="rId1" Type="http://schemas.openxmlformats.org/officeDocument/2006/relationships/hyperlink" Target="https://mcclibraryfunctions.azurewebsites.us/api/ordinanceDownload/15310/1129502/pdf" TargetMode="External"/></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s://www.irs.gov/publications/p15b" TargetMode="External"/><Relationship Id="rId1" Type="http://schemas.openxmlformats.org/officeDocument/2006/relationships/hyperlink" Target="https://www.capmetro.org/fares/"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9"/>
  </sheetPr>
  <dimension ref="A34:J42"/>
  <sheetViews>
    <sheetView showGridLines="0" showRowColHeaders="0" topLeftCell="A22" zoomScaleNormal="100" workbookViewId="0">
      <selection activeCell="A34" sqref="A34"/>
    </sheetView>
  </sheetViews>
  <sheetFormatPr defaultColWidth="9.140625" defaultRowHeight="15" x14ac:dyDescent="0.25"/>
  <cols>
    <col min="1" max="1" width="20.28515625" style="332" customWidth="1"/>
    <col min="2" max="2" width="22.7109375" style="332" customWidth="1"/>
    <col min="3" max="3" width="22.140625" style="332" customWidth="1"/>
    <col min="4" max="16384" width="9.140625" style="332"/>
  </cols>
  <sheetData>
    <row r="34" spans="1:10" ht="28.5" customHeight="1" x14ac:dyDescent="0.25">
      <c r="A34" s="514"/>
    </row>
    <row r="35" spans="1:10" ht="28.5" customHeight="1" x14ac:dyDescent="0.25"/>
    <row r="36" spans="1:10" s="335" customFormat="1" ht="23.25" x14ac:dyDescent="0.35">
      <c r="B36" s="340" t="s">
        <v>417</v>
      </c>
      <c r="C36" s="332"/>
      <c r="D36" s="332"/>
      <c r="E36" s="332"/>
      <c r="F36" s="332"/>
      <c r="G36" s="332"/>
      <c r="H36" s="339"/>
      <c r="I36" s="339"/>
      <c r="J36" s="339"/>
    </row>
    <row r="37" spans="1:10" s="335" customFormat="1" ht="21" x14ac:dyDescent="0.35">
      <c r="B37" s="335" t="s">
        <v>438</v>
      </c>
      <c r="C37" s="341" t="s">
        <v>437</v>
      </c>
      <c r="D37" s="332"/>
      <c r="E37" s="332"/>
      <c r="F37" s="332"/>
      <c r="G37" s="332"/>
    </row>
    <row r="38" spans="1:10" s="335" customFormat="1" ht="21" x14ac:dyDescent="0.35">
      <c r="B38" s="336" t="s">
        <v>418</v>
      </c>
      <c r="C38" s="337" t="s">
        <v>419</v>
      </c>
      <c r="D38" s="337" t="s">
        <v>420</v>
      </c>
      <c r="E38" s="336"/>
    </row>
    <row r="39" spans="1:10" ht="21" x14ac:dyDescent="0.35">
      <c r="B39" s="337" t="s">
        <v>421</v>
      </c>
      <c r="C39" s="336"/>
      <c r="D39" s="336"/>
      <c r="E39" s="336"/>
      <c r="F39" s="335"/>
      <c r="G39" s="335"/>
    </row>
    <row r="40" spans="1:10" ht="21" x14ac:dyDescent="0.35">
      <c r="B40" s="337" t="s">
        <v>423</v>
      </c>
      <c r="C40" s="336"/>
      <c r="D40" s="336"/>
      <c r="E40" s="336"/>
      <c r="F40" s="335"/>
      <c r="G40" s="335"/>
    </row>
    <row r="41" spans="1:10" ht="18" x14ac:dyDescent="0.25">
      <c r="B41" s="337" t="s">
        <v>422</v>
      </c>
      <c r="C41" s="338"/>
      <c r="D41" s="338"/>
      <c r="E41" s="338"/>
    </row>
    <row r="42" spans="1:10" ht="18" x14ac:dyDescent="0.25">
      <c r="B42" s="337" t="s">
        <v>426</v>
      </c>
      <c r="C42" s="338"/>
      <c r="D42" s="338"/>
      <c r="E42" s="338"/>
    </row>
  </sheetData>
  <sheetProtection algorithmName="SHA-512" hashValue="OtY+0HK8vL1PBqcr4qOVrjVdwBGWusoQ2a1o1RSXdbn8El4XnoU05Q/m0QlMQkhPr5h5153P2EEPDtQFfnhjEg==" saltValue="vSSFAKY6zDBIIIVBirvKKw==" spinCount="100000" sheet="1" objects="1" scenarios="1" selectLockedCells="1" selectUnlockedCells="1"/>
  <hyperlinks>
    <hyperlink ref="C38" r:id="rId1" xr:uid="{00000000-0004-0000-0000-000000000000}"/>
    <hyperlink ref="D38" r:id="rId2" xr:uid="{00000000-0004-0000-0000-000001000000}"/>
    <hyperlink ref="B39" r:id="rId3" xr:uid="{00000000-0004-0000-0000-000002000000}"/>
    <hyperlink ref="B40" r:id="rId4" display="LDC 25-6-51 &amp; 52" xr:uid="{00000000-0004-0000-0000-000003000000}"/>
    <hyperlink ref="B41" r:id="rId5" xr:uid="{00000000-0004-0000-0000-000004000000}"/>
    <hyperlink ref="B42" r:id="rId6" xr:uid="{00000000-0004-0000-0000-000005000000}"/>
    <hyperlink ref="G36:J36" r:id="rId7" display="Article 9 Street Impact Fees" xr:uid="{00000000-0004-0000-0000-000006000000}"/>
    <hyperlink ref="C37" r:id="rId8" display="Article 9 Street Impact Fees" xr:uid="{00000000-0004-0000-0000-000007000000}"/>
  </hyperlinks>
  <pageMargins left="0.7" right="0.7" top="0.75" bottom="0.75" header="0.3" footer="0.3"/>
  <pageSetup orientation="portrait" verticalDpi="1200" r:id="rId9"/>
  <drawing r:id="rId1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00B050"/>
    <pageSetUpPr fitToPage="1"/>
  </sheetPr>
  <dimension ref="A1:AQ590"/>
  <sheetViews>
    <sheetView showGridLines="0" tabSelected="1" zoomScale="85" zoomScaleNormal="85" workbookViewId="0">
      <selection activeCell="D15" sqref="D15"/>
    </sheetView>
  </sheetViews>
  <sheetFormatPr defaultColWidth="0" defaultRowHeight="12.75" zeroHeight="1" x14ac:dyDescent="0.2"/>
  <cols>
    <col min="1" max="1" width="2.28515625" style="541" customWidth="1"/>
    <col min="2" max="2" width="40.28515625" style="541" customWidth="1"/>
    <col min="3" max="3" width="2.42578125" style="541" customWidth="1"/>
    <col min="4" max="4" width="17.85546875" style="541" customWidth="1"/>
    <col min="5" max="5" width="2.42578125" style="541" customWidth="1"/>
    <col min="6" max="6" width="10" style="541" customWidth="1"/>
    <col min="7" max="7" width="2.42578125" style="541" customWidth="1"/>
    <col min="8" max="8" width="13.85546875" style="541" customWidth="1"/>
    <col min="9" max="9" width="2.42578125" style="541" customWidth="1"/>
    <col min="10" max="10" width="12.42578125" style="541" customWidth="1"/>
    <col min="11" max="11" width="2.42578125" style="541" customWidth="1"/>
    <col min="12" max="12" width="14.140625" style="541" customWidth="1"/>
    <col min="13" max="13" width="2.42578125" style="541" customWidth="1"/>
    <col min="14" max="14" width="17.140625" style="541" customWidth="1"/>
    <col min="15" max="15" width="2.42578125" style="541" customWidth="1"/>
    <col min="16" max="16" width="8.85546875" style="541" customWidth="1"/>
    <col min="17" max="17" width="20.7109375" style="541" hidden="1" customWidth="1"/>
    <col min="18" max="18" width="2.140625" style="541" hidden="1" customWidth="1"/>
    <col min="19" max="19" width="20.7109375" style="541" hidden="1" customWidth="1"/>
    <col min="20" max="20" width="20.7109375" style="541" customWidth="1"/>
    <col min="21" max="21" width="7.42578125" style="541" customWidth="1"/>
    <col min="22" max="22" width="2.42578125" style="541" customWidth="1"/>
    <col min="23" max="23" width="23.140625" style="541" customWidth="1"/>
    <col min="24" max="24" width="2.140625" style="541" customWidth="1"/>
    <col min="25" max="25" width="25.85546875" style="541" customWidth="1"/>
    <col min="26" max="26" width="2" style="541" customWidth="1"/>
    <col min="27" max="27" width="20.7109375" style="540" customWidth="1"/>
    <col min="28" max="28" width="1.7109375" style="541" hidden="1" customWidth="1"/>
    <col min="29" max="29" width="11.7109375" style="541" hidden="1" customWidth="1"/>
    <col min="30" max="30" width="16" style="541" hidden="1" customWidth="1"/>
    <col min="31" max="31" width="21" style="541" hidden="1" customWidth="1"/>
    <col min="32" max="32" width="41.7109375" style="541" hidden="1" customWidth="1"/>
    <col min="33" max="33" width="27.42578125" style="541" hidden="1" customWidth="1"/>
    <col min="34" max="34" width="18" style="541" hidden="1" customWidth="1"/>
    <col min="35" max="35" width="19.140625" style="541" hidden="1" customWidth="1"/>
    <col min="36" max="16384" width="9.140625" style="541" hidden="1"/>
  </cols>
  <sheetData>
    <row r="1" spans="1:39" ht="8.25" customHeight="1" thickTop="1" x14ac:dyDescent="0.2">
      <c r="A1" s="537"/>
      <c r="B1" s="538"/>
      <c r="C1" s="538"/>
      <c r="D1" s="538"/>
      <c r="E1" s="538"/>
      <c r="F1" s="538"/>
      <c r="G1" s="538"/>
      <c r="H1" s="538"/>
      <c r="I1" s="538"/>
      <c r="J1" s="538"/>
      <c r="K1" s="538"/>
      <c r="L1" s="538"/>
      <c r="M1" s="538"/>
      <c r="N1" s="538"/>
      <c r="O1" s="538"/>
      <c r="P1" s="538"/>
      <c r="Q1" s="538"/>
      <c r="R1" s="538"/>
      <c r="S1" s="538"/>
      <c r="T1" s="538"/>
      <c r="U1" s="538"/>
      <c r="V1" s="538"/>
      <c r="W1" s="538"/>
      <c r="X1" s="538"/>
      <c r="Y1" s="538"/>
      <c r="Z1" s="539"/>
    </row>
    <row r="2" spans="1:39" ht="23.25" x14ac:dyDescent="0.2">
      <c r="A2" s="542"/>
      <c r="B2" s="543"/>
      <c r="C2" s="543"/>
      <c r="D2" s="543"/>
      <c r="E2" s="543"/>
      <c r="F2" s="543"/>
      <c r="G2" s="543"/>
      <c r="H2" s="543"/>
      <c r="I2" s="543"/>
      <c r="J2" s="543"/>
      <c r="K2" s="543"/>
      <c r="L2" s="543"/>
      <c r="M2" s="543"/>
      <c r="N2" s="543"/>
      <c r="O2" s="543"/>
      <c r="P2" s="543"/>
      <c r="Q2" s="543"/>
      <c r="R2" s="543"/>
      <c r="S2" s="543"/>
      <c r="T2" s="543"/>
      <c r="U2" s="543"/>
      <c r="V2" s="543"/>
      <c r="W2" s="543"/>
      <c r="X2" s="543"/>
      <c r="Y2" s="732" t="s">
        <v>626</v>
      </c>
      <c r="Z2" s="544"/>
    </row>
    <row r="3" spans="1:39" ht="21" customHeight="1" x14ac:dyDescent="0.2">
      <c r="A3" s="781" t="s">
        <v>241</v>
      </c>
      <c r="B3" s="782"/>
      <c r="C3" s="782"/>
      <c r="D3" s="782"/>
      <c r="E3" s="782"/>
      <c r="F3" s="782"/>
      <c r="G3" s="782"/>
      <c r="H3" s="782"/>
      <c r="I3" s="782"/>
      <c r="J3" s="782"/>
      <c r="K3" s="782"/>
      <c r="L3" s="782"/>
      <c r="M3" s="782"/>
      <c r="N3" s="782"/>
      <c r="O3" s="782"/>
      <c r="P3" s="782"/>
      <c r="Q3" s="782"/>
      <c r="R3" s="782"/>
      <c r="S3" s="782"/>
      <c r="T3" s="782"/>
      <c r="U3" s="782"/>
      <c r="V3" s="782"/>
      <c r="W3" s="782"/>
      <c r="X3" s="782"/>
      <c r="Y3" s="782"/>
      <c r="Z3" s="544"/>
      <c r="AH3" s="545"/>
    </row>
    <row r="4" spans="1:39" ht="21" customHeight="1" x14ac:dyDescent="0.2">
      <c r="A4" s="732"/>
      <c r="B4" s="733"/>
      <c r="C4" s="733"/>
      <c r="D4" s="733"/>
      <c r="E4" s="733"/>
      <c r="F4" s="733"/>
      <c r="G4" s="733"/>
      <c r="H4" s="733"/>
      <c r="I4" s="733"/>
      <c r="J4" s="733"/>
      <c r="K4" s="733"/>
      <c r="L4" s="733"/>
      <c r="M4" s="733"/>
      <c r="N4" s="733"/>
      <c r="O4" s="733"/>
      <c r="P4" s="733"/>
      <c r="Q4" s="733"/>
      <c r="R4" s="733"/>
      <c r="S4" s="733"/>
      <c r="T4" s="733"/>
      <c r="U4" s="733"/>
      <c r="V4" s="733"/>
      <c r="W4" s="733"/>
      <c r="X4" s="733"/>
      <c r="Y4" s="546" t="s">
        <v>242</v>
      </c>
      <c r="Z4" s="544"/>
      <c r="AF4" s="547"/>
      <c r="AG4" s="548"/>
    </row>
    <row r="5" spans="1:39" x14ac:dyDescent="0.2">
      <c r="A5" s="549"/>
      <c r="B5" s="550"/>
      <c r="C5" s="550"/>
      <c r="D5" s="550"/>
      <c r="E5" s="550"/>
      <c r="F5" s="550"/>
      <c r="G5" s="550"/>
      <c r="H5" s="550"/>
      <c r="I5" s="550"/>
      <c r="J5" s="550"/>
      <c r="K5" s="550"/>
      <c r="L5" s="550"/>
      <c r="M5" s="550"/>
      <c r="N5" s="550"/>
      <c r="O5" s="550"/>
      <c r="P5" s="550"/>
      <c r="Q5" s="550"/>
      <c r="R5" s="550"/>
      <c r="S5" s="550"/>
      <c r="T5" s="550"/>
      <c r="U5" s="550"/>
      <c r="V5" s="550"/>
      <c r="W5" s="550"/>
      <c r="X5" s="550"/>
      <c r="Y5" s="550"/>
      <c r="Z5" s="544"/>
      <c r="AD5" s="548" t="s">
        <v>152</v>
      </c>
      <c r="AF5" s="551">
        <f>SUM(AE7:AM7)</f>
        <v>0</v>
      </c>
    </row>
    <row r="6" spans="1:39" s="553" customFormat="1" ht="24.75" customHeight="1" x14ac:dyDescent="0.2">
      <c r="A6" s="549"/>
      <c r="B6" s="552" t="s">
        <v>107</v>
      </c>
      <c r="C6" s="784"/>
      <c r="D6" s="784"/>
      <c r="E6" s="784"/>
      <c r="F6" s="784"/>
      <c r="G6" s="784"/>
      <c r="H6" s="784"/>
      <c r="I6" s="784"/>
      <c r="J6" s="784"/>
      <c r="K6" s="784"/>
      <c r="L6" s="784"/>
      <c r="M6" s="784"/>
      <c r="N6" s="784"/>
      <c r="O6" s="784"/>
      <c r="P6" s="784"/>
      <c r="Q6" s="784"/>
      <c r="R6" s="784"/>
      <c r="S6" s="784"/>
      <c r="T6" s="784"/>
      <c r="U6" s="784"/>
      <c r="V6" s="784"/>
      <c r="W6" s="784"/>
      <c r="X6" s="784"/>
      <c r="Y6" s="784"/>
      <c r="Z6" s="544"/>
      <c r="AA6" s="540"/>
      <c r="AD6" s="554" t="s">
        <v>151</v>
      </c>
      <c r="AE6" s="555">
        <v>43188</v>
      </c>
      <c r="AF6" s="556" t="str">
        <f>IF(D13="","",IF(D14="","",IF(D14&gt;=DATE(2019,1,1),2,1)))</f>
        <v/>
      </c>
      <c r="AG6" s="553" t="str">
        <f>IF(D13="","",IF(D14="","",IF(D13&lt;DATE(2013,4,1),1,IF(D13&gt;=DATE(2018,4,1),3,2))))</f>
        <v/>
      </c>
    </row>
    <row r="7" spans="1:39" s="553" customFormat="1" ht="24.75" customHeight="1" x14ac:dyDescent="0.2">
      <c r="A7" s="549"/>
      <c r="B7" s="552" t="s">
        <v>108</v>
      </c>
      <c r="C7" s="783"/>
      <c r="D7" s="783"/>
      <c r="E7" s="783"/>
      <c r="F7" s="783"/>
      <c r="G7" s="783"/>
      <c r="H7" s="783"/>
      <c r="I7" s="783"/>
      <c r="J7" s="783"/>
      <c r="K7" s="783"/>
      <c r="L7" s="783"/>
      <c r="M7" s="783"/>
      <c r="N7" s="783"/>
      <c r="O7" s="783"/>
      <c r="P7" s="783"/>
      <c r="Q7" s="783"/>
      <c r="R7" s="783"/>
      <c r="S7" s="783"/>
      <c r="T7" s="783"/>
      <c r="U7" s="783"/>
      <c r="V7" s="783"/>
      <c r="W7" s="783"/>
      <c r="X7" s="783"/>
      <c r="Y7" s="783"/>
      <c r="Z7" s="544"/>
      <c r="AA7" s="540"/>
      <c r="AD7" s="557" t="s">
        <v>152</v>
      </c>
      <c r="AE7" s="554" t="str">
        <f>IF(D13="","",IF(D14="","",IF(AND($AF$6=1,(D13&lt;DATE(2013,4,1))),1,0)))</f>
        <v/>
      </c>
      <c r="AF7" s="557" t="str">
        <f>IF(D13="","",IF(D14="","",IF(AND($AF$6=2,(D13&lt;DATE(2013,4,1))),2,0)))</f>
        <v/>
      </c>
      <c r="AG7" s="557" t="str">
        <f>IF(D13="","",IF(AND($AF$6=1,IF(AND(D13&gt;=DATE(2013,4,1),(D13&lt;DATE(2018,4,1))),3,0)),3,0))</f>
        <v/>
      </c>
      <c r="AH7" s="558" t="str">
        <f>IF(D13="","",IF(AND($AF$6=2,IF(AND(D13&gt;=DATE(2013,4,1),(D13&lt;DATE(2018,4,1))),IF(D14&lt;(D13+730),4,0),0)),4,0))</f>
        <v/>
      </c>
      <c r="AI7" s="558" t="str">
        <f>IF(D13="","",IF(AND($AF$6=2,IF(AND(D13&gt;=DATE(2013,4,1),(D13&lt;DATE(2018,4,1))),IF(D14&gt;=(D13+730),5,0),0)),5,0))</f>
        <v/>
      </c>
      <c r="AJ7" s="557" t="str">
        <f>IF(D13="","",IF(D14="","",IF(AND($AF$6=1,((D13&gt;=DATE(2018,4,1)))),6,0)))</f>
        <v/>
      </c>
      <c r="AK7" s="557" t="str">
        <f>IF(D13="","",IF(D14="","",IF(AND($AF$6=2,((D13&gt;=DATE(2019,1,1)))),7,0)))</f>
        <v/>
      </c>
      <c r="AL7" s="558" t="str">
        <f>IF(D13="","",IF(AND($AF$6=2,IF(AND(D13&gt;=DATE(2018,4,1),(D13&lt;DATE(2019,1,1))),IF(D14&lt;(D13+730),8,0),0)),8,0))</f>
        <v/>
      </c>
      <c r="AM7" s="558" t="str">
        <f>IF(D13="","",IF(AND($AF$6=2,IF(AND(D13&gt;=DATE(2018,4,1),(D13&lt;DATE(2019,1,1))),IF(D14&gt;=(D13+730),9,0),0)),9,0))</f>
        <v/>
      </c>
    </row>
    <row r="8" spans="1:39" s="553" customFormat="1" ht="26.25" customHeight="1" x14ac:dyDescent="0.2">
      <c r="A8" s="549"/>
      <c r="B8" s="552" t="s">
        <v>113</v>
      </c>
      <c r="C8" s="785"/>
      <c r="D8" s="783"/>
      <c r="E8" s="783"/>
      <c r="F8" s="783"/>
      <c r="G8" s="783"/>
      <c r="H8" s="783"/>
      <c r="I8" s="783"/>
      <c r="J8" s="783"/>
      <c r="K8" s="783"/>
      <c r="L8" s="783"/>
      <c r="M8" s="783"/>
      <c r="N8" s="783"/>
      <c r="O8" s="783"/>
      <c r="P8" s="783"/>
      <c r="Q8" s="783"/>
      <c r="R8" s="783"/>
      <c r="S8" s="783"/>
      <c r="T8" s="783"/>
      <c r="U8" s="783"/>
      <c r="V8" s="783"/>
      <c r="W8" s="783"/>
      <c r="X8" s="783"/>
      <c r="Y8" s="783"/>
      <c r="Z8" s="544"/>
      <c r="AA8" s="540"/>
      <c r="AB8" s="559" t="s">
        <v>116</v>
      </c>
      <c r="AC8" s="560">
        <v>23</v>
      </c>
      <c r="AD8" s="557">
        <v>10</v>
      </c>
      <c r="AE8" s="557">
        <v>1</v>
      </c>
      <c r="AF8" s="557">
        <v>2</v>
      </c>
      <c r="AG8" s="557">
        <v>3</v>
      </c>
      <c r="AH8" s="557">
        <v>4</v>
      </c>
      <c r="AI8" s="557">
        <v>5</v>
      </c>
      <c r="AJ8" s="557">
        <v>6</v>
      </c>
      <c r="AK8" s="557">
        <v>7</v>
      </c>
      <c r="AL8" s="553">
        <v>8</v>
      </c>
      <c r="AM8" s="553">
        <v>9</v>
      </c>
    </row>
    <row r="9" spans="1:39" s="553" customFormat="1" ht="24.75" customHeight="1" x14ac:dyDescent="0.2">
      <c r="A9" s="549"/>
      <c r="B9" s="552" t="s">
        <v>109</v>
      </c>
      <c r="C9" s="784"/>
      <c r="D9" s="784"/>
      <c r="E9" s="550"/>
      <c r="F9" s="793" t="s">
        <v>434</v>
      </c>
      <c r="G9" s="793"/>
      <c r="H9" s="793"/>
      <c r="I9" s="794"/>
      <c r="J9" s="794"/>
      <c r="K9" s="794"/>
      <c r="L9" s="794"/>
      <c r="M9" s="794"/>
      <c r="N9" s="794"/>
      <c r="O9" s="794"/>
      <c r="P9" s="794"/>
      <c r="T9" s="561"/>
      <c r="U9" s="561" t="s">
        <v>435</v>
      </c>
      <c r="V9" s="794"/>
      <c r="W9" s="794"/>
      <c r="X9" s="794"/>
      <c r="Y9" s="794"/>
      <c r="Z9" s="544"/>
      <c r="AA9" s="540"/>
      <c r="AB9" s="559" t="s">
        <v>117</v>
      </c>
      <c r="AC9" s="560">
        <v>24</v>
      </c>
      <c r="AD9" s="734">
        <v>11</v>
      </c>
      <c r="AE9" s="555"/>
      <c r="AF9" s="555"/>
      <c r="AG9" s="555"/>
      <c r="AH9" s="555"/>
      <c r="AI9" s="555"/>
      <c r="AJ9" s="555"/>
      <c r="AK9" s="555"/>
    </row>
    <row r="10" spans="1:39" s="553" customFormat="1" ht="24.75" customHeight="1" thickBot="1" x14ac:dyDescent="0.25">
      <c r="A10" s="549"/>
      <c r="B10" s="552" t="s">
        <v>336</v>
      </c>
      <c r="C10" s="792"/>
      <c r="D10" s="792"/>
      <c r="E10" s="552"/>
      <c r="F10" s="552"/>
      <c r="G10" s="562"/>
      <c r="H10" s="562"/>
      <c r="I10" s="562"/>
      <c r="J10" s="562"/>
      <c r="K10" s="562"/>
      <c r="L10" s="562"/>
      <c r="M10" s="562"/>
      <c r="N10" s="562"/>
      <c r="O10" s="562"/>
      <c r="P10" s="562"/>
      <c r="Q10" s="562"/>
      <c r="R10" s="562"/>
      <c r="S10" s="562"/>
      <c r="T10" s="562"/>
      <c r="U10" s="562"/>
      <c r="V10" s="562"/>
      <c r="W10" s="562"/>
      <c r="X10" s="562"/>
      <c r="Y10" s="562"/>
      <c r="Z10" s="544"/>
      <c r="AA10" s="540"/>
      <c r="AB10" s="559" t="s">
        <v>118</v>
      </c>
      <c r="AC10" s="560">
        <v>25</v>
      </c>
      <c r="AD10" s="734">
        <v>12</v>
      </c>
      <c r="AE10" s="555"/>
      <c r="AF10" s="555"/>
      <c r="AG10" s="555"/>
      <c r="AH10" s="559" t="s">
        <v>116</v>
      </c>
      <c r="AI10" s="553" t="s">
        <v>416</v>
      </c>
      <c r="AJ10" s="555"/>
      <c r="AK10" s="555"/>
    </row>
    <row r="11" spans="1:39" s="553" customFormat="1" ht="23.25" customHeight="1" thickBot="1" x14ac:dyDescent="0.25">
      <c r="A11" s="549"/>
      <c r="B11" s="552" t="s">
        <v>115</v>
      </c>
      <c r="C11" s="795" t="s">
        <v>728</v>
      </c>
      <c r="D11" s="795"/>
      <c r="E11" s="795"/>
      <c r="F11" s="795"/>
      <c r="G11" s="795"/>
      <c r="H11" s="795"/>
      <c r="I11" s="795"/>
      <c r="J11" s="795"/>
      <c r="K11" s="795"/>
      <c r="L11" s="795"/>
      <c r="M11" s="795"/>
      <c r="N11" s="795"/>
      <c r="O11" s="795"/>
      <c r="P11" s="795"/>
      <c r="Q11" s="562"/>
      <c r="R11" s="562"/>
      <c r="S11" s="562"/>
      <c r="T11" s="562"/>
      <c r="V11" s="502"/>
      <c r="W11" s="563" t="s">
        <v>628</v>
      </c>
      <c r="X11" s="562"/>
      <c r="Y11" s="564"/>
      <c r="Z11" s="544"/>
      <c r="AA11" s="540"/>
      <c r="AB11" s="565" t="s">
        <v>119</v>
      </c>
      <c r="AC11" s="560">
        <v>26</v>
      </c>
      <c r="AD11" s="557">
        <v>13</v>
      </c>
      <c r="AE11" s="566" t="s">
        <v>330</v>
      </c>
      <c r="AF11" s="553" t="s">
        <v>413</v>
      </c>
      <c r="AH11" s="559" t="s">
        <v>117</v>
      </c>
      <c r="AI11" s="553" t="s">
        <v>416</v>
      </c>
    </row>
    <row r="12" spans="1:39" ht="13.5" thickBot="1" x14ac:dyDescent="0.25">
      <c r="A12" s="549"/>
      <c r="B12" s="550"/>
      <c r="C12" s="550"/>
      <c r="D12" s="550"/>
      <c r="E12" s="550"/>
      <c r="F12" s="550"/>
      <c r="G12" s="550"/>
      <c r="H12" s="550"/>
      <c r="I12" s="550"/>
      <c r="J12" s="550"/>
      <c r="K12" s="550"/>
      <c r="L12" s="550"/>
      <c r="M12" s="550"/>
      <c r="N12" s="550"/>
      <c r="O12" s="550"/>
      <c r="P12" s="550"/>
      <c r="Q12" s="550"/>
      <c r="V12" s="567" t="str">
        <f>IF(AND($Y$45="",$Y$51=""),"","X")</f>
        <v/>
      </c>
      <c r="W12" s="568" t="s">
        <v>627</v>
      </c>
      <c r="X12" s="550"/>
      <c r="Z12" s="544"/>
      <c r="AB12" s="565" t="s">
        <v>120</v>
      </c>
      <c r="AC12" s="560">
        <v>27</v>
      </c>
      <c r="AD12" s="734">
        <v>14</v>
      </c>
      <c r="AF12" s="541" t="s">
        <v>414</v>
      </c>
      <c r="AH12" s="559" t="s">
        <v>118</v>
      </c>
      <c r="AI12" s="553" t="s">
        <v>416</v>
      </c>
    </row>
    <row r="13" spans="1:39" ht="18.75" customHeight="1" thickBot="1" x14ac:dyDescent="0.25">
      <c r="A13" s="549"/>
      <c r="B13" s="550"/>
      <c r="C13" s="569" t="s">
        <v>127</v>
      </c>
      <c r="D13" s="786"/>
      <c r="E13" s="787"/>
      <c r="F13" s="787"/>
      <c r="G13" s="788"/>
      <c r="H13" s="570" t="str">
        <f>IF($D$14="Before June 21, 2022","No Street Impact Fee Collected",IF($B$23="","", IF($B$23="","",IF($D$13="","Enter Date of Final Plat Approval",""))))</f>
        <v/>
      </c>
      <c r="I13" s="550"/>
      <c r="J13" s="550"/>
      <c r="K13" s="571"/>
      <c r="L13" s="571"/>
      <c r="M13" s="571"/>
      <c r="N13" s="571"/>
      <c r="O13" s="571"/>
      <c r="P13" s="571"/>
      <c r="R13" s="571"/>
      <c r="S13" s="571"/>
      <c r="T13" s="571"/>
      <c r="U13" s="571"/>
      <c r="V13" s="502"/>
      <c r="W13" s="572" t="s">
        <v>723</v>
      </c>
      <c r="X13" s="571"/>
      <c r="Y13" s="573" t="s">
        <v>729</v>
      </c>
      <c r="Z13" s="544"/>
      <c r="AB13" s="559" t="s">
        <v>121</v>
      </c>
      <c r="AC13" s="560">
        <v>28</v>
      </c>
      <c r="AD13" s="734">
        <v>15</v>
      </c>
      <c r="AE13" s="574" t="s">
        <v>325</v>
      </c>
      <c r="AF13" s="574" t="s">
        <v>327</v>
      </c>
      <c r="AH13" s="565" t="s">
        <v>119</v>
      </c>
      <c r="AI13" s="553" t="s">
        <v>416</v>
      </c>
    </row>
    <row r="14" spans="1:39" ht="18.75" customHeight="1" thickBot="1" x14ac:dyDescent="0.25">
      <c r="A14" s="549"/>
      <c r="B14" s="550"/>
      <c r="C14" s="569" t="s">
        <v>652</v>
      </c>
      <c r="D14" s="789"/>
      <c r="E14" s="790"/>
      <c r="F14" s="790"/>
      <c r="G14" s="791"/>
      <c r="H14" s="571" t="str">
        <f>IF(AND($D$14="On or after June 21, 2022",$V$14="X"),"No Street Impact Fee Collected",IF($V$11="X","No Street Impact Fee Collected",""))</f>
        <v/>
      </c>
      <c r="I14" s="550"/>
      <c r="J14" s="550"/>
      <c r="K14" s="571"/>
      <c r="L14" s="571"/>
      <c r="M14" s="571"/>
      <c r="N14" s="571"/>
      <c r="O14" s="571"/>
      <c r="P14" s="571"/>
      <c r="R14" s="571"/>
      <c r="S14" s="571"/>
      <c r="T14" s="571"/>
      <c r="U14" s="571"/>
      <c r="V14" s="502"/>
      <c r="W14" s="563" t="s">
        <v>651</v>
      </c>
      <c r="X14" s="571"/>
      <c r="Y14" s="550"/>
      <c r="Z14" s="544"/>
      <c r="AB14" s="559" t="s">
        <v>122</v>
      </c>
      <c r="AC14" s="560">
        <v>29</v>
      </c>
      <c r="AD14" s="557">
        <v>16</v>
      </c>
      <c r="AE14" s="541" t="s">
        <v>326</v>
      </c>
      <c r="AF14" s="541" t="s">
        <v>328</v>
      </c>
      <c r="AH14" s="565" t="s">
        <v>120</v>
      </c>
      <c r="AI14" s="553" t="s">
        <v>416</v>
      </c>
    </row>
    <row r="15" spans="1:39" s="553" customFormat="1" ht="18.75" customHeight="1" thickBot="1" x14ac:dyDescent="0.25">
      <c r="A15" s="549"/>
      <c r="B15" s="550"/>
      <c r="C15" s="569" t="s">
        <v>128</v>
      </c>
      <c r="D15" s="503"/>
      <c r="E15" s="552"/>
      <c r="F15" s="550"/>
      <c r="G15" s="550"/>
      <c r="H15" s="550"/>
      <c r="I15" s="502"/>
      <c r="J15" s="575" t="s">
        <v>442</v>
      </c>
      <c r="K15" s="550"/>
      <c r="L15" s="550"/>
      <c r="M15" s="550"/>
      <c r="N15" s="550"/>
      <c r="O15" s="550"/>
      <c r="P15" s="550"/>
      <c r="Q15" s="550"/>
      <c r="R15" s="550"/>
      <c r="S15" s="550"/>
      <c r="T15" s="550"/>
      <c r="U15" s="550"/>
      <c r="V15" s="569"/>
      <c r="W15" s="576"/>
      <c r="X15" s="550"/>
      <c r="Y15" s="550"/>
      <c r="Z15" s="544"/>
      <c r="AA15" s="577"/>
      <c r="AB15" s="565" t="s">
        <v>243</v>
      </c>
      <c r="AC15" s="560">
        <v>30</v>
      </c>
      <c r="AD15" s="734">
        <v>17</v>
      </c>
      <c r="AF15" s="553" t="s">
        <v>329</v>
      </c>
      <c r="AH15" s="559" t="s">
        <v>121</v>
      </c>
      <c r="AI15" s="555" t="s">
        <v>415</v>
      </c>
    </row>
    <row r="16" spans="1:39" s="553" customFormat="1" ht="20.25" customHeight="1" x14ac:dyDescent="0.2">
      <c r="A16" s="549"/>
      <c r="B16" s="777" t="s">
        <v>115</v>
      </c>
      <c r="C16" s="779" t="s">
        <v>631</v>
      </c>
      <c r="D16" s="779"/>
      <c r="E16" s="779"/>
      <c r="F16" s="779"/>
      <c r="G16" s="779"/>
      <c r="H16" s="779"/>
      <c r="I16" s="779"/>
      <c r="J16" s="779"/>
      <c r="K16" s="779"/>
      <c r="L16" s="779"/>
      <c r="M16" s="779"/>
      <c r="N16" s="779"/>
      <c r="O16" s="779"/>
      <c r="P16" s="779"/>
      <c r="Q16" s="779"/>
      <c r="R16" s="779"/>
      <c r="S16" s="779"/>
      <c r="T16" s="779"/>
      <c r="U16" s="779"/>
      <c r="V16" s="779"/>
      <c r="W16" s="779"/>
      <c r="X16" s="779"/>
      <c r="Y16" s="779"/>
      <c r="Z16" s="544"/>
      <c r="AA16" s="577"/>
      <c r="AB16" s="565" t="s">
        <v>244</v>
      </c>
      <c r="AC16" s="560">
        <v>31</v>
      </c>
      <c r="AD16" s="734">
        <v>18</v>
      </c>
      <c r="AE16" s="566"/>
      <c r="AF16" s="566"/>
      <c r="AH16" s="559" t="s">
        <v>122</v>
      </c>
      <c r="AI16" s="553" t="s">
        <v>416</v>
      </c>
    </row>
    <row r="17" spans="1:43" s="553" customFormat="1" ht="33" customHeight="1" thickBot="1" x14ac:dyDescent="0.25">
      <c r="A17" s="578"/>
      <c r="B17" s="778"/>
      <c r="C17" s="780"/>
      <c r="D17" s="780"/>
      <c r="E17" s="780"/>
      <c r="F17" s="780"/>
      <c r="G17" s="780"/>
      <c r="H17" s="780"/>
      <c r="I17" s="780"/>
      <c r="J17" s="780"/>
      <c r="K17" s="780"/>
      <c r="L17" s="780"/>
      <c r="M17" s="780"/>
      <c r="N17" s="780"/>
      <c r="O17" s="780"/>
      <c r="P17" s="780"/>
      <c r="Q17" s="780"/>
      <c r="R17" s="780"/>
      <c r="S17" s="780"/>
      <c r="T17" s="780"/>
      <c r="U17" s="780"/>
      <c r="V17" s="780"/>
      <c r="W17" s="780"/>
      <c r="X17" s="780"/>
      <c r="Y17" s="780"/>
      <c r="Z17" s="579"/>
      <c r="AA17" s="577"/>
      <c r="AB17" s="565" t="s">
        <v>245</v>
      </c>
      <c r="AC17" s="560">
        <v>32</v>
      </c>
      <c r="AD17" s="557">
        <v>19</v>
      </c>
      <c r="AE17" s="580"/>
      <c r="AG17" s="560"/>
      <c r="AH17" s="565" t="s">
        <v>243</v>
      </c>
      <c r="AI17" s="553" t="s">
        <v>416</v>
      </c>
    </row>
    <row r="18" spans="1:43" ht="19.5" customHeight="1" thickTop="1" x14ac:dyDescent="0.2">
      <c r="A18" s="549"/>
      <c r="B18" s="581" t="s">
        <v>284</v>
      </c>
      <c r="C18" s="550"/>
      <c r="D18" s="550"/>
      <c r="E18" s="550"/>
      <c r="F18" s="550"/>
      <c r="G18" s="550"/>
      <c r="H18" s="550"/>
      <c r="I18" s="550"/>
      <c r="J18" s="550"/>
      <c r="K18" s="550"/>
      <c r="L18" s="550"/>
      <c r="M18" s="550"/>
      <c r="N18" s="550"/>
      <c r="O18" s="550"/>
      <c r="P18" s="550"/>
      <c r="Q18" s="550"/>
      <c r="R18" s="550"/>
      <c r="S18" s="550"/>
      <c r="T18" s="550"/>
      <c r="U18" s="550"/>
      <c r="V18" s="550"/>
      <c r="W18" s="550"/>
      <c r="X18" s="550"/>
      <c r="Y18" s="550"/>
      <c r="Z18" s="544"/>
      <c r="AB18" s="565" t="s">
        <v>331</v>
      </c>
      <c r="AC18" s="560">
        <v>33</v>
      </c>
      <c r="AD18" s="734">
        <v>20</v>
      </c>
      <c r="AE18" s="764"/>
      <c r="AF18" s="765"/>
      <c r="AG18" s="548"/>
      <c r="AH18" s="565" t="s">
        <v>244</v>
      </c>
      <c r="AI18" s="555" t="s">
        <v>415</v>
      </c>
      <c r="AJ18" s="557"/>
      <c r="AK18" s="557"/>
      <c r="AL18" s="557"/>
      <c r="AM18" s="557"/>
      <c r="AN18" s="557"/>
      <c r="AO18" s="557"/>
      <c r="AP18" s="557"/>
      <c r="AQ18" s="557"/>
    </row>
    <row r="19" spans="1:43" x14ac:dyDescent="0.2">
      <c r="A19" s="549"/>
      <c r="B19" s="550"/>
      <c r="C19" s="550"/>
      <c r="D19" s="550"/>
      <c r="E19" s="550"/>
      <c r="F19" s="550"/>
      <c r="G19" s="550"/>
      <c r="H19" s="550"/>
      <c r="I19" s="550"/>
      <c r="J19" s="550"/>
      <c r="K19" s="550"/>
      <c r="L19" s="550"/>
      <c r="M19" s="550"/>
      <c r="N19" s="550"/>
      <c r="O19" s="550"/>
      <c r="P19" s="550"/>
      <c r="Q19" s="550"/>
      <c r="R19" s="550"/>
      <c r="S19" s="550"/>
      <c r="T19" s="550"/>
      <c r="U19" s="550"/>
      <c r="V19" s="550"/>
      <c r="W19" s="550"/>
      <c r="X19" s="550"/>
      <c r="Y19" s="550"/>
      <c r="Z19" s="544"/>
      <c r="AB19" s="565" t="s">
        <v>332</v>
      </c>
      <c r="AC19" s="560">
        <v>34</v>
      </c>
      <c r="AD19" s="557">
        <v>20</v>
      </c>
      <c r="AE19" s="764"/>
      <c r="AF19" s="765"/>
      <c r="AG19" s="548"/>
      <c r="AH19" s="565" t="s">
        <v>245</v>
      </c>
      <c r="AI19" s="555" t="s">
        <v>415</v>
      </c>
      <c r="AJ19" s="557"/>
      <c r="AK19" s="557"/>
      <c r="AL19" s="557"/>
      <c r="AM19" s="557"/>
      <c r="AN19" s="557"/>
      <c r="AO19" s="557"/>
      <c r="AP19" s="557"/>
      <c r="AQ19" s="557"/>
    </row>
    <row r="20" spans="1:43" ht="19.5" customHeight="1" x14ac:dyDescent="0.2">
      <c r="A20" s="549"/>
      <c r="B20" s="582" t="s">
        <v>315</v>
      </c>
      <c r="C20" s="550"/>
      <c r="D20" s="550"/>
      <c r="E20" s="550"/>
      <c r="F20" s="550"/>
      <c r="G20" s="550"/>
      <c r="H20" s="550"/>
      <c r="I20" s="550"/>
      <c r="J20" s="550"/>
      <c r="K20" s="550"/>
      <c r="L20" s="550"/>
      <c r="M20" s="550"/>
      <c r="N20" s="550"/>
      <c r="O20" s="550"/>
      <c r="P20" s="550"/>
      <c r="Q20" s="751" t="s">
        <v>407</v>
      </c>
      <c r="R20" s="752"/>
      <c r="S20" s="753"/>
      <c r="T20" s="583"/>
      <c r="U20" s="583"/>
      <c r="V20" s="550"/>
      <c r="W20" s="751" t="s">
        <v>408</v>
      </c>
      <c r="X20" s="752"/>
      <c r="Y20" s="753"/>
      <c r="Z20" s="544"/>
      <c r="AB20" s="565" t="s">
        <v>123</v>
      </c>
      <c r="AC20" s="560">
        <v>35</v>
      </c>
      <c r="AD20" s="734">
        <v>21</v>
      </c>
      <c r="AE20" s="584"/>
      <c r="AF20" s="585"/>
      <c r="AH20" s="565" t="s">
        <v>331</v>
      </c>
      <c r="AI20" s="555" t="s">
        <v>415</v>
      </c>
    </row>
    <row r="21" spans="1:43" s="553" customFormat="1" ht="38.25" x14ac:dyDescent="0.2">
      <c r="A21" s="549"/>
      <c r="B21" s="586" t="s">
        <v>110</v>
      </c>
      <c r="C21" s="586"/>
      <c r="D21" s="587" t="s">
        <v>111</v>
      </c>
      <c r="E21" s="587"/>
      <c r="F21" s="587" t="s">
        <v>112</v>
      </c>
      <c r="G21" s="550"/>
      <c r="H21" s="588" t="s">
        <v>410</v>
      </c>
      <c r="I21" s="550"/>
      <c r="J21" s="588" t="s">
        <v>412</v>
      </c>
      <c r="K21" s="550"/>
      <c r="L21" s="588"/>
      <c r="M21" s="550"/>
      <c r="N21" s="588" t="s">
        <v>411</v>
      </c>
      <c r="O21" s="550"/>
      <c r="P21" s="550"/>
      <c r="Q21" s="584" t="s">
        <v>323</v>
      </c>
      <c r="R21" s="588"/>
      <c r="S21" s="585" t="s">
        <v>324</v>
      </c>
      <c r="T21" s="588"/>
      <c r="U21" s="588"/>
      <c r="V21" s="550"/>
      <c r="W21" s="584" t="s">
        <v>114</v>
      </c>
      <c r="X21" s="588"/>
      <c r="Y21" s="585" t="s">
        <v>285</v>
      </c>
      <c r="Z21" s="544"/>
      <c r="AA21" s="589"/>
      <c r="AB21" s="565" t="s">
        <v>124</v>
      </c>
      <c r="AC21" s="560">
        <v>36</v>
      </c>
      <c r="AD21" s="734">
        <v>22</v>
      </c>
      <c r="AE21" s="590" t="s">
        <v>337</v>
      </c>
      <c r="AF21" s="591"/>
      <c r="AG21" s="592"/>
      <c r="AH21" s="565" t="s">
        <v>332</v>
      </c>
      <c r="AI21" s="553" t="s">
        <v>416</v>
      </c>
      <c r="AJ21" s="593"/>
      <c r="AK21" s="593"/>
      <c r="AL21" s="593"/>
      <c r="AM21" s="593"/>
      <c r="AN21" s="593"/>
      <c r="AO21" s="593"/>
    </row>
    <row r="22" spans="1:43" s="553" customFormat="1" ht="5.25" customHeight="1" x14ac:dyDescent="0.2">
      <c r="A22" s="549"/>
      <c r="B22" s="594"/>
      <c r="C22" s="586"/>
      <c r="D22" s="587"/>
      <c r="E22" s="587"/>
      <c r="F22" s="587"/>
      <c r="G22" s="550"/>
      <c r="H22" s="550"/>
      <c r="I22" s="550"/>
      <c r="J22" s="550"/>
      <c r="K22" s="550"/>
      <c r="L22" s="550"/>
      <c r="M22" s="550"/>
      <c r="N22" s="550"/>
      <c r="O22" s="550"/>
      <c r="P22" s="550"/>
      <c r="Q22" s="584"/>
      <c r="R22" s="588"/>
      <c r="S22" s="585"/>
      <c r="T22" s="588"/>
      <c r="U22" s="588"/>
      <c r="V22" s="550"/>
      <c r="W22" s="584"/>
      <c r="X22" s="588"/>
      <c r="Y22" s="595"/>
      <c r="Z22" s="544"/>
      <c r="AA22" s="589"/>
      <c r="AB22" s="565" t="s">
        <v>125</v>
      </c>
      <c r="AC22" s="560">
        <v>37</v>
      </c>
      <c r="AD22" s="557">
        <v>23</v>
      </c>
      <c r="AE22" s="592"/>
      <c r="AF22" s="591"/>
      <c r="AG22" s="592"/>
      <c r="AH22" s="565" t="s">
        <v>123</v>
      </c>
      <c r="AI22" s="555" t="s">
        <v>415</v>
      </c>
      <c r="AJ22" s="593"/>
      <c r="AK22" s="593"/>
      <c r="AL22" s="593"/>
      <c r="AM22" s="593"/>
      <c r="AN22" s="593"/>
      <c r="AO22" s="593"/>
    </row>
    <row r="23" spans="1:43" ht="25.15" customHeight="1" x14ac:dyDescent="0.2">
      <c r="A23" s="549"/>
      <c r="B23" s="504"/>
      <c r="C23" s="550"/>
      <c r="D23" s="596" t="str">
        <f>IF(B23="","",IF(B23="Please Enter Dates Properly","",VLOOKUP(B23,Collected_Rate!$A$4:$G$80,7,FALSE)))</f>
        <v/>
      </c>
      <c r="E23" s="596"/>
      <c r="F23" s="505"/>
      <c r="G23" s="550"/>
      <c r="H23" s="596" t="str">
        <f>IF(B23="","",VLOOKUP(B23,Collected_Rate!$A$4:$V$80,11,FALSE))</f>
        <v/>
      </c>
      <c r="I23" s="596"/>
      <c r="J23" s="596" t="str">
        <f>IF(B23="","",IF($D$15="","",IF(VLOOKUP($D$15,$AH$10:$AI$28,2,FALSE)="INSIDE",VLOOKUP(B23,Collected_Rate!$A$4:$V$80,19,FALSE),VLOOKUP(B23,Collected_Rate!$A$4:$V$80,20,FALSE))))</f>
        <v/>
      </c>
      <c r="K23" s="596"/>
      <c r="L23" s="557"/>
      <c r="M23" s="596"/>
      <c r="N23" s="597" t="str">
        <f>IF(J23= "","",IF(H23="","",H23*J23))</f>
        <v/>
      </c>
      <c r="O23" s="550"/>
      <c r="P23" s="550"/>
      <c r="Q23" s="598" t="str">
        <f>IF(B23="","",IF($D$13="","Enter Date of Final Plat Approval",IF($D$14="","Enter Date of Building Permit Application",IF($D$15="","Enter Service Area",VLOOKUP(B23,Max_Rate!$A$4:$Z$80,VLOOKUP('SIF Calculator Input'!$D$15,'SIF Calculator Input'!$AB$8:$AD$26,3,FALSE),FALSE)))))</f>
        <v/>
      </c>
      <c r="R23" s="599"/>
      <c r="S23" s="600" t="str">
        <f t="shared" ref="S23:S30" si="0">IF(B23="","",IF($D$13="","Enter Date of Final Plat Approval",IF($D$14="","Enter Date of Building Permit Application",IF($D$15="","Enter Service Area",IF(F23="","Enter # of Units",Q23*F23)))))</f>
        <v/>
      </c>
      <c r="T23" s="601">
        <f>IF(B23="",0,IF($D$13="","Enter Date of Final Plat Approval",IF($D$14="","Enter Date of Building Permit Application",IF($D$15="","Enter Service Area",IF($D$14="Before June 21, 2022","No Street Impact Fee Collected","")))))</f>
        <v>0</v>
      </c>
      <c r="U23" s="602"/>
      <c r="V23" s="550"/>
      <c r="W23" s="598" t="str">
        <f>IF(B23="","",IF(T23&lt;&gt;"",T23,IF(OR($V$11="X",AND($V$14="X",$D$14="On or after June 21, 2022")),"No Street Impact Fee Collected",IF(AND($AE$56&lt;10,$V$13=""),"Less than 10 PM Peak Hour Trips: $0 Collection Rate",IF(AND(AG23=TRUE,F23&lt;1),0,IF(AND(AG23=TRUE,F23&lt;5),0.5*VLOOKUP(B23,Collected_Rate!$A$4:$AN$80,VLOOKUP('SIF Calculator Input'!$D$15,'SIF Calculator Input'!$AB$8:$AC$26,2,FALSE),FALSE),VLOOKUP(B23,Collected_Rate!$A$4:$AN$80,VLOOKUP('SIF Calculator Input'!$D$15,'SIF Calculator Input'!$AB$8:$AC$26,2,FALSE),FALSE)))))))</f>
        <v/>
      </c>
      <c r="X23" s="599"/>
      <c r="Y23" s="603" t="str">
        <f t="shared" ref="Y23:Y30" si="1">IF(W23="No Street Impact Fee Collected","No Street Impact Fee Collected",IF(B23="","",IF($D$13="","Enter Date of Final Plat Approval",IF($D$14="","Enter Date of Building Permit Application",IF($D$15="","Enter Service Area",IF(F23="","Enter # of Units",IF(AND($AE$56&lt;10,$V$13=""),"Less than 10 PM Peak Hour Trips: $0 Collection Rate",W23*F23)))))))</f>
        <v/>
      </c>
      <c r="Z23" s="544"/>
      <c r="AB23" s="565" t="s">
        <v>126</v>
      </c>
      <c r="AC23" s="560">
        <v>38</v>
      </c>
      <c r="AD23" s="734">
        <v>24</v>
      </c>
      <c r="AE23" s="604">
        <f>IF(ISERROR(VLOOKUP(B23,Collected_Rate!$A$3:$K$80,11,FALSE)*F23),0,VLOOKUP(B23,Collected_Rate!$A$3:$K$80,11,FALSE)*F23)</f>
        <v>0</v>
      </c>
      <c r="AF23" s="591"/>
      <c r="AG23" s="592" t="b">
        <f>NOT(ISERROR(MATCH(B23,$AF$24:$AF$40,0)))</f>
        <v>0</v>
      </c>
      <c r="AH23" s="565" t="s">
        <v>124</v>
      </c>
      <c r="AI23" s="553" t="s">
        <v>416</v>
      </c>
      <c r="AJ23" s="593"/>
      <c r="AK23" s="593"/>
      <c r="AL23" s="593"/>
      <c r="AM23" s="593"/>
      <c r="AN23" s="593"/>
      <c r="AO23" s="593"/>
      <c r="AP23" s="553"/>
      <c r="AQ23" s="553"/>
    </row>
    <row r="24" spans="1:43" ht="25.15" customHeight="1" x14ac:dyDescent="0.2">
      <c r="A24" s="549"/>
      <c r="B24" s="504"/>
      <c r="C24" s="550"/>
      <c r="D24" s="596" t="str">
        <f>IF(B24="","",IF(B24="Please Enter Dates Properly","",VLOOKUP(B24,Collected_Rate!$A$4:$G$80,7,FALSE)))</f>
        <v/>
      </c>
      <c r="E24" s="596"/>
      <c r="F24" s="505"/>
      <c r="G24" s="550"/>
      <c r="H24" s="596" t="str">
        <f>IF(B24="","",VLOOKUP(B24,Collected_Rate!$A$4:$V$80,11,FALSE))</f>
        <v/>
      </c>
      <c r="I24" s="596"/>
      <c r="J24" s="596" t="str">
        <f>IF(B24="","",IF($D$15="","",IF(VLOOKUP($D$15,$AH$10:$AI$28,2,FALSE)="INSIDE",VLOOKUP(B24,Collected_Rate!$A$4:$V$80,19,FALSE),VLOOKUP(B24,Collected_Rate!$A$4:$V$80,20,FALSE))))</f>
        <v/>
      </c>
      <c r="K24" s="596"/>
      <c r="L24" s="557"/>
      <c r="M24" s="596"/>
      <c r="N24" s="597" t="str">
        <f t="shared" ref="N24:N30" si="2">IF(J24= "","",IF(H24="","",H24*J24))</f>
        <v/>
      </c>
      <c r="O24" s="550"/>
      <c r="P24" s="550"/>
      <c r="Q24" s="598" t="str">
        <f>IF(B24="","",IF($D$13="","Enter Date of Final Plat Approval",IF($D$14="","Enter Date of Building Permit Application",IF($D$15="","Enter Service Area",VLOOKUP(B24,Max_Rate!$A$4:$Z$80,VLOOKUP('SIF Calculator Input'!$D$15,'SIF Calculator Input'!$AB$8:$AD$26,3,FALSE),FALSE)))))</f>
        <v/>
      </c>
      <c r="R24" s="599"/>
      <c r="S24" s="600" t="str">
        <f t="shared" si="0"/>
        <v/>
      </c>
      <c r="T24" s="601">
        <f t="shared" ref="T24:T30" si="3">IF(B24="",0,IF($D$13="","Enter Date of Final Plat Approval",IF($D$14="","Enter Date of Building Permit Application",IF($D$15="","Enter Service Area",IF($D$14="Before June 21, 2022","No Street Impact Fee Collected","")))))</f>
        <v>0</v>
      </c>
      <c r="U24" s="602"/>
      <c r="V24" s="550"/>
      <c r="W24" s="598" t="str">
        <f>IF(B24="","",IF(T24&lt;&gt;"",T24,IF(OR($V$11="X",AND($V$14="X",$D$14="On or after June 21, 2022")),"No Street Impact Fee Collected",IF(AND($AE$56&lt;10,$V$13=""),"Less than 10 PM Peak Hour Trips: $0 Collection Rate",IF(AND(AG24=TRUE,F24&lt;1),0,IF(AND(AG24=TRUE,F24&lt;5),0.5*VLOOKUP(B24,Collected_Rate!$A$4:$AN$80,VLOOKUP('SIF Calculator Input'!$D$15,'SIF Calculator Input'!$AB$8:$AC$26,2,FALSE),FALSE),VLOOKUP(B24,Collected_Rate!$A$4:$AN$80,VLOOKUP('SIF Calculator Input'!$D$15,'SIF Calculator Input'!$AB$8:$AC$26,2,FALSE),FALSE)))))))</f>
        <v/>
      </c>
      <c r="X24" s="599"/>
      <c r="Y24" s="603" t="str">
        <f t="shared" si="1"/>
        <v/>
      </c>
      <c r="Z24" s="544"/>
      <c r="AB24" s="565" t="s">
        <v>246</v>
      </c>
      <c r="AC24" s="560">
        <v>39</v>
      </c>
      <c r="AD24" s="734">
        <v>25</v>
      </c>
      <c r="AE24" s="604">
        <f>IF(ISERROR(VLOOKUP(B24,Collected_Rate!$A$3:$K$80,11,FALSE)*F24),0,VLOOKUP(B24,Collected_Rate!$A$3:$K$80,11,FALSE)*F24)</f>
        <v>0</v>
      </c>
      <c r="AF24" s="591" t="str">
        <f>Collected_Rate!A63</f>
        <v>(933) Fast Food Restaurant without Drive-Thru Window</v>
      </c>
      <c r="AG24" s="592" t="b">
        <f t="shared" ref="AG24:AG30" si="4">NOT(ISERROR(MATCH(B24,$AF$24:$AF$40,0)))</f>
        <v>0</v>
      </c>
      <c r="AH24" s="565" t="s">
        <v>125</v>
      </c>
      <c r="AI24" s="553" t="s">
        <v>416</v>
      </c>
      <c r="AJ24" s="593" t="str">
        <f>IF(B26="","",IF($AF$5=$AJ$19,ROUND(VLOOKUP(B26,#REF!,HLOOKUP($D$15,#REF!,87,FALSE),FALSE),0),0))</f>
        <v/>
      </c>
      <c r="AK24" s="593" t="str">
        <f>IF(B26="","",IF($AF$5=$AK$19,ROUND(VLOOKUP(B26,#REF!,HLOOKUP($D$15,#REF!,87,FALSE),FALSE),0),0))</f>
        <v/>
      </c>
      <c r="AL24" s="593" t="str">
        <f>IF(B26="","",IF($AF$5=$AL$19,ROUND(VLOOKUP(B26,#REF!,HLOOKUP($D$15,#REF!,87,FALSE),FALSE),0),0))</f>
        <v/>
      </c>
      <c r="AM24" s="593" t="str">
        <f>IF(B26="","",IF($AF$5=$AM$19,ROUND(VLOOKUP(B26,#REF!,HLOOKUP($D$15,#REF!,87,FALSE),FALSE),0),0))</f>
        <v/>
      </c>
      <c r="AN24" s="593" t="str">
        <f>IF(B26="","",IF($AF$5=$AN$19,ROUND(VLOOKUP(B26,#REF!,HLOOKUP($D$15,#REF!,87,FALSE),FALSE),0),0))</f>
        <v/>
      </c>
      <c r="AO24" s="593" t="str">
        <f>IF(B26="","",IF($AF$5=$AO$19,ROUND(VLOOKUP(B26,#REF!,HLOOKUP($D$15,#REF!,87,FALSE),FALSE),0),0))</f>
        <v/>
      </c>
      <c r="AP24" s="553" t="str">
        <f>IF(B26="","",IF($AF$5=$AP$19,ROUND(VLOOKUP(B26,#REF!,HLOOKUP($D$15,#REF!,87,FALSE),FALSE),0),0))</f>
        <v/>
      </c>
      <c r="AQ24" s="553" t="str">
        <f>IF(B26="","",IF($AF$5=$AQ$19,ROUND(VLOOKUP(B26,#REF!,HLOOKUP($D$15,#REF!,87,FALSE),FALSE),0),0))</f>
        <v/>
      </c>
    </row>
    <row r="25" spans="1:43" ht="25.15" customHeight="1" x14ac:dyDescent="0.2">
      <c r="A25" s="549"/>
      <c r="B25" s="504"/>
      <c r="C25" s="550"/>
      <c r="D25" s="596" t="str">
        <f>IF(B25="","",IF(B25="Please Enter Dates Properly","",VLOOKUP(B25,Collected_Rate!$A$4:$G$80,7,FALSE)))</f>
        <v/>
      </c>
      <c r="E25" s="596"/>
      <c r="F25" s="505"/>
      <c r="G25" s="550"/>
      <c r="H25" s="596" t="str">
        <f>IF(B25="","",VLOOKUP(B25,Collected_Rate!$A$4:$V$80,11,FALSE))</f>
        <v/>
      </c>
      <c r="I25" s="596"/>
      <c r="J25" s="596" t="str">
        <f>IF(B25="","",IF($D$15="","",IF(VLOOKUP($D$15,$AH$10:$AI$28,2,FALSE)="INSIDE",VLOOKUP(B25,Collected_Rate!$A$4:$V$80,19,FALSE),VLOOKUP(B25,Collected_Rate!$A$4:$V$80,20,FALSE))))</f>
        <v/>
      </c>
      <c r="K25" s="596"/>
      <c r="L25" s="557"/>
      <c r="M25" s="596"/>
      <c r="N25" s="597" t="str">
        <f t="shared" si="2"/>
        <v/>
      </c>
      <c r="O25" s="550"/>
      <c r="P25" s="550"/>
      <c r="Q25" s="598" t="str">
        <f>IF(B25="","",IF($D$13="","Enter Date of Final Plat Approval",IF($D$14="","Enter Date of Building Permit Application",IF($D$15="","Enter Service Area",VLOOKUP(B25,Max_Rate!$A$4:$Z$80,VLOOKUP('SIF Calculator Input'!$D$15,'SIF Calculator Input'!$AB$8:$AD$26,3,FALSE),FALSE)))))</f>
        <v/>
      </c>
      <c r="R25" s="599"/>
      <c r="S25" s="600" t="str">
        <f t="shared" si="0"/>
        <v/>
      </c>
      <c r="T25" s="601">
        <f t="shared" si="3"/>
        <v>0</v>
      </c>
      <c r="U25" s="602"/>
      <c r="V25" s="550"/>
      <c r="W25" s="598" t="str">
        <f>IF(B25="","",IF(T25&lt;&gt;"",T25,IF(OR($V$11="X",AND($V$14="X",$D$14="On or after June 21, 2022")),"No Street Impact Fee Collected",IF(AND($AE$56&lt;10,$V$13=""),"Less than 10 PM Peak Hour Trips: $0 Collection Rate",IF(AND(AG25=TRUE,F25&lt;1),0,IF(AND(AG25=TRUE,F25&lt;5),0.5*VLOOKUP(B25,Collected_Rate!$A$4:$AN$80,VLOOKUP('SIF Calculator Input'!$D$15,'SIF Calculator Input'!$AB$8:$AC$26,2,FALSE),FALSE),VLOOKUP(B25,Collected_Rate!$A$4:$AN$80,VLOOKUP('SIF Calculator Input'!$D$15,'SIF Calculator Input'!$AB$8:$AC$26,2,FALSE),FALSE)))))))</f>
        <v/>
      </c>
      <c r="X25" s="599"/>
      <c r="Y25" s="603" t="str">
        <f t="shared" si="1"/>
        <v/>
      </c>
      <c r="Z25" s="544"/>
      <c r="AB25" s="565" t="s">
        <v>247</v>
      </c>
      <c r="AC25" s="560">
        <v>40</v>
      </c>
      <c r="AD25" s="557">
        <v>26</v>
      </c>
      <c r="AE25" s="604">
        <f>IF(ISERROR(VLOOKUP(B25,Collected_Rate!$A$3:$K$80,11,FALSE)*F25),0,VLOOKUP(B25,Collected_Rate!$A$3:$K$80,11,FALSE)*F25)</f>
        <v>0</v>
      </c>
      <c r="AF25" s="591" t="str">
        <f>Collected_Rate!A64</f>
        <v>(932) High Turnover (Sit-Down) Restaurant</v>
      </c>
      <c r="AG25" s="592" t="b">
        <f t="shared" si="4"/>
        <v>0</v>
      </c>
      <c r="AH25" s="565" t="s">
        <v>126</v>
      </c>
      <c r="AI25" s="553" t="s">
        <v>416</v>
      </c>
      <c r="AJ25" s="593" t="str">
        <f>IF(B27="","",IF($AF$5=$AJ$19,ROUND(VLOOKUP(B27,#REF!,HLOOKUP($D$15,#REF!,87,FALSE),FALSE),0),0))</f>
        <v/>
      </c>
      <c r="AK25" s="593" t="str">
        <f>IF(B27="","",IF($AF$5=$AK$19,ROUND(VLOOKUP(B27,#REF!,HLOOKUP($D$15,#REF!,87,FALSE),FALSE),0),0))</f>
        <v/>
      </c>
      <c r="AL25" s="593" t="str">
        <f>IF(B27="","",IF($AF$5=$AL$19,ROUND(VLOOKUP(B27,#REF!,HLOOKUP($D$15,#REF!,87,FALSE),FALSE),0),0))</f>
        <v/>
      </c>
      <c r="AM25" s="593" t="str">
        <f>IF(B27="","",IF($AF$5=$AM$19,ROUND(VLOOKUP(B27,#REF!,HLOOKUP($D$15,#REF!,87,FALSE),FALSE),0),0))</f>
        <v/>
      </c>
      <c r="AN25" s="593" t="str">
        <f>IF(B27="","",IF($AF$5=$AN$19,ROUND(VLOOKUP(B27,#REF!,HLOOKUP($D$15,#REF!,87,FALSE),FALSE),0),0))</f>
        <v/>
      </c>
      <c r="AO25" s="593" t="str">
        <f>IF(B27="","",IF($AF$5=$AO$19,ROUND(VLOOKUP(B27,#REF!,HLOOKUP($D$15,#REF!,87,FALSE),FALSE),0),0))</f>
        <v/>
      </c>
      <c r="AP25" s="553" t="str">
        <f>IF(B27="","",IF($AF$5=$AP$19,ROUND(VLOOKUP(B27,#REF!,HLOOKUP($D$15,#REF!,87,FALSE),FALSE),0),0))</f>
        <v/>
      </c>
      <c r="AQ25" s="553" t="str">
        <f>IF(B27="","",IF($AF$5=$AQ$19,ROUND(VLOOKUP(B27,#REF!,HLOOKUP($D$15,#REF!,87,FALSE),FALSE),0),0))</f>
        <v/>
      </c>
    </row>
    <row r="26" spans="1:43" ht="25.15" customHeight="1" x14ac:dyDescent="0.2">
      <c r="A26" s="549"/>
      <c r="B26" s="504"/>
      <c r="C26" s="550"/>
      <c r="D26" s="596" t="str">
        <f>IF(B26="","",IF(B26="Please Enter Dates Properly","",VLOOKUP(B26,Collected_Rate!$A$4:$G$80,7,FALSE)))</f>
        <v/>
      </c>
      <c r="E26" s="596"/>
      <c r="F26" s="505"/>
      <c r="G26" s="550"/>
      <c r="H26" s="596" t="str">
        <f>IF(B26="","",VLOOKUP(B26,Collected_Rate!$A$4:$V$80,11,FALSE))</f>
        <v/>
      </c>
      <c r="I26" s="596"/>
      <c r="J26" s="596" t="str">
        <f>IF(B26="","",IF($D$15="","",IF(VLOOKUP($D$15,$AH$10:$AI$28,2,FALSE)="INSIDE",VLOOKUP(B26,Collected_Rate!$A$4:$V$80,19,FALSE),VLOOKUP(B26,Collected_Rate!$A$4:$V$80,20,FALSE))))</f>
        <v/>
      </c>
      <c r="K26" s="596"/>
      <c r="L26" s="557"/>
      <c r="M26" s="596"/>
      <c r="N26" s="597" t="str">
        <f t="shared" si="2"/>
        <v/>
      </c>
      <c r="O26" s="550"/>
      <c r="P26" s="550"/>
      <c r="Q26" s="598" t="str">
        <f>IF(B26="","",IF($D$13="","Enter Date of Final Plat Approval",IF($D$14="","Enter Date of Building Permit Application",IF($D$15="","Enter Service Area",VLOOKUP(B26,Max_Rate!$A$4:$Z$80,VLOOKUP('SIF Calculator Input'!$D$15,'SIF Calculator Input'!$AB$8:$AD$26,3,FALSE),FALSE)))))</f>
        <v/>
      </c>
      <c r="R26" s="599"/>
      <c r="S26" s="600" t="str">
        <f t="shared" si="0"/>
        <v/>
      </c>
      <c r="T26" s="601">
        <f t="shared" si="3"/>
        <v>0</v>
      </c>
      <c r="U26" s="602"/>
      <c r="V26" s="550"/>
      <c r="W26" s="598" t="str">
        <f>IF(B26="","",IF(T26&lt;&gt;"",T26,IF(OR($V$11="X",AND($V$14="X",$D$14="On or after June 21, 2022")),"No Street Impact Fee Collected",IF(AND($AE$56&lt;10,$V$13=""),"Less than 10 PM Peak Hour Trips: $0 Collection Rate",IF(AND(AG26=TRUE,F26&lt;1),0,IF(AND(AG26=TRUE,F26&lt;5),0.5*VLOOKUP(B26,Collected_Rate!$A$4:$AN$80,VLOOKUP('SIF Calculator Input'!$D$15,'SIF Calculator Input'!$AB$8:$AC$26,2,FALSE),FALSE),VLOOKUP(B26,Collected_Rate!$A$4:$AN$80,VLOOKUP('SIF Calculator Input'!$D$15,'SIF Calculator Input'!$AB$8:$AC$26,2,FALSE),FALSE)))))))</f>
        <v/>
      </c>
      <c r="X26" s="599"/>
      <c r="Y26" s="603" t="str">
        <f t="shared" si="1"/>
        <v/>
      </c>
      <c r="Z26" s="544"/>
      <c r="AB26" s="565" t="s">
        <v>248</v>
      </c>
      <c r="AC26" s="560">
        <v>41</v>
      </c>
      <c r="AD26" s="734">
        <v>27</v>
      </c>
      <c r="AE26" s="604">
        <f>IF(ISERROR(VLOOKUP(B26,Collected_Rate!$A$3:$K$80,11,FALSE)*F26),0,VLOOKUP(B26,Collected_Rate!$A$3:$K$80,11,FALSE)*F26)</f>
        <v>0</v>
      </c>
      <c r="AF26" s="591" t="str">
        <f>Collected_Rate!A65</f>
        <v>(931) Quality Restaurant</v>
      </c>
      <c r="AG26" s="592" t="b">
        <f t="shared" si="4"/>
        <v>0</v>
      </c>
      <c r="AH26" s="565" t="s">
        <v>246</v>
      </c>
      <c r="AI26" s="553" t="s">
        <v>416</v>
      </c>
      <c r="AJ26" s="593" t="str">
        <f>IF(B28="","",IF($AF$5=$AJ$19,ROUND(VLOOKUP(B28,#REF!,HLOOKUP($D$15,#REF!,87,FALSE),FALSE),0),0))</f>
        <v/>
      </c>
      <c r="AK26" s="593" t="str">
        <f>IF(B28="","",IF($AF$5=$AK$19,ROUND(VLOOKUP(B28,#REF!,HLOOKUP($D$15,#REF!,87,FALSE),FALSE),0),0))</f>
        <v/>
      </c>
      <c r="AL26" s="593" t="str">
        <f>IF(B28="","",IF($AF$5=$AL$19,ROUND(VLOOKUP(B28,#REF!,HLOOKUP($D$15,#REF!,87,FALSE),FALSE),0),0))</f>
        <v/>
      </c>
      <c r="AM26" s="593" t="str">
        <f>IF(B28="","",IF($AF$5=$AM$19,ROUND(VLOOKUP(B28,#REF!,HLOOKUP($D$15,#REF!,87,FALSE),FALSE),0),0))</f>
        <v/>
      </c>
      <c r="AN26" s="593" t="str">
        <f>IF(B28="","",IF($AF$5=$AN$19,ROUND(VLOOKUP(B28,#REF!,HLOOKUP($D$15,#REF!,87,FALSE),FALSE),0),0))</f>
        <v/>
      </c>
      <c r="AO26" s="593" t="str">
        <f>IF(B28="","",IF($AF$5=$AO$19,ROUND(VLOOKUP(B28,#REF!,HLOOKUP($D$15,#REF!,87,FALSE),FALSE),0),0))</f>
        <v/>
      </c>
      <c r="AP26" s="553" t="str">
        <f>IF(B28="","",IF($AF$5=$AP$19,ROUND(VLOOKUP(B28,#REF!,HLOOKUP($D$15,#REF!,87,FALSE),FALSE),0),0))</f>
        <v/>
      </c>
      <c r="AQ26" s="553" t="str">
        <f>IF(B28="","",IF($AF$5=$AQ$19,ROUND(VLOOKUP(B28,#REF!,HLOOKUP($D$15,#REF!,87,FALSE),FALSE),0),0))</f>
        <v/>
      </c>
    </row>
    <row r="27" spans="1:43" ht="25.15" customHeight="1" x14ac:dyDescent="0.2">
      <c r="A27" s="549"/>
      <c r="B27" s="504"/>
      <c r="C27" s="550"/>
      <c r="D27" s="596" t="str">
        <f>IF(B27="","",IF(B27="Please Enter Dates Properly","",VLOOKUP(B27,Collected_Rate!$A$4:$G$80,7,FALSE)))</f>
        <v/>
      </c>
      <c r="E27" s="596"/>
      <c r="F27" s="505"/>
      <c r="G27" s="550"/>
      <c r="H27" s="596" t="str">
        <f>IF(B27="","",VLOOKUP(B27,Collected_Rate!$A$4:$V$80,11,FALSE))</f>
        <v/>
      </c>
      <c r="I27" s="596"/>
      <c r="J27" s="596" t="str">
        <f>IF(B27="","",IF($D$15="","",IF(VLOOKUP($D$15,$AH$10:$AI$28,2,FALSE)="INSIDE",VLOOKUP(B27,Collected_Rate!$A$4:$V$80,19,FALSE),VLOOKUP(B27,Collected_Rate!$A$4:$V$80,20,FALSE))))</f>
        <v/>
      </c>
      <c r="K27" s="596"/>
      <c r="L27" s="557"/>
      <c r="M27" s="596"/>
      <c r="N27" s="597" t="str">
        <f t="shared" si="2"/>
        <v/>
      </c>
      <c r="O27" s="550"/>
      <c r="P27" s="550"/>
      <c r="Q27" s="598" t="str">
        <f>IF(B27="","",IF($D$13="","Enter Date of Final Plat Approval",IF($D$14="","Enter Date of Building Permit Application",IF($D$15="","Enter Service Area",VLOOKUP(B27,Max_Rate!$A$4:$Z$80,VLOOKUP('SIF Calculator Input'!$D$15,'SIF Calculator Input'!$AB$8:$AD$26,3,FALSE),FALSE)))))</f>
        <v/>
      </c>
      <c r="R27" s="599"/>
      <c r="S27" s="600" t="str">
        <f t="shared" si="0"/>
        <v/>
      </c>
      <c r="T27" s="601">
        <f t="shared" si="3"/>
        <v>0</v>
      </c>
      <c r="U27" s="602"/>
      <c r="V27" s="550"/>
      <c r="W27" s="598" t="str">
        <f>IF(B27="","",IF(T27&lt;&gt;"",T27,IF(OR($V$11="X",AND($V$14="X",$D$14="On or after June 21, 2022")),"No Street Impact Fee Collected",IF(AND($AE$56&lt;10,$V$13=""),"Less than 10 PM Peak Hour Trips: $0 Collection Rate",IF(AND(AG27=TRUE,F27&lt;1),0,IF(AND(AG27=TRUE,F27&lt;5),0.5*VLOOKUP(B27,Collected_Rate!$A$4:$AN$80,VLOOKUP('SIF Calculator Input'!$D$15,'SIF Calculator Input'!$AB$8:$AC$26,2,FALSE),FALSE),VLOOKUP(B27,Collected_Rate!$A$4:$AN$80,VLOOKUP('SIF Calculator Input'!$D$15,'SIF Calculator Input'!$AB$8:$AC$26,2,FALSE),FALSE)))))))</f>
        <v/>
      </c>
      <c r="X27" s="599"/>
      <c r="Y27" s="603" t="str">
        <f t="shared" si="1"/>
        <v/>
      </c>
      <c r="Z27" s="544"/>
      <c r="AB27" s="565"/>
      <c r="AC27" s="560"/>
      <c r="AD27" s="734"/>
      <c r="AE27" s="604">
        <f>IF(ISERROR(VLOOKUP(B27,Collected_Rate!$A$3:$K$80,11,FALSE)*F27),0,VLOOKUP(B27,Collected_Rate!$A$3:$K$80,11,FALSE)*F27)</f>
        <v>0</v>
      </c>
      <c r="AF27" s="591"/>
      <c r="AG27" s="592" t="b">
        <f t="shared" si="4"/>
        <v>0</v>
      </c>
      <c r="AH27" s="565" t="s">
        <v>247</v>
      </c>
      <c r="AI27" s="555" t="s">
        <v>415</v>
      </c>
      <c r="AJ27" s="593" t="str">
        <f>IF(B29="","",IF($AF$5=$AJ$19,ROUND(VLOOKUP(B29,#REF!,HLOOKUP($D$15,#REF!,87,FALSE),FALSE),0),0))</f>
        <v/>
      </c>
      <c r="AK27" s="593" t="str">
        <f>IF(B29="","",IF($AF$5=$AK$19,ROUND(VLOOKUP(B29,#REF!,HLOOKUP($D$15,#REF!,87,FALSE),FALSE),0),0))</f>
        <v/>
      </c>
      <c r="AL27" s="593" t="str">
        <f>IF(B29="","",IF($AF$5=$AL$19,ROUND(VLOOKUP(B29,#REF!,HLOOKUP($D$15,#REF!,87,FALSE),FALSE),0),0))</f>
        <v/>
      </c>
      <c r="AM27" s="593" t="str">
        <f>IF(B29="","",IF($AF$5=$AM$19,ROUND(VLOOKUP(B29,#REF!,HLOOKUP($D$15,#REF!,87,FALSE),FALSE),0),0))</f>
        <v/>
      </c>
      <c r="AN27" s="593" t="str">
        <f>IF(B29="","",IF($AF$5=$AN$19,ROUND(VLOOKUP(B29,#REF!,HLOOKUP($D$15,#REF!,87,FALSE),FALSE),0),0))</f>
        <v/>
      </c>
      <c r="AO27" s="593" t="str">
        <f>IF(B29="","",IF($AF$5=$AO$19,ROUND(VLOOKUP(B29,#REF!,HLOOKUP($D$15,#REF!,87,FALSE),FALSE),0),0))</f>
        <v/>
      </c>
      <c r="AP27" s="553" t="str">
        <f>IF(B29="","",IF($AF$5=$AP$19,ROUND(VLOOKUP(B29,#REF!,HLOOKUP($D$15,#REF!,87,FALSE),FALSE),0),0))</f>
        <v/>
      </c>
      <c r="AQ27" s="553" t="str">
        <f>IF(B29="","",IF($AF$5=$AQ$19,ROUND(VLOOKUP(B29,#REF!,HLOOKUP($D$15,#REF!,87,FALSE),FALSE),0),0))</f>
        <v/>
      </c>
    </row>
    <row r="28" spans="1:43" ht="25.15" customHeight="1" x14ac:dyDescent="0.2">
      <c r="A28" s="549"/>
      <c r="B28" s="504"/>
      <c r="C28" s="550"/>
      <c r="D28" s="596" t="str">
        <f>IF(B28="","",IF(B28="Please Enter Dates Properly","",VLOOKUP(B28,Collected_Rate!$A$4:$G$80,7,FALSE)))</f>
        <v/>
      </c>
      <c r="E28" s="596"/>
      <c r="F28" s="506"/>
      <c r="G28" s="550"/>
      <c r="H28" s="596" t="str">
        <f>IF(B28="","",VLOOKUP(B28,Collected_Rate!$A$4:$V$80,11,FALSE))</f>
        <v/>
      </c>
      <c r="I28" s="596"/>
      <c r="J28" s="596" t="str">
        <f>IF(B28="","",IF($D$15="","",IF(VLOOKUP($D$15,$AH$10:$AI$28,2,FALSE)="INSIDE",VLOOKUP(B28,Collected_Rate!$A$4:$V$80,19,FALSE),VLOOKUP(B28,Collected_Rate!$A$4:$V$80,20,FALSE))))</f>
        <v/>
      </c>
      <c r="K28" s="596"/>
      <c r="L28" s="557"/>
      <c r="M28" s="596"/>
      <c r="N28" s="597" t="str">
        <f t="shared" si="2"/>
        <v/>
      </c>
      <c r="O28" s="550"/>
      <c r="P28" s="550"/>
      <c r="Q28" s="598" t="str">
        <f>IF(B28="","",IF($D$13="","Enter Date of Final Plat Approval",IF($D$14="","Enter Date of Building Permit Application",IF($D$15="","Enter Service Area",VLOOKUP(B28,Max_Rate!$A$4:$Z$80,VLOOKUP('SIF Calculator Input'!$D$15,'SIF Calculator Input'!$AB$8:$AD$26,3,FALSE),FALSE)))))</f>
        <v/>
      </c>
      <c r="R28" s="599"/>
      <c r="S28" s="600" t="str">
        <f t="shared" si="0"/>
        <v/>
      </c>
      <c r="T28" s="601">
        <f t="shared" si="3"/>
        <v>0</v>
      </c>
      <c r="U28" s="602"/>
      <c r="V28" s="550"/>
      <c r="W28" s="598" t="str">
        <f>IF(B28="","",IF(T28&lt;&gt;"",T28,IF(OR($V$11="X",AND($V$14="X",$D$14="On or after June 21, 2022")),"No Street Impact Fee Collected",IF(AND($AE$56&lt;10,$V$13=""),"Less than 10 PM Peak Hour Trips: $0 Collection Rate",IF(AND(AG28=TRUE,F28&lt;1),0,IF(AND(AG28=TRUE,F28&lt;5),0.5*VLOOKUP(B28,Collected_Rate!$A$4:$AN$80,VLOOKUP('SIF Calculator Input'!$D$15,'SIF Calculator Input'!$AB$8:$AC$26,2,FALSE),FALSE),VLOOKUP(B28,Collected_Rate!$A$4:$AN$80,VLOOKUP('SIF Calculator Input'!$D$15,'SIF Calculator Input'!$AB$8:$AC$26,2,FALSE),FALSE)))))))</f>
        <v/>
      </c>
      <c r="X28" s="599"/>
      <c r="Y28" s="603" t="str">
        <f t="shared" si="1"/>
        <v/>
      </c>
      <c r="Z28" s="544"/>
      <c r="AB28" s="565"/>
      <c r="AE28" s="604">
        <f>IF(ISERROR(VLOOKUP(B28,Collected_Rate!$A$3:$K$80,11,FALSE)*F28),0,VLOOKUP(B28,Collected_Rate!$A$3:$K$80,11,FALSE)*F28)</f>
        <v>0</v>
      </c>
      <c r="AF28" s="591" t="str">
        <f>Collected_Rate!A44</f>
        <v>(640) Animal Hospital/Veterinary Clinic</v>
      </c>
      <c r="AG28" s="592" t="b">
        <f t="shared" si="4"/>
        <v>0</v>
      </c>
      <c r="AH28" s="565" t="s">
        <v>248</v>
      </c>
      <c r="AI28" s="553" t="s">
        <v>416</v>
      </c>
      <c r="AJ28" s="593" t="str">
        <f>IF(B30="","",IF($AF$5=$AJ$19,ROUND(VLOOKUP(B30,#REF!,HLOOKUP($D$15,#REF!,87,FALSE),FALSE),0),0))</f>
        <v/>
      </c>
      <c r="AK28" s="593" t="str">
        <f>IF(B30="","",IF($AF$5=$AK$19,ROUND(VLOOKUP(B30,#REF!,HLOOKUP($D$15,#REF!,87,FALSE),FALSE),0),0))</f>
        <v/>
      </c>
      <c r="AL28" s="593" t="str">
        <f>IF(B30="","",IF($AF$5=$AL$19,ROUND(VLOOKUP(B30,#REF!,HLOOKUP($D$15,#REF!,87,FALSE),FALSE),0),0))</f>
        <v/>
      </c>
      <c r="AM28" s="593" t="str">
        <f>IF(B30="","",IF($AF$5=$AM$19,ROUND(VLOOKUP(B30,#REF!,HLOOKUP($D$15,#REF!,87,FALSE),FALSE),0),0))</f>
        <v/>
      </c>
      <c r="AN28" s="593" t="str">
        <f>IF(B30="","",IF($AF$5=$AN$19,ROUND(VLOOKUP(B30,#REF!,HLOOKUP($D$15,#REF!,87,FALSE),FALSE),0),0))</f>
        <v/>
      </c>
      <c r="AO28" s="593" t="str">
        <f>IF(B30="","",IF($AF$5=$AO$19,ROUND(VLOOKUP(B30,#REF!,HLOOKUP($D$15,#REF!,87,FALSE),FALSE),0),0))</f>
        <v/>
      </c>
      <c r="AP28" s="553" t="str">
        <f>IF(B30="","",IF($AF$5=$AP$19,ROUND(VLOOKUP(B30,#REF!,HLOOKUP($D$15,#REF!,87,FALSE),FALSE),0),0))</f>
        <v/>
      </c>
      <c r="AQ28" s="553" t="str">
        <f>IF(B30="","",IF($AF$5=$AQ$19,ROUND(VLOOKUP(B30,#REF!,HLOOKUP($D$15,#REF!,87,FALSE),FALSE),0),0))</f>
        <v/>
      </c>
    </row>
    <row r="29" spans="1:43" ht="25.15" customHeight="1" x14ac:dyDescent="0.2">
      <c r="A29" s="549"/>
      <c r="B29" s="504"/>
      <c r="C29" s="550"/>
      <c r="D29" s="596" t="str">
        <f>IF(B29="","",IF(B29="Please Enter Dates Properly","",VLOOKUP(B29,Collected_Rate!$A$4:$G$80,7,FALSE)))</f>
        <v/>
      </c>
      <c r="E29" s="596"/>
      <c r="F29" s="505"/>
      <c r="G29" s="550"/>
      <c r="H29" s="596" t="str">
        <f>IF(B29="","",VLOOKUP(B29,Collected_Rate!$A$4:$V$80,11,FALSE))</f>
        <v/>
      </c>
      <c r="I29" s="596"/>
      <c r="J29" s="596" t="str">
        <f>IF(B29="","",IF($D$15="","",IF(VLOOKUP($D$15,$AH$10:$AI$28,2,FALSE)="INSIDE",VLOOKUP(B29,Collected_Rate!$A$4:$V$80,19,FALSE),VLOOKUP(B29,Collected_Rate!$A$4:$V$80,20,FALSE))))</f>
        <v/>
      </c>
      <c r="K29" s="596"/>
      <c r="L29" s="557"/>
      <c r="M29" s="596"/>
      <c r="N29" s="597" t="str">
        <f t="shared" si="2"/>
        <v/>
      </c>
      <c r="O29" s="550"/>
      <c r="P29" s="550"/>
      <c r="Q29" s="598" t="str">
        <f>IF(B29="","",IF($D$13="","Enter Date of Final Plat Approval",IF($D$14="","Enter Date of Building Permit Application",IF($D$15="","Enter Service Area",VLOOKUP(B29,Max_Rate!$A$4:$Z$80,VLOOKUP('SIF Calculator Input'!$D$15,'SIF Calculator Input'!$AB$8:$AD$26,3,FALSE),FALSE)))))</f>
        <v/>
      </c>
      <c r="R29" s="599"/>
      <c r="S29" s="600" t="str">
        <f t="shared" si="0"/>
        <v/>
      </c>
      <c r="T29" s="601">
        <f t="shared" si="3"/>
        <v>0</v>
      </c>
      <c r="U29" s="602"/>
      <c r="V29" s="550"/>
      <c r="W29" s="598" t="str">
        <f>IF(B29="","",IF(T29&lt;&gt;"",T29,IF(OR($V$11="X",AND($V$14="X",$D$14="On or after June 21, 2022")),"No Street Impact Fee Collected",IF(AND($AE$56&lt;10,$V$13=""),"Less than 10 PM Peak Hour Trips: $0 Collection Rate",IF(AND(AG29=TRUE,F29&lt;1),0,IF(AND(AG29=TRUE,F29&lt;5),0.5*VLOOKUP(B29,Collected_Rate!$A$4:$AN$80,VLOOKUP('SIF Calculator Input'!$D$15,'SIF Calculator Input'!$AB$8:$AC$26,2,FALSE),FALSE),VLOOKUP(B29,Collected_Rate!$A$4:$AN$80,VLOOKUP('SIF Calculator Input'!$D$15,'SIF Calculator Input'!$AB$8:$AC$26,2,FALSE),FALSE)))))))</f>
        <v/>
      </c>
      <c r="X29" s="599"/>
      <c r="Y29" s="603" t="str">
        <f t="shared" si="1"/>
        <v/>
      </c>
      <c r="Z29" s="544"/>
      <c r="AB29" s="565"/>
      <c r="AC29" s="605" t="e">
        <f>W23/Q23</f>
        <v>#VALUE!</v>
      </c>
      <c r="AE29" s="604">
        <f>IF(ISERROR(VLOOKUP(B29,Collected_Rate!$A$3:$K$80,11,FALSE)*F29),0,VLOOKUP(B29,Collected_Rate!$A$3:$K$80,11,FALSE)*F29)</f>
        <v>0</v>
      </c>
      <c r="AF29" s="591" t="str">
        <f>Collected_Rate!A34</f>
        <v>(565) Day Care Center</v>
      </c>
      <c r="AG29" s="592" t="b">
        <f t="shared" si="4"/>
        <v>0</v>
      </c>
      <c r="AH29" s="591"/>
      <c r="AI29" s="606"/>
      <c r="AJ29" s="593"/>
      <c r="AK29" s="593"/>
      <c r="AL29" s="593"/>
      <c r="AM29" s="593"/>
      <c r="AN29" s="593"/>
      <c r="AO29" s="593"/>
      <c r="AP29" s="553"/>
      <c r="AQ29" s="553"/>
    </row>
    <row r="30" spans="1:43" ht="25.15" customHeight="1" x14ac:dyDescent="0.2">
      <c r="A30" s="549"/>
      <c r="B30" s="504"/>
      <c r="C30" s="550"/>
      <c r="D30" s="596" t="str">
        <f>IF(B30="","",IF(B30="Please Enter Dates Properly","",VLOOKUP(B30,Collected_Rate!$A$4:$G$80,7,FALSE)))</f>
        <v/>
      </c>
      <c r="E30" s="596"/>
      <c r="F30" s="505"/>
      <c r="G30" s="550"/>
      <c r="H30" s="596" t="str">
        <f>IF(B30="","",VLOOKUP(B30,Collected_Rate!$A$4:$V$80,11,FALSE))</f>
        <v/>
      </c>
      <c r="I30" s="596"/>
      <c r="J30" s="596" t="str">
        <f>IF(B30="","",IF($D$15="","",IF(VLOOKUP($D$15,$AH$10:$AI$28,2,FALSE)="INSIDE",VLOOKUP(B30,Collected_Rate!$A$4:$V$80,19,FALSE),VLOOKUP(B30,Collected_Rate!$A$4:$V$80,20,FALSE))))</f>
        <v/>
      </c>
      <c r="K30" s="596"/>
      <c r="L30" s="557"/>
      <c r="M30" s="596"/>
      <c r="N30" s="597" t="str">
        <f t="shared" si="2"/>
        <v/>
      </c>
      <c r="O30" s="550"/>
      <c r="P30" s="550"/>
      <c r="Q30" s="598" t="str">
        <f>IF(B30="","",IF($D$13="","Enter Date of Final Plat Approval",IF($D$14="","Enter Date of Building Permit Application",IF($D$15="","Enter Service Area",VLOOKUP(B30,Max_Rate!$A$4:$Z$80,VLOOKUP('SIF Calculator Input'!$D$15,'SIF Calculator Input'!$AB$8:$AD$26,3,FALSE),FALSE)))))</f>
        <v/>
      </c>
      <c r="R30" s="599"/>
      <c r="S30" s="600" t="str">
        <f t="shared" si="0"/>
        <v/>
      </c>
      <c r="T30" s="601">
        <f t="shared" si="3"/>
        <v>0</v>
      </c>
      <c r="U30" s="602"/>
      <c r="V30" s="550"/>
      <c r="W30" s="598" t="str">
        <f>IF(B30="","",IF(T30&lt;&gt;"",T30,IF(OR($V$11="X",AND($V$14="X",$D$14="On or after June 21, 2022")),"No Street Impact Fee Collected",IF(AND($AE$56&lt;10,$V$13=""),"Less than 10 PM Peak Hour Trips: $0 Collection Rate",IF(AND(AG30=TRUE,F30&lt;1),0,IF(AND(AG30=TRUE,F30&lt;5),0.5*VLOOKUP(B30,Collected_Rate!$A$4:$AN$80,VLOOKUP('SIF Calculator Input'!$D$15,'SIF Calculator Input'!$AB$8:$AC$26,2,FALSE),FALSE),VLOOKUP(B30,Collected_Rate!$A$4:$AN$80,VLOOKUP('SIF Calculator Input'!$D$15,'SIF Calculator Input'!$AB$8:$AC$26,2,FALSE),FALSE)))))))</f>
        <v/>
      </c>
      <c r="X30" s="599"/>
      <c r="Y30" s="603" t="str">
        <f t="shared" si="1"/>
        <v/>
      </c>
      <c r="Z30" s="544"/>
      <c r="AB30" s="565"/>
      <c r="AC30" s="605"/>
      <c r="AE30" s="604">
        <f>IF(ISERROR(VLOOKUP(B30,Collected_Rate!$A$3:$K$80,11,FALSE)*F30),0,VLOOKUP(B30,Collected_Rate!$A$3:$K$80,11,FALSE)*F30)</f>
        <v>0</v>
      </c>
      <c r="AF30" s="591" t="str">
        <f>Collected_Rate!A80</f>
        <v>(918) Hair Salon</v>
      </c>
      <c r="AG30" s="592" t="b">
        <f t="shared" si="4"/>
        <v>0</v>
      </c>
      <c r="AH30" s="591" t="str">
        <f>IF(B61="","",AG30*F61)</f>
        <v/>
      </c>
      <c r="AI30" s="591"/>
    </row>
    <row r="31" spans="1:43" ht="24" customHeight="1" x14ac:dyDescent="0.2">
      <c r="A31" s="549"/>
      <c r="B31" s="607" t="s">
        <v>193</v>
      </c>
      <c r="C31" s="550"/>
      <c r="D31" s="550"/>
      <c r="E31" s="550"/>
      <c r="F31" s="550"/>
      <c r="G31" s="552"/>
      <c r="H31" s="552"/>
      <c r="I31" s="552"/>
      <c r="J31" s="552"/>
      <c r="K31" s="552"/>
      <c r="L31" s="552"/>
      <c r="M31" s="552"/>
      <c r="N31" s="552"/>
      <c r="O31" s="552"/>
      <c r="P31" s="552"/>
      <c r="Q31" s="598"/>
      <c r="R31" s="599"/>
      <c r="S31" s="600"/>
      <c r="T31" s="602"/>
      <c r="U31" s="602"/>
      <c r="V31" s="552"/>
      <c r="W31" s="598"/>
      <c r="X31" s="599"/>
      <c r="Y31" s="603"/>
      <c r="Z31" s="544"/>
      <c r="AF31" s="591" t="str">
        <f>Collected_Rate!A68</f>
        <v>(815) Free-Standing Discount Store</v>
      </c>
    </row>
    <row r="32" spans="1:43" ht="39.75" x14ac:dyDescent="0.2">
      <c r="A32" s="549"/>
      <c r="B32" s="586" t="s">
        <v>409</v>
      </c>
      <c r="C32" s="550"/>
      <c r="D32" s="587" t="s">
        <v>429</v>
      </c>
      <c r="E32" s="587"/>
      <c r="F32" s="587" t="s">
        <v>112</v>
      </c>
      <c r="G32" s="550"/>
      <c r="H32" s="588" t="s">
        <v>430</v>
      </c>
      <c r="I32" s="550"/>
      <c r="J32" s="588" t="s">
        <v>431</v>
      </c>
      <c r="K32" s="550"/>
      <c r="L32" s="588" t="s">
        <v>432</v>
      </c>
      <c r="M32" s="552"/>
      <c r="N32" s="588" t="s">
        <v>411</v>
      </c>
      <c r="O32" s="552"/>
      <c r="P32" s="552"/>
      <c r="Q32" s="598"/>
      <c r="R32" s="599"/>
      <c r="S32" s="600"/>
      <c r="T32" s="588" t="s">
        <v>629</v>
      </c>
      <c r="U32" s="602"/>
      <c r="V32" s="552"/>
      <c r="W32" s="598"/>
      <c r="X32" s="599"/>
      <c r="Y32" s="603"/>
      <c r="Z32" s="544"/>
      <c r="AF32" s="591" t="str">
        <f>Collected_Rate!A69</f>
        <v>(817) Nursery (Garden Center)</v>
      </c>
    </row>
    <row r="33" spans="1:43" ht="24" customHeight="1" x14ac:dyDescent="0.2">
      <c r="A33" s="549"/>
      <c r="B33" s="504"/>
      <c r="C33" s="550"/>
      <c r="D33" s="506"/>
      <c r="E33" s="550"/>
      <c r="F33" s="505"/>
      <c r="G33" s="552"/>
      <c r="H33" s="505"/>
      <c r="I33" s="552"/>
      <c r="J33" s="505"/>
      <c r="K33" s="552"/>
      <c r="L33" s="505"/>
      <c r="M33" s="552"/>
      <c r="N33" s="608" t="str">
        <f>IF(J33="","",IF(J33&gt;6,ROUND(H33*6,2),ROUND(H33*J33,2)))</f>
        <v/>
      </c>
      <c r="O33" s="552"/>
      <c r="P33" s="552"/>
      <c r="Q33" s="598" t="str">
        <f>IF(B33="","",IF($D$13="","Enter Date of Final Plat Approval",IF($D$14="","Enter Date of Building Permit Application",IF($D$15="","Enter Service Area",VLOOKUP("PORT AND TERMINAL",Max_Rate!$A$4:$Z$80,VLOOKUP('SIF Calculator Input'!$D$15,'SIF Calculator Input'!$AB$8:$AD$26,3,FALSE),FALSE)*N33))))</f>
        <v/>
      </c>
      <c r="R33" s="599"/>
      <c r="S33" s="600" t="str">
        <f>IF(B33="","",IF($D$13="","Enter Date of Final Plat Approval",IF($D$14="","Enter Date of Building Permit Application",IF($D$15="","Enter Service Area",IF(F33="","Enter # of Units",Q33*F33)))))</f>
        <v/>
      </c>
      <c r="T33" s="507"/>
      <c r="U33" s="602"/>
      <c r="V33" s="552"/>
      <c r="W33" s="598" t="str">
        <f>IF(B33="","",IF($D$13="","Enter Date of Final Plat Approval",IF($D$14="","Enter Date of Building Permit Application",IF($D$15="","Enter Service Area",IF(OR($D$14="Before June 21, 2022",$V$11="X",AND($V$14="X",$D$14="On or after June 21, 2022")),"No Street Impact Fee Collected",IF(AND($AE$56&lt;10,$V$13=""),"Less than 10 PM Peak Hour Trips: $0 Collection Rate",IF(L33="Yes",N33*Collected_Rate!$AO$3*(1-T33),IF(N33="","Enter Custom Land Use Data",N33*Collected_Rate!$AO$4*(1-T33)))))))))</f>
        <v/>
      </c>
      <c r="X33" s="599"/>
      <c r="Y33" s="603" t="str">
        <f>IF(W33="No Street Impact Fee Collected","No Street Impact Fee Collected",IF(B33="","",IF($D$13="","Enter Date of Final Plat Approval",IF($D$14="","Enter Date of Building Permit Application",IF($D$15="","Enter Service Area",IF(F33="","Enter # of Units",IF(AND($AE$56&lt;10,$V$13=""),"Less than 10 PM Peak Hour Trips: $0 Collection Rate",W33*F33)))))))</f>
        <v/>
      </c>
      <c r="Z33" s="544"/>
      <c r="AE33" s="604">
        <f>IF(F33="",0,F33*H33)</f>
        <v>0</v>
      </c>
      <c r="AF33" s="591" t="str">
        <f>Collected_Rate!A70</f>
        <v>(862) Home Improvement Superstore</v>
      </c>
    </row>
    <row r="34" spans="1:43" ht="24" customHeight="1" x14ac:dyDescent="0.2">
      <c r="A34" s="549"/>
      <c r="B34" s="504"/>
      <c r="C34" s="550"/>
      <c r="D34" s="506"/>
      <c r="E34" s="550"/>
      <c r="F34" s="505"/>
      <c r="G34" s="552"/>
      <c r="H34" s="505"/>
      <c r="I34" s="552"/>
      <c r="J34" s="505"/>
      <c r="K34" s="552"/>
      <c r="L34" s="505"/>
      <c r="M34" s="552"/>
      <c r="N34" s="608" t="str">
        <f t="shared" ref="N34:N37" si="5">IF(J34="","",IF(J34&gt;6,ROUND(H34*6,2),ROUND(H34*J34,2)))</f>
        <v/>
      </c>
      <c r="O34" s="552"/>
      <c r="P34" s="552"/>
      <c r="Q34" s="598" t="str">
        <f>IF(B34="","",IF($D$13="","Enter Date of Final Plat Approval",IF($D$14="","Enter Date of Building Permit Application",IF($D$15="","Enter Service Area",VLOOKUP("PORT AND TERMINAL",Max_Rate!$A$4:$Z$80,VLOOKUP('SIF Calculator Input'!$D$15,'SIF Calculator Input'!$AB$8:$AD$26,3,FALSE),FALSE)*N34))))</f>
        <v/>
      </c>
      <c r="R34" s="599"/>
      <c r="S34" s="600" t="str">
        <f>IF(B34="","",IF($D$13="","Enter Date of Final Plat Approval",IF($D$14="","Enter Date of Building Permit Application",IF($D$15="","Enter Service Area",IF(F34="","Enter # of Units",Q34*F34)))))</f>
        <v/>
      </c>
      <c r="T34" s="507"/>
      <c r="U34" s="602"/>
      <c r="V34" s="552"/>
      <c r="W34" s="598" t="str">
        <f>IF(B34="","",IF($D$13="","Enter Date of Final Plat Approval",IF($D$14="","Enter Date of Building Permit Application",IF($D$15="","Enter Service Area",IF(OR($D$14="Before June 21, 2022",$V$11="X",AND($V$14="X",$D$14="On or after June 21, 2022")),"No Street Impact Fee Collected",IF(AND($AE$56&lt;10,$V$13=""),"Less than 10 PM Peak Hour Trips: $0 Collection Rate",IF(L34="Yes",N34*Collected_Rate!$AO$3*(1-T34),IF(N34="","Enter Custom Land Use Data",N34*Collected_Rate!$AO$4*(1-T34)))))))))</f>
        <v/>
      </c>
      <c r="X34" s="599"/>
      <c r="Y34" s="603" t="str">
        <f>IF(W34="No Street Impact Fee Collected","No Street Impact Fee Collected",IF(B34="","",IF($D$13="","Enter Date of Final Plat Approval",IF($D$14="","Enter Date of Building Permit Application",IF($D$15="","Enter Service Area",IF(F34="","Enter # of Units",IF(AND($AE$56&lt;10,$V$13=""),"Less than 10 PM Peak Hour Trips: $0 Collection Rate",W34*F34)))))))</f>
        <v/>
      </c>
      <c r="Z34" s="544"/>
      <c r="AE34" s="604">
        <f>IF(F34="",0,F34*H34)</f>
        <v>0</v>
      </c>
      <c r="AF34" s="591" t="str">
        <f>Collected_Rate!A71</f>
        <v>(880) Pharmacy/Drugstore w/o Drive-Thru Window</v>
      </c>
    </row>
    <row r="35" spans="1:43" ht="24" customHeight="1" x14ac:dyDescent="0.2">
      <c r="A35" s="549"/>
      <c r="B35" s="504"/>
      <c r="C35" s="550"/>
      <c r="D35" s="506"/>
      <c r="E35" s="550"/>
      <c r="F35" s="505"/>
      <c r="G35" s="552"/>
      <c r="H35" s="505"/>
      <c r="I35" s="552"/>
      <c r="J35" s="505"/>
      <c r="K35" s="552"/>
      <c r="L35" s="505"/>
      <c r="M35" s="552"/>
      <c r="N35" s="608" t="str">
        <f t="shared" si="5"/>
        <v/>
      </c>
      <c r="O35" s="552"/>
      <c r="P35" s="552"/>
      <c r="Q35" s="598" t="str">
        <f>IF(B35="","",IF($D$13="","Enter Date of Final Plat Approval",IF($D$14="","Enter Date of Building Permit Application",IF($D$15="","Enter Service Area",VLOOKUP("PORT AND TERMINAL",Max_Rate!$A$4:$Z$80,VLOOKUP('SIF Calculator Input'!$D$15,'SIF Calculator Input'!$AB$8:$AD$26,3,FALSE),FALSE)*N35))))</f>
        <v/>
      </c>
      <c r="R35" s="599"/>
      <c r="S35" s="600" t="str">
        <f>IF(B35="","",IF($D$13="","Enter Date of Final Plat Approval",IF($D$14="","Enter Date of Building Permit Application",IF($D$15="","Enter Service Area",IF(F35="","Enter # of Units",Q35*F35)))))</f>
        <v/>
      </c>
      <c r="T35" s="507"/>
      <c r="U35" s="602"/>
      <c r="V35" s="552"/>
      <c r="W35" s="598" t="str">
        <f>IF(B35="","",IF($D$13="","Enter Date of Final Plat Approval",IF($D$14="","Enter Date of Building Permit Application",IF($D$15="","Enter Service Area",IF(OR($D$14="Before June 21, 2022",$V$11="X",AND($V$14="X",$D$14="On or after June 21, 2022")),"No Street Impact Fee Collected",IF(AND($AE$56&lt;10,$V$13=""),"Less than 10 PM Peak Hour Trips: $0 Collection Rate",IF(L35="Yes",N35*Collected_Rate!$AO$3*(1-T35),IF(N35="","Enter Custom Land Use Data",N35*Collected_Rate!$AO$4*(1-T35)))))))))</f>
        <v/>
      </c>
      <c r="X35" s="599"/>
      <c r="Y35" s="603" t="str">
        <f>IF(W35="No Street Impact Fee Collected","No Street Impact Fee Collected",IF(B35="","",IF($D$13="","Enter Date of Final Plat Approval",IF($D$14="","Enter Date of Building Permit Application",IF($D$15="","Enter Service Area",IF(F35="","Enter # of Units",IF(AND($AE$56&lt;10,$V$13=""),"Less than 10 PM Peak Hour Trips: $0 Collection Rate",W35*F35)))))))</f>
        <v/>
      </c>
      <c r="Z35" s="544"/>
      <c r="AE35" s="604">
        <f>IF(F35="",0,F35*H35)</f>
        <v>0</v>
      </c>
      <c r="AF35" s="591"/>
    </row>
    <row r="36" spans="1:43" ht="24" customHeight="1" x14ac:dyDescent="0.2">
      <c r="A36" s="549"/>
      <c r="B36" s="504"/>
      <c r="C36" s="550"/>
      <c r="D36" s="506"/>
      <c r="E36" s="550"/>
      <c r="F36" s="505"/>
      <c r="G36" s="552"/>
      <c r="H36" s="505"/>
      <c r="I36" s="552"/>
      <c r="J36" s="505"/>
      <c r="K36" s="552"/>
      <c r="L36" s="505"/>
      <c r="M36" s="552"/>
      <c r="N36" s="608" t="str">
        <f t="shared" si="5"/>
        <v/>
      </c>
      <c r="Q36" s="598" t="str">
        <f>IF(B36="","",IF($D$13="","Enter Date of Final Plat Approval",IF($D$14="","Enter Date of Building Permit Application",IF($D$15="","Enter Service Area",VLOOKUP("PORT AND TERMINAL",Max_Rate!$A$4:$Z$80,VLOOKUP('SIF Calculator Input'!$D$15,'SIF Calculator Input'!$AB$8:$AD$26,3,FALSE),FALSE)*N36))))</f>
        <v/>
      </c>
      <c r="R36" s="599"/>
      <c r="S36" s="600" t="str">
        <f>IF(B36="","",IF($D$13="","Enter Date of Final Plat Approval",IF($D$14="","Enter Date of Building Permit Application",IF($D$15="","Enter Service Area",IF(F36="","Enter # of Units",Q36*F36)))))</f>
        <v/>
      </c>
      <c r="T36" s="507"/>
      <c r="U36" s="602"/>
      <c r="V36" s="552"/>
      <c r="W36" s="598" t="str">
        <f>IF(B36="","",IF($D$13="","Enter Date of Final Plat Approval",IF($D$14="","Enter Date of Building Permit Application",IF($D$15="","Enter Service Area",IF(OR($D$14="Before June 21, 2022",$V$11="X",AND($V$14="X",$D$14="On or after June 21, 2022")),"No Street Impact Fee Collected",IF(AND($AE$56&lt;10,$V$13=""),"Less than 10 PM Peak Hour Trips: $0 Collection Rate",IF(L36="Yes",N36*Collected_Rate!$AO$3*(1-T36),IF(N36="","Enter Custom Land Use Data",N36*Collected_Rate!$AO$4*(1-T36)))))))))</f>
        <v/>
      </c>
      <c r="X36" s="599"/>
      <c r="Y36" s="603" t="str">
        <f>IF(W36="No Street Impact Fee Collected","No Street Impact Fee Collected",IF(B36="","",IF($D$13="","Enter Date of Final Plat Approval",IF($D$14="","Enter Date of Building Permit Application",IF($D$15="","Enter Service Area",IF(F36="","Enter # of Units",IF(AND($AE$56&lt;10,$V$13=""),"Less than 10 PM Peak Hour Trips: $0 Collection Rate",W36*F36)))))))</f>
        <v/>
      </c>
      <c r="Z36" s="544"/>
      <c r="AE36" s="604">
        <f>IF(F36="",0,F36*H36)</f>
        <v>0</v>
      </c>
      <c r="AF36" s="591" t="str">
        <f>Collected_Rate!A73</f>
        <v>(820) Shopping Center</v>
      </c>
    </row>
    <row r="37" spans="1:43" ht="24" customHeight="1" x14ac:dyDescent="0.2">
      <c r="A37" s="549"/>
      <c r="B37" s="504"/>
      <c r="C37" s="550"/>
      <c r="D37" s="506"/>
      <c r="E37" s="550"/>
      <c r="F37" s="505"/>
      <c r="G37" s="552"/>
      <c r="H37" s="505"/>
      <c r="I37" s="552"/>
      <c r="J37" s="505"/>
      <c r="K37" s="552"/>
      <c r="L37" s="505"/>
      <c r="M37" s="552"/>
      <c r="N37" s="608" t="str">
        <f t="shared" si="5"/>
        <v/>
      </c>
      <c r="Q37" s="609" t="str">
        <f>IF(B37="","",IF($D$13="","Enter Date of Final Plat Approval",IF($D$14="","Enter Date of Building Permit Application",IF($D$15="","Enter Service Area",VLOOKUP("PORT AND TERMINAL",Max_Rate!$A$4:$Z$80,VLOOKUP('SIF Calculator Input'!$D$15,'SIF Calculator Input'!$AB$8:$AD$26,3,FALSE),FALSE)*N37))))</f>
        <v/>
      </c>
      <c r="R37" s="610"/>
      <c r="S37" s="611" t="str">
        <f>IF(B37="","",IF($D$13="","Enter Date of Final Plat Approval",IF($D$14="","Enter Date of Building Permit Application",IF($D$15="","Enter Service Area",IF(F37="","Enter # of Units",Q37*F37)))))</f>
        <v/>
      </c>
      <c r="T37" s="507"/>
      <c r="U37" s="612"/>
      <c r="V37" s="552"/>
      <c r="W37" s="609" t="str">
        <f>IF(B37="","",IF($D$13="","Enter Date of Final Plat Approval",IF($D$14="","Enter Date of Building Permit Application",IF($D$15="","Enter Service Area",IF(OR($D$14="Before June 21, 2022",$V$11="X",AND($V$14="X",$D$14="On or after June 21, 2022")),"No Street Impact Fee Collected",IF(AND($AE$56&lt;10,$V$13=""),"Less than 10 PM Peak Hour Trips: $0 Collection Rate",IF(L37="Yes",N37*Collected_Rate!$AO$3*(1-T37),IF(N37="","Enter Custom Land Use Data",N37*Collected_Rate!$AO$4*(1-T37)))))))))</f>
        <v/>
      </c>
      <c r="X37" s="610"/>
      <c r="Y37" s="611" t="str">
        <f>IF(W37="No Street Impact Fee Collected","No Street Impact Fee Collected",IF(B37="","",IF($D$13="","Enter Date of Final Plat Approval",IF($D$14="","Enter Date of Building Permit Application",IF($D$15="","Enter Service Area",IF(F37="","Enter # of Units",IF(AND($AE$56&lt;10,$V$13=""),"Less than 10 PM Peak Hour Trips: $0 Collection Rate",W37*F37)))))))</f>
        <v/>
      </c>
      <c r="Z37" s="544"/>
      <c r="AE37" s="604">
        <f>IF(F37="",0,F37*H37)</f>
        <v>0</v>
      </c>
      <c r="AF37" s="591" t="str">
        <f>Collected_Rate!A74</f>
        <v>(850) Supermarket</v>
      </c>
    </row>
    <row r="38" spans="1:43" ht="24" customHeight="1" x14ac:dyDescent="0.2">
      <c r="A38" s="549"/>
      <c r="B38" s="739" t="s">
        <v>632</v>
      </c>
      <c r="C38" s="739"/>
      <c r="D38" s="739"/>
      <c r="E38" s="739"/>
      <c r="F38" s="739"/>
      <c r="G38" s="739"/>
      <c r="H38" s="739"/>
      <c r="I38" s="739"/>
      <c r="J38" s="739"/>
      <c r="K38" s="739"/>
      <c r="L38" s="739"/>
      <c r="M38" s="613"/>
      <c r="N38" s="613"/>
      <c r="R38" s="614" t="s">
        <v>721</v>
      </c>
      <c r="S38" s="600">
        <f>SUM(R22:S37)</f>
        <v>0</v>
      </c>
      <c r="T38" s="615"/>
      <c r="U38" s="615"/>
      <c r="V38" s="552"/>
      <c r="W38" s="602"/>
      <c r="X38" s="599"/>
      <c r="Y38" s="612"/>
      <c r="Z38" s="544"/>
      <c r="AE38" s="604"/>
      <c r="AF38" s="591" t="str">
        <f>Collected_Rate!A75</f>
        <v>(864) Toy/Children's Superstore</v>
      </c>
    </row>
    <row r="39" spans="1:43" ht="35.25" customHeight="1" x14ac:dyDescent="0.2">
      <c r="A39" s="549"/>
      <c r="B39" s="739"/>
      <c r="C39" s="739"/>
      <c r="D39" s="739"/>
      <c r="E39" s="739"/>
      <c r="F39" s="739"/>
      <c r="G39" s="739"/>
      <c r="H39" s="739"/>
      <c r="I39" s="739"/>
      <c r="J39" s="739"/>
      <c r="K39" s="739"/>
      <c r="L39" s="739"/>
      <c r="M39" s="613"/>
      <c r="N39" s="613"/>
      <c r="O39" s="552"/>
      <c r="P39" s="552"/>
      <c r="R39" s="569"/>
      <c r="T39" s="602"/>
      <c r="U39" s="602"/>
      <c r="V39" s="552"/>
      <c r="W39" s="616" t="s">
        <v>436</v>
      </c>
      <c r="X39" s="552"/>
      <c r="Y39" s="617">
        <f>SUM(Y23:Y37)</f>
        <v>0</v>
      </c>
      <c r="Z39" s="544"/>
      <c r="AE39" s="604"/>
      <c r="AF39" s="591" t="str">
        <f>Collected_Rate!A76</f>
        <v>(875) Department Store</v>
      </c>
    </row>
    <row r="40" spans="1:43" ht="24" customHeight="1" x14ac:dyDescent="0.2">
      <c r="A40" s="549"/>
      <c r="B40" s="618"/>
      <c r="C40" s="550"/>
      <c r="D40" s="550"/>
      <c r="E40" s="550"/>
      <c r="F40" s="550"/>
      <c r="G40" s="552"/>
      <c r="H40" s="552"/>
      <c r="I40" s="552"/>
      <c r="J40" s="552"/>
      <c r="K40" s="552"/>
      <c r="L40" s="552"/>
      <c r="M40" s="552"/>
      <c r="N40" s="552"/>
      <c r="O40" s="552"/>
      <c r="P40" s="552"/>
      <c r="R40" s="619"/>
      <c r="T40" s="620"/>
      <c r="U40" s="620"/>
      <c r="V40" s="552"/>
      <c r="W40" s="552"/>
      <c r="X40" s="552"/>
      <c r="Y40" s="621"/>
      <c r="Z40" s="544"/>
      <c r="AF40" s="591" t="str">
        <f>Collected_Rate!A53</f>
        <v>(942) Automobile Care Center</v>
      </c>
    </row>
    <row r="41" spans="1:43" ht="24" customHeight="1" x14ac:dyDescent="0.2">
      <c r="A41" s="549"/>
      <c r="B41" s="618"/>
      <c r="C41" s="550"/>
      <c r="D41" s="550"/>
      <c r="E41" s="550"/>
      <c r="F41" s="550"/>
      <c r="G41" s="552"/>
      <c r="H41" s="552"/>
      <c r="I41" s="552"/>
      <c r="J41" s="552"/>
      <c r="K41" s="552"/>
      <c r="L41" s="552"/>
      <c r="M41" s="552"/>
      <c r="N41" s="552"/>
      <c r="O41" s="552"/>
      <c r="P41" s="552"/>
      <c r="Q41" s="552"/>
      <c r="R41" s="619"/>
      <c r="S41" s="622"/>
      <c r="T41" s="622"/>
      <c r="U41" s="622"/>
      <c r="V41" s="552"/>
      <c r="Z41" s="544"/>
      <c r="AF41" s="591"/>
    </row>
    <row r="42" spans="1:43" ht="15.75" x14ac:dyDescent="0.2">
      <c r="A42" s="549"/>
      <c r="B42" s="582" t="s">
        <v>317</v>
      </c>
      <c r="C42" s="550"/>
      <c r="D42" s="550"/>
      <c r="E42" s="550"/>
      <c r="F42" s="550"/>
      <c r="G42" s="550"/>
      <c r="H42" s="550"/>
      <c r="I42" s="550"/>
      <c r="J42" s="550"/>
      <c r="K42" s="550"/>
      <c r="L42" s="550"/>
      <c r="M42" s="550"/>
      <c r="N42" s="550"/>
      <c r="O42" s="550"/>
      <c r="P42" s="552"/>
      <c r="Q42" s="751" t="s">
        <v>630</v>
      </c>
      <c r="R42" s="752"/>
      <c r="S42" s="753"/>
      <c r="V42" s="550"/>
      <c r="W42" s="774" t="s">
        <v>335</v>
      </c>
      <c r="X42" s="775"/>
      <c r="Y42" s="776"/>
      <c r="Z42" s="544"/>
      <c r="AB42" s="565"/>
      <c r="AC42" s="560"/>
      <c r="AD42" s="557"/>
      <c r="AE42" s="584"/>
      <c r="AF42" s="591"/>
    </row>
    <row r="43" spans="1:43" s="553" customFormat="1" ht="38.25" x14ac:dyDescent="0.2">
      <c r="A43" s="549"/>
      <c r="B43" s="586" t="s">
        <v>110</v>
      </c>
      <c r="C43" s="586"/>
      <c r="D43" s="587" t="s">
        <v>111</v>
      </c>
      <c r="E43" s="587"/>
      <c r="F43" s="587" t="s">
        <v>112</v>
      </c>
      <c r="G43" s="550"/>
      <c r="H43" s="588" t="s">
        <v>410</v>
      </c>
      <c r="I43" s="550"/>
      <c r="J43" s="588" t="s">
        <v>412</v>
      </c>
      <c r="K43" s="550"/>
      <c r="L43" s="588"/>
      <c r="M43" s="550"/>
      <c r="N43" s="588" t="s">
        <v>411</v>
      </c>
      <c r="O43" s="550"/>
      <c r="P43" s="552"/>
      <c r="Q43" s="584" t="s">
        <v>323</v>
      </c>
      <c r="R43" s="588"/>
      <c r="S43" s="585" t="s">
        <v>324</v>
      </c>
      <c r="T43" s="552"/>
      <c r="U43" s="552"/>
      <c r="V43" s="550"/>
      <c r="W43" s="584" t="s">
        <v>114</v>
      </c>
      <c r="X43" s="588"/>
      <c r="Y43" s="585" t="s">
        <v>285</v>
      </c>
      <c r="Z43" s="544"/>
      <c r="AA43" s="589"/>
      <c r="AB43" s="565"/>
      <c r="AC43" s="560"/>
      <c r="AD43" s="734"/>
      <c r="AE43" s="592"/>
      <c r="AF43" s="591"/>
      <c r="AG43" s="592"/>
      <c r="AH43" s="591"/>
      <c r="AI43" s="606"/>
      <c r="AJ43" s="593"/>
      <c r="AK43" s="593"/>
      <c r="AL43" s="593"/>
      <c r="AM43" s="593"/>
      <c r="AN43" s="593"/>
      <c r="AO43" s="593"/>
    </row>
    <row r="44" spans="1:43" s="553" customFormat="1" ht="5.25" customHeight="1" x14ac:dyDescent="0.2">
      <c r="A44" s="549"/>
      <c r="B44" s="618"/>
      <c r="C44" s="586"/>
      <c r="D44" s="587"/>
      <c r="E44" s="587"/>
      <c r="F44" s="587"/>
      <c r="G44" s="550"/>
      <c r="H44" s="550"/>
      <c r="I44" s="550"/>
      <c r="J44" s="550"/>
      <c r="K44" s="550"/>
      <c r="L44" s="550"/>
      <c r="M44" s="550"/>
      <c r="N44" s="550"/>
      <c r="O44" s="550"/>
      <c r="P44" s="552"/>
      <c r="Q44" s="623"/>
      <c r="R44" s="552"/>
      <c r="S44" s="624"/>
      <c r="T44" s="552"/>
      <c r="U44" s="552"/>
      <c r="V44" s="550"/>
      <c r="W44" s="584"/>
      <c r="X44" s="588"/>
      <c r="Y44" s="595"/>
      <c r="Z44" s="544"/>
      <c r="AA44" s="589"/>
      <c r="AB44" s="565"/>
      <c r="AC44" s="560"/>
      <c r="AD44" s="734"/>
      <c r="AE44" s="592"/>
      <c r="AF44" s="591"/>
      <c r="AG44" s="592"/>
      <c r="AH44" s="591"/>
      <c r="AI44" s="606"/>
      <c r="AJ44" s="593"/>
      <c r="AK44" s="593"/>
      <c r="AL44" s="593"/>
      <c r="AM44" s="593"/>
      <c r="AN44" s="593"/>
      <c r="AO44" s="593"/>
    </row>
    <row r="45" spans="1:43" ht="25.15" customHeight="1" x14ac:dyDescent="0.2">
      <c r="A45" s="549"/>
      <c r="B45" s="504"/>
      <c r="C45" s="550"/>
      <c r="D45" s="596" t="str">
        <f>IF(B45="","",IF(B45="Please Enter Dates Properly","",VLOOKUP(B45,Collected_Rate!$A$4:$G$80,7,FALSE)))</f>
        <v/>
      </c>
      <c r="E45" s="596"/>
      <c r="F45" s="505"/>
      <c r="G45" s="550"/>
      <c r="H45" s="596" t="str">
        <f>IF(B45="","",VLOOKUP(B45,Collected_Rate!$A$4:$V$80,11,FALSE))</f>
        <v/>
      </c>
      <c r="I45" s="596"/>
      <c r="J45" s="596" t="str">
        <f>IF(B45="","",IF($D$15="","",IF(VLOOKUP($D$15,$AH$10:$AI$28,2,FALSE)="INSIDE",VLOOKUP(B45,Collected_Rate!$A$4:$V$80,19,FALSE),VLOOKUP(B45,Collected_Rate!$A$4:$V$80,20,FALSE))))</f>
        <v/>
      </c>
      <c r="K45" s="550"/>
      <c r="L45" s="553"/>
      <c r="M45" s="550"/>
      <c r="N45" s="597" t="str">
        <f>IF(J45= "","",IF(H45="","",H45*J45))</f>
        <v/>
      </c>
      <c r="O45" s="550"/>
      <c r="P45" s="552"/>
      <c r="Q45" s="598" t="str">
        <f>IF(B45="","",IF($D$13="","Enter Date of Final Plat Approval",IF($D$14="","Enter Date of Building Permit Application",IF($D$15="","Enter Service Area",VLOOKUP(B45,Max_Rate!$A$4:$Z$80,VLOOKUP('SIF Calculator Input'!$D$15,'SIF Calculator Input'!$AB$8:$AD$26,3,FALSE),FALSE)))))</f>
        <v/>
      </c>
      <c r="R45" s="552"/>
      <c r="S45" s="600" t="str">
        <f>IF(B45="","",IF($D$13="","Enter Date of Final Plat Approval",IF($D$14="","Enter Date of Building Permit Application",IF($D$15="","Enter Service Area",IF(F45="","Enter # of Units",Q45*F45)))))</f>
        <v/>
      </c>
      <c r="T45" s="552"/>
      <c r="U45" s="552"/>
      <c r="V45" s="550"/>
      <c r="W45" s="598" t="str">
        <f>IF(B45="","",IF($D$13="","Enter Date of Final Plat Approval",IF($D$14="","Enter Date of Building Permit Application",IF(OR($D$14="Before June 21, 2022",$V$11="X",AND($V$14="X",$D$14="On or after June 21, 2022")),"No Street Impact Fee Collected",IF($D$15="","Enter Service Area",IF(OR('SIF Calculator Input'!B45="(911) Walk-In Bank", 'SIF Calculator Input'!B45="(912) Drive-In Bank",'SIF Calculator Input'!B45="(850) Supermarket"),Collected_Rate!$AO$4*'SIF Calculator Input'!N45,VLOOKUP(B45,Collected_Rate!$A$4:$AN$80,VLOOKUP('SIF Calculator Input'!$D$15,'SIF Calculator Input'!$AB$8:$AC$26,2,FALSE),FALSE)))))))</f>
        <v/>
      </c>
      <c r="X45" s="599"/>
      <c r="Y45" s="603" t="str">
        <f>IF(W45="No Street Impact Fee Collected","No Street Impact Fee Collected",IF(B45="","",IF($D$13="","Enter Date of Final Plat Approval",IF($D$14="","Enter Date of Building Permit Application",IF($D$15="","Enter Service Area",IF(F45="","Enter # of Units",W45*F45))))))</f>
        <v/>
      </c>
      <c r="Z45" s="544"/>
      <c r="AB45" s="565"/>
      <c r="AC45" s="625"/>
      <c r="AD45" s="557"/>
      <c r="AE45" s="604">
        <f>IF(ISERROR(VLOOKUP(B45,Collected_Rate!$A$3:$K$80,11,FALSE)*F45),0,VLOOKUP(B45,Collected_Rate!$A$3:$K$80,11,FALSE)*F45)</f>
        <v>0</v>
      </c>
      <c r="AF45" s="591"/>
      <c r="AG45" s="592"/>
      <c r="AH45" s="591"/>
      <c r="AI45" s="606"/>
      <c r="AJ45" s="593"/>
      <c r="AK45" s="593"/>
      <c r="AL45" s="593"/>
      <c r="AM45" s="593"/>
      <c r="AN45" s="593"/>
      <c r="AO45" s="593"/>
      <c r="AP45" s="553"/>
      <c r="AQ45" s="553"/>
    </row>
    <row r="46" spans="1:43" ht="25.15" customHeight="1" x14ac:dyDescent="0.2">
      <c r="A46" s="549"/>
      <c r="B46" s="504"/>
      <c r="C46" s="550"/>
      <c r="D46" s="596" t="str">
        <f>IF(B46="","",IF(B46="Please Enter Dates Properly","",VLOOKUP(B46,Collected_Rate!$A$4:$G$80,7,FALSE)))</f>
        <v/>
      </c>
      <c r="E46" s="596"/>
      <c r="F46" s="505"/>
      <c r="G46" s="550"/>
      <c r="H46" s="596" t="str">
        <f>IF(B46="","",VLOOKUP(B46,Collected_Rate!$A$4:$V$80,11,FALSE))</f>
        <v/>
      </c>
      <c r="I46" s="596"/>
      <c r="J46" s="596" t="str">
        <f>IF(B46="","",IF($D$15="","",IF(VLOOKUP($D$15,$AH$10:$AI$28,2,FALSE)="INSIDE",VLOOKUP(B46,Collected_Rate!$A$4:$V$80,19,FALSE),VLOOKUP(B46,Collected_Rate!$A$4:$V$80,20,FALSE))))</f>
        <v/>
      </c>
      <c r="K46" s="550"/>
      <c r="L46" s="553"/>
      <c r="M46" s="550"/>
      <c r="N46" s="597" t="str">
        <f>IF(J46= "","",IF(H46="","",H46*J46))</f>
        <v/>
      </c>
      <c r="O46" s="550"/>
      <c r="P46" s="552"/>
      <c r="Q46" s="598" t="str">
        <f>IF(B46="","",IF($D$13="","Enter Date of Final Plat Approval",IF($D$14="","Enter Date of Building Permit Application",IF($D$15="","Enter Service Area",VLOOKUP(B46,Max_Rate!$A$4:$Z$80,VLOOKUP('SIF Calculator Input'!$D$15,'SIF Calculator Input'!$AB$8:$AD$26,3,FALSE),FALSE)))))</f>
        <v/>
      </c>
      <c r="R46" s="552"/>
      <c r="S46" s="600" t="str">
        <f>IF(B46="","",IF($D$13="","Enter Date of Final Plat Approval",IF($D$14="","Enter Date of Building Permit Application",IF($D$15="","Enter Service Area",IF(F46="","Enter # of Units",Q46*F46)))))</f>
        <v/>
      </c>
      <c r="T46" s="552"/>
      <c r="U46" s="552"/>
      <c r="V46" s="550"/>
      <c r="W46" s="598" t="str">
        <f>IF(B46="","",IF($D$13="","Enter Date of Final Plat Approval",IF($D$14="","Enter Date of Building Permit Application",IF(OR($D$14="Before June 21, 2022",$V$11="X",AND($V$14="X",$D$14="On or after June 21, 2022")),"No Street Impact Fee Collected",IF($D$15="","Enter Service Area",IF(OR('SIF Calculator Input'!B46="(911) Walk-In Bank",'SIF Calculator Input'!B46="(912) Drive-In Bank",'SIF Calculator Input'!B46="(850) Supermarket"),Collected_Rate!$AO$4*'SIF Calculator Input'!N46,VLOOKUP(B46,Collected_Rate!$A$4:$AN$80,VLOOKUP('SIF Calculator Input'!$D$15,'SIF Calculator Input'!$AB$8:$AC$26,2,FALSE),FALSE)))))))</f>
        <v/>
      </c>
      <c r="X46" s="599"/>
      <c r="Y46" s="603" t="str">
        <f>IF(W46="No Street Impact Fee Collected","No Street Impact Fee Collected",IF(B46="","",IF($D$13="","Enter Date of Final Plat Approval",IF($D$14="","Enter Date of Building Permit Application",IF($D$15="","Enter Service Area",IF(F46="","Enter # of Units",W46*F46))))))</f>
        <v/>
      </c>
      <c r="Z46" s="544"/>
      <c r="AB46" s="565"/>
      <c r="AC46" s="560"/>
      <c r="AD46" s="557"/>
      <c r="AE46" s="604">
        <f>IF(ISERROR(VLOOKUP(B46,Collected_Rate!$A$3:$K$80,11,FALSE)*F46),0,VLOOKUP(B46,Collected_Rate!$A$3:$K$80,11,FALSE)*F46)</f>
        <v>0</v>
      </c>
      <c r="AF46" s="591"/>
      <c r="AG46" s="592"/>
      <c r="AH46" s="591"/>
      <c r="AI46" s="606"/>
      <c r="AJ46" s="593"/>
      <c r="AK46" s="593"/>
      <c r="AL46" s="593"/>
      <c r="AM46" s="593"/>
      <c r="AN46" s="593"/>
      <c r="AO46" s="593"/>
      <c r="AP46" s="553"/>
      <c r="AQ46" s="553"/>
    </row>
    <row r="47" spans="1:43" ht="25.15" customHeight="1" x14ac:dyDescent="0.2">
      <c r="A47" s="549"/>
      <c r="B47" s="504"/>
      <c r="C47" s="550"/>
      <c r="D47" s="596" t="str">
        <f>IF(B47="","",IF(B47="Please Enter Dates Properly","",VLOOKUP(B47,Collected_Rate!$A$4:$G$80,7,FALSE)))</f>
        <v/>
      </c>
      <c r="E47" s="596"/>
      <c r="F47" s="505"/>
      <c r="G47" s="550"/>
      <c r="H47" s="596" t="str">
        <f>IF(B47="","",VLOOKUP(B47,Collected_Rate!$A$4:$V$80,11,FALSE))</f>
        <v/>
      </c>
      <c r="I47" s="596"/>
      <c r="J47" s="596" t="str">
        <f>IF(B47="","",IF($D$15="","",IF(VLOOKUP($D$15,$AH$10:$AI$28,2,FALSE)="INSIDE",VLOOKUP(B47,Collected_Rate!$A$4:$V$80,19,FALSE),VLOOKUP(B47,Collected_Rate!$A$4:$V$80,20,FALSE))))</f>
        <v/>
      </c>
      <c r="K47" s="550"/>
      <c r="L47" s="553"/>
      <c r="M47" s="550"/>
      <c r="N47" s="597" t="str">
        <f>IF(J47= "","",IF(H47="","",H47*J47))</f>
        <v/>
      </c>
      <c r="O47" s="550"/>
      <c r="P47" s="552"/>
      <c r="Q47" s="598" t="str">
        <f>IF(B47="","",IF($D$13="","Enter Date of Final Plat Approval",IF($D$14="","Enter Date of Building Permit Application",IF($D$15="","Enter Service Area",VLOOKUP(B47,Max_Rate!$A$4:$Z$80,VLOOKUP('SIF Calculator Input'!$D$15,'SIF Calculator Input'!$AB$8:$AD$26,3,FALSE),FALSE)))))</f>
        <v/>
      </c>
      <c r="R47" s="552"/>
      <c r="S47" s="600" t="str">
        <f>IF(B47="","",IF($D$13="","Enter Date of Final Plat Approval",IF($D$14="","Enter Date of Building Permit Application",IF($D$15="","Enter Service Area",IF(F47="","Enter # of Units",Q47*F47)))))</f>
        <v/>
      </c>
      <c r="T47" s="552"/>
      <c r="U47" s="552"/>
      <c r="V47" s="550"/>
      <c r="W47" s="598" t="str">
        <f>IF(B47="","",IF($D$13="","Enter Date of Final Plat Approval",IF($D$14="","Enter Date of Building Permit Application",IF(OR($D$14="Before June 21, 2022",$V$11="X",AND($V$14="X",$D$14="On or after June 21, 2022")),"No Street Impact Fee Collected",IF($D$15="","Enter Service Area",IF(OR('SIF Calculator Input'!B47="(911) Walk-In Bank", 'SIF Calculator Input'!B47="(912) Drive-In Bank",'SIF Calculator Input'!B47="(850) Supermarket"),Collected_Rate!$AO$4*'SIF Calculator Input'!N47,VLOOKUP(B47,Collected_Rate!$A$4:$AN$80,VLOOKUP('SIF Calculator Input'!$D$15,'SIF Calculator Input'!$AB$8:$AC$26,2,FALSE),FALSE)))))))</f>
        <v/>
      </c>
      <c r="X47" s="599"/>
      <c r="Y47" s="603" t="str">
        <f>IF(W47="No Street Impact Fee Collected","No Street Impact Fee Collected",IF(B47="","",IF($D$13="","Enter Date of Final Plat Approval",IF($D$14="","Enter Date of Building Permit Application",IF($D$15="","Enter Service Area",IF(F47="","Enter # of Units",W47*F47))))))</f>
        <v/>
      </c>
      <c r="Z47" s="544"/>
      <c r="AB47" s="565"/>
      <c r="AC47" s="560"/>
      <c r="AD47" s="557"/>
      <c r="AE47" s="604">
        <f>IF(ISERROR(VLOOKUP(B47,Collected_Rate!$A$3:$K$80,11,FALSE)*F47),0,VLOOKUP(B47,Collected_Rate!$A$3:$K$80,11,FALSE)*F47)</f>
        <v>0</v>
      </c>
      <c r="AF47" s="591"/>
      <c r="AG47" s="592"/>
      <c r="AH47" s="591"/>
      <c r="AI47" s="606"/>
      <c r="AJ47" s="593"/>
      <c r="AK47" s="593"/>
      <c r="AL47" s="593"/>
      <c r="AM47" s="593"/>
      <c r="AN47" s="593"/>
      <c r="AO47" s="593"/>
      <c r="AP47" s="553"/>
      <c r="AQ47" s="553"/>
    </row>
    <row r="48" spans="1:43" ht="25.15" customHeight="1" x14ac:dyDescent="0.2">
      <c r="A48" s="549"/>
      <c r="B48" s="504"/>
      <c r="C48" s="550"/>
      <c r="D48" s="596" t="str">
        <f>IF(B48="","",IF(B48="Please Enter Dates Properly","",VLOOKUP(B48,Collected_Rate!$A$4:$G$80,7,FALSE)))</f>
        <v/>
      </c>
      <c r="E48" s="596"/>
      <c r="F48" s="505"/>
      <c r="G48" s="550"/>
      <c r="H48" s="596" t="str">
        <f>IF(B48="","",VLOOKUP(B48,Collected_Rate!$A$4:$V$80,11,FALSE))</f>
        <v/>
      </c>
      <c r="I48" s="596"/>
      <c r="J48" s="596" t="str">
        <f>IF(B48="","",IF($D$15="","",IF(VLOOKUP($D$15,$AH$10:$AI$28,2,FALSE)="INSIDE",VLOOKUP(B48,Collected_Rate!$A$4:$V$80,19,FALSE),VLOOKUP(B48,Collected_Rate!$A$4:$V$80,20,FALSE))))</f>
        <v/>
      </c>
      <c r="K48" s="550"/>
      <c r="L48" s="553"/>
      <c r="M48" s="550"/>
      <c r="N48" s="597" t="str">
        <f>IF(J48= "","",IF(H48="","",H48*J48))</f>
        <v/>
      </c>
      <c r="O48" s="550"/>
      <c r="P48" s="552"/>
      <c r="Q48" s="598" t="str">
        <f>IF(B48="","",IF($D$13="","Enter Date of Final Plat Approval",IF($D$14="","Enter Date of Building Permit Application",IF($D$15="","Enter Service Area",VLOOKUP(B48,Max_Rate!$A$4:$Z$80,VLOOKUP('SIF Calculator Input'!$D$15,'SIF Calculator Input'!$AB$8:$AD$26,3,FALSE),FALSE)))))</f>
        <v/>
      </c>
      <c r="R48" s="552"/>
      <c r="S48" s="600" t="str">
        <f>IF(B48="","",IF($D$13="","Enter Date of Final Plat Approval",IF($D$14="","Enter Date of Building Permit Application",IF($D$15="","Enter Service Area",IF(F48="","Enter # of Units",Q48*F48)))))</f>
        <v/>
      </c>
      <c r="T48" s="552"/>
      <c r="U48" s="552"/>
      <c r="V48" s="550"/>
      <c r="W48" s="598" t="str">
        <f>IF(B48="","",IF($D$13="","Enter Date of Final Plat Approval",IF($D$14="","Enter Date of Building Permit Application",IF(OR($D$14="Before June 21, 2022",$V$11="X",AND($V$14="X",$D$14="On or after June 21, 2022")),"No Street Impact Fee Collected",IF($D$15="","Enter Service Area",IF(OR('SIF Calculator Input'!B48="(911) Walk-In Bank", 'SIF Calculator Input'!B48="(912) Drive-In Bank",'SIF Calculator Input'!B48="(850) Supermarket"),Collected_Rate!$AO$4*'SIF Calculator Input'!N48,VLOOKUP(B48,Collected_Rate!$A$4:$AN$80,VLOOKUP('SIF Calculator Input'!$D$15,'SIF Calculator Input'!$AB$8:$AC$26,2,FALSE),FALSE)))))))</f>
        <v/>
      </c>
      <c r="X48" s="599"/>
      <c r="Y48" s="603" t="str">
        <f>IF(W48="No Street Impact Fee Collected","No Street Impact Fee Collected",IF(B48="","",IF($D$13="","Enter Date of Final Plat Approval",IF($D$14="","Enter Date of Building Permit Application",IF($D$15="","Enter Service Area",IF(F48="","Enter # of Units",W48*F48))))))</f>
        <v/>
      </c>
      <c r="Z48" s="544"/>
      <c r="AB48" s="565"/>
      <c r="AC48" s="560"/>
      <c r="AD48" s="734"/>
      <c r="AE48" s="604">
        <f>IF(ISERROR(VLOOKUP(B48,Collected_Rate!$A$3:$K$80,11,FALSE)*F48),0,VLOOKUP(B48,Collected_Rate!$A$3:$K$80,11,FALSE)*F48)</f>
        <v>0</v>
      </c>
      <c r="AF48" s="591"/>
      <c r="AG48" s="592"/>
      <c r="AH48" s="591"/>
      <c r="AI48" s="606"/>
      <c r="AJ48" s="593"/>
      <c r="AK48" s="593"/>
      <c r="AL48" s="593"/>
      <c r="AM48" s="593"/>
      <c r="AN48" s="593"/>
      <c r="AO48" s="593"/>
      <c r="AP48" s="553"/>
      <c r="AQ48" s="553"/>
    </row>
    <row r="49" spans="1:43" ht="10.15" customHeight="1" x14ac:dyDescent="0.2">
      <c r="A49" s="549"/>
      <c r="B49" s="618"/>
      <c r="C49" s="550"/>
      <c r="D49" s="550"/>
      <c r="E49" s="550"/>
      <c r="F49" s="550"/>
      <c r="G49" s="552"/>
      <c r="H49" s="552"/>
      <c r="I49" s="552"/>
      <c r="J49" s="552"/>
      <c r="K49" s="552"/>
      <c r="L49" s="552"/>
      <c r="M49" s="552"/>
      <c r="N49" s="608"/>
      <c r="O49" s="552"/>
      <c r="P49" s="552"/>
      <c r="Q49" s="598" t="str">
        <f>IF(B49="","",IF($D$13="","Enter Date of Final Plat Approval",IF($D$14="","Enter Date of Building Permit Application",IF($D$15="","Enter Service Area",VLOOKUP(B49,Max_Rate!$A$4:$Z$80,VLOOKUP('SIF Calculator Input'!$D$15,'SIF Calculator Input'!$AB$8:$AD$26,3,FALSE),FALSE)))))</f>
        <v/>
      </c>
      <c r="R49" s="552"/>
      <c r="S49" s="600" t="str">
        <f>IF(B49="","",IF($D$13="","Enter Date of Final Plat Approval",IF($D$14="","Enter Date of Building Permit Application",IF($D$15="","Enter Service Area",IF(F49="","Enter # of Units",Q49*F49)))))</f>
        <v/>
      </c>
      <c r="T49" s="615"/>
      <c r="U49" s="615"/>
      <c r="V49" s="552"/>
      <c r="W49" s="598"/>
      <c r="X49" s="599"/>
      <c r="Y49" s="603"/>
      <c r="Z49" s="544"/>
      <c r="AB49" s="565"/>
      <c r="AC49" s="560"/>
      <c r="AF49" s="591"/>
      <c r="AG49" s="592"/>
      <c r="AH49" s="591"/>
      <c r="AI49" s="606"/>
      <c r="AJ49" s="593"/>
      <c r="AK49" s="593"/>
      <c r="AL49" s="593"/>
      <c r="AM49" s="593"/>
      <c r="AN49" s="593"/>
      <c r="AO49" s="593"/>
      <c r="AP49" s="553"/>
      <c r="AQ49" s="553"/>
    </row>
    <row r="50" spans="1:43" ht="39.75" x14ac:dyDescent="0.2">
      <c r="A50" s="549"/>
      <c r="B50" s="586" t="s">
        <v>409</v>
      </c>
      <c r="C50" s="586"/>
      <c r="D50" s="587" t="s">
        <v>429</v>
      </c>
      <c r="E50" s="587"/>
      <c r="F50" s="587" t="s">
        <v>112</v>
      </c>
      <c r="G50" s="550"/>
      <c r="H50" s="588" t="s">
        <v>430</v>
      </c>
      <c r="I50" s="550"/>
      <c r="J50" s="588" t="s">
        <v>431</v>
      </c>
      <c r="K50" s="550"/>
      <c r="L50" s="588" t="s">
        <v>432</v>
      </c>
      <c r="M50" s="552"/>
      <c r="N50" s="588" t="s">
        <v>411</v>
      </c>
      <c r="O50" s="552"/>
      <c r="P50" s="552"/>
      <c r="Q50" s="623"/>
      <c r="R50" s="552"/>
      <c r="S50" s="624"/>
      <c r="T50" s="615"/>
      <c r="U50" s="615"/>
      <c r="V50" s="552"/>
      <c r="W50" s="598"/>
      <c r="X50" s="599"/>
      <c r="Y50" s="603"/>
      <c r="Z50" s="544"/>
      <c r="AB50" s="565"/>
      <c r="AC50" s="560"/>
      <c r="AD50" s="626"/>
      <c r="AE50" s="591"/>
      <c r="AF50" s="591"/>
      <c r="AG50" s="592"/>
      <c r="AH50" s="591"/>
      <c r="AI50" s="606"/>
      <c r="AJ50" s="593"/>
      <c r="AK50" s="593"/>
      <c r="AL50" s="593"/>
      <c r="AM50" s="593"/>
      <c r="AN50" s="593"/>
      <c r="AO50" s="593"/>
      <c r="AP50" s="553"/>
      <c r="AQ50" s="553"/>
    </row>
    <row r="51" spans="1:43" ht="25.15" customHeight="1" x14ac:dyDescent="0.2">
      <c r="A51" s="549"/>
      <c r="B51" s="504"/>
      <c r="C51" s="550"/>
      <c r="D51" s="506"/>
      <c r="E51" s="550"/>
      <c r="F51" s="505"/>
      <c r="G51" s="552"/>
      <c r="H51" s="505"/>
      <c r="I51" s="552"/>
      <c r="J51" s="505"/>
      <c r="K51" s="552"/>
      <c r="L51" s="505"/>
      <c r="M51" s="550"/>
      <c r="N51" s="608" t="str">
        <f>IF(J51="","",IF(J51&gt;6,H51*6,H51*J51))</f>
        <v/>
      </c>
      <c r="O51" s="550"/>
      <c r="P51" s="552"/>
      <c r="Q51" s="598" t="str">
        <f>IF(B51="","",IF($D$13="","Enter Date of Final Plat Approval",IF($D$14="","Enter Date of Building Permit Application",IF($D$15="","Enter Service Area",VLOOKUP("PORT AND TERMINAL",Max_Rate!$A$4:$Z$80,VLOOKUP('SIF Calculator Input'!$D$15,'SIF Calculator Input'!$AB$8:$AD$26,3,FALSE),FALSE)*N51))))</f>
        <v/>
      </c>
      <c r="R51" s="552"/>
      <c r="S51" s="600" t="str">
        <f>IF(B51="","",IF($D$13="","Enter Date of Final Plat Approval",IF($D$14="","Enter Date of Building Permit Application",IF($D$15="","Enter Service Area",IF(F51="","Enter # of Units",Q51*F51)))))</f>
        <v/>
      </c>
      <c r="T51" s="552"/>
      <c r="U51" s="552"/>
      <c r="V51" s="550"/>
      <c r="W51" s="598" t="str">
        <f>IF(B51="","",IF($D$13="","Enter Date of Final Plat Approval",IF($D$14="","Enter Date of Building Permit Application",IF($D$15="","Enter Service Area",IF(OR($D$14="Before June 21, 2022",$V$11="X",AND($V$14="X",$D$14="On or after June 21, 2022")),"No Street Impact Fee Collected",IF(L51="Yes",N51*Collected_Rate!$AO$3,IF(N51="","Enter Custom Land Use Data",N51*Collected_Rate!$AO$4)))))))</f>
        <v/>
      </c>
      <c r="X51" s="599"/>
      <c r="Y51" s="603" t="str">
        <f>IF(W51="No Street Impact Fee Collected","No Street Impact Fee Collected",IF(B51="","",IF($D$13="","Enter Date of Final Plat Approval",IF($D$14="","Enter Date of Building Permit Application",IF($D$15="","Enter Service Area",IF(N51="","Enter Custom Data",W51*F51))))))</f>
        <v/>
      </c>
      <c r="Z51" s="544"/>
      <c r="AB51" s="565"/>
      <c r="AC51" s="625"/>
      <c r="AD51" s="557"/>
      <c r="AE51" s="604">
        <f>IF(F51="",0,F51*H51)</f>
        <v>0</v>
      </c>
      <c r="AF51" s="591"/>
      <c r="AG51" s="592"/>
      <c r="AH51" s="591"/>
      <c r="AI51" s="606"/>
      <c r="AJ51" s="593"/>
      <c r="AK51" s="593"/>
      <c r="AL51" s="593"/>
      <c r="AM51" s="593"/>
      <c r="AN51" s="593"/>
      <c r="AO51" s="593"/>
      <c r="AP51" s="553"/>
      <c r="AQ51" s="553"/>
    </row>
    <row r="52" spans="1:43" ht="25.15" customHeight="1" x14ac:dyDescent="0.2">
      <c r="A52" s="549"/>
      <c r="B52" s="504"/>
      <c r="C52" s="550"/>
      <c r="D52" s="506"/>
      <c r="E52" s="550"/>
      <c r="F52" s="505"/>
      <c r="G52" s="552"/>
      <c r="H52" s="505"/>
      <c r="I52" s="552"/>
      <c r="J52" s="505"/>
      <c r="K52" s="552"/>
      <c r="L52" s="505"/>
      <c r="M52" s="550"/>
      <c r="N52" s="608" t="str">
        <f>IF(J52="","",IF(J52&gt;6,H52*6,H52*J52))</f>
        <v/>
      </c>
      <c r="O52" s="550"/>
      <c r="P52" s="552"/>
      <c r="Q52" s="598" t="str">
        <f>IF(B52="","",IF($D$13="","Enter Date of Final Plat Approval",IF($D$14="","Enter Date of Building Permit Application",IF($D$15="","Enter Service Area",VLOOKUP("PORT AND TERMINAL",Max_Rate!$A$4:$Z$80,VLOOKUP('SIF Calculator Input'!$D$15,'SIF Calculator Input'!$AB$8:$AD$26,3,FALSE),FALSE)*N52))))</f>
        <v/>
      </c>
      <c r="R52" s="552"/>
      <c r="S52" s="600" t="str">
        <f>IF(B52="","",IF($D$13="","Enter Date of Final Plat Approval",IF($D$14="","Enter Date of Building Permit Application",IF($D$15="","Enter Service Area",IF(F52="","Enter # of Units",Q52*F52)))))</f>
        <v/>
      </c>
      <c r="T52" s="552"/>
      <c r="U52" s="552"/>
      <c r="V52" s="550"/>
      <c r="W52" s="598" t="str">
        <f>IF(B52="","",IF($D$13="","Enter Date of Final Plat Approval",IF($D$14="","Enter Date of Building Permit Application",IF($D$15="","Enter Service Area",IF(OR($D$14="Before June 21, 2022",$V$11="X",AND($V$14="X",$D$14="On or after June 21, 2022")),"No Street Impact Fee Collected",IF(L52="Yes",N52*Collected_Rate!$AO$3,IF(N52="","Enter Custom Land Use Data",N52*Collected_Rate!$AO$4)))))))</f>
        <v/>
      </c>
      <c r="X52" s="599"/>
      <c r="Y52" s="603" t="str">
        <f>IF(W52="No Street Impact Fee Collected","No Street Impact Fee Collected",IF(B52="","",IF($D$13="","Enter Date of Final Plat Approval",IF($D$14="","Enter Date of Building Permit Application",IF($D$15="","Enter Service Area",IF(N52="","Enter Custom Data",W52*F52))))))</f>
        <v/>
      </c>
      <c r="Z52" s="544"/>
      <c r="AB52" s="565"/>
      <c r="AC52" s="625"/>
      <c r="AD52" s="557"/>
      <c r="AE52" s="604">
        <f>IF(F52="",0,F52*H52)</f>
        <v>0</v>
      </c>
      <c r="AF52" s="591" t="str">
        <f>Collected_Rate!A13</f>
        <v>(210) Single-Family Detached Housing</v>
      </c>
      <c r="AG52" s="592"/>
      <c r="AH52" s="591"/>
      <c r="AI52" s="606"/>
      <c r="AJ52" s="593"/>
      <c r="AK52" s="593"/>
      <c r="AL52" s="593"/>
      <c r="AM52" s="593"/>
      <c r="AN52" s="593"/>
      <c r="AO52" s="593"/>
      <c r="AP52" s="553"/>
      <c r="AQ52" s="553"/>
    </row>
    <row r="53" spans="1:43" ht="25.15" customHeight="1" x14ac:dyDescent="0.2">
      <c r="A53" s="549"/>
      <c r="B53" s="504"/>
      <c r="C53" s="550"/>
      <c r="D53" s="506"/>
      <c r="E53" s="550"/>
      <c r="F53" s="505"/>
      <c r="G53" s="552"/>
      <c r="H53" s="505"/>
      <c r="I53" s="552"/>
      <c r="J53" s="505"/>
      <c r="K53" s="552"/>
      <c r="L53" s="505"/>
      <c r="M53" s="550"/>
      <c r="N53" s="608" t="str">
        <f>IF(J53="","",IF(J53&gt;6,H53*6,H53*J53))</f>
        <v/>
      </c>
      <c r="O53" s="550"/>
      <c r="P53" s="552"/>
      <c r="Q53" s="598" t="str">
        <f>IF(B53="","",IF($D$13="","Enter Date of Final Plat Approval",IF($D$14="","Enter Date of Building Permit Application",IF($D$15="","Enter Service Area",VLOOKUP("PORT AND TERMINAL",Max_Rate!$A$4:$Z$80,VLOOKUP('SIF Calculator Input'!$D$15,'SIF Calculator Input'!$AB$8:$AD$26,3,FALSE),FALSE)*N53))))</f>
        <v/>
      </c>
      <c r="R53" s="552"/>
      <c r="S53" s="600" t="str">
        <f>IF(B53="","",IF($D$13="","Enter Date of Final Plat Approval",IF($D$14="","Enter Date of Building Permit Application",IF($D$15="","Enter Service Area",IF(F53="","Enter # of Units",Q53*F53)))))</f>
        <v/>
      </c>
      <c r="T53" s="552"/>
      <c r="U53" s="552"/>
      <c r="V53" s="550"/>
      <c r="W53" s="598" t="str">
        <f>IF(B53="","",IF($D$13="","Enter Date of Final Plat Approval",IF($D$14="","Enter Date of Building Permit Application",IF($D$15="","Enter Service Area",IF(OR($D$14="Before June 21, 2022",$V$11="X",AND($V$14="X",$D$14="On or after June 21, 2022")),"No Street Impact Fee Collected",IF(L53="Yes",N53*Collected_Rate!$AO$3,IF(N53="","Enter Custom Land Use Data",N53*Collected_Rate!$AO$4)))))))</f>
        <v/>
      </c>
      <c r="X53" s="599"/>
      <c r="Y53" s="603" t="str">
        <f>IF(W53="No Street Impact Fee Collected","No Street Impact Fee Collected",IF(B53="","",IF($D$13="","Enter Date of Final Plat Approval",IF($D$14="","Enter Date of Building Permit Application",IF($D$15="","Enter Service Area",IF(N53="","Enter Custom Data",W53*F53))))))</f>
        <v/>
      </c>
      <c r="Z53" s="544"/>
      <c r="AB53" s="565"/>
      <c r="AC53" s="560"/>
      <c r="AD53" s="557"/>
      <c r="AE53" s="604">
        <f>IF(F53="",0,F53*H53)</f>
        <v>0</v>
      </c>
      <c r="AF53" s="591" t="str">
        <f>Collected_Rate!A14</f>
        <v>(220) Townhomes / Duplexes / Triplexes / 4-Plexes / ADUs</v>
      </c>
      <c r="AG53" s="592"/>
      <c r="AH53" s="591"/>
      <c r="AI53" s="606"/>
      <c r="AJ53" s="593"/>
      <c r="AK53" s="593"/>
      <c r="AL53" s="593"/>
      <c r="AM53" s="593"/>
      <c r="AN53" s="593"/>
      <c r="AO53" s="593"/>
      <c r="AP53" s="553"/>
      <c r="AQ53" s="553"/>
    </row>
    <row r="54" spans="1:43" ht="25.15" customHeight="1" x14ac:dyDescent="0.2">
      <c r="A54" s="549"/>
      <c r="B54" s="504"/>
      <c r="C54" s="550"/>
      <c r="D54" s="506"/>
      <c r="E54" s="550"/>
      <c r="F54" s="505"/>
      <c r="G54" s="552"/>
      <c r="H54" s="505"/>
      <c r="I54" s="552"/>
      <c r="J54" s="505"/>
      <c r="K54" s="552"/>
      <c r="L54" s="505"/>
      <c r="M54" s="550"/>
      <c r="N54" s="608" t="str">
        <f>IF(J54="","",IF(J54&gt;6,H54*6,H54*J54))</f>
        <v/>
      </c>
      <c r="O54" s="550"/>
      <c r="P54" s="552"/>
      <c r="Q54" s="598" t="str">
        <f>IF(B54="","",IF($D$13="","Enter Date of Final Plat Approval",IF($D$14="","Enter Date of Building Permit Application",IF($D$15="","Enter Service Area",VLOOKUP("PORT AND TERMINAL",Max_Rate!$A$4:$Z$80,VLOOKUP('SIF Calculator Input'!$D$15,'SIF Calculator Input'!$AB$8:$AD$26,3,FALSE),FALSE)*N54))))</f>
        <v/>
      </c>
      <c r="R54" s="552"/>
      <c r="S54" s="600" t="str">
        <f>IF(B54="","",IF($D$13="","Enter Date of Final Plat Approval",IF($D$14="","Enter Date of Building Permit Application",IF($D$15="","Enter Service Area",IF(F54="","Enter # of Units",Q54*F54)))))</f>
        <v/>
      </c>
      <c r="T54" s="552"/>
      <c r="U54" s="552"/>
      <c r="V54" s="550"/>
      <c r="W54" s="598" t="str">
        <f>IF(B54="","",IF($D$13="","Enter Date of Final Plat Approval",IF($D$14="","Enter Date of Building Permit Application",IF($D$15="","Enter Service Area",IF(OR($D$14="Before June 21, 2022",$V$11="X",AND($V$14="X",$D$14="On or after June 21, 2022")),"No Street Impact Fee Collected",IF(L54="Yes",N54*Collected_Rate!$AO$3,IF(N54="","Enter Custom Land Use Data",N54*Collected_Rate!$AO$4)))))))</f>
        <v/>
      </c>
      <c r="X54" s="599"/>
      <c r="Y54" s="603" t="str">
        <f>IF(W54="No Street Impact Fee Collected","No Street Impact Fee Collected",IF(B54="","",IF($D$13="","Enter Date of Final Plat Approval",IF($D$14="","Enter Date of Building Permit Application",IF($D$15="","Enter Service Area",IF(N54="","Enter Custom Data",W54*F54))))))</f>
        <v/>
      </c>
      <c r="Z54" s="544"/>
      <c r="AB54" s="565"/>
      <c r="AC54" s="560"/>
      <c r="AD54" s="557"/>
      <c r="AE54" s="604">
        <f>IF(F54="",0,F54*H54)</f>
        <v>0</v>
      </c>
      <c r="AF54" s="591" t="str">
        <f>Collected_Rate!A15</f>
        <v>(221) Mid-Rise Apartments or Condominiums</v>
      </c>
      <c r="AG54" s="592"/>
      <c r="AH54" s="591"/>
      <c r="AI54" s="606"/>
      <c r="AJ54" s="593"/>
      <c r="AK54" s="593"/>
      <c r="AL54" s="593"/>
      <c r="AM54" s="593"/>
      <c r="AN54" s="593"/>
      <c r="AO54" s="593"/>
      <c r="AP54" s="553"/>
      <c r="AQ54" s="553"/>
    </row>
    <row r="55" spans="1:43" ht="25.15" customHeight="1" x14ac:dyDescent="0.2">
      <c r="A55" s="549"/>
      <c r="B55" s="504"/>
      <c r="C55" s="550"/>
      <c r="D55" s="506"/>
      <c r="E55" s="550"/>
      <c r="F55" s="505"/>
      <c r="G55" s="552"/>
      <c r="H55" s="505"/>
      <c r="I55" s="552"/>
      <c r="J55" s="505"/>
      <c r="K55" s="552"/>
      <c r="L55" s="505"/>
      <c r="M55" s="550"/>
      <c r="N55" s="608" t="str">
        <f>IF(J55="","",IF(J55&gt;6,H55*6,H55*J55))</f>
        <v/>
      </c>
      <c r="O55" s="550"/>
      <c r="P55" s="552"/>
      <c r="Q55" s="609" t="str">
        <f>IF(B55="","",IF($D$13="","Enter Date of Final Plat Approval",IF($D$14="","Enter Date of Building Permit Application",IF($D$15="","Enter Service Area",VLOOKUP("PORT AND TERMINAL",Max_Rate!$A$4:$Z$80,VLOOKUP('SIF Calculator Input'!$D$15,'SIF Calculator Input'!$AB$8:$AD$26,3,FALSE),FALSE)*N55))))</f>
        <v/>
      </c>
      <c r="R55" s="627"/>
      <c r="S55" s="628" t="str">
        <f>IF(B55="","",IF($D$13="","Enter Date of Final Plat Approval",IF($D$14="","Enter Date of Building Permit Application",IF($D$15="","Enter Service Area",IF(F55="","Enter # of Units",Q55*F55)))))</f>
        <v/>
      </c>
      <c r="T55" s="552"/>
      <c r="U55" s="552"/>
      <c r="V55" s="550"/>
      <c r="W55" s="609" t="str">
        <f>IF(B55="","",IF($D$13="","Enter Date of Final Plat Approval",IF($D$14="","Enter Date of Building Permit Application",IF($D$15="","Enter Service Area",IF(OR($D$14="Before June 21, 2022",$V$11="X",AND($V$14="X",$D$14="On or after June 21, 2022")),"No Street Impact Fee Collected",IF(L55="Yes",N55*Collected_Rate!$AO$3,IF(N55="","Enter Custom Land Use Data",N55*Collected_Rate!$AO$4)))))))</f>
        <v/>
      </c>
      <c r="X55" s="610"/>
      <c r="Y55" s="628" t="str">
        <f>IF(W55="No Street Impact Fee Collected","No Street Impact Fee Collected",IF(B55="","",IF($D$13="","Enter Date of Final Plat Approval",IF($D$14="","Enter Date of Building Permit Application",IF($D$15="","Enter Service Area",IF(N55="","Enter Custom Data",W55*F55))))))</f>
        <v/>
      </c>
      <c r="Z55" s="544"/>
      <c r="AB55" s="565"/>
      <c r="AC55" s="560"/>
      <c r="AD55" s="557"/>
      <c r="AE55" s="604">
        <f>IF(F55="",0,F55*H55)</f>
        <v>0</v>
      </c>
      <c r="AF55" s="591" t="str">
        <f>Collected_Rate!A16</f>
        <v>(222) High-Rise Apartments or Condominiums</v>
      </c>
      <c r="AG55" s="592"/>
      <c r="AH55" s="591"/>
      <c r="AI55" s="606"/>
      <c r="AJ55" s="593"/>
      <c r="AK55" s="593"/>
      <c r="AL55" s="593"/>
      <c r="AM55" s="593"/>
      <c r="AN55" s="593"/>
      <c r="AO55" s="593"/>
      <c r="AP55" s="553"/>
      <c r="AQ55" s="553"/>
    </row>
    <row r="56" spans="1:43" ht="23.25" customHeight="1" x14ac:dyDescent="0.2">
      <c r="A56" s="549"/>
      <c r="B56" s="618"/>
      <c r="C56" s="550"/>
      <c r="D56" s="550"/>
      <c r="E56" s="550"/>
      <c r="F56" s="550"/>
      <c r="G56" s="550"/>
      <c r="H56" s="550"/>
      <c r="I56" s="550"/>
      <c r="J56" s="550"/>
      <c r="L56" s="552" t="str">
        <f>IF(H56="","",IF(H56&gt;6,F56*6,F56*H56))</f>
        <v/>
      </c>
      <c r="M56" s="552"/>
      <c r="N56" s="552"/>
      <c r="O56" s="552"/>
      <c r="P56" s="552"/>
      <c r="R56" s="614" t="s">
        <v>722</v>
      </c>
      <c r="S56" s="600">
        <f>SUM(R45:S55)</f>
        <v>0</v>
      </c>
      <c r="T56" s="615"/>
      <c r="U56" s="615"/>
      <c r="V56" s="552"/>
      <c r="W56" s="552"/>
      <c r="X56" s="552"/>
      <c r="Y56" s="621"/>
      <c r="Z56" s="544"/>
      <c r="AB56" s="565"/>
      <c r="AC56" s="560"/>
      <c r="AD56" s="626" t="s">
        <v>338</v>
      </c>
      <c r="AE56" s="629">
        <f>SUM(AE23:AE37)-SUM(AE45:AE55)</f>
        <v>0</v>
      </c>
      <c r="AF56" s="591"/>
      <c r="AG56" s="592"/>
      <c r="AH56" s="591"/>
      <c r="AI56" s="606"/>
      <c r="AJ56" s="593"/>
      <c r="AK56" s="593"/>
      <c r="AL56" s="593"/>
      <c r="AM56" s="593"/>
      <c r="AN56" s="593"/>
      <c r="AO56" s="593"/>
      <c r="AP56" s="553"/>
      <c r="AQ56" s="553"/>
    </row>
    <row r="57" spans="1:43" ht="23.25" customHeight="1" x14ac:dyDescent="0.2">
      <c r="A57" s="549"/>
      <c r="B57" s="618"/>
      <c r="C57" s="550"/>
      <c r="D57" s="550"/>
      <c r="E57" s="550"/>
      <c r="F57" s="550"/>
      <c r="G57" s="550"/>
      <c r="H57" s="550"/>
      <c r="I57" s="550"/>
      <c r="J57" s="550"/>
      <c r="L57" s="552"/>
      <c r="M57" s="552"/>
      <c r="N57" s="552"/>
      <c r="O57" s="552"/>
      <c r="P57" s="552"/>
      <c r="Q57" s="552"/>
      <c r="R57" s="569" t="s">
        <v>402</v>
      </c>
      <c r="S57" s="630">
        <f>Y75</f>
        <v>0</v>
      </c>
      <c r="T57" s="615"/>
      <c r="U57" s="615"/>
      <c r="V57" s="552"/>
      <c r="W57" s="552"/>
      <c r="X57" s="616" t="s">
        <v>716</v>
      </c>
      <c r="Y57" s="631">
        <f>SUM(Y45:Y55)</f>
        <v>0</v>
      </c>
      <c r="Z57" s="544"/>
      <c r="AB57" s="565"/>
      <c r="AC57" s="560"/>
      <c r="AD57" s="626"/>
      <c r="AE57" s="629"/>
      <c r="AF57" s="591"/>
      <c r="AG57" s="592"/>
      <c r="AH57" s="591"/>
      <c r="AI57" s="606"/>
      <c r="AJ57" s="593"/>
      <c r="AK57" s="593"/>
      <c r="AL57" s="593"/>
      <c r="AM57" s="593"/>
      <c r="AN57" s="593"/>
      <c r="AO57" s="593"/>
      <c r="AP57" s="553"/>
      <c r="AQ57" s="553"/>
    </row>
    <row r="58" spans="1:43" ht="23.25" customHeight="1" x14ac:dyDescent="0.2">
      <c r="A58" s="549"/>
      <c r="B58" s="618"/>
      <c r="C58" s="550"/>
      <c r="D58" s="550"/>
      <c r="E58" s="550"/>
      <c r="F58" s="550"/>
      <c r="G58" s="550"/>
      <c r="H58" s="550"/>
      <c r="I58" s="550"/>
      <c r="J58" s="550"/>
      <c r="L58" s="552"/>
      <c r="M58" s="552"/>
      <c r="N58" s="552"/>
      <c r="O58" s="552"/>
      <c r="P58" s="552"/>
      <c r="Q58" s="552"/>
      <c r="R58" s="569" t="s">
        <v>665</v>
      </c>
      <c r="S58" s="602">
        <f>'ROW Dedication &amp; Easement'!F10</f>
        <v>0</v>
      </c>
      <c r="T58" s="615"/>
      <c r="U58" s="615"/>
      <c r="V58" s="552"/>
      <c r="W58" s="552"/>
      <c r="X58" s="552"/>
      <c r="Y58" s="621"/>
      <c r="Z58" s="544"/>
      <c r="AB58" s="565"/>
      <c r="AC58" s="560"/>
      <c r="AD58" s="626"/>
      <c r="AE58" s="629"/>
      <c r="AF58" s="591"/>
      <c r="AG58" s="592"/>
      <c r="AH58" s="591"/>
      <c r="AI58" s="606"/>
      <c r="AJ58" s="593"/>
      <c r="AK58" s="593"/>
      <c r="AL58" s="593"/>
      <c r="AM58" s="593"/>
      <c r="AN58" s="593"/>
      <c r="AO58" s="593"/>
      <c r="AP58" s="553"/>
      <c r="AQ58" s="553"/>
    </row>
    <row r="59" spans="1:43" ht="23.25" customHeight="1" x14ac:dyDescent="0.2">
      <c r="A59" s="549"/>
      <c r="B59" s="618"/>
      <c r="C59" s="550"/>
      <c r="D59" s="550"/>
      <c r="E59" s="550"/>
      <c r="F59" s="550"/>
      <c r="G59" s="550"/>
      <c r="H59" s="550"/>
      <c r="I59" s="550"/>
      <c r="J59" s="550"/>
      <c r="L59" s="552"/>
      <c r="M59" s="552"/>
      <c r="N59" s="552"/>
      <c r="O59" s="552"/>
      <c r="P59" s="552"/>
      <c r="Q59" s="552"/>
      <c r="R59" s="569" t="s">
        <v>666</v>
      </c>
      <c r="S59" s="602">
        <f>'ROW Dedication &amp; Easement'!F21</f>
        <v>0</v>
      </c>
      <c r="T59" s="615"/>
      <c r="U59" s="615"/>
      <c r="V59" s="552"/>
      <c r="W59" s="552"/>
      <c r="Z59" s="544"/>
      <c r="AB59" s="565"/>
      <c r="AC59" s="560"/>
      <c r="AD59" s="626"/>
      <c r="AE59" s="629"/>
      <c r="AF59" s="591"/>
      <c r="AG59" s="592"/>
      <c r="AH59" s="591"/>
      <c r="AI59" s="606"/>
      <c r="AJ59" s="593"/>
      <c r="AK59" s="593"/>
      <c r="AL59" s="593"/>
      <c r="AM59" s="593"/>
      <c r="AN59" s="593"/>
      <c r="AO59" s="593"/>
      <c r="AP59" s="553"/>
      <c r="AQ59" s="553"/>
    </row>
    <row r="60" spans="1:43" ht="25.15" customHeight="1" x14ac:dyDescent="0.25">
      <c r="A60" s="549"/>
      <c r="B60" s="618"/>
      <c r="C60" s="550"/>
      <c r="D60" s="550"/>
      <c r="E60" s="550"/>
      <c r="F60" s="550"/>
      <c r="G60" s="550"/>
      <c r="H60" s="550"/>
      <c r="I60" s="550"/>
      <c r="J60" s="550"/>
      <c r="L60" s="552"/>
      <c r="M60" s="552"/>
      <c r="N60" s="552"/>
      <c r="O60" s="552"/>
      <c r="Q60" s="552"/>
      <c r="R60" s="619" t="s">
        <v>669</v>
      </c>
      <c r="S60" s="632">
        <f>S38*(1-S57)-S56-S58-S59</f>
        <v>0</v>
      </c>
      <c r="T60" s="615"/>
      <c r="U60" s="615"/>
      <c r="V60" s="552"/>
      <c r="W60" s="552"/>
      <c r="X60" s="552"/>
      <c r="Z60" s="544"/>
      <c r="AB60" s="565"/>
      <c r="AC60" s="560"/>
      <c r="AD60" s="626"/>
      <c r="AE60" s="629"/>
      <c r="AF60" s="591"/>
      <c r="AG60" s="592"/>
      <c r="AH60" s="591"/>
      <c r="AI60" s="606"/>
      <c r="AJ60" s="593"/>
      <c r="AK60" s="593"/>
      <c r="AL60" s="593"/>
      <c r="AM60" s="593"/>
      <c r="AN60" s="593"/>
      <c r="AO60" s="593"/>
      <c r="AP60" s="553"/>
      <c r="AQ60" s="553"/>
    </row>
    <row r="61" spans="1:43" ht="25.5" customHeight="1" x14ac:dyDescent="0.2">
      <c r="A61" s="549"/>
      <c r="B61" s="633"/>
      <c r="C61" s="634"/>
      <c r="D61" s="634"/>
      <c r="E61" s="634"/>
      <c r="F61" s="550"/>
      <c r="G61" s="550"/>
      <c r="H61" s="550"/>
      <c r="I61" s="550"/>
      <c r="J61" s="550"/>
      <c r="K61" s="550"/>
      <c r="L61" s="550"/>
      <c r="M61" s="550"/>
      <c r="N61" s="550"/>
      <c r="O61" s="550"/>
      <c r="P61" s="550"/>
      <c r="Q61" s="550"/>
      <c r="R61" s="550"/>
      <c r="S61" s="550"/>
      <c r="T61" s="550"/>
      <c r="U61" s="550"/>
      <c r="V61" s="550"/>
      <c r="W61" s="622"/>
      <c r="X61" s="552" t="s">
        <v>316</v>
      </c>
      <c r="Y61" s="631">
        <f>IF(AND(S38&lt;S56,S57&lt;=0,S58&lt;=0,S59&lt;=0),"No Fee Due",IF(AND(OR(S58&gt;0,S59&gt;0),OR(S60&lt;0,S60&lt;(Y39-Y57))),"Discuss w/Supervisor",IF(Y39-Y57&lt;0,"No Fee Due",Y39-Y57)))</f>
        <v>0</v>
      </c>
      <c r="Z61" s="544"/>
    </row>
    <row r="62" spans="1:43" ht="39.75" customHeight="1" x14ac:dyDescent="0.2">
      <c r="A62" s="549"/>
      <c r="B62" s="767" t="s">
        <v>633</v>
      </c>
      <c r="C62" s="767"/>
      <c r="D62" s="767"/>
      <c r="E62" s="767"/>
      <c r="F62" s="767"/>
      <c r="G62" s="767"/>
      <c r="H62" s="767"/>
      <c r="I62" s="767"/>
      <c r="J62" s="767"/>
      <c r="K62" s="767"/>
      <c r="L62" s="767"/>
      <c r="M62" s="767"/>
      <c r="N62" s="767"/>
      <c r="O62" s="767"/>
      <c r="P62" s="767"/>
      <c r="Q62" s="767"/>
      <c r="R62" s="550"/>
      <c r="S62" s="550"/>
      <c r="T62" s="550"/>
      <c r="U62" s="550"/>
      <c r="V62" s="550"/>
      <c r="W62" s="550"/>
      <c r="X62" s="616"/>
      <c r="Y62" s="635"/>
      <c r="Z62" s="544"/>
    </row>
    <row r="63" spans="1:43" ht="10.5" customHeight="1" x14ac:dyDescent="0.2">
      <c r="A63" s="636"/>
      <c r="B63" s="637"/>
      <c r="C63" s="638"/>
      <c r="D63" s="740" t="s">
        <v>403</v>
      </c>
      <c r="E63" s="740"/>
      <c r="F63" s="740"/>
      <c r="G63" s="740"/>
      <c r="H63" s="740"/>
      <c r="I63" s="740"/>
      <c r="J63" s="740"/>
      <c r="K63" s="740"/>
      <c r="L63" s="740"/>
      <c r="M63" s="740"/>
      <c r="N63" s="740"/>
      <c r="O63" s="740"/>
      <c r="P63" s="740"/>
      <c r="Q63" s="742" t="s">
        <v>322</v>
      </c>
      <c r="R63" s="743"/>
      <c r="S63" s="743"/>
      <c r="T63" s="743"/>
      <c r="U63" s="743"/>
      <c r="V63" s="743"/>
      <c r="W63" s="743"/>
      <c r="X63" s="743"/>
      <c r="Y63" s="744"/>
      <c r="Z63" s="639"/>
    </row>
    <row r="64" spans="1:43" ht="10.5" customHeight="1" x14ac:dyDescent="0.2">
      <c r="A64" s="640"/>
      <c r="B64" s="543"/>
      <c r="C64" s="641"/>
      <c r="D64" s="741"/>
      <c r="E64" s="741"/>
      <c r="F64" s="741"/>
      <c r="G64" s="741"/>
      <c r="H64" s="741"/>
      <c r="I64" s="741"/>
      <c r="J64" s="741"/>
      <c r="K64" s="741"/>
      <c r="L64" s="741"/>
      <c r="M64" s="741"/>
      <c r="N64" s="741"/>
      <c r="O64" s="741"/>
      <c r="P64" s="741"/>
      <c r="Q64" s="745"/>
      <c r="R64" s="746"/>
      <c r="S64" s="746"/>
      <c r="T64" s="746"/>
      <c r="U64" s="746"/>
      <c r="V64" s="746"/>
      <c r="W64" s="746"/>
      <c r="X64" s="746"/>
      <c r="Y64" s="747"/>
      <c r="Z64" s="642"/>
    </row>
    <row r="65" spans="1:31" ht="25.5" customHeight="1" x14ac:dyDescent="0.2">
      <c r="A65" s="640"/>
      <c r="B65" s="543"/>
      <c r="C65" s="756" t="s">
        <v>425</v>
      </c>
      <c r="D65" s="757"/>
      <c r="E65" s="757"/>
      <c r="F65" s="757"/>
      <c r="G65" s="757"/>
      <c r="H65" s="757"/>
      <c r="I65" s="757"/>
      <c r="J65" s="757"/>
      <c r="K65" s="643"/>
      <c r="L65" s="760" t="s">
        <v>427</v>
      </c>
      <c r="M65" s="760"/>
      <c r="N65" s="760"/>
      <c r="O65" s="644"/>
      <c r="P65" s="645" t="s">
        <v>428</v>
      </c>
      <c r="Y65" s="646"/>
      <c r="Z65" s="642"/>
      <c r="AC65" s="630"/>
      <c r="AD65" s="630"/>
      <c r="AE65" s="630"/>
    </row>
    <row r="66" spans="1:31" x14ac:dyDescent="0.2">
      <c r="A66" s="640"/>
      <c r="B66" s="543"/>
      <c r="C66" s="758"/>
      <c r="D66" s="759"/>
      <c r="E66" s="759"/>
      <c r="F66" s="759"/>
      <c r="G66" s="759"/>
      <c r="H66" s="759"/>
      <c r="I66" s="759"/>
      <c r="J66" s="759"/>
      <c r="K66" s="644"/>
      <c r="L66" s="761"/>
      <c r="M66" s="761"/>
      <c r="N66" s="761"/>
      <c r="O66" s="644"/>
      <c r="P66" s="508"/>
      <c r="W66" s="762" t="str">
        <f>IF(OR(AC66="Incorrect Land Use",AC67="Incorrect Land Use",AC68="Incorrect Land Use"),"Land Use Not in Proposed Land Uses","Affordability Related Reductions ($):")</f>
        <v>Affordability Related Reductions ($):</v>
      </c>
      <c r="X66" s="762"/>
      <c r="Y66" s="771">
        <f>IF(AC66="",0,IF(OR(AC66="Enter Units",AC67="Enter Units",AC68="Enter Units"),"Enter Units",SUM(AC66:AC68)))</f>
        <v>0</v>
      </c>
      <c r="Z66" s="642"/>
      <c r="AC66" s="647" t="str">
        <f>IF(L66="","",IF(OR(P66="",P66=0),"Enter Units",IF(ISERROR(VLOOKUP(L66,$B$23:$W$30,20,FALSE)),"Incorrect Land Use",VLOOKUP(L66,$B$23:$W$30,22,FALSE)*P66)))</f>
        <v/>
      </c>
      <c r="AD66" s="630"/>
      <c r="AE66" s="630"/>
    </row>
    <row r="67" spans="1:31" ht="12.75" customHeight="1" x14ac:dyDescent="0.2">
      <c r="A67" s="640"/>
      <c r="B67" s="543"/>
      <c r="C67" s="758"/>
      <c r="D67" s="759"/>
      <c r="E67" s="759"/>
      <c r="F67" s="759"/>
      <c r="G67" s="759"/>
      <c r="H67" s="759"/>
      <c r="I67" s="759"/>
      <c r="J67" s="759"/>
      <c r="K67" s="644"/>
      <c r="L67" s="761"/>
      <c r="M67" s="761"/>
      <c r="N67" s="761"/>
      <c r="O67" s="644"/>
      <c r="P67" s="508"/>
      <c r="W67" s="762"/>
      <c r="X67" s="762"/>
      <c r="Y67" s="772"/>
      <c r="Z67" s="642"/>
      <c r="AC67" s="647" t="str">
        <f>IF(L67="","",IF(OR(P67="",P67=0),"Enter Units",IF(ISERROR(VLOOKUP(L67,$B$23:$W$30,20,FALSE)),"Incorrect Land Use",VLOOKUP(L67,$B$23:$W$30,22,FALSE)*P67)))</f>
        <v/>
      </c>
      <c r="AD67" s="630"/>
      <c r="AE67" s="630"/>
    </row>
    <row r="68" spans="1:31" x14ac:dyDescent="0.2">
      <c r="A68" s="640"/>
      <c r="B68" s="543"/>
      <c r="C68" s="758"/>
      <c r="D68" s="759"/>
      <c r="E68" s="759"/>
      <c r="F68" s="759"/>
      <c r="G68" s="759"/>
      <c r="H68" s="759"/>
      <c r="I68" s="759"/>
      <c r="J68" s="759"/>
      <c r="K68" s="644"/>
      <c r="L68" s="761"/>
      <c r="M68" s="761"/>
      <c r="N68" s="761"/>
      <c r="O68" s="644"/>
      <c r="P68" s="508"/>
      <c r="W68" s="762"/>
      <c r="X68" s="762"/>
      <c r="Y68" s="773"/>
      <c r="Z68" s="642"/>
      <c r="AC68" s="647" t="str">
        <f>IF(L68="","",IF(OR(P68="",P68=0),"Enter Units",IF(ISERROR(VLOOKUP(L68,$B$23:$W$30,20,FALSE)),"Incorrect Land Use",VLOOKUP(L68,$B$23:$W$30,22,FALSE)*P68)))</f>
        <v/>
      </c>
      <c r="AD68" s="630"/>
      <c r="AE68" s="630"/>
    </row>
    <row r="69" spans="1:31" x14ac:dyDescent="0.2">
      <c r="A69" s="640"/>
      <c r="B69" s="543"/>
      <c r="C69" s="758"/>
      <c r="D69" s="759"/>
      <c r="E69" s="759"/>
      <c r="F69" s="759"/>
      <c r="G69" s="759"/>
      <c r="H69" s="759"/>
      <c r="I69" s="759"/>
      <c r="J69" s="759"/>
      <c r="K69" s="644"/>
      <c r="P69" s="648"/>
      <c r="W69" s="736"/>
      <c r="X69" s="736"/>
      <c r="Y69" s="736"/>
      <c r="Z69" s="642"/>
      <c r="AC69" s="647"/>
      <c r="AD69" s="630"/>
      <c r="AE69" s="630"/>
    </row>
    <row r="70" spans="1:31" ht="25.5" customHeight="1" x14ac:dyDescent="0.2">
      <c r="A70" s="640"/>
      <c r="B70" s="543"/>
      <c r="C70" s="758"/>
      <c r="D70" s="759"/>
      <c r="E70" s="759"/>
      <c r="F70" s="759"/>
      <c r="G70" s="759"/>
      <c r="H70" s="759"/>
      <c r="I70" s="759"/>
      <c r="J70" s="759"/>
      <c r="K70" s="644"/>
      <c r="P70" s="649"/>
      <c r="T70" s="762" t="s">
        <v>443</v>
      </c>
      <c r="U70" s="762"/>
      <c r="V70" s="762"/>
      <c r="W70" s="762"/>
      <c r="X70" s="763"/>
      <c r="Y70" s="631">
        <f>IF(OR(Y61="No Fee Due",Y61="Discuss w/Supervisor"),0,IF(Y66="Enter Units","Enter Affordable Units",IF(Y66&gt;0,ROUND((Y61-Y66),2),Y61)))</f>
        <v>0</v>
      </c>
      <c r="Z70" s="642"/>
      <c r="AC70" s="647"/>
      <c r="AD70" s="630"/>
      <c r="AE70" s="630"/>
    </row>
    <row r="71" spans="1:31" x14ac:dyDescent="0.2">
      <c r="A71" s="640"/>
      <c r="B71" s="543"/>
      <c r="C71" s="758"/>
      <c r="D71" s="759"/>
      <c r="E71" s="759"/>
      <c r="F71" s="759"/>
      <c r="G71" s="759"/>
      <c r="H71" s="759"/>
      <c r="I71" s="759"/>
      <c r="J71" s="759"/>
      <c r="K71" s="644"/>
      <c r="P71" s="649"/>
      <c r="W71" s="736"/>
      <c r="X71" s="736"/>
      <c r="Y71" s="736"/>
      <c r="Z71" s="642"/>
      <c r="AC71" s="647"/>
      <c r="AD71" s="630"/>
      <c r="AE71" s="630"/>
    </row>
    <row r="72" spans="1:31" ht="29.25" customHeight="1" x14ac:dyDescent="0.2">
      <c r="A72" s="640"/>
      <c r="B72" s="543"/>
      <c r="C72" s="758"/>
      <c r="D72" s="759"/>
      <c r="E72" s="759"/>
      <c r="F72" s="759"/>
      <c r="G72" s="759"/>
      <c r="H72" s="759"/>
      <c r="I72" s="759"/>
      <c r="J72" s="759"/>
      <c r="K72" s="644"/>
      <c r="P72" s="649"/>
      <c r="T72" s="736" t="str">
        <f>IF(U72="","Internal Capture (IC) Reduction:",IF(U72&gt;0.2,"ERROR! REDUCTION EXCEEDS CAP","Internal Capture (IC) Reduction:"))</f>
        <v>Internal Capture (IC) Reduction:</v>
      </c>
      <c r="U72" s="650">
        <f>IF('TDM Calculator Input'!$D$10="Manually enter agreed-to trip reduction % here",0,'TDM Calculator Input'!$D$10)</f>
        <v>0</v>
      </c>
      <c r="W72" s="543"/>
      <c r="X72" s="569" t="s">
        <v>439</v>
      </c>
      <c r="Y72" s="651">
        <f>IF(U72&lt;0.05,0,IF(U72&lt;0.1,0.05,IF(U72&lt;0.15,0.1,IF(U72&lt;0.2,0.15,0.2))))</f>
        <v>0</v>
      </c>
      <c r="Z72" s="642"/>
    </row>
    <row r="73" spans="1:31" ht="25.5" customHeight="1" x14ac:dyDescent="0.2">
      <c r="A73" s="640"/>
      <c r="B73" s="543"/>
      <c r="C73" s="758"/>
      <c r="D73" s="759"/>
      <c r="E73" s="759"/>
      <c r="F73" s="759"/>
      <c r="G73" s="759"/>
      <c r="H73" s="759"/>
      <c r="I73" s="759"/>
      <c r="J73" s="759"/>
      <c r="K73" s="644"/>
      <c r="P73" s="649"/>
      <c r="T73" s="736" t="str">
        <f>IF(U73="","Transit Proximity (TP) Reduction:",IF(U73&gt;0.2,"ERROR! REDUCTION EXCEEDS CAP","Transit Proximity (TP) Reduction:"))</f>
        <v>Transit Proximity (TP) Reduction:</v>
      </c>
      <c r="U73" s="650">
        <f>IF('TDM Calculator Input'!C11="Select from Drop-Down Menu","",'Proposed TDM Plan Trip Red. %'!$B$7)</f>
        <v>0</v>
      </c>
      <c r="W73" s="543"/>
      <c r="X73" s="569" t="s">
        <v>440</v>
      </c>
      <c r="Y73" s="651" t="str">
        <f>IF(U73="",0,IF($D$15="","Enter Service Area",IF(AND(OR($D$15="DT",$I$15="X"),U73&gt;0.2),0.2,IF($I$15="X",U73,IF(AND(OR($D$15="F",$D$15="I",$D$15="J",$D$15="K, Inside SL 360",$D$15="L"),U73&gt;0.1),0.1,IF(AND(OR($D$15="A",$D$15="B",$D$15="C",$D$15="D",$D$15="E",$D$15="H",$D$15="K, Outside SL 360",$D$15="M",$D$15="N",$D$15="O",$D$15="P",$D$15="ETJ"),U73&gt;0.05),0.05,U73))))))</f>
        <v>Enter Service Area</v>
      </c>
      <c r="Z73" s="642"/>
    </row>
    <row r="74" spans="1:31" ht="17.25" customHeight="1" x14ac:dyDescent="0.2">
      <c r="A74" s="640"/>
      <c r="B74" s="543"/>
      <c r="C74" s="758"/>
      <c r="D74" s="759"/>
      <c r="E74" s="759"/>
      <c r="F74" s="759"/>
      <c r="G74" s="759"/>
      <c r="H74" s="759"/>
      <c r="I74" s="759"/>
      <c r="J74" s="759"/>
      <c r="K74" s="644"/>
      <c r="P74" s="649"/>
      <c r="T74" s="736" t="str">
        <f>IF(U74="","Parking Reduction:",IF(U74&gt;0.2,"ERROR! REDUCTION EXCEEDS CAP","Parking Reduction:"))</f>
        <v>Parking Reduction:</v>
      </c>
      <c r="U74" s="650">
        <f>'Proposed TDM Plan Trip Red. %'!$B$15</f>
        <v>0</v>
      </c>
      <c r="W74" s="543"/>
      <c r="X74" s="569" t="s">
        <v>441</v>
      </c>
      <c r="Y74" s="651">
        <f>IF(U74=0,0,IF($D$15="","Enter Service Area",IF(AND(OR($D$15="DT",$I$15="X"),U74&gt;0.2),0.2,IF($I$15="X",U74,IF(AND(OR($D$15="F",$D$15="I",$D$15="J",$D$15="K, Inside SL 360",$D$15="L"),U74&gt;0.1),0.1,IF(AND(OR($D$15="A",$D$15="B",$D$15="C",$D$15="D",$D$15="E",$D$15="H",$D$15="K, Outside SL 360",$D$15="M",$D$15="N",$D$15="O",$D$15="P",$D$15="ETJ"),U74&gt;0.05),0.05,U74))))))</f>
        <v>0</v>
      </c>
      <c r="Z74" s="642"/>
    </row>
    <row r="75" spans="1:31" ht="17.25" customHeight="1" x14ac:dyDescent="0.2">
      <c r="A75" s="640"/>
      <c r="B75" s="543"/>
      <c r="C75" s="758"/>
      <c r="D75" s="759"/>
      <c r="E75" s="759"/>
      <c r="F75" s="759"/>
      <c r="G75" s="759"/>
      <c r="H75" s="759"/>
      <c r="I75" s="759"/>
      <c r="J75" s="759"/>
      <c r="K75" s="644"/>
      <c r="P75" s="649"/>
      <c r="Q75" s="736"/>
      <c r="R75" s="644"/>
      <c r="S75" s="736"/>
      <c r="T75" s="736"/>
      <c r="U75" s="736"/>
      <c r="W75" s="543"/>
      <c r="X75" s="731" t="s">
        <v>444</v>
      </c>
      <c r="Y75" s="652">
        <f>SUM(Y72:Y74)</f>
        <v>0</v>
      </c>
      <c r="Z75" s="642"/>
    </row>
    <row r="76" spans="1:31" ht="17.25" customHeight="1" x14ac:dyDescent="0.2">
      <c r="A76" s="640"/>
      <c r="B76" s="543"/>
      <c r="C76" s="758"/>
      <c r="D76" s="759"/>
      <c r="E76" s="759"/>
      <c r="F76" s="759"/>
      <c r="G76" s="759"/>
      <c r="H76" s="759"/>
      <c r="I76" s="759"/>
      <c r="J76" s="759"/>
      <c r="K76" s="644"/>
      <c r="P76" s="649"/>
      <c r="Q76" s="736"/>
      <c r="R76" s="644"/>
      <c r="S76" s="736"/>
      <c r="T76" s="736"/>
      <c r="U76" s="736"/>
      <c r="W76" s="543"/>
      <c r="X76" s="731" t="s">
        <v>445</v>
      </c>
      <c r="Y76" s="617" t="str">
        <f>IF(Y61="No Fee Due","",IF(Y73="Enter Service Area","Enter Service Area",IF(Y75&gt;0,ROUND((Y70*Y75),2),0)))</f>
        <v>Enter Service Area</v>
      </c>
      <c r="Z76" s="642"/>
    </row>
    <row r="77" spans="1:31" ht="22.5" customHeight="1" x14ac:dyDescent="0.2">
      <c r="A77" s="640"/>
      <c r="B77" s="543"/>
      <c r="C77" s="653" t="s">
        <v>424</v>
      </c>
      <c r="D77" s="654"/>
      <c r="E77" s="654"/>
      <c r="F77" s="654"/>
      <c r="G77" s="654"/>
      <c r="H77" s="654"/>
      <c r="I77" s="654"/>
      <c r="J77" s="654"/>
      <c r="K77" s="654"/>
      <c r="L77" s="654"/>
      <c r="M77" s="654"/>
      <c r="N77" s="654"/>
      <c r="O77" s="654"/>
      <c r="P77" s="655"/>
      <c r="Q77" s="654"/>
      <c r="R77" s="654"/>
      <c r="S77" s="654"/>
      <c r="T77" s="654"/>
      <c r="U77" s="654"/>
      <c r="V77" s="654"/>
      <c r="W77" s="654"/>
      <c r="X77" s="656"/>
      <c r="Y77" s="657"/>
      <c r="Z77" s="642"/>
      <c r="AE77" s="630"/>
    </row>
    <row r="78" spans="1:31" ht="17.25" customHeight="1" x14ac:dyDescent="0.2">
      <c r="A78" s="640"/>
      <c r="B78" s="658"/>
      <c r="C78" s="658"/>
      <c r="D78" s="658"/>
      <c r="E78" s="658"/>
      <c r="F78" s="658"/>
      <c r="G78" s="658"/>
      <c r="H78" s="658"/>
      <c r="I78" s="658"/>
      <c r="J78" s="658"/>
      <c r="K78" s="658"/>
      <c r="L78" s="658"/>
      <c r="M78" s="658"/>
      <c r="N78" s="658"/>
      <c r="O78" s="658"/>
      <c r="P78" s="658"/>
      <c r="Q78" s="658"/>
      <c r="R78" s="658"/>
      <c r="S78" s="658"/>
      <c r="T78" s="658"/>
      <c r="U78" s="658"/>
      <c r="V78" s="658"/>
      <c r="W78" s="659"/>
      <c r="X78" s="552" t="s">
        <v>446</v>
      </c>
      <c r="Y78" s="631">
        <f>IF(OR(Y61="",Y61=0),0,IF(Y61="No Fee Due","No Fee Due",IF(Y66="Enter Units","Enter Units",IF(Y76=0,Y70,Y70-Y76))))</f>
        <v>0</v>
      </c>
      <c r="Z78" s="642"/>
      <c r="AE78" s="630"/>
    </row>
    <row r="79" spans="1:31" ht="17.25" hidden="1" customHeight="1" x14ac:dyDescent="0.2">
      <c r="A79" s="640"/>
      <c r="B79" s="658"/>
      <c r="C79" s="658"/>
      <c r="D79" s="658"/>
      <c r="E79" s="658"/>
      <c r="F79" s="658"/>
      <c r="G79" s="658"/>
      <c r="H79" s="658"/>
      <c r="I79" s="658"/>
      <c r="J79" s="658"/>
      <c r="K79" s="658"/>
      <c r="L79" s="543"/>
      <c r="M79" s="543"/>
      <c r="N79" s="543"/>
      <c r="O79" s="543"/>
      <c r="P79" s="543"/>
      <c r="Q79" s="543"/>
      <c r="R79" s="543"/>
      <c r="S79" s="660"/>
      <c r="T79" s="543"/>
      <c r="U79" s="543"/>
      <c r="V79" s="543"/>
      <c r="W79" s="543"/>
      <c r="X79" s="616" t="s">
        <v>668</v>
      </c>
      <c r="Y79" s="661">
        <f>IF(Y78="No Fee Due", "No Fee Due",IF(OR(S60&lt;0,S60-Y78-Y80&lt;0),"Discuss with Supervisor", IF(Y78&gt;S60,S60,Y78)))</f>
        <v>0</v>
      </c>
      <c r="Z79" s="642"/>
      <c r="AE79" s="630"/>
    </row>
    <row r="80" spans="1:31" ht="17.25" customHeight="1" x14ac:dyDescent="0.2">
      <c r="A80" s="640"/>
      <c r="B80" s="637"/>
      <c r="C80" s="637"/>
      <c r="D80" s="637"/>
      <c r="E80" s="637"/>
      <c r="F80" s="637"/>
      <c r="G80" s="637"/>
      <c r="H80" s="637"/>
      <c r="I80" s="637"/>
      <c r="J80" s="637"/>
      <c r="K80" s="637"/>
      <c r="L80" s="637"/>
      <c r="M80" s="637"/>
      <c r="N80" s="637"/>
      <c r="O80" s="637"/>
      <c r="P80" s="637"/>
      <c r="Q80" s="637"/>
      <c r="R80" s="637"/>
      <c r="S80" s="637"/>
      <c r="T80" s="637"/>
      <c r="U80" s="637"/>
      <c r="V80" s="637"/>
      <c r="W80" s="637"/>
      <c r="X80" s="616" t="s">
        <v>287</v>
      </c>
      <c r="Y80" s="513"/>
      <c r="Z80" s="642"/>
    </row>
    <row r="81" spans="1:32" ht="31.15" customHeight="1" x14ac:dyDescent="0.2">
      <c r="A81" s="640"/>
      <c r="B81" s="543"/>
      <c r="C81" s="543"/>
      <c r="D81" s="543"/>
      <c r="E81" s="543"/>
      <c r="F81" s="543"/>
      <c r="G81" s="543"/>
      <c r="H81" s="543"/>
      <c r="I81" s="543"/>
      <c r="J81" s="543"/>
      <c r="K81" s="543"/>
      <c r="L81" s="543"/>
      <c r="M81" s="543"/>
      <c r="N81" s="543"/>
      <c r="O81" s="543"/>
      <c r="P81" s="543"/>
      <c r="Q81" s="543"/>
      <c r="R81" s="543"/>
      <c r="S81" s="543"/>
      <c r="T81" s="543"/>
      <c r="U81" s="543"/>
      <c r="V81" s="543"/>
      <c r="W81" s="543"/>
      <c r="X81" s="616" t="s">
        <v>667</v>
      </c>
      <c r="Y81" s="663" t="str">
        <f>IF(AND('ROW Dedication &amp; Easement'!E23=FALSE, 'ROW Dedication &amp; Easement'!D10="", 'ROW Dedication &amp; Easement'!D21=""),"Enter ROW/Easement Info",IF(OR(Y79=0,Y79="No Fee Due"),"",IF(AND(Y80&lt;Y79,Y79&lt;=S60),"YES",IF(AND(Y80&gt;Y79,Y80&lt;S60),"YES", "NO"))))</f>
        <v>Enter ROW/Easement Info</v>
      </c>
      <c r="Z81" s="642"/>
      <c r="AE81" s="630"/>
    </row>
    <row r="82" spans="1:32" ht="19.5" customHeight="1" x14ac:dyDescent="0.2">
      <c r="A82" s="640"/>
      <c r="B82" s="543"/>
      <c r="C82" s="543"/>
      <c r="D82" s="543"/>
      <c r="E82" s="543"/>
      <c r="F82" s="543"/>
      <c r="G82" s="543"/>
      <c r="H82" s="543"/>
      <c r="I82" s="543"/>
      <c r="J82" s="543"/>
      <c r="K82" s="543"/>
      <c r="L82" s="543"/>
      <c r="M82" s="543"/>
      <c r="N82" s="543"/>
      <c r="O82" s="543"/>
      <c r="P82" s="543"/>
      <c r="Q82" s="543"/>
      <c r="R82" s="543"/>
      <c r="S82" s="543"/>
      <c r="T82" s="543"/>
      <c r="U82" s="543"/>
      <c r="V82" s="543"/>
      <c r="W82" s="543"/>
      <c r="X82" s="664" t="s">
        <v>288</v>
      </c>
      <c r="Y82" s="661" t="str">
        <f>IF(Y61=0,"No Fee Due", IF(Y61="","",IF(AND(Y81="NO", Y80&lt;&gt;""), "Discuss with Supervisor", IF(Y81="NO", "Discuss with Supervisor", IF(Y61="No Fee Due", "No Fee Due", IF(Y66="Enter Units", "Enter Units", IF(Y70&lt;=0, "No Fee Due", IF(Y78="No Fee Due", "No Fee Due", IF(Y80&gt;Y79, "Offset Exceeds Fee", Y79-Y80)))))))))</f>
        <v>No Fee Due</v>
      </c>
      <c r="Z82" s="642"/>
      <c r="AE82" s="630"/>
      <c r="AF82" s="630"/>
    </row>
    <row r="83" spans="1:32" ht="7.5" customHeight="1" thickBot="1" x14ac:dyDescent="0.25">
      <c r="A83" s="665"/>
      <c r="B83" s="666"/>
      <c r="C83" s="666"/>
      <c r="D83" s="666"/>
      <c r="E83" s="666"/>
      <c r="F83" s="666"/>
      <c r="G83" s="666"/>
      <c r="H83" s="666"/>
      <c r="I83" s="666"/>
      <c r="J83" s="666"/>
      <c r="K83" s="666"/>
      <c r="L83" s="666"/>
      <c r="M83" s="666"/>
      <c r="N83" s="666"/>
      <c r="O83" s="666"/>
      <c r="P83" s="666"/>
      <c r="Q83" s="666"/>
      <c r="R83" s="666"/>
      <c r="S83" s="666"/>
      <c r="T83" s="666"/>
      <c r="U83" s="666"/>
      <c r="V83" s="666"/>
      <c r="W83" s="666"/>
      <c r="X83" s="667"/>
      <c r="Y83" s="668"/>
      <c r="Z83" s="669"/>
      <c r="AE83" s="630"/>
    </row>
    <row r="84" spans="1:32" ht="19.5" hidden="1" customHeight="1" thickTop="1" x14ac:dyDescent="0.2">
      <c r="A84" s="640"/>
      <c r="B84" s="543"/>
      <c r="C84" s="543"/>
      <c r="D84" s="543"/>
      <c r="E84" s="543"/>
      <c r="F84" s="543"/>
      <c r="G84" s="543"/>
      <c r="H84" s="543"/>
      <c r="I84" s="543"/>
      <c r="J84" s="543"/>
      <c r="K84" s="543"/>
      <c r="L84" s="543"/>
      <c r="M84" s="543"/>
      <c r="N84" s="543"/>
      <c r="O84" s="543"/>
      <c r="P84" s="543"/>
      <c r="Q84" s="543"/>
      <c r="R84" s="543"/>
      <c r="S84" s="543"/>
      <c r="T84" s="543"/>
      <c r="U84" s="543"/>
      <c r="V84" s="543"/>
      <c r="W84" s="543"/>
      <c r="X84" s="664"/>
      <c r="Y84" s="635"/>
      <c r="Z84" s="642"/>
      <c r="AE84" s="630"/>
    </row>
    <row r="85" spans="1:32" ht="19.5" hidden="1" customHeight="1" x14ac:dyDescent="0.2">
      <c r="A85" s="640"/>
      <c r="B85" s="581" t="s">
        <v>401</v>
      </c>
      <c r="C85" s="543"/>
      <c r="D85" s="543"/>
      <c r="E85" s="543"/>
      <c r="F85" s="543"/>
      <c r="G85" s="543"/>
      <c r="H85" s="543"/>
      <c r="I85" s="543"/>
      <c r="J85" s="543"/>
      <c r="K85" s="543"/>
      <c r="L85" s="543"/>
      <c r="M85" s="543"/>
      <c r="N85" s="543"/>
      <c r="O85" s="543"/>
      <c r="P85" s="543"/>
      <c r="Q85" s="543"/>
      <c r="R85" s="543"/>
      <c r="S85" s="543"/>
      <c r="T85" s="543"/>
      <c r="U85" s="543"/>
      <c r="V85" s="543"/>
      <c r="W85" s="543"/>
      <c r="X85" s="664"/>
      <c r="Y85" s="635"/>
      <c r="Z85" s="642"/>
      <c r="AE85" s="630"/>
    </row>
    <row r="86" spans="1:32" ht="11.25" hidden="1" customHeight="1" x14ac:dyDescent="0.2">
      <c r="A86" s="640"/>
      <c r="B86" s="581"/>
      <c r="C86" s="543"/>
      <c r="D86" s="543"/>
      <c r="E86" s="543"/>
      <c r="F86" s="543"/>
      <c r="G86" s="543"/>
      <c r="H86" s="543"/>
      <c r="I86" s="543"/>
      <c r="J86" s="543"/>
      <c r="K86" s="543"/>
      <c r="L86" s="543"/>
      <c r="M86" s="543"/>
      <c r="N86" s="543"/>
      <c r="O86" s="543"/>
      <c r="P86" s="543"/>
      <c r="Q86" s="543"/>
      <c r="R86" s="543"/>
      <c r="S86" s="543"/>
      <c r="T86" s="543"/>
      <c r="U86" s="543"/>
      <c r="V86" s="543"/>
      <c r="W86" s="543"/>
      <c r="X86" s="664"/>
      <c r="Y86" s="635"/>
      <c r="Z86" s="642"/>
      <c r="AE86" s="630"/>
    </row>
    <row r="87" spans="1:32" ht="19.5" hidden="1" customHeight="1" x14ac:dyDescent="0.2">
      <c r="A87" s="640"/>
      <c r="B87" s="670" t="s">
        <v>406</v>
      </c>
      <c r="C87" s="671"/>
      <c r="D87" s="671"/>
      <c r="E87" s="671"/>
      <c r="F87" s="671"/>
      <c r="G87" s="671"/>
      <c r="H87" s="671"/>
      <c r="I87" s="671"/>
      <c r="J87" s="671"/>
      <c r="K87" s="671"/>
      <c r="L87" s="671"/>
      <c r="M87" s="671"/>
      <c r="N87" s="671"/>
      <c r="O87" s="671"/>
      <c r="P87" s="671"/>
      <c r="Q87" s="671"/>
      <c r="R87" s="543"/>
      <c r="S87" s="543"/>
      <c r="T87" s="543"/>
      <c r="U87" s="543"/>
      <c r="V87" s="543"/>
      <c r="W87" s="543"/>
      <c r="X87" s="664"/>
      <c r="Y87" s="635"/>
      <c r="Z87" s="642"/>
      <c r="AE87" s="630"/>
    </row>
    <row r="88" spans="1:32" ht="7.5" hidden="1" customHeight="1" x14ac:dyDescent="0.2">
      <c r="A88" s="640"/>
      <c r="B88" s="543"/>
      <c r="C88" s="543"/>
      <c r="D88" s="543"/>
      <c r="E88" s="543"/>
      <c r="F88" s="543"/>
      <c r="G88" s="543"/>
      <c r="H88" s="543"/>
      <c r="I88" s="543"/>
      <c r="J88" s="543"/>
      <c r="K88" s="543"/>
      <c r="L88" s="543"/>
      <c r="M88" s="543"/>
      <c r="N88" s="543"/>
      <c r="O88" s="543"/>
      <c r="P88" s="543"/>
      <c r="Q88" s="543"/>
      <c r="R88" s="543"/>
      <c r="S88" s="543"/>
      <c r="T88" s="543"/>
      <c r="U88" s="543"/>
      <c r="V88" s="543"/>
      <c r="W88" s="543"/>
      <c r="X88" s="664"/>
      <c r="Y88" s="635"/>
      <c r="Z88" s="642"/>
      <c r="AE88" s="630"/>
    </row>
    <row r="89" spans="1:32" ht="34.5" hidden="1" customHeight="1" x14ac:dyDescent="0.2">
      <c r="A89" s="640"/>
      <c r="B89" s="672" t="s">
        <v>339</v>
      </c>
      <c r="C89" s="543"/>
      <c r="D89" s="672" t="s">
        <v>340</v>
      </c>
      <c r="E89" s="672"/>
      <c r="F89" s="673"/>
      <c r="G89" s="543"/>
      <c r="H89" s="673" t="s">
        <v>341</v>
      </c>
      <c r="I89" s="543"/>
      <c r="J89" s="673" t="s">
        <v>342</v>
      </c>
      <c r="K89" s="543"/>
      <c r="L89" s="674" t="s">
        <v>404</v>
      </c>
      <c r="M89" s="543"/>
      <c r="N89" s="543"/>
      <c r="O89" s="543"/>
      <c r="P89" s="543"/>
      <c r="X89" s="543"/>
      <c r="Y89" s="673" t="s">
        <v>405</v>
      </c>
      <c r="Z89" s="642"/>
      <c r="AE89" s="630"/>
    </row>
    <row r="90" spans="1:32" ht="19.5" hidden="1" customHeight="1" x14ac:dyDescent="0.2">
      <c r="A90" s="640"/>
      <c r="B90" s="662"/>
      <c r="C90" s="543"/>
      <c r="D90" s="662"/>
      <c r="E90" s="675"/>
      <c r="F90" s="543"/>
      <c r="G90" s="543"/>
      <c r="H90" s="662"/>
      <c r="I90" s="543"/>
      <c r="J90" s="662"/>
      <c r="K90" s="543"/>
      <c r="L90" s="662"/>
      <c r="M90" s="543"/>
      <c r="N90" s="543"/>
      <c r="O90" s="543"/>
      <c r="P90" s="543"/>
      <c r="X90" s="664"/>
      <c r="Y90" s="676"/>
      <c r="Z90" s="642"/>
      <c r="AE90" s="630"/>
    </row>
    <row r="91" spans="1:32" ht="19.5" hidden="1" customHeight="1" x14ac:dyDescent="0.2">
      <c r="A91" s="640"/>
      <c r="B91" s="662"/>
      <c r="C91" s="543"/>
      <c r="D91" s="662"/>
      <c r="E91" s="675"/>
      <c r="F91" s="543"/>
      <c r="G91" s="543"/>
      <c r="H91" s="662"/>
      <c r="I91" s="543"/>
      <c r="J91" s="662"/>
      <c r="K91" s="543"/>
      <c r="L91" s="662"/>
      <c r="M91" s="543"/>
      <c r="N91" s="543"/>
      <c r="O91" s="543"/>
      <c r="P91" s="543"/>
      <c r="X91" s="664"/>
      <c r="Y91" s="676"/>
      <c r="Z91" s="642"/>
      <c r="AE91" s="630"/>
    </row>
    <row r="92" spans="1:32" ht="19.5" hidden="1" customHeight="1" x14ac:dyDescent="0.2">
      <c r="A92" s="640"/>
      <c r="B92" s="662"/>
      <c r="C92" s="543"/>
      <c r="D92" s="662"/>
      <c r="E92" s="675"/>
      <c r="F92" s="543"/>
      <c r="G92" s="543"/>
      <c r="H92" s="662"/>
      <c r="I92" s="543"/>
      <c r="J92" s="662"/>
      <c r="K92" s="543"/>
      <c r="L92" s="662"/>
      <c r="M92" s="543"/>
      <c r="N92" s="543"/>
      <c r="O92" s="543"/>
      <c r="P92" s="543"/>
      <c r="X92" s="664"/>
      <c r="Y92" s="676"/>
      <c r="Z92" s="642"/>
      <c r="AE92" s="630"/>
    </row>
    <row r="93" spans="1:32" ht="19.5" hidden="1" customHeight="1" x14ac:dyDescent="0.2">
      <c r="A93" s="640"/>
      <c r="B93" s="662"/>
      <c r="C93" s="543"/>
      <c r="D93" s="662"/>
      <c r="E93" s="675"/>
      <c r="F93" s="543"/>
      <c r="G93" s="543"/>
      <c r="H93" s="662"/>
      <c r="I93" s="543"/>
      <c r="J93" s="662"/>
      <c r="K93" s="543"/>
      <c r="L93" s="662"/>
      <c r="M93" s="543"/>
      <c r="N93" s="543"/>
      <c r="O93" s="543"/>
      <c r="P93" s="543"/>
      <c r="X93" s="664"/>
      <c r="Y93" s="676"/>
      <c r="Z93" s="642"/>
      <c r="AE93" s="630"/>
    </row>
    <row r="94" spans="1:32" ht="19.5" hidden="1" customHeight="1" x14ac:dyDescent="0.2">
      <c r="A94" s="640"/>
      <c r="B94" s="662"/>
      <c r="C94" s="543"/>
      <c r="D94" s="662"/>
      <c r="E94" s="675"/>
      <c r="F94" s="543"/>
      <c r="G94" s="543"/>
      <c r="H94" s="662"/>
      <c r="I94" s="543"/>
      <c r="J94" s="662"/>
      <c r="K94" s="543"/>
      <c r="L94" s="662"/>
      <c r="M94" s="543"/>
      <c r="N94" s="543"/>
      <c r="O94" s="543"/>
      <c r="P94" s="543"/>
      <c r="X94" s="664"/>
      <c r="Y94" s="676"/>
      <c r="Z94" s="642"/>
      <c r="AE94" s="630"/>
      <c r="AF94" s="630"/>
    </row>
    <row r="95" spans="1:32" ht="6.75" hidden="1" customHeight="1" x14ac:dyDescent="0.2">
      <c r="A95" s="640"/>
      <c r="B95" s="543"/>
      <c r="C95" s="543"/>
      <c r="D95" s="543"/>
      <c r="E95" s="543"/>
      <c r="F95" s="543"/>
      <c r="G95" s="543"/>
      <c r="H95" s="543"/>
      <c r="I95" s="543"/>
      <c r="J95" s="543"/>
      <c r="K95" s="543"/>
      <c r="L95" s="543"/>
      <c r="M95" s="543"/>
      <c r="N95" s="543"/>
      <c r="O95" s="543"/>
      <c r="P95" s="543"/>
      <c r="Q95" s="543"/>
      <c r="R95" s="543"/>
      <c r="S95" s="543"/>
      <c r="T95" s="543"/>
      <c r="U95" s="543"/>
      <c r="V95" s="543"/>
      <c r="W95" s="543"/>
      <c r="X95" s="664"/>
      <c r="Y95" s="635"/>
      <c r="Z95" s="642"/>
      <c r="AE95" s="630"/>
    </row>
    <row r="96" spans="1:32" ht="19.5" hidden="1" customHeight="1" x14ac:dyDescent="0.2">
      <c r="A96" s="640"/>
      <c r="B96" s="543"/>
      <c r="C96" s="543"/>
      <c r="D96" s="543"/>
      <c r="E96" s="543"/>
      <c r="F96" s="543"/>
      <c r="G96" s="543"/>
      <c r="H96" s="543"/>
      <c r="I96" s="543"/>
      <c r="J96" s="543"/>
      <c r="K96" s="543"/>
      <c r="L96" s="543"/>
      <c r="M96" s="543"/>
      <c r="N96" s="543"/>
      <c r="O96" s="543"/>
      <c r="P96" s="543"/>
      <c r="Q96" s="543"/>
      <c r="R96" s="543"/>
      <c r="S96" s="543"/>
      <c r="T96" s="543"/>
      <c r="U96" s="543"/>
      <c r="V96" s="543"/>
      <c r="W96" s="677" t="s">
        <v>370</v>
      </c>
      <c r="X96" s="678"/>
      <c r="Y96" s="679">
        <f>SUM(Y90:Y94)</f>
        <v>0</v>
      </c>
      <c r="Z96" s="642"/>
      <c r="AE96" s="630"/>
      <c r="AF96" s="630"/>
    </row>
    <row r="97" spans="1:31" ht="10.5" hidden="1" customHeight="1" x14ac:dyDescent="0.2">
      <c r="A97" s="640"/>
      <c r="B97" s="543"/>
      <c r="C97" s="543"/>
      <c r="D97" s="543"/>
      <c r="E97" s="543"/>
      <c r="F97" s="543"/>
      <c r="G97" s="543"/>
      <c r="H97" s="543"/>
      <c r="I97" s="543"/>
      <c r="J97" s="543"/>
      <c r="K97" s="543"/>
      <c r="L97" s="543"/>
      <c r="M97" s="543"/>
      <c r="N97" s="543"/>
      <c r="O97" s="543"/>
      <c r="P97" s="543"/>
      <c r="Q97" s="543"/>
      <c r="R97" s="543"/>
      <c r="S97" s="543"/>
      <c r="T97" s="543"/>
      <c r="U97" s="543"/>
      <c r="V97" s="543"/>
      <c r="W97" s="543"/>
      <c r="X97" s="664"/>
      <c r="Y97" s="635"/>
      <c r="Z97" s="642"/>
      <c r="AE97" s="630"/>
    </row>
    <row r="98" spans="1:31" ht="19.5" hidden="1" customHeight="1" x14ac:dyDescent="0.2">
      <c r="A98" s="640"/>
      <c r="B98" s="670" t="s">
        <v>371</v>
      </c>
      <c r="C98" s="671"/>
      <c r="D98" s="671"/>
      <c r="E98" s="671"/>
      <c r="F98" s="671"/>
      <c r="G98" s="671"/>
      <c r="H98" s="671"/>
      <c r="I98" s="671"/>
      <c r="J98" s="671"/>
      <c r="K98" s="671"/>
      <c r="L98" s="671"/>
      <c r="M98" s="671"/>
      <c r="N98" s="671"/>
      <c r="O98" s="671"/>
      <c r="P98" s="671"/>
      <c r="Q98" s="671"/>
      <c r="R98" s="543"/>
      <c r="S98" s="543"/>
      <c r="T98" s="543"/>
      <c r="U98" s="543"/>
      <c r="V98" s="543"/>
      <c r="W98" s="543"/>
      <c r="X98" s="664"/>
      <c r="Y98" s="635"/>
      <c r="Z98" s="642"/>
      <c r="AE98" s="630"/>
    </row>
    <row r="99" spans="1:31" ht="10.5" hidden="1" customHeight="1" x14ac:dyDescent="0.2">
      <c r="A99" s="640"/>
      <c r="B99" s="543"/>
      <c r="C99" s="543"/>
      <c r="D99" s="543"/>
      <c r="E99" s="543"/>
      <c r="F99" s="543"/>
      <c r="G99" s="543"/>
      <c r="H99" s="543"/>
      <c r="I99" s="543"/>
      <c r="J99" s="543"/>
      <c r="K99" s="543"/>
      <c r="L99" s="543"/>
      <c r="M99" s="543"/>
      <c r="N99" s="543"/>
      <c r="O99" s="543"/>
      <c r="P99" s="543"/>
      <c r="Q99" s="543"/>
      <c r="R99" s="543"/>
      <c r="S99" s="543"/>
      <c r="T99" s="543"/>
      <c r="U99" s="543"/>
      <c r="V99" s="543"/>
      <c r="W99" s="543"/>
      <c r="X99" s="664"/>
      <c r="Y99" s="635"/>
      <c r="Z99" s="642"/>
      <c r="AE99" s="630"/>
    </row>
    <row r="100" spans="1:31" ht="30" hidden="1" customHeight="1" x14ac:dyDescent="0.2">
      <c r="A100" s="640"/>
      <c r="B100" s="672" t="s">
        <v>372</v>
      </c>
      <c r="C100" s="543"/>
      <c r="D100" s="680" t="s">
        <v>373</v>
      </c>
      <c r="E100" s="680"/>
      <c r="F100" s="543"/>
      <c r="G100" s="543"/>
      <c r="H100" s="543"/>
      <c r="I100" s="543"/>
      <c r="J100" s="543"/>
      <c r="K100" s="543"/>
      <c r="L100" s="543"/>
      <c r="M100" s="543"/>
      <c r="N100" s="543"/>
      <c r="O100" s="543"/>
      <c r="P100" s="543"/>
      <c r="Q100" s="543"/>
      <c r="R100" s="543"/>
      <c r="S100" s="543"/>
      <c r="T100" s="543"/>
      <c r="U100" s="543"/>
      <c r="V100" s="543"/>
      <c r="W100" s="543"/>
      <c r="X100" s="664"/>
      <c r="Y100" s="673" t="s">
        <v>397</v>
      </c>
      <c r="Z100" s="642"/>
      <c r="AE100" s="630"/>
    </row>
    <row r="101" spans="1:31" ht="19.5" hidden="1" customHeight="1" x14ac:dyDescent="0.2">
      <c r="A101" s="640"/>
      <c r="B101" s="662"/>
      <c r="C101" s="543"/>
      <c r="D101" s="748"/>
      <c r="E101" s="749"/>
      <c r="F101" s="749"/>
      <c r="G101" s="749"/>
      <c r="H101" s="749"/>
      <c r="I101" s="749"/>
      <c r="J101" s="749"/>
      <c r="K101" s="749"/>
      <c r="L101" s="749"/>
      <c r="M101" s="749"/>
      <c r="N101" s="749"/>
      <c r="O101" s="749"/>
      <c r="P101" s="749"/>
      <c r="Q101" s="749"/>
      <c r="R101" s="749"/>
      <c r="S101" s="749"/>
      <c r="T101" s="749"/>
      <c r="U101" s="749"/>
      <c r="V101" s="749"/>
      <c r="W101" s="750"/>
      <c r="X101" s="664"/>
      <c r="Y101" s="662"/>
      <c r="Z101" s="642"/>
      <c r="AE101" s="630"/>
    </row>
    <row r="102" spans="1:31" ht="19.5" hidden="1" customHeight="1" x14ac:dyDescent="0.2">
      <c r="A102" s="640"/>
      <c r="B102" s="662"/>
      <c r="C102" s="543"/>
      <c r="D102" s="748"/>
      <c r="E102" s="749"/>
      <c r="F102" s="749"/>
      <c r="G102" s="749"/>
      <c r="H102" s="749"/>
      <c r="I102" s="749"/>
      <c r="J102" s="749"/>
      <c r="K102" s="749"/>
      <c r="L102" s="749"/>
      <c r="M102" s="749"/>
      <c r="N102" s="749"/>
      <c r="O102" s="749"/>
      <c r="P102" s="749"/>
      <c r="Q102" s="749"/>
      <c r="R102" s="749"/>
      <c r="S102" s="749"/>
      <c r="T102" s="749"/>
      <c r="U102" s="749"/>
      <c r="V102" s="749"/>
      <c r="W102" s="750"/>
      <c r="X102" s="664"/>
      <c r="Y102" s="662"/>
      <c r="Z102" s="642"/>
      <c r="AE102" s="630"/>
    </row>
    <row r="103" spans="1:31" ht="19.5" hidden="1" customHeight="1" x14ac:dyDescent="0.2">
      <c r="A103" s="640"/>
      <c r="B103" s="662"/>
      <c r="C103" s="543"/>
      <c r="D103" s="748"/>
      <c r="E103" s="749"/>
      <c r="F103" s="749"/>
      <c r="G103" s="749"/>
      <c r="H103" s="749"/>
      <c r="I103" s="749"/>
      <c r="J103" s="749"/>
      <c r="K103" s="749"/>
      <c r="L103" s="749"/>
      <c r="M103" s="749"/>
      <c r="N103" s="749"/>
      <c r="O103" s="749"/>
      <c r="P103" s="749"/>
      <c r="Q103" s="749"/>
      <c r="R103" s="749"/>
      <c r="S103" s="749"/>
      <c r="T103" s="749"/>
      <c r="U103" s="749"/>
      <c r="V103" s="749"/>
      <c r="W103" s="750"/>
      <c r="X103" s="664"/>
      <c r="Y103" s="662"/>
      <c r="Z103" s="642"/>
      <c r="AE103" s="630"/>
    </row>
    <row r="104" spans="1:31" ht="19.5" hidden="1" customHeight="1" x14ac:dyDescent="0.2">
      <c r="A104" s="640"/>
      <c r="B104" s="662"/>
      <c r="C104" s="543"/>
      <c r="D104" s="748"/>
      <c r="E104" s="749"/>
      <c r="F104" s="749"/>
      <c r="G104" s="749"/>
      <c r="H104" s="749"/>
      <c r="I104" s="749"/>
      <c r="J104" s="749"/>
      <c r="K104" s="749"/>
      <c r="L104" s="749"/>
      <c r="M104" s="749"/>
      <c r="N104" s="749"/>
      <c r="O104" s="749"/>
      <c r="P104" s="749"/>
      <c r="Q104" s="749"/>
      <c r="R104" s="749"/>
      <c r="S104" s="749"/>
      <c r="T104" s="749"/>
      <c r="U104" s="749"/>
      <c r="V104" s="749"/>
      <c r="W104" s="750"/>
      <c r="X104" s="664"/>
      <c r="Y104" s="662"/>
      <c r="Z104" s="642"/>
      <c r="AE104" s="630"/>
    </row>
    <row r="105" spans="1:31" ht="19.5" hidden="1" customHeight="1" x14ac:dyDescent="0.2">
      <c r="A105" s="640"/>
      <c r="B105" s="662"/>
      <c r="C105" s="543"/>
      <c r="D105" s="748"/>
      <c r="E105" s="749"/>
      <c r="F105" s="749"/>
      <c r="G105" s="749"/>
      <c r="H105" s="749"/>
      <c r="I105" s="749"/>
      <c r="J105" s="749"/>
      <c r="K105" s="749"/>
      <c r="L105" s="749"/>
      <c r="M105" s="749"/>
      <c r="N105" s="749"/>
      <c r="O105" s="749"/>
      <c r="P105" s="749"/>
      <c r="Q105" s="749"/>
      <c r="R105" s="749"/>
      <c r="S105" s="749"/>
      <c r="T105" s="749"/>
      <c r="U105" s="749"/>
      <c r="V105" s="749"/>
      <c r="W105" s="750"/>
      <c r="X105" s="664"/>
      <c r="Y105" s="662"/>
      <c r="Z105" s="642"/>
      <c r="AE105" s="630"/>
    </row>
    <row r="106" spans="1:31" ht="9" hidden="1" customHeight="1" x14ac:dyDescent="0.2">
      <c r="A106" s="640"/>
      <c r="B106" s="543"/>
      <c r="C106" s="543"/>
      <c r="D106" s="543"/>
      <c r="E106" s="543"/>
      <c r="F106" s="543"/>
      <c r="G106" s="543"/>
      <c r="H106" s="543"/>
      <c r="I106" s="543"/>
      <c r="J106" s="543"/>
      <c r="K106" s="543"/>
      <c r="L106" s="543"/>
      <c r="M106" s="543"/>
      <c r="N106" s="543"/>
      <c r="O106" s="543"/>
      <c r="P106" s="543"/>
      <c r="Q106" s="543"/>
      <c r="R106" s="543"/>
      <c r="S106" s="543"/>
      <c r="T106" s="543"/>
      <c r="U106" s="543"/>
      <c r="V106" s="543"/>
      <c r="W106" s="543"/>
      <c r="X106" s="664"/>
      <c r="Y106" s="635"/>
      <c r="Z106" s="642"/>
      <c r="AE106" s="630"/>
    </row>
    <row r="107" spans="1:31" ht="19.5" hidden="1" customHeight="1" x14ac:dyDescent="0.2">
      <c r="A107" s="640"/>
      <c r="B107" s="543"/>
      <c r="C107" s="543"/>
      <c r="D107" s="543"/>
      <c r="E107" s="543"/>
      <c r="F107" s="543"/>
      <c r="G107" s="543"/>
      <c r="H107" s="543"/>
      <c r="I107" s="543"/>
      <c r="J107" s="543"/>
      <c r="K107" s="543"/>
      <c r="L107" s="543"/>
      <c r="M107" s="543"/>
      <c r="N107" s="543"/>
      <c r="O107" s="543"/>
      <c r="P107" s="543"/>
      <c r="Q107" s="543"/>
      <c r="R107" s="543"/>
      <c r="S107" s="543"/>
      <c r="T107" s="543"/>
      <c r="U107" s="543"/>
      <c r="V107" s="543"/>
      <c r="W107" s="677" t="s">
        <v>374</v>
      </c>
      <c r="X107" s="678"/>
      <c r="Y107" s="681">
        <f>SUM(Y101:Y105)</f>
        <v>0</v>
      </c>
      <c r="Z107" s="642"/>
      <c r="AE107" s="630"/>
    </row>
    <row r="108" spans="1:31" ht="9.75" hidden="1" customHeight="1" x14ac:dyDescent="0.2">
      <c r="A108" s="640"/>
      <c r="B108" s="543"/>
      <c r="C108" s="543"/>
      <c r="D108" s="543"/>
      <c r="E108" s="543"/>
      <c r="F108" s="543"/>
      <c r="G108" s="543"/>
      <c r="H108" s="543"/>
      <c r="I108" s="543"/>
      <c r="J108" s="543"/>
      <c r="K108" s="543"/>
      <c r="L108" s="543"/>
      <c r="M108" s="543"/>
      <c r="N108" s="543"/>
      <c r="O108" s="543"/>
      <c r="P108" s="543"/>
      <c r="Q108" s="543"/>
      <c r="R108" s="543"/>
      <c r="S108" s="543"/>
      <c r="T108" s="543"/>
      <c r="U108" s="543"/>
      <c r="V108" s="543"/>
      <c r="W108" s="543"/>
      <c r="X108" s="664"/>
      <c r="Y108" s="635"/>
      <c r="Z108" s="642"/>
      <c r="AE108" s="630"/>
    </row>
    <row r="109" spans="1:31" ht="19.5" hidden="1" customHeight="1" x14ac:dyDescent="0.2">
      <c r="A109" s="640"/>
      <c r="B109" s="682" t="s">
        <v>399</v>
      </c>
      <c r="C109" s="671"/>
      <c r="D109" s="671"/>
      <c r="E109" s="671"/>
      <c r="F109" s="671"/>
      <c r="G109" s="543"/>
      <c r="H109" s="543"/>
      <c r="I109" s="543"/>
      <c r="J109" s="543"/>
      <c r="K109" s="543"/>
      <c r="L109" s="543"/>
      <c r="M109" s="543"/>
      <c r="N109" s="543"/>
      <c r="O109" s="543"/>
      <c r="P109" s="543"/>
      <c r="Q109" s="543"/>
      <c r="R109" s="543"/>
      <c r="S109" s="543"/>
      <c r="T109" s="543"/>
      <c r="U109" s="543"/>
      <c r="V109" s="543"/>
      <c r="W109" s="543"/>
      <c r="X109" s="664"/>
      <c r="Y109" s="635"/>
      <c r="Z109" s="642"/>
      <c r="AE109" s="630"/>
    </row>
    <row r="110" spans="1:31" ht="9.75" hidden="1" customHeight="1" x14ac:dyDescent="0.2">
      <c r="A110" s="640"/>
      <c r="B110" s="543"/>
      <c r="C110" s="543"/>
      <c r="D110" s="543"/>
      <c r="E110" s="543"/>
      <c r="F110" s="543"/>
      <c r="G110" s="543"/>
      <c r="H110" s="543"/>
      <c r="I110" s="543"/>
      <c r="J110" s="543"/>
      <c r="K110" s="543"/>
      <c r="L110" s="543"/>
      <c r="M110" s="543"/>
      <c r="N110" s="543"/>
      <c r="O110" s="543"/>
      <c r="P110" s="543"/>
      <c r="Q110" s="543"/>
      <c r="R110" s="543"/>
      <c r="S110" s="543"/>
      <c r="T110" s="543"/>
      <c r="U110" s="543"/>
      <c r="V110" s="543"/>
      <c r="W110" s="543"/>
      <c r="X110" s="664"/>
      <c r="Y110" s="635"/>
      <c r="Z110" s="642"/>
      <c r="AE110" s="630"/>
    </row>
    <row r="111" spans="1:31" ht="19.5" hidden="1" customHeight="1" x14ac:dyDescent="0.2">
      <c r="A111" s="640"/>
      <c r="B111" s="672" t="s">
        <v>376</v>
      </c>
      <c r="C111" s="543"/>
      <c r="D111" s="680" t="s">
        <v>377</v>
      </c>
      <c r="E111" s="680"/>
      <c r="F111" s="543"/>
      <c r="G111" s="543"/>
      <c r="H111" s="543"/>
      <c r="I111" s="543"/>
      <c r="J111" s="543"/>
      <c r="K111" s="543"/>
      <c r="L111" s="543"/>
      <c r="M111" s="543"/>
      <c r="N111" s="543"/>
      <c r="O111" s="543"/>
      <c r="P111" s="543"/>
      <c r="Q111" s="543"/>
      <c r="R111" s="543"/>
      <c r="S111" s="543"/>
      <c r="T111" s="543"/>
      <c r="U111" s="543"/>
      <c r="V111" s="543"/>
      <c r="W111" s="543"/>
      <c r="X111" s="664"/>
      <c r="Y111" s="673" t="s">
        <v>398</v>
      </c>
      <c r="Z111" s="642"/>
      <c r="AE111" s="630"/>
    </row>
    <row r="112" spans="1:31" ht="19.5" hidden="1" customHeight="1" x14ac:dyDescent="0.2">
      <c r="A112" s="640"/>
      <c r="B112" s="662"/>
      <c r="C112" s="543"/>
      <c r="D112" s="748"/>
      <c r="E112" s="749"/>
      <c r="F112" s="749"/>
      <c r="G112" s="749"/>
      <c r="H112" s="749"/>
      <c r="I112" s="749"/>
      <c r="J112" s="749"/>
      <c r="K112" s="749"/>
      <c r="L112" s="749"/>
      <c r="M112" s="749"/>
      <c r="N112" s="749"/>
      <c r="O112" s="749"/>
      <c r="P112" s="749"/>
      <c r="Q112" s="749"/>
      <c r="R112" s="749"/>
      <c r="S112" s="749"/>
      <c r="T112" s="749"/>
      <c r="U112" s="749"/>
      <c r="V112" s="749"/>
      <c r="W112" s="750"/>
      <c r="X112" s="664"/>
      <c r="Y112" s="662"/>
      <c r="Z112" s="642"/>
      <c r="AE112" s="630"/>
    </row>
    <row r="113" spans="1:31" ht="19.5" hidden="1" customHeight="1" x14ac:dyDescent="0.2">
      <c r="A113" s="640"/>
      <c r="B113" s="662"/>
      <c r="C113" s="543"/>
      <c r="D113" s="748"/>
      <c r="E113" s="749"/>
      <c r="F113" s="749"/>
      <c r="G113" s="749"/>
      <c r="H113" s="749"/>
      <c r="I113" s="749"/>
      <c r="J113" s="749"/>
      <c r="K113" s="749"/>
      <c r="L113" s="749"/>
      <c r="M113" s="749"/>
      <c r="N113" s="749"/>
      <c r="O113" s="749"/>
      <c r="P113" s="749"/>
      <c r="Q113" s="749"/>
      <c r="R113" s="749"/>
      <c r="S113" s="749"/>
      <c r="T113" s="749"/>
      <c r="U113" s="749"/>
      <c r="V113" s="749"/>
      <c r="W113" s="750"/>
      <c r="X113" s="664"/>
      <c r="Y113" s="662"/>
      <c r="Z113" s="642"/>
      <c r="AE113" s="630"/>
    </row>
    <row r="114" spans="1:31" ht="19.5" hidden="1" customHeight="1" x14ac:dyDescent="0.2">
      <c r="A114" s="640"/>
      <c r="B114" s="662"/>
      <c r="C114" s="543"/>
      <c r="D114" s="748"/>
      <c r="E114" s="749"/>
      <c r="F114" s="749"/>
      <c r="G114" s="749"/>
      <c r="H114" s="749"/>
      <c r="I114" s="749"/>
      <c r="J114" s="749"/>
      <c r="K114" s="749"/>
      <c r="L114" s="749"/>
      <c r="M114" s="749"/>
      <c r="N114" s="749"/>
      <c r="O114" s="749"/>
      <c r="P114" s="749"/>
      <c r="Q114" s="749"/>
      <c r="R114" s="749"/>
      <c r="S114" s="749"/>
      <c r="T114" s="749"/>
      <c r="U114" s="749"/>
      <c r="V114" s="749"/>
      <c r="W114" s="750"/>
      <c r="X114" s="664"/>
      <c r="Y114" s="662"/>
      <c r="Z114" s="642"/>
      <c r="AE114" s="630"/>
    </row>
    <row r="115" spans="1:31" ht="19.5" hidden="1" customHeight="1" x14ac:dyDescent="0.2">
      <c r="A115" s="640"/>
      <c r="B115" s="662"/>
      <c r="C115" s="543"/>
      <c r="D115" s="748"/>
      <c r="E115" s="749"/>
      <c r="F115" s="749"/>
      <c r="G115" s="749"/>
      <c r="H115" s="749"/>
      <c r="I115" s="749"/>
      <c r="J115" s="749"/>
      <c r="K115" s="749"/>
      <c r="L115" s="749"/>
      <c r="M115" s="749"/>
      <c r="N115" s="749"/>
      <c r="O115" s="749"/>
      <c r="P115" s="749"/>
      <c r="Q115" s="749"/>
      <c r="R115" s="749"/>
      <c r="S115" s="749"/>
      <c r="T115" s="749"/>
      <c r="U115" s="749"/>
      <c r="V115" s="749"/>
      <c r="W115" s="750"/>
      <c r="X115" s="664"/>
      <c r="Y115" s="662"/>
      <c r="Z115" s="642"/>
      <c r="AE115" s="630"/>
    </row>
    <row r="116" spans="1:31" ht="19.5" hidden="1" customHeight="1" x14ac:dyDescent="0.2">
      <c r="A116" s="640"/>
      <c r="B116" s="662"/>
      <c r="C116" s="543"/>
      <c r="D116" s="748"/>
      <c r="E116" s="749"/>
      <c r="F116" s="749"/>
      <c r="G116" s="749"/>
      <c r="H116" s="749"/>
      <c r="I116" s="749"/>
      <c r="J116" s="749"/>
      <c r="K116" s="749"/>
      <c r="L116" s="749"/>
      <c r="M116" s="749"/>
      <c r="N116" s="749"/>
      <c r="O116" s="749"/>
      <c r="P116" s="749"/>
      <c r="Q116" s="749"/>
      <c r="R116" s="749"/>
      <c r="S116" s="749"/>
      <c r="T116" s="749"/>
      <c r="U116" s="749"/>
      <c r="V116" s="749"/>
      <c r="W116" s="750"/>
      <c r="X116" s="664"/>
      <c r="Y116" s="662"/>
      <c r="Z116" s="642"/>
      <c r="AE116" s="630"/>
    </row>
    <row r="117" spans="1:31" ht="7.5" hidden="1" customHeight="1" x14ac:dyDescent="0.2">
      <c r="A117" s="640"/>
      <c r="B117" s="543"/>
      <c r="C117" s="543"/>
      <c r="D117" s="543"/>
      <c r="E117" s="543"/>
      <c r="F117" s="543"/>
      <c r="G117" s="543"/>
      <c r="H117" s="543"/>
      <c r="I117" s="543"/>
      <c r="J117" s="543"/>
      <c r="K117" s="543"/>
      <c r="L117" s="543"/>
      <c r="M117" s="543"/>
      <c r="N117" s="543"/>
      <c r="O117" s="543"/>
      <c r="P117" s="543"/>
      <c r="Q117" s="543"/>
      <c r="R117" s="543"/>
      <c r="S117" s="543"/>
      <c r="T117" s="543"/>
      <c r="U117" s="543"/>
      <c r="V117" s="543"/>
      <c r="W117" s="543"/>
      <c r="X117" s="664"/>
      <c r="Y117" s="635"/>
      <c r="Z117" s="642"/>
      <c r="AE117" s="630"/>
    </row>
    <row r="118" spans="1:31" ht="19.5" hidden="1" customHeight="1" x14ac:dyDescent="0.2">
      <c r="A118" s="640"/>
      <c r="B118" s="543"/>
      <c r="C118" s="543"/>
      <c r="D118" s="543"/>
      <c r="E118" s="543"/>
      <c r="F118" s="543"/>
      <c r="G118" s="543"/>
      <c r="H118" s="543"/>
      <c r="I118" s="543"/>
      <c r="J118" s="543"/>
      <c r="K118" s="543"/>
      <c r="L118" s="543"/>
      <c r="M118" s="543"/>
      <c r="N118" s="543"/>
      <c r="O118" s="543"/>
      <c r="P118" s="543"/>
      <c r="Q118" s="543"/>
      <c r="R118" s="543"/>
      <c r="S118" s="543"/>
      <c r="T118" s="543"/>
      <c r="U118" s="543"/>
      <c r="V118" s="543"/>
      <c r="W118" s="677" t="s">
        <v>400</v>
      </c>
      <c r="X118" s="678"/>
      <c r="Y118" s="681">
        <f>SUM(Y112:Y116)</f>
        <v>0</v>
      </c>
      <c r="Z118" s="642"/>
      <c r="AE118" s="630"/>
    </row>
    <row r="119" spans="1:31" ht="19.5" hidden="1" customHeight="1" x14ac:dyDescent="0.25">
      <c r="A119" s="640"/>
      <c r="B119" s="543"/>
      <c r="C119" s="543"/>
      <c r="D119" s="543"/>
      <c r="E119" s="543"/>
      <c r="F119" s="543"/>
      <c r="G119" s="543"/>
      <c r="H119" s="543"/>
      <c r="I119" s="543"/>
      <c r="J119" s="543"/>
      <c r="K119" s="543"/>
      <c r="L119" s="543"/>
      <c r="M119" s="543"/>
      <c r="N119" s="543"/>
      <c r="O119" s="543"/>
      <c r="P119" s="543"/>
      <c r="Q119" s="543"/>
      <c r="R119" s="543"/>
      <c r="S119" s="543"/>
      <c r="T119" s="543"/>
      <c r="U119" s="543"/>
      <c r="V119" s="543"/>
      <c r="W119" s="683" t="s">
        <v>375</v>
      </c>
      <c r="X119" s="677"/>
      <c r="Y119" s="684">
        <f>Y96+Y107+Y118</f>
        <v>0</v>
      </c>
      <c r="Z119" s="642"/>
      <c r="AE119" s="630"/>
    </row>
    <row r="120" spans="1:31" ht="50.25" hidden="1" customHeight="1" x14ac:dyDescent="0.2">
      <c r="A120" s="640"/>
      <c r="B120" s="754" t="s">
        <v>433</v>
      </c>
      <c r="C120" s="755"/>
      <c r="D120" s="755"/>
      <c r="E120" s="755"/>
      <c r="F120" s="755"/>
      <c r="G120" s="755"/>
      <c r="H120" s="755"/>
      <c r="I120" s="755"/>
      <c r="J120" s="755"/>
      <c r="K120" s="755"/>
      <c r="L120" s="755"/>
      <c r="M120" s="755"/>
      <c r="N120" s="755"/>
      <c r="O120" s="755"/>
      <c r="P120" s="755"/>
      <c r="Q120" s="755"/>
      <c r="R120" s="755"/>
      <c r="S120" s="755"/>
      <c r="T120" s="755"/>
      <c r="U120" s="755"/>
      <c r="V120" s="755"/>
      <c r="W120" s="755"/>
      <c r="X120" s="755"/>
      <c r="Y120" s="755"/>
      <c r="Z120" s="642"/>
      <c r="AE120" s="630"/>
    </row>
    <row r="121" spans="1:31" ht="9" hidden="1" customHeight="1" thickBot="1" x14ac:dyDescent="0.25">
      <c r="A121" s="665"/>
      <c r="B121" s="666"/>
      <c r="C121" s="666"/>
      <c r="D121" s="666"/>
      <c r="E121" s="666"/>
      <c r="F121" s="666"/>
      <c r="G121" s="666"/>
      <c r="H121" s="666"/>
      <c r="I121" s="666"/>
      <c r="J121" s="666"/>
      <c r="K121" s="666"/>
      <c r="L121" s="666"/>
      <c r="M121" s="666"/>
      <c r="N121" s="666"/>
      <c r="O121" s="666"/>
      <c r="P121" s="666"/>
      <c r="Q121" s="666"/>
      <c r="R121" s="666"/>
      <c r="S121" s="666"/>
      <c r="T121" s="666"/>
      <c r="U121" s="666"/>
      <c r="V121" s="666"/>
      <c r="W121" s="666"/>
      <c r="X121" s="667"/>
      <c r="Y121" s="668"/>
      <c r="Z121" s="669"/>
      <c r="AE121" s="630"/>
    </row>
    <row r="122" spans="1:31" ht="9.75" hidden="1" customHeight="1" thickTop="1" x14ac:dyDescent="0.2">
      <c r="A122" s="640"/>
      <c r="B122" s="543"/>
      <c r="C122" s="543"/>
      <c r="D122" s="543"/>
      <c r="E122" s="543"/>
      <c r="F122" s="543"/>
      <c r="G122" s="543"/>
      <c r="H122" s="543"/>
      <c r="I122" s="543"/>
      <c r="J122" s="543"/>
      <c r="K122" s="543"/>
      <c r="L122" s="543"/>
      <c r="M122" s="543"/>
      <c r="N122" s="543"/>
      <c r="O122" s="543"/>
      <c r="P122" s="543"/>
      <c r="Q122" s="543"/>
      <c r="R122" s="543"/>
      <c r="S122" s="543"/>
      <c r="T122" s="543"/>
      <c r="U122" s="543"/>
      <c r="V122" s="543"/>
      <c r="W122" s="543"/>
      <c r="X122" s="664"/>
      <c r="Y122" s="635"/>
      <c r="Z122" s="642"/>
      <c r="AE122" s="630"/>
    </row>
    <row r="123" spans="1:31" ht="26.25" hidden="1" customHeight="1" x14ac:dyDescent="0.2">
      <c r="A123" s="640"/>
      <c r="B123" s="685" t="s">
        <v>390</v>
      </c>
      <c r="C123" s="543"/>
      <c r="D123" s="543"/>
      <c r="E123" s="543"/>
      <c r="F123" s="543"/>
      <c r="G123" s="543"/>
      <c r="H123" s="543"/>
      <c r="I123" s="543"/>
      <c r="J123" s="543"/>
      <c r="K123" s="543"/>
      <c r="L123" s="543"/>
      <c r="M123" s="543"/>
      <c r="N123" s="543"/>
      <c r="O123" s="543"/>
      <c r="P123" s="543"/>
      <c r="Q123" s="768" t="s">
        <v>391</v>
      </c>
      <c r="R123" s="769"/>
      <c r="S123" s="769"/>
      <c r="T123" s="769"/>
      <c r="U123" s="769"/>
      <c r="V123" s="769"/>
      <c r="W123" s="769"/>
      <c r="X123" s="769"/>
      <c r="Y123" s="769"/>
      <c r="Z123" s="642"/>
      <c r="AE123" s="630"/>
    </row>
    <row r="124" spans="1:31" ht="19.5" hidden="1" customHeight="1" x14ac:dyDescent="0.2">
      <c r="A124" s="640"/>
      <c r="B124" s="543"/>
      <c r="C124" s="543"/>
      <c r="D124" s="543"/>
      <c r="E124" s="543"/>
      <c r="F124" s="543"/>
      <c r="G124" s="543"/>
      <c r="H124" s="543"/>
      <c r="I124" s="543"/>
      <c r="J124" s="543"/>
      <c r="K124" s="543"/>
      <c r="L124" s="543"/>
      <c r="M124" s="543"/>
      <c r="N124" s="543"/>
      <c r="O124" s="543"/>
      <c r="P124" s="543"/>
      <c r="Q124" s="543"/>
      <c r="R124" s="543"/>
      <c r="S124" s="770" t="s">
        <v>394</v>
      </c>
      <c r="T124" s="770"/>
      <c r="U124" s="770"/>
      <c r="V124" s="770"/>
      <c r="W124" s="735" t="s">
        <v>395</v>
      </c>
      <c r="X124" s="664"/>
      <c r="Y124" s="635"/>
      <c r="Z124" s="642"/>
      <c r="AE124" s="630"/>
    </row>
    <row r="125" spans="1:31" ht="19.5" hidden="1" customHeight="1" x14ac:dyDescent="0.2">
      <c r="A125" s="640"/>
      <c r="B125" s="543"/>
      <c r="C125" s="543"/>
      <c r="D125" s="543"/>
      <c r="E125" s="543"/>
      <c r="F125" s="543"/>
      <c r="G125" s="543"/>
      <c r="H125" s="543"/>
      <c r="I125" s="543"/>
      <c r="J125" s="543"/>
      <c r="K125" s="543"/>
      <c r="L125" s="543"/>
      <c r="M125" s="543"/>
      <c r="N125" s="543"/>
      <c r="O125" s="543"/>
      <c r="P125" s="543"/>
      <c r="Q125" s="686" t="s">
        <v>392</v>
      </c>
      <c r="R125" s="543"/>
      <c r="S125" s="687">
        <f>S40</f>
        <v>0</v>
      </c>
      <c r="T125" s="687"/>
      <c r="U125" s="687"/>
      <c r="V125" s="543"/>
      <c r="W125" s="688" t="str">
        <f>IF(W126="","",(IF(ABS(AD151)&lt;AE156,"SUPPLY  ≈  DEMAND",IF(S125&gt;S126,"DEMAND  &gt;  SUPPLY","SUPPLY  &gt;  DEMAND"))))</f>
        <v/>
      </c>
      <c r="X125" s="664"/>
      <c r="Y125" s="635"/>
      <c r="Z125" s="642"/>
      <c r="AE125" s="630"/>
    </row>
    <row r="126" spans="1:31" ht="19.5" hidden="1" customHeight="1" x14ac:dyDescent="0.2">
      <c r="A126" s="640"/>
      <c r="B126" s="543"/>
      <c r="C126" s="543"/>
      <c r="D126" s="543"/>
      <c r="E126" s="543"/>
      <c r="F126" s="543"/>
      <c r="G126" s="543"/>
      <c r="H126" s="543"/>
      <c r="I126" s="543"/>
      <c r="J126" s="543"/>
      <c r="K126" s="543"/>
      <c r="L126" s="543"/>
      <c r="M126" s="543"/>
      <c r="N126" s="543"/>
      <c r="O126" s="543"/>
      <c r="P126" s="543"/>
      <c r="Q126" s="686" t="s">
        <v>393</v>
      </c>
      <c r="R126" s="543"/>
      <c r="S126" s="687">
        <f>Y119</f>
        <v>0</v>
      </c>
      <c r="T126" s="687"/>
      <c r="U126" s="687"/>
      <c r="V126" s="543"/>
      <c r="W126" s="689" t="str">
        <f>IF(S125=0,"",IF(S126=0,"",(ROUND(S125/S126,4))))</f>
        <v/>
      </c>
      <c r="X126" s="664"/>
      <c r="Y126" s="635"/>
      <c r="Z126" s="642"/>
      <c r="AE126" s="630"/>
    </row>
    <row r="127" spans="1:31" ht="19.5" hidden="1" customHeight="1" x14ac:dyDescent="0.2">
      <c r="A127" s="640"/>
      <c r="B127" s="543"/>
      <c r="C127" s="543"/>
      <c r="D127" s="543"/>
      <c r="E127" s="543"/>
      <c r="F127" s="543"/>
      <c r="G127" s="543"/>
      <c r="H127" s="543"/>
      <c r="I127" s="543"/>
      <c r="J127" s="543"/>
      <c r="K127" s="543"/>
      <c r="L127" s="543"/>
      <c r="M127" s="543"/>
      <c r="N127" s="543"/>
      <c r="O127" s="543"/>
      <c r="P127" s="543"/>
      <c r="Q127" s="543"/>
      <c r="R127" s="543"/>
      <c r="S127" s="543"/>
      <c r="T127" s="543"/>
      <c r="U127" s="543"/>
      <c r="V127" s="543"/>
      <c r="W127" s="543"/>
      <c r="X127" s="664"/>
      <c r="Y127" s="635"/>
      <c r="Z127" s="642"/>
      <c r="AE127" s="630"/>
    </row>
    <row r="128" spans="1:31" ht="19.5" hidden="1" customHeight="1" x14ac:dyDescent="0.2">
      <c r="A128" s="640"/>
      <c r="B128" s="690" t="s">
        <v>396</v>
      </c>
      <c r="C128" s="543"/>
      <c r="D128" s="543"/>
      <c r="E128" s="543"/>
      <c r="F128" s="543"/>
      <c r="G128" s="543"/>
      <c r="H128" s="543"/>
      <c r="I128" s="543"/>
      <c r="J128" s="543"/>
      <c r="K128" s="543"/>
      <c r="L128" s="543"/>
      <c r="M128" s="543"/>
      <c r="N128" s="543"/>
      <c r="O128" s="543"/>
      <c r="P128" s="543"/>
      <c r="Q128" s="543"/>
      <c r="R128" s="543"/>
      <c r="S128" s="543"/>
      <c r="T128" s="543"/>
      <c r="U128" s="543"/>
      <c r="V128" s="543"/>
      <c r="W128" s="543"/>
      <c r="X128" s="664"/>
      <c r="Y128" s="635"/>
      <c r="Z128" s="642"/>
      <c r="AE128" s="630"/>
    </row>
    <row r="129" spans="1:31" ht="10.5" hidden="1" customHeight="1" thickBot="1" x14ac:dyDescent="0.25">
      <c r="A129" s="665"/>
      <c r="B129" s="666"/>
      <c r="C129" s="666"/>
      <c r="D129" s="666"/>
      <c r="E129" s="666"/>
      <c r="F129" s="666"/>
      <c r="G129" s="666"/>
      <c r="H129" s="666"/>
      <c r="I129" s="666"/>
      <c r="J129" s="666"/>
      <c r="K129" s="666"/>
      <c r="L129" s="666"/>
      <c r="M129" s="666"/>
      <c r="N129" s="666"/>
      <c r="O129" s="666"/>
      <c r="P129" s="666"/>
      <c r="Q129" s="666"/>
      <c r="R129" s="666"/>
      <c r="S129" s="666"/>
      <c r="T129" s="666"/>
      <c r="U129" s="666"/>
      <c r="V129" s="666"/>
      <c r="W129" s="666"/>
      <c r="X129" s="691"/>
      <c r="Y129" s="666"/>
      <c r="Z129" s="669"/>
      <c r="AE129" s="630"/>
    </row>
    <row r="130" spans="1:31" ht="31.5" customHeight="1" thickTop="1" x14ac:dyDescent="0.2">
      <c r="A130" s="766"/>
      <c r="B130" s="766"/>
      <c r="C130" s="766"/>
      <c r="D130" s="766"/>
      <c r="E130" s="766"/>
      <c r="F130" s="766"/>
      <c r="G130" s="766"/>
      <c r="H130" s="766"/>
      <c r="I130" s="766"/>
      <c r="J130" s="766"/>
      <c r="K130" s="766"/>
      <c r="L130" s="766"/>
      <c r="M130" s="766"/>
      <c r="N130" s="766"/>
      <c r="O130" s="766"/>
      <c r="P130" s="766"/>
      <c r="Q130" s="766"/>
      <c r="R130" s="766"/>
      <c r="S130" s="766"/>
      <c r="T130" s="766"/>
      <c r="U130" s="766"/>
      <c r="V130" s="766"/>
      <c r="W130" s="766"/>
      <c r="X130" s="766"/>
      <c r="Y130" s="766"/>
      <c r="Z130" s="766"/>
    </row>
    <row r="131" spans="1:31" ht="15.75" hidden="1" customHeight="1" x14ac:dyDescent="0.2"/>
    <row r="132" spans="1:31" ht="15.75" hidden="1" customHeight="1" x14ac:dyDescent="0.2"/>
    <row r="133" spans="1:31" ht="15.75" hidden="1" customHeight="1" x14ac:dyDescent="0.2"/>
    <row r="134" spans="1:31" ht="15.75" hidden="1" customHeight="1" x14ac:dyDescent="0.2"/>
    <row r="135" spans="1:31" ht="15.75" hidden="1" customHeight="1" x14ac:dyDescent="0.2">
      <c r="AA135" s="589"/>
    </row>
    <row r="136" spans="1:31" ht="15.75" hidden="1" customHeight="1" x14ac:dyDescent="0.2">
      <c r="AA136" s="589"/>
    </row>
    <row r="137" spans="1:31" ht="15.75" hidden="1" customHeight="1" x14ac:dyDescent="0.2">
      <c r="AA137" s="589"/>
    </row>
    <row r="138" spans="1:31" ht="15.75" hidden="1" customHeight="1" x14ac:dyDescent="0.2"/>
    <row r="139" spans="1:31" ht="24" hidden="1" customHeight="1" x14ac:dyDescent="0.2"/>
    <row r="140" spans="1:31" ht="12.75" hidden="1" customHeight="1" x14ac:dyDescent="0.2"/>
    <row r="141" spans="1:31" ht="24" hidden="1" customHeight="1" x14ac:dyDescent="0.2"/>
    <row r="142" spans="1:31" ht="12.75" hidden="1" customHeight="1" x14ac:dyDescent="0.2"/>
    <row r="143" spans="1:31" ht="24" hidden="1" customHeight="1" x14ac:dyDescent="0.2">
      <c r="AD143" s="678"/>
      <c r="AE143" s="692" t="s">
        <v>378</v>
      </c>
    </row>
    <row r="144" spans="1:31" hidden="1" x14ac:dyDescent="0.2">
      <c r="AD144" s="678"/>
      <c r="AE144" s="678" t="s">
        <v>379</v>
      </c>
    </row>
    <row r="145" spans="30:31" ht="24.75" hidden="1" customHeight="1" x14ac:dyDescent="0.2">
      <c r="AD145" s="678"/>
      <c r="AE145" s="678" t="s">
        <v>380</v>
      </c>
    </row>
    <row r="146" spans="30:31" hidden="1" x14ac:dyDescent="0.2">
      <c r="AD146" s="678"/>
      <c r="AE146" s="678" t="s">
        <v>381</v>
      </c>
    </row>
    <row r="147" spans="30:31" hidden="1" x14ac:dyDescent="0.2">
      <c r="AD147" s="693"/>
      <c r="AE147" s="678" t="s">
        <v>382</v>
      </c>
    </row>
    <row r="148" spans="30:31" hidden="1" x14ac:dyDescent="0.2">
      <c r="AD148" s="694" t="e">
        <f>ROUND(#REF!/Z116,4)*100-10000%</f>
        <v>#REF!</v>
      </c>
      <c r="AE148" s="678" t="s">
        <v>383</v>
      </c>
    </row>
    <row r="149" spans="30:31" hidden="1" x14ac:dyDescent="0.2">
      <c r="AD149" s="694" t="e">
        <f>ROUND(#REF!/Z116,4)*100</f>
        <v>#REF!</v>
      </c>
      <c r="AE149" s="678" t="s">
        <v>384</v>
      </c>
    </row>
    <row r="150" spans="30:31" hidden="1" x14ac:dyDescent="0.2">
      <c r="AD150" s="693"/>
      <c r="AE150" s="693"/>
    </row>
    <row r="151" spans="30:31" hidden="1" x14ac:dyDescent="0.2">
      <c r="AD151" s="695" t="e">
        <f>100%-W126</f>
        <v>#VALUE!</v>
      </c>
      <c r="AE151" s="678" t="s">
        <v>385</v>
      </c>
    </row>
    <row r="152" spans="30:31" hidden="1" x14ac:dyDescent="0.2">
      <c r="AD152" s="693" t="e">
        <f>ABS(AD151)</f>
        <v>#VALUE!</v>
      </c>
      <c r="AE152" s="678" t="s">
        <v>386</v>
      </c>
    </row>
    <row r="153" spans="30:31" hidden="1" x14ac:dyDescent="0.2">
      <c r="AD153" s="693"/>
      <c r="AE153" s="678" t="s">
        <v>387</v>
      </c>
    </row>
    <row r="154" spans="30:31" hidden="1" x14ac:dyDescent="0.2">
      <c r="AD154" s="693"/>
      <c r="AE154" s="678" t="s">
        <v>388</v>
      </c>
    </row>
    <row r="155" spans="30:31" hidden="1" x14ac:dyDescent="0.2">
      <c r="AD155" s="693"/>
      <c r="AE155" s="693"/>
    </row>
    <row r="156" spans="30:31" hidden="1" x14ac:dyDescent="0.2">
      <c r="AD156" s="696" t="s">
        <v>389</v>
      </c>
      <c r="AE156" s="693">
        <v>0.05</v>
      </c>
    </row>
    <row r="590" ht="10.15" hidden="1" customHeight="1" x14ac:dyDescent="0.2"/>
  </sheetData>
  <sheetProtection algorithmName="SHA-512" hashValue="T80SiD+manPTRj1tv2k/P5dI0lkxrWHyd0kTIGj03mNnum8ijynILhcB4L9qUqy7VY3CGss77lbkknL8/FEa8Q==" saltValue="dW+1ru5jBfmncgSxkEkWaQ==" spinCount="100000" sheet="1" objects="1" scenarios="1" selectLockedCells="1"/>
  <dataConsolidate/>
  <mergeCells count="46">
    <mergeCell ref="B16:B17"/>
    <mergeCell ref="C16:Y17"/>
    <mergeCell ref="W20:Y20"/>
    <mergeCell ref="A3:Y3"/>
    <mergeCell ref="C7:Y7"/>
    <mergeCell ref="C9:D9"/>
    <mergeCell ref="C6:Y6"/>
    <mergeCell ref="C8:Y8"/>
    <mergeCell ref="D13:G13"/>
    <mergeCell ref="D14:G14"/>
    <mergeCell ref="C10:D10"/>
    <mergeCell ref="F9:H9"/>
    <mergeCell ref="V9:Y9"/>
    <mergeCell ref="I9:P9"/>
    <mergeCell ref="C11:P11"/>
    <mergeCell ref="AE18:AF18"/>
    <mergeCell ref="A130:Z130"/>
    <mergeCell ref="Q20:S20"/>
    <mergeCell ref="B62:Q62"/>
    <mergeCell ref="D101:W101"/>
    <mergeCell ref="D102:W102"/>
    <mergeCell ref="D103:W103"/>
    <mergeCell ref="D104:W104"/>
    <mergeCell ref="D105:W105"/>
    <mergeCell ref="D112:W112"/>
    <mergeCell ref="Q123:Y123"/>
    <mergeCell ref="S124:V124"/>
    <mergeCell ref="AE19:AF19"/>
    <mergeCell ref="Y66:Y68"/>
    <mergeCell ref="W66:X68"/>
    <mergeCell ref="W42:Y42"/>
    <mergeCell ref="B120:Y120"/>
    <mergeCell ref="C65:J76"/>
    <mergeCell ref="L65:N65"/>
    <mergeCell ref="L66:N66"/>
    <mergeCell ref="L67:N67"/>
    <mergeCell ref="L68:N68"/>
    <mergeCell ref="D115:W115"/>
    <mergeCell ref="T70:X70"/>
    <mergeCell ref="D116:W116"/>
    <mergeCell ref="B38:L39"/>
    <mergeCell ref="D63:P64"/>
    <mergeCell ref="Q63:Y64"/>
    <mergeCell ref="D113:W113"/>
    <mergeCell ref="D114:W114"/>
    <mergeCell ref="Q42:S42"/>
  </mergeCells>
  <phoneticPr fontId="5" type="noConversion"/>
  <conditionalFormatting sqref="C6:K6 N6:Y6">
    <cfRule type="cellIs" dxfId="208" priority="796" stopIfTrue="1" operator="equal">
      <formula>"Insert Development Name"</formula>
    </cfRule>
  </conditionalFormatting>
  <conditionalFormatting sqref="C7:K7 N7:Y7">
    <cfRule type="cellIs" dxfId="207" priority="797" stopIfTrue="1" operator="equal">
      <formula>"Insert Applicant Name"</formula>
    </cfRule>
  </conditionalFormatting>
  <conditionalFormatting sqref="C8:K8 N8:Y8">
    <cfRule type="cellIs" dxfId="206" priority="798" stopIfTrue="1" operator="equal">
      <formula>"Insert Legal Description"</formula>
    </cfRule>
  </conditionalFormatting>
  <conditionalFormatting sqref="C9:D9 C10">
    <cfRule type="cellIs" dxfId="205" priority="795" stopIfTrue="1" operator="equal">
      <formula>"Insert Case Number"</formula>
    </cfRule>
  </conditionalFormatting>
  <conditionalFormatting sqref="I9">
    <cfRule type="cellIs" dxfId="204" priority="794" stopIfTrue="1" operator="equal">
      <formula>"Insert Date"</formula>
    </cfRule>
  </conditionalFormatting>
  <conditionalFormatting sqref="S23:S30">
    <cfRule type="cellIs" dxfId="203" priority="733" stopIfTrue="1" operator="equal">
      <formula>"Plat Must Be Approved Prior to Building Permit"</formula>
    </cfRule>
    <cfRule type="cellIs" dxfId="202" priority="765" stopIfTrue="1" operator="equal">
      <formula>"Enter Date of Final Plat Approval"</formula>
    </cfRule>
    <cfRule type="cellIs" dxfId="201" priority="834" stopIfTrue="1" operator="equal">
      <formula>"Enter Date of Building Permit Application"</formula>
    </cfRule>
    <cfRule type="cellIs" dxfId="200" priority="835" stopIfTrue="1" operator="equal">
      <formula>"Enter Service Area"</formula>
    </cfRule>
    <cfRule type="cellIs" dxfId="199" priority="848" stopIfTrue="1" operator="equal">
      <formula>"Enter # of Units"</formula>
    </cfRule>
  </conditionalFormatting>
  <conditionalFormatting sqref="Q23:Q30">
    <cfRule type="cellIs" dxfId="198" priority="693" stopIfTrue="1" operator="equal">
      <formula>"Enter Date of Final Plat Approval"</formula>
    </cfRule>
    <cfRule type="cellIs" dxfId="197" priority="694" stopIfTrue="1" operator="equal">
      <formula>"Enter Date of Building Permit Application"</formula>
    </cfRule>
    <cfRule type="cellIs" dxfId="196" priority="695" stopIfTrue="1" operator="equal">
      <formula>"Plat Must Be Approved Prior to Building Permit"</formula>
    </cfRule>
    <cfRule type="cellIs" dxfId="195" priority="696" stopIfTrue="1" operator="equal">
      <formula>"Enter Service Area"</formula>
    </cfRule>
  </conditionalFormatting>
  <conditionalFormatting sqref="W23:W30">
    <cfRule type="cellIs" dxfId="194" priority="590" stopIfTrue="1" operator="equal">
      <formula>"Enter Date of Final Plat Approval"</formula>
    </cfRule>
    <cfRule type="cellIs" dxfId="193" priority="591" stopIfTrue="1" operator="equal">
      <formula>"Enter Date of Building Permit Application"</formula>
    </cfRule>
    <cfRule type="cellIs" dxfId="192" priority="592" stopIfTrue="1" operator="equal">
      <formula>"Plat Must Be Approved Prior to Building Permit"</formula>
    </cfRule>
    <cfRule type="cellIs" dxfId="191" priority="593" stopIfTrue="1" operator="equal">
      <formula>"Enter Service Area"</formula>
    </cfRule>
  </conditionalFormatting>
  <conditionalFormatting sqref="Y23:Y30">
    <cfRule type="cellIs" dxfId="190" priority="553" stopIfTrue="1" operator="equal">
      <formula>"Enter Date of Final Plat Approval"</formula>
    </cfRule>
    <cfRule type="cellIs" dxfId="189" priority="554" stopIfTrue="1" operator="equal">
      <formula>"Enter Date of Building Permit Application"</formula>
    </cfRule>
    <cfRule type="cellIs" dxfId="188" priority="555" stopIfTrue="1" operator="equal">
      <formula>"Plat Must Be Approved Prior to Building Permit"</formula>
    </cfRule>
    <cfRule type="cellIs" dxfId="187" priority="556" stopIfTrue="1" operator="equal">
      <formula>"Enter Service Area"</formula>
    </cfRule>
    <cfRule type="cellIs" dxfId="186" priority="557" stopIfTrue="1" operator="equal">
      <formula>"Enter # of Units"</formula>
    </cfRule>
  </conditionalFormatting>
  <conditionalFormatting sqref="Y82:Y89 Y95 Y97:Y99 Y106 Y108 Y121:Y122 Y124:Y128">
    <cfRule type="cellIs" dxfId="185" priority="481" stopIfTrue="1" operator="equal">
      <formula>"Credit Exceeds Fee"</formula>
    </cfRule>
  </conditionalFormatting>
  <conditionalFormatting sqref="Y72 U72">
    <cfRule type="cellIs" dxfId="184" priority="331" operator="greaterThan">
      <formula>0.2</formula>
    </cfRule>
  </conditionalFormatting>
  <conditionalFormatting sqref="W45:W48">
    <cfRule type="cellIs" dxfId="183" priority="317" stopIfTrue="1" operator="equal">
      <formula>"Enter Date of Final Plat Approval"</formula>
    </cfRule>
    <cfRule type="cellIs" dxfId="182" priority="318" stopIfTrue="1" operator="equal">
      <formula>"Enter Date of Building Permit Application"</formula>
    </cfRule>
    <cfRule type="cellIs" dxfId="181" priority="319" stopIfTrue="1" operator="equal">
      <formula>"Plat Must Be Approved Prior to Building Permit"</formula>
    </cfRule>
    <cfRule type="cellIs" dxfId="180" priority="320" stopIfTrue="1" operator="equal">
      <formula>"Enter Service Area"</formula>
    </cfRule>
  </conditionalFormatting>
  <conditionalFormatting sqref="Y45:Y48">
    <cfRule type="cellIs" dxfId="179" priority="312" stopIfTrue="1" operator="equal">
      <formula>"Enter Date of Final Plat Approval"</formula>
    </cfRule>
    <cfRule type="cellIs" dxfId="178" priority="313" stopIfTrue="1" operator="equal">
      <formula>"Enter Date of Building Permit Application"</formula>
    </cfRule>
    <cfRule type="cellIs" dxfId="177" priority="314" stopIfTrue="1" operator="equal">
      <formula>"Plat Must Be Approved Prior to Building Permit"</formula>
    </cfRule>
    <cfRule type="cellIs" dxfId="176" priority="315" stopIfTrue="1" operator="equal">
      <formula>"Enter Service Area"</formula>
    </cfRule>
    <cfRule type="cellIs" dxfId="175" priority="316" stopIfTrue="1" operator="equal">
      <formula>"Enter # of Units"</formula>
    </cfRule>
  </conditionalFormatting>
  <conditionalFormatting sqref="W66 X72:X75 X77:X78 Q75:Q76 T72:T74 R39:R40">
    <cfRule type="containsText" dxfId="174" priority="248" operator="containsText" text="Proposed">
      <formula>NOT(ISERROR(SEARCH("Proposed",Q39)))</formula>
    </cfRule>
  </conditionalFormatting>
  <conditionalFormatting sqref="R40:R41">
    <cfRule type="containsText" dxfId="173" priority="245" operator="containsText" text="ERROR">
      <formula>NOT(ISERROR(SEARCH("ERROR",R40)))</formula>
    </cfRule>
  </conditionalFormatting>
  <conditionalFormatting sqref="Y109:Y110 Y117">
    <cfRule type="cellIs" dxfId="172" priority="244" stopIfTrue="1" operator="equal">
      <formula>"Credit Exceeds Fee"</formula>
    </cfRule>
  </conditionalFormatting>
  <conditionalFormatting sqref="W37:W39">
    <cfRule type="cellIs" dxfId="171" priority="240" stopIfTrue="1" operator="equal">
      <formula>"Enter Date of Final Plat Approval"</formula>
    </cfRule>
    <cfRule type="cellIs" dxfId="170" priority="241" stopIfTrue="1" operator="equal">
      <formula>"Enter Date of Building Permit Application"</formula>
    </cfRule>
    <cfRule type="cellIs" dxfId="169" priority="242" stopIfTrue="1" operator="equal">
      <formula>"Plat Must Be Approved Prior to Building Permit"</formula>
    </cfRule>
    <cfRule type="cellIs" dxfId="168" priority="243" stopIfTrue="1" operator="equal">
      <formula>"Enter Service Area"</formula>
    </cfRule>
  </conditionalFormatting>
  <conditionalFormatting sqref="Y37:Y39">
    <cfRule type="cellIs" dxfId="167" priority="235" stopIfTrue="1" operator="equal">
      <formula>"Enter Date of Final Plat Approval"</formula>
    </cfRule>
    <cfRule type="cellIs" dxfId="166" priority="236" stopIfTrue="1" operator="equal">
      <formula>"Enter Date of Building Permit Application"</formula>
    </cfRule>
    <cfRule type="cellIs" dxfId="165" priority="237" stopIfTrue="1" operator="equal">
      <formula>"Plat Must Be Approved Prior to Building Permit"</formula>
    </cfRule>
    <cfRule type="cellIs" dxfId="164" priority="238" stopIfTrue="1" operator="equal">
      <formula>"Enter Service Area"</formula>
    </cfRule>
    <cfRule type="cellIs" dxfId="163" priority="239" stopIfTrue="1" operator="equal">
      <formula>"Enter # of Units"</formula>
    </cfRule>
  </conditionalFormatting>
  <conditionalFormatting sqref="W31:W36">
    <cfRule type="cellIs" dxfId="162" priority="231" stopIfTrue="1" operator="equal">
      <formula>"Enter Date of Final Plat Approval"</formula>
    </cfRule>
    <cfRule type="cellIs" dxfId="161" priority="232" stopIfTrue="1" operator="equal">
      <formula>"Enter Date of Building Permit Application"</formula>
    </cfRule>
    <cfRule type="cellIs" dxfId="160" priority="233" stopIfTrue="1" operator="equal">
      <formula>"Plat Must Be Approved Prior to Building Permit"</formula>
    </cfRule>
    <cfRule type="cellIs" dxfId="159" priority="234" stopIfTrue="1" operator="equal">
      <formula>"Enter Service Area"</formula>
    </cfRule>
  </conditionalFormatting>
  <conditionalFormatting sqref="Y31:Y32 Y34:Y36">
    <cfRule type="cellIs" dxfId="158" priority="226" stopIfTrue="1" operator="equal">
      <formula>"Enter Date of Final Plat Approval"</formula>
    </cfRule>
    <cfRule type="cellIs" dxfId="157" priority="227" stopIfTrue="1" operator="equal">
      <formula>"Enter Date of Building Permit Application"</formula>
    </cfRule>
    <cfRule type="cellIs" dxfId="156" priority="228" stopIfTrue="1" operator="equal">
      <formula>"Plat Must Be Approved Prior to Building Permit"</formula>
    </cfRule>
    <cfRule type="cellIs" dxfId="155" priority="229" stopIfTrue="1" operator="equal">
      <formula>"Enter Service Area"</formula>
    </cfRule>
    <cfRule type="cellIs" dxfId="154" priority="230" stopIfTrue="1" operator="equal">
      <formula>"Enter # of Units"</formula>
    </cfRule>
  </conditionalFormatting>
  <conditionalFormatting sqref="Y52">
    <cfRule type="cellIs" dxfId="153" priority="217" stopIfTrue="1" operator="equal">
      <formula>"Enter Date of Final Plat Approval"</formula>
    </cfRule>
    <cfRule type="cellIs" dxfId="152" priority="218" stopIfTrue="1" operator="equal">
      <formula>"Enter Date of Building Permit Application"</formula>
    </cfRule>
    <cfRule type="cellIs" dxfId="151" priority="219" stopIfTrue="1" operator="equal">
      <formula>"Plat Must Be Approved Prior to Building Permit"</formula>
    </cfRule>
    <cfRule type="cellIs" dxfId="150" priority="220" stopIfTrue="1" operator="equal">
      <formula>"Enter Service Area"</formula>
    </cfRule>
    <cfRule type="cellIs" dxfId="149" priority="221" stopIfTrue="1" operator="equal">
      <formula>"Enter # of Units"</formula>
    </cfRule>
  </conditionalFormatting>
  <conditionalFormatting sqref="Y53:Y54">
    <cfRule type="cellIs" dxfId="148" priority="208" stopIfTrue="1" operator="equal">
      <formula>"Enter Date of Final Plat Approval"</formula>
    </cfRule>
    <cfRule type="cellIs" dxfId="147" priority="209" stopIfTrue="1" operator="equal">
      <formula>"Enter Date of Building Permit Application"</formula>
    </cfRule>
    <cfRule type="cellIs" dxfId="146" priority="210" stopIfTrue="1" operator="equal">
      <formula>"Plat Must Be Approved Prior to Building Permit"</formula>
    </cfRule>
    <cfRule type="cellIs" dxfId="145" priority="211" stopIfTrue="1" operator="equal">
      <formula>"Enter Service Area"</formula>
    </cfRule>
    <cfRule type="cellIs" dxfId="144" priority="212" stopIfTrue="1" operator="equal">
      <formula>"Enter # of Units"</formula>
    </cfRule>
  </conditionalFormatting>
  <conditionalFormatting sqref="Y55">
    <cfRule type="cellIs" dxfId="143" priority="194" stopIfTrue="1" operator="equal">
      <formula>"Plat Must Be Approved Prior to Building Permit"</formula>
    </cfRule>
    <cfRule type="cellIs" dxfId="142" priority="195" stopIfTrue="1" operator="equal">
      <formula>"Enter Date of Final Plat Approval"</formula>
    </cfRule>
    <cfRule type="cellIs" dxfId="141" priority="196" stopIfTrue="1" operator="equal">
      <formula>"Enter Date of Building Permit Application"</formula>
    </cfRule>
    <cfRule type="cellIs" dxfId="140" priority="197" stopIfTrue="1" operator="equal">
      <formula>"Enter Service Area"</formula>
    </cfRule>
    <cfRule type="cellIs" dxfId="139" priority="198" stopIfTrue="1" operator="equal">
      <formula>"Enter # of Units"</formula>
    </cfRule>
  </conditionalFormatting>
  <conditionalFormatting sqref="W49:W50">
    <cfRule type="cellIs" dxfId="138" priority="186" stopIfTrue="1" operator="equal">
      <formula>"Enter Date of Final Plat Approval"</formula>
    </cfRule>
    <cfRule type="cellIs" dxfId="137" priority="187" stopIfTrue="1" operator="equal">
      <formula>"Enter Date of Building Permit Application"</formula>
    </cfRule>
    <cfRule type="cellIs" dxfId="136" priority="188" stopIfTrue="1" operator="equal">
      <formula>"Plat Must Be Approved Prior to Building Permit"</formula>
    </cfRule>
    <cfRule type="cellIs" dxfId="135" priority="189" stopIfTrue="1" operator="equal">
      <formula>"Enter Service Area"</formula>
    </cfRule>
  </conditionalFormatting>
  <conditionalFormatting sqref="Y49:Y50">
    <cfRule type="cellIs" dxfId="134" priority="181" stopIfTrue="1" operator="equal">
      <formula>"Enter Date of Final Plat Approval"</formula>
    </cfRule>
    <cfRule type="cellIs" dxfId="133" priority="182" stopIfTrue="1" operator="equal">
      <formula>"Enter Date of Building Permit Application"</formula>
    </cfRule>
    <cfRule type="cellIs" dxfId="132" priority="183" stopIfTrue="1" operator="equal">
      <formula>"Plat Must Be Approved Prior to Building Permit"</formula>
    </cfRule>
    <cfRule type="cellIs" dxfId="131" priority="184" stopIfTrue="1" operator="equal">
      <formula>"Enter Service Area"</formula>
    </cfRule>
    <cfRule type="cellIs" dxfId="130" priority="185" stopIfTrue="1" operator="equal">
      <formula>"Enter # of Units"</formula>
    </cfRule>
  </conditionalFormatting>
  <conditionalFormatting sqref="L6:M6">
    <cfRule type="cellIs" dxfId="129" priority="178" stopIfTrue="1" operator="equal">
      <formula>"Insert Development Name"</formula>
    </cfRule>
  </conditionalFormatting>
  <conditionalFormatting sqref="L7:M7">
    <cfRule type="cellIs" dxfId="128" priority="179" stopIfTrue="1" operator="equal">
      <formula>"Insert Applicant Name"</formula>
    </cfRule>
  </conditionalFormatting>
  <conditionalFormatting sqref="L8:M8">
    <cfRule type="cellIs" dxfId="127" priority="180" stopIfTrue="1" operator="equal">
      <formula>"Insert Legal Description"</formula>
    </cfRule>
  </conditionalFormatting>
  <conditionalFormatting sqref="Y33">
    <cfRule type="cellIs" dxfId="126" priority="172" stopIfTrue="1" operator="equal">
      <formula>"Enter Date of Final Plat Approval"</formula>
    </cfRule>
    <cfRule type="cellIs" dxfId="125" priority="173" stopIfTrue="1" operator="equal">
      <formula>"Enter Date of Building Permit Application"</formula>
    </cfRule>
    <cfRule type="cellIs" dxfId="124" priority="174" stopIfTrue="1" operator="equal">
      <formula>"Plat Must Be Approved Prior to Building Permit"</formula>
    </cfRule>
    <cfRule type="cellIs" dxfId="123" priority="175" stopIfTrue="1" operator="equal">
      <formula>"Enter Service Area"</formula>
    </cfRule>
    <cfRule type="cellIs" dxfId="122" priority="176" stopIfTrue="1" operator="equal">
      <formula>"Enter # of Units"</formula>
    </cfRule>
  </conditionalFormatting>
  <conditionalFormatting sqref="W51:W55">
    <cfRule type="cellIs" dxfId="121" priority="168" stopIfTrue="1" operator="equal">
      <formula>"Enter Date of Final Plat Approval"</formula>
    </cfRule>
    <cfRule type="cellIs" dxfId="120" priority="169" stopIfTrue="1" operator="equal">
      <formula>"Enter Date of Building Permit Application"</formula>
    </cfRule>
    <cfRule type="cellIs" dxfId="119" priority="170" stopIfTrue="1" operator="equal">
      <formula>"Plat Must Be Approved Prior to Building Permit"</formula>
    </cfRule>
    <cfRule type="cellIs" dxfId="118" priority="171" stopIfTrue="1" operator="equal">
      <formula>"Enter Service Area"</formula>
    </cfRule>
  </conditionalFormatting>
  <conditionalFormatting sqref="Y51">
    <cfRule type="cellIs" dxfId="117" priority="163" stopIfTrue="1" operator="equal">
      <formula>"Enter Date of Final Plat Approval"</formula>
    </cfRule>
    <cfRule type="cellIs" dxfId="116" priority="164" stopIfTrue="1" operator="equal">
      <formula>"Enter Date of Building Permit Application"</formula>
    </cfRule>
    <cfRule type="cellIs" dxfId="115" priority="165" stopIfTrue="1" operator="equal">
      <formula>"Plat Must Be Approved Prior to Building Permit"</formula>
    </cfRule>
    <cfRule type="cellIs" dxfId="114" priority="166" stopIfTrue="1" operator="equal">
      <formula>"Enter Service Area"</formula>
    </cfRule>
    <cfRule type="cellIs" dxfId="113" priority="167" stopIfTrue="1" operator="equal">
      <formula>"Enter # of Units"</formula>
    </cfRule>
  </conditionalFormatting>
  <conditionalFormatting sqref="Q37">
    <cfRule type="cellIs" dxfId="112" priority="132" stopIfTrue="1" operator="equal">
      <formula>"Enter Date of Final Plat Approval"</formula>
    </cfRule>
    <cfRule type="cellIs" dxfId="111" priority="133" stopIfTrue="1" operator="equal">
      <formula>"Enter Date of Building Permit Application"</formula>
    </cfRule>
    <cfRule type="cellIs" dxfId="110" priority="134" stopIfTrue="1" operator="equal">
      <formula>"Plat Must Be Approved Prior to Building Permit"</formula>
    </cfRule>
    <cfRule type="cellIs" dxfId="109" priority="135" stopIfTrue="1" operator="equal">
      <formula>"Enter Service Area"</formula>
    </cfRule>
  </conditionalFormatting>
  <conditionalFormatting sqref="Q31:Q36">
    <cfRule type="cellIs" dxfId="108" priority="141" stopIfTrue="1" operator="equal">
      <formula>"Enter Date of Final Plat Approval"</formula>
    </cfRule>
    <cfRule type="cellIs" dxfId="107" priority="142" stopIfTrue="1" operator="equal">
      <formula>"Enter Date of Building Permit Application"</formula>
    </cfRule>
    <cfRule type="cellIs" dxfId="106" priority="143" stopIfTrue="1" operator="equal">
      <formula>"Plat Must Be Approved Prior to Building Permit"</formula>
    </cfRule>
    <cfRule type="cellIs" dxfId="105" priority="144" stopIfTrue="1" operator="equal">
      <formula>"Enter Service Area"</formula>
    </cfRule>
  </conditionalFormatting>
  <conditionalFormatting sqref="S31:S36">
    <cfRule type="cellIs" dxfId="104" priority="136" stopIfTrue="1" operator="equal">
      <formula>"Plat Must Be Approved Prior to Building Permit"</formula>
    </cfRule>
    <cfRule type="cellIs" dxfId="103" priority="137" stopIfTrue="1" operator="equal">
      <formula>"Enter Date of Final Plat Approval"</formula>
    </cfRule>
    <cfRule type="cellIs" dxfId="102" priority="138" stopIfTrue="1" operator="equal">
      <formula>"Enter Date of Building Permit Application"</formula>
    </cfRule>
    <cfRule type="cellIs" dxfId="101" priority="139" stopIfTrue="1" operator="equal">
      <formula>"Enter Service Area"</formula>
    </cfRule>
    <cfRule type="cellIs" dxfId="100" priority="140" stopIfTrue="1" operator="equal">
      <formula>"Enter # of Units"</formula>
    </cfRule>
  </conditionalFormatting>
  <conditionalFormatting sqref="S37">
    <cfRule type="cellIs" dxfId="99" priority="127" stopIfTrue="1" operator="equal">
      <formula>"Enter Date of Final Plat Approval"</formula>
    </cfRule>
    <cfRule type="cellIs" dxfId="98" priority="128" stopIfTrue="1" operator="equal">
      <formula>"Enter Date of Building Permit Application"</formula>
    </cfRule>
    <cfRule type="cellIs" dxfId="97" priority="129" stopIfTrue="1" operator="equal">
      <formula>"Plat Must Be Approved Prior to Building Permit"</formula>
    </cfRule>
    <cfRule type="cellIs" dxfId="96" priority="130" stopIfTrue="1" operator="equal">
      <formula>"Enter Service Area"</formula>
    </cfRule>
    <cfRule type="cellIs" dxfId="95" priority="131" stopIfTrue="1" operator="equal">
      <formula>"Enter # of Units"</formula>
    </cfRule>
  </conditionalFormatting>
  <conditionalFormatting sqref="Y66:Y68">
    <cfRule type="containsText" dxfId="94" priority="124" operator="containsText" text="Enter Units">
      <formula>NOT(ISERROR(SEARCH("Enter Units",Y66)))</formula>
    </cfRule>
  </conditionalFormatting>
  <conditionalFormatting sqref="J33:J37">
    <cfRule type="cellIs" dxfId="93" priority="123" stopIfTrue="1" operator="greaterThan">
      <formula>6</formula>
    </cfRule>
  </conditionalFormatting>
  <conditionalFormatting sqref="S75:U76">
    <cfRule type="containsText" dxfId="92" priority="122" operator="containsText" text="Proposed">
      <formula>NOT(ISERROR(SEARCH("Proposed",S75)))</formula>
    </cfRule>
  </conditionalFormatting>
  <conditionalFormatting sqref="U74">
    <cfRule type="cellIs" dxfId="91" priority="119" operator="greaterThan">
      <formula>0.4</formula>
    </cfRule>
  </conditionalFormatting>
  <conditionalFormatting sqref="X76">
    <cfRule type="containsText" dxfId="90" priority="118" operator="containsText" text="Proposed">
      <formula>NOT(ISERROR(SEARCH("Proposed",X76)))</formula>
    </cfRule>
  </conditionalFormatting>
  <conditionalFormatting sqref="Y77">
    <cfRule type="containsText" dxfId="89" priority="117" operator="containsText" text="Proposed">
      <formula>NOT(ISERROR(SEARCH("Proposed",Y77)))</formula>
    </cfRule>
  </conditionalFormatting>
  <conditionalFormatting sqref="U39">
    <cfRule type="cellIs" dxfId="88" priority="112" stopIfTrue="1" operator="equal">
      <formula>"Plat Must Be Approved Prior to Building Permit"</formula>
    </cfRule>
    <cfRule type="cellIs" dxfId="87" priority="113" stopIfTrue="1" operator="equal">
      <formula>"Enter Date of Final Plat Approval"</formula>
    </cfRule>
    <cfRule type="cellIs" dxfId="86" priority="114" stopIfTrue="1" operator="equal">
      <formula>"Enter Date of Building Permit Application"</formula>
    </cfRule>
    <cfRule type="cellIs" dxfId="85" priority="115" stopIfTrue="1" operator="equal">
      <formula>"Enter Service Area"</formula>
    </cfRule>
    <cfRule type="cellIs" dxfId="84" priority="116" stopIfTrue="1" operator="equal">
      <formula>"Enter # of Units"</formula>
    </cfRule>
  </conditionalFormatting>
  <conditionalFormatting sqref="Q45:Q49">
    <cfRule type="cellIs" dxfId="83" priority="63" stopIfTrue="1" operator="equal">
      <formula>"Enter Date of Final Plat Approval"</formula>
    </cfRule>
    <cfRule type="cellIs" dxfId="82" priority="64" stopIfTrue="1" operator="equal">
      <formula>"Enter Date of Building Permit Application"</formula>
    </cfRule>
    <cfRule type="cellIs" dxfId="81" priority="65" stopIfTrue="1" operator="equal">
      <formula>"Plat Must Be Approved Prior to Building Permit"</formula>
    </cfRule>
    <cfRule type="cellIs" dxfId="80" priority="66" stopIfTrue="1" operator="equal">
      <formula>"Enter Service Area"</formula>
    </cfRule>
  </conditionalFormatting>
  <conditionalFormatting sqref="S45:S49">
    <cfRule type="cellIs" dxfId="79" priority="58" stopIfTrue="1" operator="equal">
      <formula>"Plat Must Be Approved Prior to Building Permit"</formula>
    </cfRule>
    <cfRule type="cellIs" dxfId="78" priority="59" stopIfTrue="1" operator="equal">
      <formula>"Enter Date of Final Plat Approval"</formula>
    </cfRule>
    <cfRule type="cellIs" dxfId="77" priority="60" stopIfTrue="1" operator="equal">
      <formula>"Enter Date of Building Permit Application"</formula>
    </cfRule>
    <cfRule type="cellIs" dxfId="76" priority="61" stopIfTrue="1" operator="equal">
      <formula>"Enter Service Area"</formula>
    </cfRule>
    <cfRule type="cellIs" dxfId="75" priority="62" stopIfTrue="1" operator="equal">
      <formula>"Enter # of Units"</formula>
    </cfRule>
  </conditionalFormatting>
  <conditionalFormatting sqref="R58:R59">
    <cfRule type="containsText" dxfId="74" priority="57" operator="containsText" text="Proposed">
      <formula>NOT(ISERROR(SEARCH("Proposed",R58)))</formula>
    </cfRule>
  </conditionalFormatting>
  <conditionalFormatting sqref="R60">
    <cfRule type="containsText" dxfId="73" priority="56" operator="containsText" text="Proposed">
      <formula>NOT(ISERROR(SEARCH("Proposed",R60)))</formula>
    </cfRule>
  </conditionalFormatting>
  <conditionalFormatting sqref="R60">
    <cfRule type="containsText" dxfId="72" priority="55" operator="containsText" text="ERROR">
      <formula>NOT(ISERROR(SEARCH("ERROR",R60)))</formula>
    </cfRule>
  </conditionalFormatting>
  <conditionalFormatting sqref="Q51:Q55">
    <cfRule type="cellIs" dxfId="71" priority="51" stopIfTrue="1" operator="equal">
      <formula>"Enter Date of Final Plat Approval"</formula>
    </cfRule>
    <cfRule type="cellIs" dxfId="70" priority="52" stopIfTrue="1" operator="equal">
      <formula>"Enter Date of Building Permit Application"</formula>
    </cfRule>
    <cfRule type="cellIs" dxfId="69" priority="53" stopIfTrue="1" operator="equal">
      <formula>"Plat Must Be Approved Prior to Building Permit"</formula>
    </cfRule>
    <cfRule type="cellIs" dxfId="68" priority="54" stopIfTrue="1" operator="equal">
      <formula>"Enter Service Area"</formula>
    </cfRule>
  </conditionalFormatting>
  <conditionalFormatting sqref="S51:S55">
    <cfRule type="cellIs" dxfId="67" priority="46" stopIfTrue="1" operator="equal">
      <formula>"Plat Must Be Approved Prior to Building Permit"</formula>
    </cfRule>
    <cfRule type="cellIs" dxfId="66" priority="47" stopIfTrue="1" operator="equal">
      <formula>"Enter Date of Final Plat Approval"</formula>
    </cfRule>
    <cfRule type="cellIs" dxfId="65" priority="48" stopIfTrue="1" operator="equal">
      <formula>"Enter Date of Building Permit Application"</formula>
    </cfRule>
    <cfRule type="cellIs" dxfId="64" priority="49" stopIfTrue="1" operator="equal">
      <formula>"Enter Service Area"</formula>
    </cfRule>
    <cfRule type="cellIs" dxfId="63" priority="50" stopIfTrue="1" operator="equal">
      <formula>"Enter # of Units"</formula>
    </cfRule>
  </conditionalFormatting>
  <conditionalFormatting sqref="S58:S59">
    <cfRule type="cellIs" dxfId="62" priority="40" stopIfTrue="1" operator="equal">
      <formula>"Plat Must Be Approved Prior to Building Permit"</formula>
    </cfRule>
    <cfRule type="cellIs" dxfId="61" priority="41" stopIfTrue="1" operator="equal">
      <formula>"Enter Date of Final Plat Approval"</formula>
    </cfRule>
    <cfRule type="cellIs" dxfId="60" priority="42" stopIfTrue="1" operator="equal">
      <formula>"Enter Date of Building Permit Application"</formula>
    </cfRule>
    <cfRule type="cellIs" dxfId="59" priority="43" stopIfTrue="1" operator="equal">
      <formula>"Enter Service Area"</formula>
    </cfRule>
    <cfRule type="cellIs" dxfId="58" priority="44" stopIfTrue="1" operator="equal">
      <formula>"Enter # of Units"</formula>
    </cfRule>
  </conditionalFormatting>
  <conditionalFormatting sqref="R57">
    <cfRule type="containsText" dxfId="57" priority="39" operator="containsText" text="Proposed">
      <formula>NOT(ISERROR(SEARCH("Proposed",R57)))</formula>
    </cfRule>
  </conditionalFormatting>
  <conditionalFormatting sqref="Y81">
    <cfRule type="cellIs" dxfId="56" priority="21" stopIfTrue="1" operator="equal">
      <formula>"Enter ROW/Easement Info"</formula>
    </cfRule>
    <cfRule type="cellIs" dxfId="55" priority="35" stopIfTrue="1" operator="equal">
      <formula>"NO"</formula>
    </cfRule>
    <cfRule type="cellIs" dxfId="54" priority="36" stopIfTrue="1" operator="equal">
      <formula>"YES"</formula>
    </cfRule>
  </conditionalFormatting>
  <conditionalFormatting sqref="S60">
    <cfRule type="cellIs" dxfId="53" priority="34" stopIfTrue="1" operator="lessThan">
      <formula>0</formula>
    </cfRule>
  </conditionalFormatting>
  <conditionalFormatting sqref="Y82">
    <cfRule type="expression" dxfId="52" priority="27" stopIfTrue="1">
      <formula>$Y$81="NO"</formula>
    </cfRule>
    <cfRule type="cellIs" dxfId="51" priority="33" stopIfTrue="1" operator="equal">
      <formula>"Contact TDS staff"</formula>
    </cfRule>
  </conditionalFormatting>
  <conditionalFormatting sqref="Y61">
    <cfRule type="cellIs" dxfId="50" priority="32" stopIfTrue="1" operator="equal">
      <formula>"Discuss w/Supervisor"</formula>
    </cfRule>
  </conditionalFormatting>
  <conditionalFormatting sqref="S79">
    <cfRule type="cellIs" dxfId="49" priority="25" stopIfTrue="1" operator="equal">
      <formula>"Note: Potential SIF collection money is being used to get ROW or Easement, check the priority"</formula>
    </cfRule>
  </conditionalFormatting>
  <conditionalFormatting sqref="Y79">
    <cfRule type="cellIs" dxfId="48" priority="24" stopIfTrue="1" operator="equal">
      <formula>"Credit Exceeds Fee"</formula>
    </cfRule>
  </conditionalFormatting>
  <conditionalFormatting sqref="Y79">
    <cfRule type="expression" dxfId="47" priority="22" stopIfTrue="1">
      <formula>$Y$81="NO"</formula>
    </cfRule>
    <cfRule type="cellIs" dxfId="46" priority="23" stopIfTrue="1" operator="equal">
      <formula>"Contact TDS staff"</formula>
    </cfRule>
  </conditionalFormatting>
  <conditionalFormatting sqref="R38">
    <cfRule type="containsText" dxfId="45" priority="20" operator="containsText" text="Proposed">
      <formula>NOT(ISERROR(SEARCH("Proposed",R38)))</formula>
    </cfRule>
  </conditionalFormatting>
  <conditionalFormatting sqref="R38">
    <cfRule type="containsText" dxfId="44" priority="19" operator="containsText" text="ERROR">
      <formula>NOT(ISERROR(SEARCH("ERROR",R38)))</formula>
    </cfRule>
  </conditionalFormatting>
  <conditionalFormatting sqref="S38">
    <cfRule type="cellIs" dxfId="43" priority="14" stopIfTrue="1" operator="equal">
      <formula>"Plat Must Be Approved Prior to Building Permit"</formula>
    </cfRule>
    <cfRule type="cellIs" dxfId="42" priority="15" stopIfTrue="1" operator="equal">
      <formula>"Enter Date of Final Plat Approval"</formula>
    </cfRule>
    <cfRule type="cellIs" dxfId="41" priority="16" stopIfTrue="1" operator="equal">
      <formula>"Enter Date of Building Permit Application"</formula>
    </cfRule>
    <cfRule type="cellIs" dxfId="40" priority="17" stopIfTrue="1" operator="equal">
      <formula>"Enter Service Area"</formula>
    </cfRule>
    <cfRule type="cellIs" dxfId="39" priority="18" stopIfTrue="1" operator="equal">
      <formula>"Enter # of Units"</formula>
    </cfRule>
  </conditionalFormatting>
  <conditionalFormatting sqref="R56">
    <cfRule type="containsText" dxfId="38" priority="13" operator="containsText" text="Proposed">
      <formula>NOT(ISERROR(SEARCH("Proposed",R56)))</formula>
    </cfRule>
  </conditionalFormatting>
  <conditionalFormatting sqref="R56">
    <cfRule type="containsText" dxfId="37" priority="12" operator="containsText" text="ERROR">
      <formula>NOT(ISERROR(SEARCH("ERROR",R56)))</formula>
    </cfRule>
  </conditionalFormatting>
  <conditionalFormatting sqref="S56">
    <cfRule type="cellIs" dxfId="36" priority="7" stopIfTrue="1" operator="equal">
      <formula>"Plat Must Be Approved Prior to Building Permit"</formula>
    </cfRule>
    <cfRule type="cellIs" dxfId="35" priority="8" stopIfTrue="1" operator="equal">
      <formula>"Enter Date of Final Plat Approval"</formula>
    </cfRule>
    <cfRule type="cellIs" dxfId="34" priority="9" stopIfTrue="1" operator="equal">
      <formula>"Enter Date of Building Permit Application"</formula>
    </cfRule>
    <cfRule type="cellIs" dxfId="33" priority="10" stopIfTrue="1" operator="equal">
      <formula>"Enter Service Area"</formula>
    </cfRule>
    <cfRule type="cellIs" dxfId="32" priority="11" stopIfTrue="1" operator="equal">
      <formula>"Enter # of Units"</formula>
    </cfRule>
  </conditionalFormatting>
  <conditionalFormatting sqref="C11">
    <cfRule type="cellIs" dxfId="31" priority="6" stopIfTrue="1" operator="equal">
      <formula>"Insert Case Number"</formula>
    </cfRule>
  </conditionalFormatting>
  <dataValidations xWindow="1599" yWindow="790" count="16">
    <dataValidation allowBlank="1" showInputMessage="1" sqref="C16" xr:uid="{00000000-0002-0000-0100-000000000000}"/>
    <dataValidation type="list" allowBlank="1" showInputMessage="1" showErrorMessage="1" sqref="D15" xr:uid="{00000000-0002-0000-0100-000001000000}">
      <formula1>$AB$7:$AB$26</formula1>
    </dataValidation>
    <dataValidation type="list" allowBlank="1" showInputMessage="1" showErrorMessage="1" sqref="D13:E13" xr:uid="{00000000-0002-0000-0100-000002000000}">
      <formula1>Plat</formula1>
    </dataValidation>
    <dataValidation type="list" allowBlank="1" showInputMessage="1" showErrorMessage="1" sqref="V11 I15 V13:V14" xr:uid="{00000000-0002-0000-0100-000003000000}">
      <formula1>$AE$10:$AE$11</formula1>
    </dataValidation>
    <dataValidation allowBlank="1" showErrorMessage="1" promptTitle="Roadway Classification" prompt="Please select appropriate classification as per the City of Fort Worth Thoroughfare Plan." sqref="D100:E100 D111:E111" xr:uid="{00000000-0002-0000-0100-000004000000}"/>
    <dataValidation allowBlank="1" showErrorMessage="1" promptTitle="Meter Types" prompt="PD = Positive Displacement_x000a_TURB = Turbine_x000a_COMP = Compound" sqref="Q125:Q126 W125:W126" xr:uid="{00000000-0002-0000-0100-000005000000}"/>
    <dataValidation type="list" allowBlank="1" showInputMessage="1" showErrorMessage="1" sqref="M14 O14:P14" xr:uid="{00000000-0002-0000-0100-000006000000}">
      <formula1>Permit</formula1>
    </dataValidation>
    <dataValidation type="list" allowBlank="1" showInputMessage="1" showErrorMessage="1" sqref="L33:L37 L51:L55" xr:uid="{00000000-0002-0000-0100-000007000000}">
      <formula1>$AF$10:$AF$12</formula1>
    </dataValidation>
    <dataValidation type="list" allowBlank="1" showInputMessage="1" showErrorMessage="1" sqref="D14:G14" xr:uid="{00000000-0002-0000-0100-000008000000}">
      <formula1>$AF$13:$AF$16</formula1>
    </dataValidation>
    <dataValidation type="list" allowBlank="1" showInputMessage="1" showErrorMessage="1" sqref="L66:N68" xr:uid="{00000000-0002-0000-0100-000009000000}">
      <formula1>$AF$52:$AF$56</formula1>
    </dataValidation>
    <dataValidation type="list" allowBlank="1" showInputMessage="1" showErrorMessage="1" sqref="B23:B30" xr:uid="{00000000-0002-0000-0100-00000A000000}">
      <formula1>ITELandUse</formula1>
    </dataValidation>
    <dataValidation type="list" allowBlank="1" showInputMessage="1" showErrorMessage="1" prompt="Do Not Select from the general categories listed in ALL CAPS.  Please select from the lower case land uses only." sqref="B45:B48" xr:uid="{00000000-0002-0000-0100-00000B000000}">
      <formula1>ITELandUse</formula1>
    </dataValidation>
    <dataValidation allowBlank="1" showInputMessage="1" showErrorMessage="1" prompt="MANUALLY INPUT TRIP REDUCTION HERE" sqref="T39:U39" xr:uid="{00000000-0002-0000-0100-00000C000000}"/>
    <dataValidation allowBlank="1" showInputMessage="1" showErrorMessage="1" prompt="From &quot;TDM Calculator Input&quot; Tab" sqref="S39" xr:uid="{00000000-0002-0000-0100-00000D000000}"/>
    <dataValidation allowBlank="1" showInputMessage="1" showErrorMessage="1" prompt="From TDM Calculator Input Tab" sqref="U72:U74" xr:uid="{00000000-0002-0000-0100-00000E000000}"/>
    <dataValidation type="decimal" allowBlank="1" showInputMessage="1" showErrorMessage="1" error="Must be between 0% to 100%" prompt="Must be between 0% to 100%" sqref="T33:T37" xr:uid="{00000000-0002-0000-0100-00000F000000}">
      <formula1>0</formula1>
      <formula2>1</formula2>
    </dataValidation>
  </dataValidations>
  <hyperlinks>
    <hyperlink ref="Y4" r:id="rId1" xr:uid="{00000000-0004-0000-0100-000000000000}"/>
  </hyperlinks>
  <printOptions horizontalCentered="1" verticalCentered="1"/>
  <pageMargins left="0.25" right="0.25" top="0.25" bottom="0.25" header="0.5" footer="0.5"/>
  <pageSetup scale="42" orientation="portrait"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050" r:id="rId5" name="Button 2">
              <controlPr defaultSize="0" print="0" autoFill="0" autoPict="0" macro="[0]!PrintView">
                <anchor moveWithCells="1" sizeWithCells="1">
                  <from>
                    <xdr:col>16</xdr:col>
                    <xdr:colOff>190500</xdr:colOff>
                    <xdr:row>1</xdr:row>
                    <xdr:rowOff>171450</xdr:rowOff>
                  </from>
                  <to>
                    <xdr:col>16</xdr:col>
                    <xdr:colOff>819150</xdr:colOff>
                    <xdr:row>3</xdr:row>
                    <xdr:rowOff>257175</xdr:rowOff>
                  </to>
                </anchor>
              </controlPr>
            </control>
          </mc:Choice>
        </mc:AlternateContent>
        <mc:AlternateContent xmlns:mc="http://schemas.openxmlformats.org/markup-compatibility/2006">
          <mc:Choice Requires="x14">
            <control shapeId="2055" r:id="rId6" name="Option Button 7">
              <controlPr defaultSize="0" autoFill="0" autoLine="0" autoPict="0" macro="[0]!ShowFormalSIF">
                <anchor moveWithCells="1">
                  <from>
                    <xdr:col>16</xdr:col>
                    <xdr:colOff>0</xdr:colOff>
                    <xdr:row>1</xdr:row>
                    <xdr:rowOff>142875</xdr:rowOff>
                  </from>
                  <to>
                    <xdr:col>16</xdr:col>
                    <xdr:colOff>0</xdr:colOff>
                    <xdr:row>2</xdr:row>
                    <xdr:rowOff>200025</xdr:rowOff>
                  </to>
                </anchor>
              </controlPr>
            </control>
          </mc:Choice>
        </mc:AlternateContent>
        <mc:AlternateContent xmlns:mc="http://schemas.openxmlformats.org/markup-compatibility/2006">
          <mc:Choice Requires="x14">
            <control shapeId="2056" r:id="rId7" name="Option Button 8">
              <controlPr defaultSize="0" autoFill="0" autoLine="0" autoPict="0" macro="[0]!ShowFinalSIF">
                <anchor moveWithCells="1">
                  <from>
                    <xdr:col>16</xdr:col>
                    <xdr:colOff>0</xdr:colOff>
                    <xdr:row>2</xdr:row>
                    <xdr:rowOff>142875</xdr:rowOff>
                  </from>
                  <to>
                    <xdr:col>16</xdr:col>
                    <xdr:colOff>0</xdr:colOff>
                    <xdr:row>3</xdr:row>
                    <xdr:rowOff>209550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indexed="51"/>
    <pageSetUpPr fitToPage="1"/>
  </sheetPr>
  <dimension ref="A1:J29"/>
  <sheetViews>
    <sheetView showRowColHeaders="0" zoomScaleNormal="100" workbookViewId="0">
      <selection activeCell="B17" sqref="B17:H17"/>
    </sheetView>
  </sheetViews>
  <sheetFormatPr defaultColWidth="0" defaultRowHeight="12.75" customHeight="1" zeroHeight="1" x14ac:dyDescent="0.2"/>
  <cols>
    <col min="1" max="1" width="4.5703125" style="292" customWidth="1"/>
    <col min="2" max="2" width="34" style="292" customWidth="1"/>
    <col min="3" max="3" width="10.28515625" style="292" customWidth="1"/>
    <col min="4" max="4" width="11" style="292" customWidth="1"/>
    <col min="5" max="6" width="22.5703125" style="292" customWidth="1"/>
    <col min="7" max="7" width="13.42578125" style="292" customWidth="1"/>
    <col min="8" max="8" width="14.5703125" style="292" customWidth="1"/>
    <col min="9" max="9" width="18.85546875" style="292" customWidth="1"/>
    <col min="10" max="16384" width="0" style="292" hidden="1"/>
  </cols>
  <sheetData>
    <row r="1" spans="1:10" s="285" customFormat="1" ht="32.25" customHeight="1" x14ac:dyDescent="0.2">
      <c r="A1" s="799" t="s">
        <v>343</v>
      </c>
      <c r="B1" s="800"/>
      <c r="C1" s="800"/>
      <c r="D1" s="800"/>
      <c r="E1" s="800"/>
      <c r="F1" s="800"/>
      <c r="G1" s="800"/>
      <c r="H1" s="801"/>
      <c r="I1" s="283"/>
      <c r="J1" s="284"/>
    </row>
    <row r="2" spans="1:10" ht="38.25" x14ac:dyDescent="0.2">
      <c r="A2" s="802"/>
      <c r="B2" s="286" t="s">
        <v>344</v>
      </c>
      <c r="C2" s="286" t="s">
        <v>345</v>
      </c>
      <c r="D2" s="287" t="s">
        <v>346</v>
      </c>
      <c r="E2" s="288" t="s">
        <v>347</v>
      </c>
      <c r="F2" s="289" t="s">
        <v>348</v>
      </c>
      <c r="G2" s="290" t="s">
        <v>349</v>
      </c>
      <c r="H2" s="290" t="s">
        <v>350</v>
      </c>
      <c r="I2" s="291"/>
    </row>
    <row r="3" spans="1:10" ht="6" customHeight="1" x14ac:dyDescent="0.2">
      <c r="A3" s="802"/>
      <c r="B3" s="803"/>
      <c r="C3" s="804"/>
      <c r="D3" s="804"/>
      <c r="E3" s="804"/>
      <c r="F3" s="804"/>
      <c r="G3" s="804"/>
      <c r="H3" s="805"/>
      <c r="I3" s="291"/>
    </row>
    <row r="4" spans="1:10" x14ac:dyDescent="0.2">
      <c r="A4" s="802"/>
      <c r="B4" s="293" t="s">
        <v>351</v>
      </c>
      <c r="C4" s="294">
        <v>330</v>
      </c>
      <c r="D4" s="295">
        <v>2</v>
      </c>
      <c r="E4" s="296">
        <v>3718980.9066666663</v>
      </c>
      <c r="F4" s="297"/>
      <c r="G4" s="298">
        <f>ROUND(E4/(D4*C4),0)</f>
        <v>5635</v>
      </c>
      <c r="H4" s="299">
        <f t="shared" ref="H4:H16" si="0">ROUNDDOWN((E4/5280)/D4,2)</f>
        <v>352.17</v>
      </c>
      <c r="I4" s="291"/>
    </row>
    <row r="5" spans="1:10" x14ac:dyDescent="0.2">
      <c r="A5" s="802"/>
      <c r="B5" s="300" t="s">
        <v>352</v>
      </c>
      <c r="C5" s="294">
        <v>330</v>
      </c>
      <c r="D5" s="295">
        <v>2</v>
      </c>
      <c r="E5" s="296">
        <v>3344535.04</v>
      </c>
      <c r="F5" s="301"/>
      <c r="G5" s="298">
        <f>ROUND(E5/(D5*C5),0)</f>
        <v>5067</v>
      </c>
      <c r="H5" s="299">
        <f t="shared" si="0"/>
        <v>316.70999999999998</v>
      </c>
      <c r="I5" s="291"/>
    </row>
    <row r="6" spans="1:10" x14ac:dyDescent="0.2">
      <c r="A6" s="802"/>
      <c r="B6" s="300" t="s">
        <v>353</v>
      </c>
      <c r="C6" s="294">
        <v>330</v>
      </c>
      <c r="D6" s="295">
        <v>2</v>
      </c>
      <c r="E6" s="296">
        <v>5359153.0666666673</v>
      </c>
      <c r="F6" s="301"/>
      <c r="G6" s="298">
        <f t="shared" ref="G6:G16" si="1">ROUND(E6/(D6*C6),0)</f>
        <v>8120</v>
      </c>
      <c r="H6" s="299">
        <f t="shared" si="0"/>
        <v>507.49</v>
      </c>
      <c r="I6" s="291"/>
    </row>
    <row r="7" spans="1:10" x14ac:dyDescent="0.2">
      <c r="A7" s="802"/>
      <c r="B7" s="302" t="s">
        <v>354</v>
      </c>
      <c r="C7" s="303">
        <v>410</v>
      </c>
      <c r="D7" s="304">
        <v>2</v>
      </c>
      <c r="E7" s="305">
        <v>7089218.8888888881</v>
      </c>
      <c r="F7" s="306"/>
      <c r="G7" s="307">
        <f t="shared" si="1"/>
        <v>8645</v>
      </c>
      <c r="H7" s="308">
        <f t="shared" si="0"/>
        <v>671.32</v>
      </c>
      <c r="I7" s="291"/>
    </row>
    <row r="8" spans="1:10" x14ac:dyDescent="0.2">
      <c r="A8" s="802"/>
      <c r="B8" s="302" t="s">
        <v>355</v>
      </c>
      <c r="C8" s="303">
        <v>410</v>
      </c>
      <c r="D8" s="304">
        <v>2</v>
      </c>
      <c r="E8" s="305">
        <v>6102952.9244444445</v>
      </c>
      <c r="F8" s="306"/>
      <c r="G8" s="307">
        <f t="shared" si="1"/>
        <v>7443</v>
      </c>
      <c r="H8" s="308">
        <f t="shared" si="0"/>
        <v>577.92999999999995</v>
      </c>
      <c r="I8" s="291"/>
    </row>
    <row r="9" spans="1:10" x14ac:dyDescent="0.2">
      <c r="A9" s="802"/>
      <c r="B9" s="300" t="s">
        <v>356</v>
      </c>
      <c r="C9" s="294">
        <v>770</v>
      </c>
      <c r="D9" s="295">
        <v>2</v>
      </c>
      <c r="E9" s="296">
        <v>4607844.071111111</v>
      </c>
      <c r="F9" s="297"/>
      <c r="G9" s="298">
        <f t="shared" si="1"/>
        <v>2992</v>
      </c>
      <c r="H9" s="299">
        <f t="shared" si="0"/>
        <v>436.34</v>
      </c>
      <c r="I9" s="291"/>
    </row>
    <row r="10" spans="1:10" x14ac:dyDescent="0.2">
      <c r="A10" s="802"/>
      <c r="B10" s="300" t="s">
        <v>357</v>
      </c>
      <c r="C10" s="294">
        <v>680</v>
      </c>
      <c r="D10" s="295">
        <v>4</v>
      </c>
      <c r="E10" s="296">
        <v>8147216.879999999</v>
      </c>
      <c r="F10" s="297"/>
      <c r="G10" s="298">
        <f t="shared" si="1"/>
        <v>2995</v>
      </c>
      <c r="H10" s="299">
        <f t="shared" si="0"/>
        <v>385.75</v>
      </c>
      <c r="I10" s="291"/>
    </row>
    <row r="11" spans="1:10" x14ac:dyDescent="0.2">
      <c r="A11" s="802"/>
      <c r="B11" s="309" t="s">
        <v>358</v>
      </c>
      <c r="C11" s="310">
        <v>810</v>
      </c>
      <c r="D11" s="311">
        <v>4</v>
      </c>
      <c r="E11" s="312">
        <v>10740240.719999999</v>
      </c>
      <c r="F11" s="313">
        <v>0.30595456261007464</v>
      </c>
      <c r="G11" s="314">
        <f t="shared" si="1"/>
        <v>3315</v>
      </c>
      <c r="H11" s="315">
        <f t="shared" si="0"/>
        <v>508.53</v>
      </c>
      <c r="I11" s="291"/>
    </row>
    <row r="12" spans="1:10" x14ac:dyDescent="0.2">
      <c r="A12" s="802"/>
      <c r="B12" s="309" t="s">
        <v>359</v>
      </c>
      <c r="C12" s="310">
        <v>810</v>
      </c>
      <c r="D12" s="311">
        <v>4</v>
      </c>
      <c r="E12" s="312">
        <v>11156405.039999999</v>
      </c>
      <c r="F12" s="313">
        <v>0.48543710882438335</v>
      </c>
      <c r="G12" s="314">
        <f t="shared" si="1"/>
        <v>3443</v>
      </c>
      <c r="H12" s="315">
        <f t="shared" si="0"/>
        <v>528.23</v>
      </c>
      <c r="I12" s="291"/>
    </row>
    <row r="13" spans="1:10" x14ac:dyDescent="0.2">
      <c r="A13" s="802"/>
      <c r="B13" s="300" t="s">
        <v>360</v>
      </c>
      <c r="C13" s="294">
        <v>810</v>
      </c>
      <c r="D13" s="295">
        <v>3</v>
      </c>
      <c r="E13" s="296">
        <v>7933799.2799999993</v>
      </c>
      <c r="F13" s="297"/>
      <c r="G13" s="298">
        <f t="shared" si="1"/>
        <v>3265</v>
      </c>
      <c r="H13" s="299">
        <f t="shared" si="0"/>
        <v>500.87</v>
      </c>
      <c r="I13" s="291"/>
    </row>
    <row r="14" spans="1:10" x14ac:dyDescent="0.2">
      <c r="A14" s="802"/>
      <c r="B14" s="309" t="s">
        <v>361</v>
      </c>
      <c r="C14" s="310">
        <v>900</v>
      </c>
      <c r="D14" s="311">
        <v>6</v>
      </c>
      <c r="E14" s="312">
        <v>14708870.586666668</v>
      </c>
      <c r="F14" s="313">
        <v>1.4303813634651276E-2</v>
      </c>
      <c r="G14" s="314">
        <f t="shared" si="1"/>
        <v>2724</v>
      </c>
      <c r="H14" s="315">
        <f t="shared" si="0"/>
        <v>464.29</v>
      </c>
      <c r="I14" s="291"/>
    </row>
    <row r="15" spans="1:10" x14ac:dyDescent="0.2">
      <c r="A15" s="802"/>
      <c r="B15" s="309" t="s">
        <v>362</v>
      </c>
      <c r="C15" s="310">
        <v>900</v>
      </c>
      <c r="D15" s="311">
        <v>6</v>
      </c>
      <c r="E15" s="312">
        <v>15495951.386666669</v>
      </c>
      <c r="F15" s="313">
        <v>0.19430451493089071</v>
      </c>
      <c r="G15" s="314">
        <f t="shared" si="1"/>
        <v>2870</v>
      </c>
      <c r="H15" s="315">
        <f t="shared" si="0"/>
        <v>489.13</v>
      </c>
      <c r="I15" s="291"/>
    </row>
    <row r="16" spans="1:10" ht="13.5" thickBot="1" x14ac:dyDescent="0.25">
      <c r="A16" s="802"/>
      <c r="B16" s="316" t="s">
        <v>363</v>
      </c>
      <c r="C16" s="317">
        <v>810</v>
      </c>
      <c r="D16" s="318">
        <v>5</v>
      </c>
      <c r="E16" s="319">
        <v>12518162.359999999</v>
      </c>
      <c r="F16" s="320"/>
      <c r="G16" s="321">
        <f t="shared" si="1"/>
        <v>3091</v>
      </c>
      <c r="H16" s="322">
        <f t="shared" si="0"/>
        <v>474.17</v>
      </c>
      <c r="I16" s="291"/>
    </row>
    <row r="17" spans="1:9" ht="6" customHeight="1" x14ac:dyDescent="0.2">
      <c r="A17" s="802"/>
      <c r="B17" s="803"/>
      <c r="C17" s="804"/>
      <c r="D17" s="804"/>
      <c r="E17" s="804"/>
      <c r="F17" s="804"/>
      <c r="G17" s="804"/>
      <c r="H17" s="805"/>
      <c r="I17" s="291"/>
    </row>
    <row r="18" spans="1:9" ht="27" customHeight="1" x14ac:dyDescent="0.2">
      <c r="A18" s="802"/>
      <c r="B18" s="796" t="s">
        <v>364</v>
      </c>
      <c r="C18" s="797"/>
      <c r="D18" s="797"/>
      <c r="E18" s="798"/>
      <c r="F18" s="323"/>
      <c r="G18" s="324">
        <f>F4*G4+F7*G7+F8*G8+F11*G11+F12*G12+F14*G14+F15*G15</f>
        <v>3282.2168869271959</v>
      </c>
      <c r="H18" s="325"/>
      <c r="I18" s="291"/>
    </row>
    <row r="19" spans="1:9" ht="27" customHeight="1" x14ac:dyDescent="0.2">
      <c r="A19" s="326"/>
      <c r="B19" s="796" t="s">
        <v>365</v>
      </c>
      <c r="C19" s="797"/>
      <c r="D19" s="797"/>
      <c r="E19" s="798"/>
      <c r="F19" s="323"/>
      <c r="G19" s="324">
        <v>3761.1031833658217</v>
      </c>
      <c r="H19" s="325"/>
      <c r="I19" s="291"/>
    </row>
    <row r="20" spans="1:9" ht="15.75" customHeight="1" x14ac:dyDescent="0.2">
      <c r="A20" s="291"/>
      <c r="B20" s="291"/>
      <c r="C20" s="291"/>
      <c r="D20" s="291"/>
      <c r="E20" s="291"/>
      <c r="F20" s="291"/>
      <c r="G20" s="327"/>
      <c r="H20" s="327"/>
      <c r="I20" s="291"/>
    </row>
    <row r="21" spans="1:9" ht="12.75" hidden="1" customHeight="1" x14ac:dyDescent="0.2">
      <c r="E21" s="292" t="s">
        <v>366</v>
      </c>
      <c r="F21" s="292" t="s">
        <v>367</v>
      </c>
    </row>
    <row r="22" spans="1:9" ht="12.75" hidden="1" customHeight="1" x14ac:dyDescent="0.2">
      <c r="B22" s="328" t="s">
        <v>368</v>
      </c>
      <c r="F22" s="329"/>
      <c r="I22" s="329">
        <f>(G19-G18)/G18</f>
        <v>0.14590330649567709</v>
      </c>
    </row>
    <row r="23" spans="1:9" ht="12.75" hidden="1" customHeight="1" x14ac:dyDescent="0.2">
      <c r="B23" s="309" t="s">
        <v>354</v>
      </c>
      <c r="E23" s="292">
        <f>107319.044405/5280</f>
        <v>20.325576591856059</v>
      </c>
      <c r="F23" s="329">
        <f t="shared" ref="F23:F28" si="2">E23/$E$29</f>
        <v>8.1031636998586232E-2</v>
      </c>
    </row>
    <row r="24" spans="1:9" ht="12.75" hidden="1" customHeight="1" x14ac:dyDescent="0.2">
      <c r="B24" s="309" t="s">
        <v>355</v>
      </c>
      <c r="E24" s="292">
        <f>334415.994604/5280</f>
        <v>63.336362614393941</v>
      </c>
      <c r="F24" s="329">
        <f t="shared" si="2"/>
        <v>0.25250201985594639</v>
      </c>
      <c r="G24" s="330"/>
      <c r="H24" s="330"/>
    </row>
    <row r="25" spans="1:9" ht="12.75" hidden="1" customHeight="1" x14ac:dyDescent="0.2">
      <c r="B25" s="309" t="s">
        <v>358</v>
      </c>
      <c r="E25" s="292">
        <f>270058.182598/5280</f>
        <v>51.147383067803027</v>
      </c>
      <c r="F25" s="329">
        <f t="shared" si="2"/>
        <v>0.2039084185114074</v>
      </c>
      <c r="H25" s="292">
        <f>270058.182598/5280</f>
        <v>51.147383067803027</v>
      </c>
      <c r="I25" s="329">
        <f>H25/$H$29</f>
        <v>0.30595456261007464</v>
      </c>
    </row>
    <row r="26" spans="1:9" ht="12.75" hidden="1" customHeight="1" x14ac:dyDescent="0.2">
      <c r="B26" s="309" t="s">
        <v>359</v>
      </c>
      <c r="E26" s="292">
        <f>428482.785994/5280</f>
        <v>81.152042801893941</v>
      </c>
      <c r="F26" s="329">
        <f t="shared" si="2"/>
        <v>0.32352749474529502</v>
      </c>
      <c r="G26" s="330"/>
      <c r="H26" s="292">
        <f>428482.785994/5280</f>
        <v>81.152042801893941</v>
      </c>
      <c r="I26" s="329">
        <f>H26/$H$29</f>
        <v>0.48543710882438335</v>
      </c>
    </row>
    <row r="27" spans="1:9" ht="12.75" hidden="1" customHeight="1" x14ac:dyDescent="0.2">
      <c r="B27" s="309" t="s">
        <v>361</v>
      </c>
      <c r="E27" s="292">
        <f>12625.6065/5280</f>
        <v>2.3912133522727275</v>
      </c>
      <c r="F27" s="329">
        <f t="shared" si="2"/>
        <v>9.5330103661203126E-3</v>
      </c>
      <c r="H27" s="292">
        <f>12625.6065/5280</f>
        <v>2.3912133522727275</v>
      </c>
      <c r="I27" s="329">
        <f>H27/$H$29</f>
        <v>1.4303813634651276E-2</v>
      </c>
    </row>
    <row r="28" spans="1:9" hidden="1" x14ac:dyDescent="0.2">
      <c r="B28" s="309" t="s">
        <v>362</v>
      </c>
      <c r="E28" s="292">
        <f>171507.571991/5280</f>
        <v>32.482494695265153</v>
      </c>
      <c r="F28" s="329">
        <f t="shared" si="2"/>
        <v>0.1294974195226446</v>
      </c>
      <c r="H28" s="292">
        <f>171507.571991/5280</f>
        <v>32.482494695265153</v>
      </c>
      <c r="I28" s="329">
        <f>H28/$H$29</f>
        <v>0.19430451493089071</v>
      </c>
    </row>
    <row r="29" spans="1:9" hidden="1" x14ac:dyDescent="0.2">
      <c r="B29" s="331" t="s">
        <v>369</v>
      </c>
      <c r="E29" s="292">
        <f>SUM(E22:E28)</f>
        <v>250.83507312348485</v>
      </c>
      <c r="H29" s="292">
        <f>SUM(H22:H28)</f>
        <v>167.17313391723485</v>
      </c>
    </row>
  </sheetData>
  <sheetProtection selectLockedCells="1"/>
  <mergeCells count="6">
    <mergeCell ref="B19:E19"/>
    <mergeCell ref="A1:H1"/>
    <mergeCell ref="A2:A18"/>
    <mergeCell ref="B3:H3"/>
    <mergeCell ref="B17:H17"/>
    <mergeCell ref="B18:E18"/>
  </mergeCells>
  <pageMargins left="0.75" right="0.75" top="1" bottom="1" header="0.5" footer="0.5"/>
  <pageSetup scale="91" orientation="landscape" r:id="rId1"/>
  <headerFooter alignWithMargins="0"/>
  <colBreaks count="1" manualBreakCount="1">
    <brk id="8" max="1048575" man="1"/>
  </colBreak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7"/>
    <pageSetUpPr fitToPage="1"/>
  </sheetPr>
  <dimension ref="A1:G43"/>
  <sheetViews>
    <sheetView showGridLines="0" zoomScale="140" zoomScaleNormal="140" workbookViewId="0">
      <selection activeCell="B5" sqref="B5"/>
    </sheetView>
  </sheetViews>
  <sheetFormatPr defaultColWidth="0" defaultRowHeight="12.75" zeroHeight="1" x14ac:dyDescent="0.2"/>
  <cols>
    <col min="1" max="1" width="9.140625" style="697" customWidth="1"/>
    <col min="2" max="2" width="24.28515625" style="697" customWidth="1"/>
    <col min="3" max="3" width="41.85546875" style="697" customWidth="1"/>
    <col min="4" max="4" width="20.7109375" style="697" customWidth="1"/>
    <col min="5" max="5" width="19.28515625" style="697" hidden="1" customWidth="1"/>
    <col min="6" max="6" width="23.28515625" style="697" hidden="1" customWidth="1"/>
    <col min="7" max="7" width="17.5703125" style="697" customWidth="1"/>
    <col min="8" max="16384" width="9.140625" style="697" hidden="1"/>
  </cols>
  <sheetData>
    <row r="1" spans="2:7" ht="13.5" thickBot="1" x14ac:dyDescent="0.25"/>
    <row r="2" spans="2:7" ht="17.25" thickBot="1" x14ac:dyDescent="0.3">
      <c r="B2" s="806" t="s">
        <v>656</v>
      </c>
      <c r="C2" s="807"/>
      <c r="D2" s="807"/>
      <c r="E2" s="807"/>
      <c r="F2" s="808"/>
    </row>
    <row r="3" spans="2:7" x14ac:dyDescent="0.2"/>
    <row r="4" spans="2:7" ht="25.5" x14ac:dyDescent="0.2">
      <c r="B4" s="698" t="s">
        <v>653</v>
      </c>
      <c r="C4" s="699" t="s">
        <v>654</v>
      </c>
      <c r="D4" s="699" t="s">
        <v>660</v>
      </c>
      <c r="E4" s="699" t="s">
        <v>670</v>
      </c>
      <c r="F4" s="700" t="s">
        <v>659</v>
      </c>
    </row>
    <row r="5" spans="2:7" ht="15" customHeight="1" x14ac:dyDescent="0.2">
      <c r="B5" s="509"/>
      <c r="C5" s="509"/>
      <c r="D5" s="510"/>
      <c r="E5" s="737"/>
      <c r="F5" s="701">
        <f>E5*D5</f>
        <v>0</v>
      </c>
    </row>
    <row r="6" spans="2:7" ht="15" customHeight="1" x14ac:dyDescent="0.2">
      <c r="B6" s="509"/>
      <c r="C6" s="509"/>
      <c r="D6" s="510"/>
      <c r="E6" s="737"/>
      <c r="F6" s="701">
        <f t="shared" ref="F6:F9" si="0">E6*D6</f>
        <v>0</v>
      </c>
    </row>
    <row r="7" spans="2:7" ht="15" customHeight="1" x14ac:dyDescent="0.2">
      <c r="B7" s="509"/>
      <c r="C7" s="509"/>
      <c r="D7" s="510"/>
      <c r="E7" s="737"/>
      <c r="F7" s="701">
        <f t="shared" si="0"/>
        <v>0</v>
      </c>
    </row>
    <row r="8" spans="2:7" ht="15" customHeight="1" x14ac:dyDescent="0.2">
      <c r="B8" s="509"/>
      <c r="C8" s="509"/>
      <c r="D8" s="510"/>
      <c r="E8" s="737"/>
      <c r="F8" s="701">
        <f t="shared" si="0"/>
        <v>0</v>
      </c>
    </row>
    <row r="9" spans="2:7" ht="15" customHeight="1" thickBot="1" x14ac:dyDescent="0.25">
      <c r="B9" s="511"/>
      <c r="C9" s="511"/>
      <c r="D9" s="512"/>
      <c r="E9" s="738"/>
      <c r="F9" s="701">
        <f t="shared" si="0"/>
        <v>0</v>
      </c>
    </row>
    <row r="10" spans="2:7" ht="18.75" thickBot="1" x14ac:dyDescent="0.3">
      <c r="B10" s="702" t="s">
        <v>655</v>
      </c>
      <c r="C10" s="703"/>
      <c r="D10" s="704" t="str">
        <f>IF(SUM(D5:D9)=0,"",SUM(D5:D9))</f>
        <v/>
      </c>
      <c r="E10" s="705" t="str">
        <f>IFERROR(F10/D10,"")</f>
        <v/>
      </c>
      <c r="F10" s="706">
        <f>SUM(F5:F9)</f>
        <v>0</v>
      </c>
      <c r="G10" s="707"/>
    </row>
    <row r="11" spans="2:7" x14ac:dyDescent="0.2">
      <c r="B11" s="708" t="s">
        <v>724</v>
      </c>
    </row>
    <row r="12" spans="2:7" ht="13.5" thickBot="1" x14ac:dyDescent="0.25"/>
    <row r="13" spans="2:7" ht="17.25" thickBot="1" x14ac:dyDescent="0.3">
      <c r="B13" s="806" t="s">
        <v>657</v>
      </c>
      <c r="C13" s="807"/>
      <c r="D13" s="807"/>
      <c r="E13" s="807"/>
      <c r="F13" s="808"/>
    </row>
    <row r="14" spans="2:7" x14ac:dyDescent="0.2"/>
    <row r="15" spans="2:7" ht="25.5" x14ac:dyDescent="0.2">
      <c r="B15" s="698" t="s">
        <v>664</v>
      </c>
      <c r="C15" s="699" t="s">
        <v>658</v>
      </c>
      <c r="D15" s="699" t="s">
        <v>661</v>
      </c>
      <c r="E15" s="699" t="s">
        <v>671</v>
      </c>
      <c r="F15" s="700" t="s">
        <v>663</v>
      </c>
    </row>
    <row r="16" spans="2:7" x14ac:dyDescent="0.2">
      <c r="B16" s="509"/>
      <c r="C16" s="509"/>
      <c r="D16" s="510"/>
      <c r="E16" s="737"/>
      <c r="F16" s="701">
        <f>E16*D16</f>
        <v>0</v>
      </c>
    </row>
    <row r="17" spans="2:6" x14ac:dyDescent="0.2">
      <c r="B17" s="509"/>
      <c r="C17" s="509"/>
      <c r="D17" s="510"/>
      <c r="E17" s="737"/>
      <c r="F17" s="701">
        <f>E17*D17</f>
        <v>0</v>
      </c>
    </row>
    <row r="18" spans="2:6" x14ac:dyDescent="0.2">
      <c r="B18" s="509"/>
      <c r="C18" s="509"/>
      <c r="D18" s="510"/>
      <c r="E18" s="737"/>
      <c r="F18" s="701">
        <f>E18*D18</f>
        <v>0</v>
      </c>
    </row>
    <row r="19" spans="2:6" x14ac:dyDescent="0.2">
      <c r="B19" s="509"/>
      <c r="C19" s="509"/>
      <c r="D19" s="510"/>
      <c r="E19" s="737"/>
      <c r="F19" s="701">
        <f>E19*D19</f>
        <v>0</v>
      </c>
    </row>
    <row r="20" spans="2:6" ht="13.5" thickBot="1" x14ac:dyDescent="0.25">
      <c r="B20" s="511"/>
      <c r="C20" s="511"/>
      <c r="D20" s="512"/>
      <c r="E20" s="738"/>
      <c r="F20" s="709">
        <f>E20*D20</f>
        <v>0</v>
      </c>
    </row>
    <row r="21" spans="2:6" ht="18.75" thickBot="1" x14ac:dyDescent="0.3">
      <c r="B21" s="702" t="s">
        <v>662</v>
      </c>
      <c r="C21" s="703"/>
      <c r="D21" s="704" t="str">
        <f>IF(SUM(D16:D20)=0,"",SUM(D16:D20))</f>
        <v/>
      </c>
      <c r="E21" s="705" t="str">
        <f>IFERROR(F21/D21,"")</f>
        <v/>
      </c>
      <c r="F21" s="706">
        <f>SUM(F16:F20)</f>
        <v>0</v>
      </c>
    </row>
    <row r="22" spans="2:6" x14ac:dyDescent="0.2">
      <c r="B22" s="708" t="s">
        <v>725</v>
      </c>
    </row>
    <row r="23" spans="2:6" x14ac:dyDescent="0.2">
      <c r="E23" s="535" t="b">
        <v>0</v>
      </c>
    </row>
    <row r="24" spans="2:6" x14ac:dyDescent="0.2">
      <c r="B24" s="339" t="s">
        <v>707</v>
      </c>
    </row>
    <row r="25" spans="2:6" x14ac:dyDescent="0.2"/>
    <row r="33" s="697" customFormat="1" hidden="1" x14ac:dyDescent="0.2"/>
    <row r="34" s="697" customFormat="1" hidden="1" x14ac:dyDescent="0.2"/>
    <row r="35" s="697" customFormat="1" hidden="1" x14ac:dyDescent="0.2"/>
    <row r="36" s="697" customFormat="1" hidden="1" x14ac:dyDescent="0.2"/>
    <row r="37" s="697" customFormat="1" hidden="1" x14ac:dyDescent="0.2"/>
    <row r="38" s="697" customFormat="1" hidden="1" x14ac:dyDescent="0.2"/>
    <row r="39" s="697" customFormat="1" hidden="1" x14ac:dyDescent="0.2"/>
    <row r="40" s="697" customFormat="1" hidden="1" x14ac:dyDescent="0.2"/>
    <row r="41" s="697" customFormat="1" hidden="1" x14ac:dyDescent="0.2"/>
    <row r="42" s="697" customFormat="1" hidden="1" x14ac:dyDescent="0.2"/>
    <row r="43" s="697" customFormat="1" hidden="1" x14ac:dyDescent="0.2"/>
  </sheetData>
  <sheetProtection algorithmName="SHA-512" hashValue="m0OAj1Fnp3JtOGGVTRuDvZdachqak5LDeBnCCv1GJ1e2oXDJB8AAPBb7LcKHww2M7qZmdrmQM9BkCpIG4PSYrQ==" saltValue="ZNUf/npE+gwyzHX5nJcNwg==" spinCount="100000" sheet="1" objects="1" scenarios="1" selectLockedCells="1"/>
  <mergeCells count="2">
    <mergeCell ref="B2:F2"/>
    <mergeCell ref="B13:F13"/>
  </mergeCells>
  <dataValidations count="1">
    <dataValidation allowBlank="1" showErrorMessage="1" promptTitle="Roadway Classification" prompt="Please select appropriate classification as per the City of Fort Worth Thoroughfare Plan." sqref="C4:E4 C15:E15" xr:uid="{00000000-0002-0000-0300-000000000000}"/>
  </dataValidations>
  <hyperlinks>
    <hyperlink ref="B24" r:id="rId1" xr:uid="{C967E3A3-2EEE-47F6-952F-CF01FC1D1959}"/>
  </hyperlinks>
  <pageMargins left="0.7" right="0.7" top="0.75" bottom="0.75" header="0.3" footer="0.3"/>
  <pageSetup scale="80"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5601" r:id="rId5" name="Button 1">
              <controlPr defaultSize="0" print="0" autoFill="0" autoPict="0" macro="[0]!UpdateAccess">
                <anchor moveWithCells="1" sizeWithCells="1">
                  <from>
                    <xdr:col>6</xdr:col>
                    <xdr:colOff>180975</xdr:colOff>
                    <xdr:row>1</xdr:row>
                    <xdr:rowOff>28575</xdr:rowOff>
                  </from>
                  <to>
                    <xdr:col>6</xdr:col>
                    <xdr:colOff>857250</xdr:colOff>
                    <xdr:row>3</xdr:row>
                    <xdr:rowOff>57150</xdr:rowOff>
                  </to>
                </anchor>
              </controlPr>
            </control>
          </mc:Choice>
        </mc:AlternateContent>
        <mc:AlternateContent xmlns:mc="http://schemas.openxmlformats.org/markup-compatibility/2006">
          <mc:Choice Requires="x14">
            <control shapeId="25602" r:id="rId6" name="Check Box 2">
              <controlPr defaultSize="0" autoFill="0" autoLine="0" autoPict="0">
                <anchor moveWithCells="1">
                  <from>
                    <xdr:col>2</xdr:col>
                    <xdr:colOff>2238375</xdr:colOff>
                    <xdr:row>21</xdr:row>
                    <xdr:rowOff>85725</xdr:rowOff>
                  </from>
                  <to>
                    <xdr:col>3</xdr:col>
                    <xdr:colOff>1381125</xdr:colOff>
                    <xdr:row>24</xdr:row>
                    <xdr:rowOff>85725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46A29B-C927-47F2-B66E-E5D9D9B7D087}">
  <sheetPr codeName="Sheet15">
    <tabColor rgb="FF00B0F0"/>
    <pageSetUpPr fitToPage="1"/>
  </sheetPr>
  <dimension ref="A1:V36"/>
  <sheetViews>
    <sheetView showGridLines="0" topLeftCell="B1" zoomScale="115" zoomScaleNormal="115" workbookViewId="0">
      <selection activeCell="B17" sqref="B17"/>
    </sheetView>
  </sheetViews>
  <sheetFormatPr defaultColWidth="0" defaultRowHeight="12.75" zeroHeight="1" x14ac:dyDescent="0.2"/>
  <cols>
    <col min="1" max="1" width="9.140625" style="541" customWidth="1"/>
    <col min="2" max="2" width="19.42578125" style="541" customWidth="1"/>
    <col min="3" max="3" width="22.85546875" style="541" bestFit="1" customWidth="1"/>
    <col min="4" max="4" width="19.140625" style="541" bestFit="1" customWidth="1"/>
    <col min="5" max="5" width="10.5703125" style="541" bestFit="1" customWidth="1"/>
    <col min="6" max="6" width="11.85546875" style="541" bestFit="1" customWidth="1"/>
    <col min="7" max="7" width="11" style="541" customWidth="1"/>
    <col min="8" max="8" width="11.5703125" style="541" bestFit="1" customWidth="1"/>
    <col min="9" max="9" width="11" style="541" bestFit="1" customWidth="1"/>
    <col min="10" max="10" width="11.42578125" style="541" bestFit="1" customWidth="1"/>
    <col min="11" max="11" width="15.140625" style="541" bestFit="1" customWidth="1"/>
    <col min="12" max="12" width="9.140625" style="541" customWidth="1"/>
    <col min="13" max="13" width="13.85546875" style="541" hidden="1" customWidth="1"/>
    <col min="14" max="14" width="14.7109375" style="541" hidden="1" customWidth="1"/>
    <col min="15" max="15" width="15.28515625" style="541" hidden="1" customWidth="1"/>
    <col min="16" max="16" width="23.85546875" style="541" hidden="1" customWidth="1"/>
    <col min="17" max="17" width="9.140625" style="541" hidden="1" customWidth="1"/>
    <col min="18" max="18" width="5.5703125" style="541" hidden="1" customWidth="1"/>
    <col min="19" max="19" width="24.28515625" style="541" hidden="1" customWidth="1"/>
    <col min="20" max="20" width="9.140625" style="541" hidden="1" customWidth="1"/>
    <col min="21" max="21" width="14.42578125" style="541" hidden="1" customWidth="1"/>
    <col min="22" max="22" width="9.140625" style="541" customWidth="1"/>
    <col min="23" max="16384" width="9.140625" style="541" hidden="1"/>
  </cols>
  <sheetData>
    <row r="1" spans="2:21" ht="13.5" thickBot="1" x14ac:dyDescent="0.25"/>
    <row r="2" spans="2:21" ht="18.75" thickBot="1" x14ac:dyDescent="0.3">
      <c r="B2" s="702" t="s">
        <v>708</v>
      </c>
      <c r="C2" s="703"/>
      <c r="D2" s="703"/>
      <c r="E2" s="703"/>
      <c r="F2" s="703"/>
      <c r="G2" s="703"/>
      <c r="H2" s="703"/>
      <c r="I2" s="703"/>
      <c r="J2" s="703"/>
      <c r="K2" s="710"/>
    </row>
    <row r="3" spans="2:21" x14ac:dyDescent="0.2">
      <c r="B3" s="697"/>
      <c r="C3" s="697"/>
      <c r="D3" s="697"/>
      <c r="E3" s="697"/>
      <c r="F3" s="697"/>
      <c r="G3" s="697"/>
      <c r="H3" s="697"/>
      <c r="I3" s="697"/>
      <c r="J3" s="697"/>
      <c r="K3" s="697"/>
    </row>
    <row r="4" spans="2:21" ht="30.75" customHeight="1" x14ac:dyDescent="0.2">
      <c r="B4" s="698" t="s">
        <v>672</v>
      </c>
      <c r="C4" s="699" t="s">
        <v>673</v>
      </c>
      <c r="D4" s="699" t="s">
        <v>674</v>
      </c>
      <c r="E4" s="699" t="s">
        <v>697</v>
      </c>
      <c r="F4" s="699" t="s">
        <v>678</v>
      </c>
      <c r="G4" s="699" t="s">
        <v>706</v>
      </c>
      <c r="H4" s="699" t="s">
        <v>676</v>
      </c>
      <c r="I4" s="699" t="s">
        <v>677</v>
      </c>
      <c r="J4" s="699" t="s">
        <v>705</v>
      </c>
      <c r="K4" s="700" t="s">
        <v>679</v>
      </c>
      <c r="M4" s="699" t="s">
        <v>709</v>
      </c>
      <c r="N4" s="699" t="s">
        <v>710</v>
      </c>
      <c r="O4" s="699" t="s">
        <v>711</v>
      </c>
      <c r="P4" s="699" t="s">
        <v>712</v>
      </c>
      <c r="R4" s="711" t="s">
        <v>696</v>
      </c>
      <c r="S4" s="711" t="s">
        <v>680</v>
      </c>
      <c r="T4" s="711" t="s">
        <v>697</v>
      </c>
      <c r="U4" s="712" t="s">
        <v>704</v>
      </c>
    </row>
    <row r="5" spans="2:21" x14ac:dyDescent="0.2">
      <c r="B5" s="509"/>
      <c r="C5" s="509"/>
      <c r="D5" s="534"/>
      <c r="E5" s="713" t="str">
        <f>IF(B5="","",VLOOKUP(B5,$S$5:$U$18,2,FALSE))</f>
        <v/>
      </c>
      <c r="F5" s="713" t="str">
        <f>IF(B5="","",VLOOKUP(B5,$S$5:$U$18,3,FALSE))</f>
        <v/>
      </c>
      <c r="G5" s="531"/>
      <c r="H5" s="532"/>
      <c r="I5" s="532"/>
      <c r="J5" s="701" t="str">
        <f>IF(B5="","",IF(E5="Count", G5,IF(E5="LF",H5,IF(E5="SF",H5*I5))))</f>
        <v/>
      </c>
      <c r="K5" s="713" t="str">
        <f>IF(B5="","",J5*F5)</f>
        <v/>
      </c>
      <c r="M5" s="714">
        <v>1</v>
      </c>
      <c r="N5" s="715">
        <v>5</v>
      </c>
      <c r="O5" s="715"/>
      <c r="P5" s="715"/>
      <c r="R5" s="716">
        <v>1</v>
      </c>
      <c r="S5" s="716" t="s">
        <v>681</v>
      </c>
      <c r="T5" s="716" t="s">
        <v>700</v>
      </c>
      <c r="U5" s="717">
        <v>24</v>
      </c>
    </row>
    <row r="6" spans="2:21" x14ac:dyDescent="0.2">
      <c r="B6" s="509"/>
      <c r="C6" s="509"/>
      <c r="D6" s="534"/>
      <c r="E6" s="713" t="str">
        <f t="shared" ref="E6:E18" si="0">IF(B6="","",VLOOKUP(B6,$S$5:$U$18,2,FALSE))</f>
        <v/>
      </c>
      <c r="F6" s="713" t="str">
        <f t="shared" ref="F6:F18" si="1">IF(B6="","",VLOOKUP(B6,$S$5:$U$18,3,FALSE))</f>
        <v/>
      </c>
      <c r="G6" s="531"/>
      <c r="H6" s="532"/>
      <c r="I6" s="532"/>
      <c r="J6" s="701" t="str">
        <f t="shared" ref="J6:J18" si="2">IF(B6="","",IF(E6="Count", G6,IF(E6="LF",H6,IF(E6="SF",H6*I6))))</f>
        <v/>
      </c>
      <c r="K6" s="713" t="str">
        <f t="shared" ref="K6:K18" si="3">IF(B6="","",J6*F6)</f>
        <v/>
      </c>
      <c r="M6" s="714">
        <v>2</v>
      </c>
      <c r="N6" s="715">
        <v>6</v>
      </c>
      <c r="O6" s="715">
        <v>7</v>
      </c>
      <c r="P6" s="715">
        <v>12</v>
      </c>
      <c r="R6" s="716">
        <v>2</v>
      </c>
      <c r="S6" s="716" t="s">
        <v>683</v>
      </c>
      <c r="T6" s="716" t="s">
        <v>700</v>
      </c>
      <c r="U6" s="717">
        <v>30</v>
      </c>
    </row>
    <row r="7" spans="2:21" x14ac:dyDescent="0.2">
      <c r="B7" s="509"/>
      <c r="C7" s="509"/>
      <c r="D7" s="534"/>
      <c r="E7" s="713" t="str">
        <f t="shared" si="0"/>
        <v/>
      </c>
      <c r="F7" s="713" t="str">
        <f t="shared" si="1"/>
        <v/>
      </c>
      <c r="G7" s="531"/>
      <c r="H7" s="532"/>
      <c r="I7" s="532"/>
      <c r="J7" s="701" t="str">
        <f t="shared" si="2"/>
        <v/>
      </c>
      <c r="K7" s="713" t="str">
        <f t="shared" si="3"/>
        <v/>
      </c>
      <c r="M7" s="714">
        <v>3</v>
      </c>
      <c r="N7" s="715">
        <v>7</v>
      </c>
      <c r="O7" s="715">
        <v>8</v>
      </c>
      <c r="P7" s="715">
        <v>12</v>
      </c>
      <c r="R7" s="716">
        <v>3</v>
      </c>
      <c r="S7" s="716" t="s">
        <v>684</v>
      </c>
      <c r="T7" s="716" t="s">
        <v>700</v>
      </c>
      <c r="U7" s="717">
        <v>30</v>
      </c>
    </row>
    <row r="8" spans="2:21" x14ac:dyDescent="0.2">
      <c r="B8" s="509"/>
      <c r="C8" s="509"/>
      <c r="D8" s="534"/>
      <c r="E8" s="713" t="str">
        <f t="shared" si="0"/>
        <v/>
      </c>
      <c r="F8" s="713" t="str">
        <f t="shared" si="1"/>
        <v/>
      </c>
      <c r="G8" s="531"/>
      <c r="H8" s="532"/>
      <c r="I8" s="532"/>
      <c r="J8" s="701" t="str">
        <f t="shared" si="2"/>
        <v/>
      </c>
      <c r="K8" s="713" t="str">
        <f t="shared" si="3"/>
        <v/>
      </c>
      <c r="M8" s="714">
        <v>4</v>
      </c>
      <c r="N8" s="715">
        <v>7</v>
      </c>
      <c r="O8" s="715">
        <v>8</v>
      </c>
      <c r="P8" s="715">
        <v>12</v>
      </c>
      <c r="R8" s="716">
        <v>4</v>
      </c>
      <c r="S8" s="716" t="s">
        <v>682</v>
      </c>
      <c r="T8" s="716" t="s">
        <v>699</v>
      </c>
      <c r="U8" s="717">
        <v>3500</v>
      </c>
    </row>
    <row r="9" spans="2:21" x14ac:dyDescent="0.2">
      <c r="B9" s="509"/>
      <c r="C9" s="509"/>
      <c r="D9" s="534"/>
      <c r="E9" s="713" t="str">
        <f t="shared" si="0"/>
        <v/>
      </c>
      <c r="F9" s="713" t="str">
        <f t="shared" si="1"/>
        <v/>
      </c>
      <c r="G9" s="531"/>
      <c r="H9" s="532"/>
      <c r="I9" s="532"/>
      <c r="J9" s="701" t="str">
        <f t="shared" si="2"/>
        <v/>
      </c>
      <c r="K9" s="713" t="str">
        <f t="shared" si="3"/>
        <v/>
      </c>
      <c r="R9" s="716">
        <v>5</v>
      </c>
      <c r="S9" s="716" t="s">
        <v>692</v>
      </c>
      <c r="T9" s="716" t="s">
        <v>698</v>
      </c>
      <c r="U9" s="717">
        <v>30</v>
      </c>
    </row>
    <row r="10" spans="2:21" x14ac:dyDescent="0.2">
      <c r="B10" s="509"/>
      <c r="C10" s="509"/>
      <c r="D10" s="534"/>
      <c r="E10" s="713" t="str">
        <f t="shared" si="0"/>
        <v/>
      </c>
      <c r="F10" s="713" t="str">
        <f t="shared" si="1"/>
        <v/>
      </c>
      <c r="G10" s="531"/>
      <c r="H10" s="532"/>
      <c r="I10" s="532"/>
      <c r="J10" s="701" t="str">
        <f t="shared" si="2"/>
        <v/>
      </c>
      <c r="K10" s="713" t="str">
        <f t="shared" si="3"/>
        <v/>
      </c>
      <c r="M10" s="714" t="s">
        <v>713</v>
      </c>
      <c r="N10" s="812" t="s">
        <v>720</v>
      </c>
      <c r="O10" s="812"/>
      <c r="P10" s="812"/>
      <c r="R10" s="716">
        <v>6</v>
      </c>
      <c r="S10" s="716" t="s">
        <v>690</v>
      </c>
      <c r="T10" s="716" t="s">
        <v>699</v>
      </c>
      <c r="U10" s="717">
        <v>25000</v>
      </c>
    </row>
    <row r="11" spans="2:21" x14ac:dyDescent="0.2">
      <c r="B11" s="509"/>
      <c r="C11" s="509"/>
      <c r="D11" s="534"/>
      <c r="E11" s="713" t="str">
        <f t="shared" si="0"/>
        <v/>
      </c>
      <c r="F11" s="713" t="str">
        <f t="shared" si="1"/>
        <v/>
      </c>
      <c r="G11" s="531"/>
      <c r="H11" s="532"/>
      <c r="I11" s="532"/>
      <c r="J11" s="701" t="str">
        <f t="shared" si="2"/>
        <v/>
      </c>
      <c r="K11" s="713" t="str">
        <f t="shared" si="3"/>
        <v/>
      </c>
      <c r="M11" s="714" t="s">
        <v>714</v>
      </c>
      <c r="N11" s="813" t="s">
        <v>719</v>
      </c>
      <c r="O11" s="814"/>
      <c r="P11" s="815"/>
      <c r="R11" s="716">
        <v>7</v>
      </c>
      <c r="S11" s="716" t="s">
        <v>695</v>
      </c>
      <c r="T11" s="716" t="s">
        <v>698</v>
      </c>
      <c r="U11" s="717">
        <v>40</v>
      </c>
    </row>
    <row r="12" spans="2:21" x14ac:dyDescent="0.2">
      <c r="B12" s="509"/>
      <c r="C12" s="509"/>
      <c r="D12" s="534"/>
      <c r="E12" s="713" t="str">
        <f t="shared" si="0"/>
        <v/>
      </c>
      <c r="F12" s="713" t="str">
        <f t="shared" si="1"/>
        <v/>
      </c>
      <c r="G12" s="531"/>
      <c r="H12" s="532"/>
      <c r="I12" s="532"/>
      <c r="J12" s="701" t="str">
        <f t="shared" si="2"/>
        <v/>
      </c>
      <c r="K12" s="713" t="str">
        <f t="shared" si="3"/>
        <v/>
      </c>
      <c r="M12" s="714" t="s">
        <v>715</v>
      </c>
      <c r="N12" s="816" t="s">
        <v>718</v>
      </c>
      <c r="O12" s="814"/>
      <c r="P12" s="815"/>
      <c r="R12" s="716">
        <v>8</v>
      </c>
      <c r="S12" s="716" t="s">
        <v>691</v>
      </c>
      <c r="T12" s="716" t="s">
        <v>699</v>
      </c>
      <c r="U12" s="717">
        <v>500000</v>
      </c>
    </row>
    <row r="13" spans="2:21" x14ac:dyDescent="0.2">
      <c r="B13" s="509"/>
      <c r="C13" s="509"/>
      <c r="D13" s="534"/>
      <c r="E13" s="713" t="str">
        <f t="shared" si="0"/>
        <v/>
      </c>
      <c r="F13" s="713" t="str">
        <f t="shared" si="1"/>
        <v/>
      </c>
      <c r="G13" s="531"/>
      <c r="H13" s="532"/>
      <c r="I13" s="532"/>
      <c r="J13" s="701" t="str">
        <f t="shared" si="2"/>
        <v/>
      </c>
      <c r="K13" s="713" t="str">
        <f t="shared" si="3"/>
        <v/>
      </c>
      <c r="R13" s="716">
        <v>9</v>
      </c>
      <c r="S13" s="716" t="s">
        <v>688</v>
      </c>
      <c r="T13" s="716" t="s">
        <v>699</v>
      </c>
      <c r="U13" s="717">
        <v>300000</v>
      </c>
    </row>
    <row r="14" spans="2:21" x14ac:dyDescent="0.2">
      <c r="B14" s="509"/>
      <c r="C14" s="509"/>
      <c r="D14" s="534"/>
      <c r="E14" s="713" t="str">
        <f t="shared" si="0"/>
        <v/>
      </c>
      <c r="F14" s="713" t="str">
        <f t="shared" si="1"/>
        <v/>
      </c>
      <c r="G14" s="531"/>
      <c r="H14" s="532"/>
      <c r="I14" s="532"/>
      <c r="J14" s="701" t="str">
        <f t="shared" si="2"/>
        <v/>
      </c>
      <c r="K14" s="713" t="str">
        <f t="shared" si="3"/>
        <v/>
      </c>
      <c r="R14" s="716">
        <v>10</v>
      </c>
      <c r="S14" s="716" t="s">
        <v>687</v>
      </c>
      <c r="T14" s="716" t="s">
        <v>699</v>
      </c>
      <c r="U14" s="717">
        <v>20000</v>
      </c>
    </row>
    <row r="15" spans="2:21" x14ac:dyDescent="0.2">
      <c r="B15" s="509"/>
      <c r="C15" s="509"/>
      <c r="D15" s="534"/>
      <c r="E15" s="713" t="str">
        <f t="shared" si="0"/>
        <v/>
      </c>
      <c r="F15" s="713" t="str">
        <f t="shared" si="1"/>
        <v/>
      </c>
      <c r="G15" s="531"/>
      <c r="H15" s="532"/>
      <c r="I15" s="532"/>
      <c r="J15" s="701" t="str">
        <f t="shared" si="2"/>
        <v/>
      </c>
      <c r="K15" s="713" t="str">
        <f t="shared" si="3"/>
        <v/>
      </c>
      <c r="R15" s="716">
        <v>11</v>
      </c>
      <c r="S15" s="716" t="s">
        <v>686</v>
      </c>
      <c r="T15" s="716" t="s">
        <v>698</v>
      </c>
      <c r="U15" s="717">
        <v>200</v>
      </c>
    </row>
    <row r="16" spans="2:21" x14ac:dyDescent="0.2">
      <c r="B16" s="509"/>
      <c r="C16" s="509"/>
      <c r="D16" s="534"/>
      <c r="E16" s="713" t="str">
        <f t="shared" si="0"/>
        <v/>
      </c>
      <c r="F16" s="713" t="str">
        <f t="shared" si="1"/>
        <v/>
      </c>
      <c r="G16" s="531"/>
      <c r="H16" s="532"/>
      <c r="I16" s="532"/>
      <c r="J16" s="701" t="str">
        <f t="shared" si="2"/>
        <v/>
      </c>
      <c r="K16" s="713" t="str">
        <f t="shared" si="3"/>
        <v/>
      </c>
      <c r="R16" s="716">
        <v>12</v>
      </c>
      <c r="S16" s="716" t="s">
        <v>685</v>
      </c>
      <c r="T16" s="716" t="s">
        <v>698</v>
      </c>
      <c r="U16" s="717">
        <v>200</v>
      </c>
    </row>
    <row r="17" spans="2:21" x14ac:dyDescent="0.2">
      <c r="B17" s="509"/>
      <c r="C17" s="509"/>
      <c r="D17" s="534"/>
      <c r="E17" s="713" t="str">
        <f t="shared" si="0"/>
        <v/>
      </c>
      <c r="F17" s="713" t="str">
        <f t="shared" si="1"/>
        <v/>
      </c>
      <c r="G17" s="531"/>
      <c r="H17" s="532"/>
      <c r="I17" s="532"/>
      <c r="J17" s="701" t="str">
        <f t="shared" si="2"/>
        <v/>
      </c>
      <c r="K17" s="713" t="str">
        <f t="shared" si="3"/>
        <v/>
      </c>
      <c r="R17" s="716">
        <v>13</v>
      </c>
      <c r="S17" s="716" t="s">
        <v>701</v>
      </c>
      <c r="T17" s="716" t="s">
        <v>699</v>
      </c>
      <c r="U17" s="717">
        <v>250</v>
      </c>
    </row>
    <row r="18" spans="2:21" x14ac:dyDescent="0.2">
      <c r="B18" s="509"/>
      <c r="C18" s="509"/>
      <c r="D18" s="534"/>
      <c r="E18" s="713" t="str">
        <f t="shared" si="0"/>
        <v/>
      </c>
      <c r="F18" s="713" t="str">
        <f t="shared" si="1"/>
        <v/>
      </c>
      <c r="G18" s="531"/>
      <c r="H18" s="532"/>
      <c r="I18" s="532"/>
      <c r="J18" s="701" t="str">
        <f t="shared" si="2"/>
        <v/>
      </c>
      <c r="K18" s="713" t="str">
        <f t="shared" si="3"/>
        <v/>
      </c>
      <c r="R18" s="716">
        <v>14</v>
      </c>
      <c r="S18" s="716" t="s">
        <v>702</v>
      </c>
      <c r="T18" s="716" t="s">
        <v>698</v>
      </c>
      <c r="U18" s="717">
        <v>5</v>
      </c>
    </row>
    <row r="19" spans="2:21" x14ac:dyDescent="0.2">
      <c r="B19" s="809" t="s">
        <v>717</v>
      </c>
      <c r="C19" s="810"/>
      <c r="D19" s="810"/>
      <c r="E19" s="810"/>
      <c r="F19" s="810"/>
      <c r="G19" s="810"/>
      <c r="H19" s="810"/>
      <c r="I19" s="810"/>
      <c r="J19" s="810"/>
      <c r="K19" s="811"/>
      <c r="R19" s="716">
        <v>15</v>
      </c>
      <c r="S19" s="716" t="s">
        <v>694</v>
      </c>
      <c r="T19" s="718" t="s">
        <v>703</v>
      </c>
      <c r="U19" s="717"/>
    </row>
    <row r="20" spans="2:21" x14ac:dyDescent="0.2">
      <c r="B20" s="509"/>
      <c r="C20" s="509"/>
      <c r="D20" s="534"/>
      <c r="E20" s="509"/>
      <c r="F20" s="533"/>
      <c r="G20" s="532"/>
      <c r="H20" s="532"/>
      <c r="I20" s="532"/>
      <c r="J20" s="532"/>
      <c r="K20" s="533"/>
      <c r="R20" s="716">
        <v>16</v>
      </c>
      <c r="S20" s="716" t="s">
        <v>693</v>
      </c>
      <c r="T20" s="716" t="s">
        <v>703</v>
      </c>
      <c r="U20" s="717"/>
    </row>
    <row r="21" spans="2:21" x14ac:dyDescent="0.2">
      <c r="B21" s="509"/>
      <c r="C21" s="509"/>
      <c r="D21" s="534"/>
      <c r="E21" s="509"/>
      <c r="F21" s="533"/>
      <c r="G21" s="532"/>
      <c r="H21" s="532"/>
      <c r="I21" s="532"/>
      <c r="J21" s="532"/>
      <c r="K21" s="533"/>
      <c r="R21" s="719">
        <v>17</v>
      </c>
      <c r="S21" s="719" t="s">
        <v>689</v>
      </c>
      <c r="T21" s="719" t="s">
        <v>703</v>
      </c>
      <c r="U21" s="720"/>
    </row>
    <row r="22" spans="2:21" x14ac:dyDescent="0.2">
      <c r="B22" s="509"/>
      <c r="C22" s="509"/>
      <c r="D22" s="534"/>
      <c r="E22" s="509"/>
      <c r="F22" s="533"/>
      <c r="G22" s="532"/>
      <c r="H22" s="532"/>
      <c r="I22" s="532"/>
      <c r="J22" s="532"/>
      <c r="K22" s="533"/>
      <c r="R22" s="721"/>
      <c r="S22" s="721"/>
      <c r="T22" s="721"/>
      <c r="U22" s="721"/>
    </row>
    <row r="23" spans="2:21" x14ac:dyDescent="0.2">
      <c r="B23" s="509"/>
      <c r="C23" s="509"/>
      <c r="D23" s="534"/>
      <c r="E23" s="509"/>
      <c r="F23" s="533"/>
      <c r="G23" s="532"/>
      <c r="H23" s="532"/>
      <c r="I23" s="532"/>
      <c r="J23" s="532"/>
      <c r="K23" s="533"/>
      <c r="R23" s="721"/>
      <c r="S23" s="721"/>
      <c r="T23" s="721"/>
      <c r="U23" s="721"/>
    </row>
    <row r="24" spans="2:21" x14ac:dyDescent="0.2">
      <c r="B24" s="509"/>
      <c r="C24" s="509"/>
      <c r="D24" s="534"/>
      <c r="E24" s="509"/>
      <c r="F24" s="533"/>
      <c r="G24" s="532"/>
      <c r="H24" s="532"/>
      <c r="I24" s="532"/>
      <c r="J24" s="532"/>
      <c r="K24" s="533"/>
    </row>
    <row r="25" spans="2:21" x14ac:dyDescent="0.2">
      <c r="B25" s="509"/>
      <c r="C25" s="509"/>
      <c r="D25" s="534"/>
      <c r="E25" s="509"/>
      <c r="F25" s="533"/>
      <c r="G25" s="532"/>
      <c r="H25" s="532"/>
      <c r="I25" s="532"/>
      <c r="J25" s="532"/>
      <c r="K25" s="533"/>
    </row>
    <row r="26" spans="2:21" ht="13.5" thickBot="1" x14ac:dyDescent="0.25">
      <c r="B26" s="509"/>
      <c r="C26" s="509"/>
      <c r="D26" s="534"/>
      <c r="E26" s="509"/>
      <c r="F26" s="533"/>
      <c r="G26" s="532"/>
      <c r="H26" s="532"/>
      <c r="I26" s="532"/>
      <c r="J26" s="532"/>
      <c r="K26" s="533"/>
    </row>
    <row r="27" spans="2:21" ht="18.75" thickBot="1" x14ac:dyDescent="0.3">
      <c r="B27" s="702" t="s">
        <v>675</v>
      </c>
      <c r="C27" s="703"/>
      <c r="D27" s="722"/>
      <c r="E27" s="723"/>
      <c r="F27" s="723"/>
      <c r="G27" s="723"/>
      <c r="H27" s="723"/>
      <c r="I27" s="723"/>
      <c r="J27" s="723"/>
      <c r="K27" s="724">
        <f>SUM(K5:K18)+SUM(K20:K26)</f>
        <v>0</v>
      </c>
    </row>
    <row r="28" spans="2:21" x14ac:dyDescent="0.2"/>
    <row r="29" spans="2:21" x14ac:dyDescent="0.2"/>
    <row r="30" spans="2:21" x14ac:dyDescent="0.2"/>
    <row r="31" spans="2:21" x14ac:dyDescent="0.2"/>
    <row r="32" spans="2:21" x14ac:dyDescent="0.2"/>
    <row r="33" spans="2:2" x14ac:dyDescent="0.2"/>
    <row r="34" spans="2:2" x14ac:dyDescent="0.2"/>
    <row r="36" spans="2:2" hidden="1" x14ac:dyDescent="0.2">
      <c r="B36" s="548"/>
    </row>
  </sheetData>
  <sheetProtection algorithmName="SHA-512" hashValue="OGLx346CVx7E1PATBaJFQ6jNp7CMWtnlJBE3v23bLOY+x4soHmsLounIvTcoH5cCO08DWhDlCKanTLTVRvc/Zg==" saltValue="LgzwxRC0ilfK2rsxbDlEtQ==" spinCount="100000" sheet="1" objects="1" scenarios="1" selectLockedCells="1"/>
  <mergeCells count="4">
    <mergeCell ref="B19:K19"/>
    <mergeCell ref="N10:P10"/>
    <mergeCell ref="N11:P11"/>
    <mergeCell ref="N12:P12"/>
  </mergeCells>
  <conditionalFormatting sqref="G5:G18">
    <cfRule type="expression" dxfId="30" priority="3">
      <formula>IF(AND(B5&lt;&gt;"",E5&lt;&gt;"Count"),TRUE,FALSE)</formula>
    </cfRule>
  </conditionalFormatting>
  <conditionalFormatting sqref="H5:H18">
    <cfRule type="expression" dxfId="29" priority="2">
      <formula>IF(AND(B5&lt;&gt;"",E5="Count"),TRUE,FALSE)</formula>
    </cfRule>
  </conditionalFormatting>
  <conditionalFormatting sqref="I5:I18">
    <cfRule type="expression" dxfId="28" priority="1">
      <formula>IF(AND(B5&lt;&gt;"",OR(E5="LF",E5="Count")),TRUE,FALSE)</formula>
    </cfRule>
  </conditionalFormatting>
  <dataValidations count="7">
    <dataValidation allowBlank="1" showErrorMessage="1" promptTitle="Roadway Classification" prompt="Please select appropriate classification as per the City of Fort Worth Thoroughfare Plan." sqref="C4:J4" xr:uid="{57060328-D82F-4BF2-AC58-72D4CD248245}"/>
    <dataValidation type="list" allowBlank="1" showInputMessage="1" showErrorMessage="1" sqref="B5:B18" xr:uid="{09294A25-7700-40A4-97DF-17260D0B41D9}">
      <formula1>$S$5:$S$18</formula1>
    </dataValidation>
    <dataValidation type="custom" allowBlank="1" showInputMessage="1" showErrorMessage="1" sqref="G6:G18" xr:uid="{E06C61DA-CB50-4FC6-9D7D-DF8BF691DF87}">
      <formula1>IF(E6="Count",TRUE,FALSE)</formula1>
    </dataValidation>
    <dataValidation type="custom" allowBlank="1" showInputMessage="1" showErrorMessage="1" errorTitle="NA" error="Not Applicable" sqref="G5" xr:uid="{C3154E25-0849-4250-9936-FBD826F70A4E}">
      <formula1>IF(E5="Count",TRUE,FALSE)</formula1>
    </dataValidation>
    <dataValidation type="custom" allowBlank="1" showInputMessage="1" showErrorMessage="1" error="Not Applicable" sqref="I5:I18" xr:uid="{D319DF54-9778-4A46-94A2-A0465FE52A3F}">
      <formula1>IF(E5="SF",TRUE,FALSE)</formula1>
    </dataValidation>
    <dataValidation type="custom" allowBlank="1" showInputMessage="1" showErrorMessage="1" error="Not applicable" sqref="H5:H18" xr:uid="{6F48C6F5-1771-4E95-9FAA-93024FCD2F96}">
      <formula1>IF(E5="Count",FALSE,TRUE)</formula1>
    </dataValidation>
    <dataValidation type="list" allowBlank="1" showInputMessage="1" showErrorMessage="1" sqref="D5:D18" xr:uid="{004E0BAE-0CA7-41B4-8A18-5FDB3837E5BE}">
      <formula1>$M$5:$M$8</formula1>
    </dataValidation>
  </dataValidations>
  <pageMargins left="0.7" right="0.7" top="0.75" bottom="0.75" header="0.3" footer="0.3"/>
  <pageSetup scale="80" fitToHeight="0"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K63"/>
  <sheetViews>
    <sheetView showGridLines="0" showRowColHeaders="0" topLeftCell="A7" workbookViewId="0">
      <selection activeCell="T9" sqref="T9"/>
    </sheetView>
  </sheetViews>
  <sheetFormatPr defaultColWidth="0" defaultRowHeight="12.75" zeroHeight="1" x14ac:dyDescent="0.2"/>
  <cols>
    <col min="1" max="11" width="9.140625" customWidth="1"/>
    <col min="12" max="16384" width="9.140625" hidden="1"/>
  </cols>
  <sheetData>
    <row r="1" x14ac:dyDescent="0.2"/>
    <row r="2" x14ac:dyDescent="0.2"/>
    <row r="3" x14ac:dyDescent="0.2"/>
    <row r="4" x14ac:dyDescent="0.2"/>
    <row r="5" x14ac:dyDescent="0.2"/>
    <row r="6" x14ac:dyDescent="0.2"/>
    <row r="7" x14ac:dyDescent="0.2"/>
    <row r="8" x14ac:dyDescent="0.2"/>
    <row r="9" x14ac:dyDescent="0.2"/>
    <row r="10" x14ac:dyDescent="0.2"/>
    <row r="11" x14ac:dyDescent="0.2"/>
    <row r="12" x14ac:dyDescent="0.2"/>
    <row r="13" x14ac:dyDescent="0.2"/>
    <row r="14" x14ac:dyDescent="0.2"/>
    <row r="15" x14ac:dyDescent="0.2"/>
    <row r="16" x14ac:dyDescent="0.2"/>
    <row r="17" x14ac:dyDescent="0.2"/>
    <row r="18" x14ac:dyDescent="0.2"/>
    <row r="19" x14ac:dyDescent="0.2"/>
    <row r="20" x14ac:dyDescent="0.2"/>
    <row r="21" x14ac:dyDescent="0.2"/>
    <row r="22" x14ac:dyDescent="0.2"/>
    <row r="23" x14ac:dyDescent="0.2"/>
    <row r="24" x14ac:dyDescent="0.2"/>
    <row r="25" x14ac:dyDescent="0.2"/>
    <row r="26" x14ac:dyDescent="0.2"/>
    <row r="27" x14ac:dyDescent="0.2"/>
    <row r="28" x14ac:dyDescent="0.2"/>
    <row r="29" x14ac:dyDescent="0.2"/>
    <row r="30" x14ac:dyDescent="0.2"/>
    <row r="31" x14ac:dyDescent="0.2"/>
    <row r="32" x14ac:dyDescent="0.2"/>
    <row r="33" x14ac:dyDescent="0.2"/>
    <row r="34" x14ac:dyDescent="0.2"/>
    <row r="35" x14ac:dyDescent="0.2"/>
    <row r="36" x14ac:dyDescent="0.2"/>
    <row r="37" x14ac:dyDescent="0.2"/>
    <row r="38" x14ac:dyDescent="0.2"/>
    <row r="39" x14ac:dyDescent="0.2"/>
    <row r="40" x14ac:dyDescent="0.2"/>
    <row r="41" x14ac:dyDescent="0.2"/>
    <row r="42" x14ac:dyDescent="0.2"/>
    <row r="43" x14ac:dyDescent="0.2"/>
    <row r="44" x14ac:dyDescent="0.2"/>
    <row r="45" x14ac:dyDescent="0.2"/>
    <row r="46" x14ac:dyDescent="0.2"/>
    <row r="47" x14ac:dyDescent="0.2"/>
    <row r="48" x14ac:dyDescent="0.2"/>
    <row r="49" x14ac:dyDescent="0.2"/>
    <row r="50" x14ac:dyDescent="0.2"/>
    <row r="51" x14ac:dyDescent="0.2"/>
    <row r="52" x14ac:dyDescent="0.2"/>
    <row r="53" x14ac:dyDescent="0.2"/>
    <row r="54" x14ac:dyDescent="0.2"/>
    <row r="55" x14ac:dyDescent="0.2"/>
    <row r="56" x14ac:dyDescent="0.2"/>
    <row r="57" x14ac:dyDescent="0.2"/>
    <row r="58" x14ac:dyDescent="0.2"/>
    <row r="59" x14ac:dyDescent="0.2"/>
    <row r="60" x14ac:dyDescent="0.2"/>
    <row r="61" x14ac:dyDescent="0.2"/>
    <row r="62" x14ac:dyDescent="0.2"/>
    <row r="63" x14ac:dyDescent="0.2"/>
  </sheetData>
  <sheetProtection password="FFAE" sheet="1" selectLockedCells="1"/>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1:D84"/>
  <sheetViews>
    <sheetView showGridLines="0" showRowColHeaders="0" zoomScale="85" zoomScaleNormal="85" workbookViewId="0">
      <pane xSplit="3" ySplit="4" topLeftCell="D5" activePane="bottomRight" state="frozen"/>
      <selection activeCell="T9" sqref="T9"/>
      <selection pane="topRight" activeCell="T9" sqref="T9"/>
      <selection pane="bottomLeft" activeCell="T9" sqref="T9"/>
      <selection pane="bottomRight" activeCell="T9" sqref="T9"/>
    </sheetView>
  </sheetViews>
  <sheetFormatPr defaultColWidth="0" defaultRowHeight="12.75" zeroHeight="1" x14ac:dyDescent="0.2"/>
  <cols>
    <col min="1" max="1" width="8.7109375" customWidth="1"/>
    <col min="2" max="2" width="45.28515625" customWidth="1"/>
    <col min="3" max="3" width="7.28515625" customWidth="1"/>
    <col min="4" max="4" width="134.5703125" bestFit="1" customWidth="1"/>
    <col min="5" max="5" width="9.140625" customWidth="1"/>
  </cols>
  <sheetData>
    <row r="1" spans="2:4" ht="71.25" customHeight="1" thickTop="1" thickBot="1" x14ac:dyDescent="0.25">
      <c r="B1" s="168" t="s">
        <v>0</v>
      </c>
      <c r="C1" s="169" t="s">
        <v>1</v>
      </c>
      <c r="D1" s="170" t="s">
        <v>129</v>
      </c>
    </row>
    <row r="2" spans="2:4" ht="15" hidden="1" customHeight="1" thickTop="1" x14ac:dyDescent="0.2">
      <c r="B2" s="171"/>
      <c r="C2" s="172"/>
      <c r="D2" s="173"/>
    </row>
    <row r="3" spans="2:4" ht="15" hidden="1" customHeight="1" thickBot="1" x14ac:dyDescent="0.25">
      <c r="B3" s="174"/>
      <c r="C3" s="175"/>
      <c r="D3" s="176"/>
    </row>
    <row r="4" spans="2:4" ht="15" hidden="1" customHeight="1" thickTop="1" thickBot="1" x14ac:dyDescent="0.25">
      <c r="B4" s="177"/>
      <c r="C4" s="169"/>
      <c r="D4" s="178"/>
    </row>
    <row r="5" spans="2:4" ht="15" customHeight="1" thickTop="1" x14ac:dyDescent="0.2">
      <c r="B5" s="179" t="s">
        <v>3</v>
      </c>
      <c r="C5" s="180"/>
      <c r="D5" s="181"/>
    </row>
    <row r="6" spans="2:4" ht="15" customHeight="1" thickBot="1" x14ac:dyDescent="0.3">
      <c r="B6" s="182" t="s">
        <v>4</v>
      </c>
      <c r="C6" s="183" t="s">
        <v>5</v>
      </c>
      <c r="D6" s="184" t="s">
        <v>191</v>
      </c>
    </row>
    <row r="7" spans="2:4" ht="15" customHeight="1" x14ac:dyDescent="0.25">
      <c r="B7" s="179" t="s">
        <v>7</v>
      </c>
      <c r="C7" s="185"/>
      <c r="D7" s="186"/>
    </row>
    <row r="8" spans="2:4" ht="15" customHeight="1" x14ac:dyDescent="0.25">
      <c r="B8" s="187" t="s">
        <v>8</v>
      </c>
      <c r="C8" s="188" t="s">
        <v>9</v>
      </c>
      <c r="D8" s="189" t="s">
        <v>292</v>
      </c>
    </row>
    <row r="9" spans="2:4" ht="15" customHeight="1" x14ac:dyDescent="0.25">
      <c r="B9" s="187" t="s">
        <v>277</v>
      </c>
      <c r="C9" s="190">
        <v>130</v>
      </c>
      <c r="D9" s="189" t="s">
        <v>293</v>
      </c>
    </row>
    <row r="10" spans="2:4" ht="15" customHeight="1" x14ac:dyDescent="0.25">
      <c r="B10" s="187" t="s">
        <v>194</v>
      </c>
      <c r="C10" s="188" t="s">
        <v>195</v>
      </c>
      <c r="D10" s="189" t="s">
        <v>202</v>
      </c>
    </row>
    <row r="11" spans="2:4" ht="15" customHeight="1" x14ac:dyDescent="0.25">
      <c r="B11" s="187" t="s">
        <v>11</v>
      </c>
      <c r="C11" s="188" t="s">
        <v>12</v>
      </c>
      <c r="D11" s="189" t="s">
        <v>294</v>
      </c>
    </row>
    <row r="12" spans="2:4" ht="15" customHeight="1" thickBot="1" x14ac:dyDescent="0.3">
      <c r="B12" s="182" t="s">
        <v>13</v>
      </c>
      <c r="C12" s="183" t="s">
        <v>14</v>
      </c>
      <c r="D12" s="184" t="s">
        <v>295</v>
      </c>
    </row>
    <row r="13" spans="2:4" ht="15" customHeight="1" x14ac:dyDescent="0.25">
      <c r="B13" s="179" t="s">
        <v>15</v>
      </c>
      <c r="C13" s="191"/>
      <c r="D13" s="186"/>
    </row>
    <row r="14" spans="2:4" ht="15" customHeight="1" x14ac:dyDescent="0.25">
      <c r="B14" s="192" t="s">
        <v>16</v>
      </c>
      <c r="C14" s="191" t="s">
        <v>17</v>
      </c>
      <c r="D14" s="186" t="s">
        <v>133</v>
      </c>
    </row>
    <row r="15" spans="2:4" ht="15" customHeight="1" x14ac:dyDescent="0.25">
      <c r="B15" s="187" t="s">
        <v>283</v>
      </c>
      <c r="C15" s="188" t="s">
        <v>19</v>
      </c>
      <c r="D15" s="189" t="s">
        <v>289</v>
      </c>
    </row>
    <row r="16" spans="2:4" ht="15" customHeight="1" x14ac:dyDescent="0.25">
      <c r="B16" s="187" t="s">
        <v>278</v>
      </c>
      <c r="C16" s="188" t="s">
        <v>196</v>
      </c>
      <c r="D16" s="189" t="s">
        <v>290</v>
      </c>
    </row>
    <row r="17" spans="2:4" ht="15" customHeight="1" x14ac:dyDescent="0.25">
      <c r="B17" s="187" t="s">
        <v>279</v>
      </c>
      <c r="C17" s="188" t="s">
        <v>197</v>
      </c>
      <c r="D17" s="189" t="s">
        <v>291</v>
      </c>
    </row>
    <row r="18" spans="2:4" ht="15" customHeight="1" x14ac:dyDescent="0.25">
      <c r="B18" s="193" t="s">
        <v>280</v>
      </c>
      <c r="C18" s="194">
        <v>240</v>
      </c>
      <c r="D18" s="195" t="s">
        <v>296</v>
      </c>
    </row>
    <row r="19" spans="2:4" ht="15" customHeight="1" x14ac:dyDescent="0.25">
      <c r="B19" s="193" t="s">
        <v>158</v>
      </c>
      <c r="C19" s="196" t="s">
        <v>159</v>
      </c>
      <c r="D19" s="195" t="s">
        <v>205</v>
      </c>
    </row>
    <row r="20" spans="2:4" ht="15" customHeight="1" x14ac:dyDescent="0.25">
      <c r="B20" s="193" t="s">
        <v>160</v>
      </c>
      <c r="C20" s="196" t="s">
        <v>161</v>
      </c>
      <c r="D20" s="195" t="s">
        <v>206</v>
      </c>
    </row>
    <row r="21" spans="2:4" ht="15" customHeight="1" thickBot="1" x14ac:dyDescent="0.3">
      <c r="B21" s="182" t="s">
        <v>20</v>
      </c>
      <c r="C21" s="183" t="s">
        <v>21</v>
      </c>
      <c r="D21" s="184" t="s">
        <v>150</v>
      </c>
    </row>
    <row r="22" spans="2:4" ht="15" customHeight="1" x14ac:dyDescent="0.25">
      <c r="B22" s="179" t="s">
        <v>22</v>
      </c>
      <c r="C22" s="191"/>
      <c r="D22" s="186"/>
    </row>
    <row r="23" spans="2:4" ht="15" customHeight="1" x14ac:dyDescent="0.25">
      <c r="B23" s="192" t="s">
        <v>23</v>
      </c>
      <c r="C23" s="191" t="s">
        <v>24</v>
      </c>
      <c r="D23" s="186" t="s">
        <v>208</v>
      </c>
    </row>
    <row r="24" spans="2:4" ht="15" customHeight="1" thickBot="1" x14ac:dyDescent="0.3">
      <c r="B24" s="182" t="s">
        <v>26</v>
      </c>
      <c r="C24" s="183" t="s">
        <v>27</v>
      </c>
      <c r="D24" s="184" t="s">
        <v>135</v>
      </c>
    </row>
    <row r="25" spans="2:4" ht="15" customHeight="1" x14ac:dyDescent="0.25">
      <c r="B25" s="179" t="s">
        <v>28</v>
      </c>
      <c r="C25" s="191"/>
      <c r="D25" s="186"/>
    </row>
    <row r="26" spans="2:4" ht="15" customHeight="1" x14ac:dyDescent="0.25">
      <c r="B26" s="187" t="s">
        <v>162</v>
      </c>
      <c r="C26" s="188" t="s">
        <v>29</v>
      </c>
      <c r="D26" s="189" t="s">
        <v>209</v>
      </c>
    </row>
    <row r="27" spans="2:4" ht="15" customHeight="1" x14ac:dyDescent="0.25">
      <c r="B27" s="187" t="s">
        <v>31</v>
      </c>
      <c r="C27" s="188" t="s">
        <v>32</v>
      </c>
      <c r="D27" s="189" t="s">
        <v>136</v>
      </c>
    </row>
    <row r="28" spans="2:4" ht="15" customHeight="1" x14ac:dyDescent="0.25">
      <c r="B28" s="187" t="s">
        <v>163</v>
      </c>
      <c r="C28" s="188" t="s">
        <v>33</v>
      </c>
      <c r="D28" s="189" t="s">
        <v>297</v>
      </c>
    </row>
    <row r="29" spans="2:4" ht="15" customHeight="1" x14ac:dyDescent="0.25">
      <c r="B29" s="187" t="s">
        <v>164</v>
      </c>
      <c r="C29" s="188" t="s">
        <v>34</v>
      </c>
      <c r="D29" s="189" t="s">
        <v>211</v>
      </c>
    </row>
    <row r="30" spans="2:4" ht="15" customHeight="1" x14ac:dyDescent="0.25">
      <c r="B30" s="187" t="s">
        <v>165</v>
      </c>
      <c r="C30" s="188" t="s">
        <v>35</v>
      </c>
      <c r="D30" s="189" t="s">
        <v>298</v>
      </c>
    </row>
    <row r="31" spans="2:4" ht="15" customHeight="1" x14ac:dyDescent="0.25">
      <c r="B31" s="187" t="s">
        <v>37</v>
      </c>
      <c r="C31" s="188" t="s">
        <v>38</v>
      </c>
      <c r="D31" s="189" t="s">
        <v>299</v>
      </c>
    </row>
    <row r="32" spans="2:4" ht="15" customHeight="1" thickBot="1" x14ac:dyDescent="0.3">
      <c r="B32" s="182" t="s">
        <v>40</v>
      </c>
      <c r="C32" s="183" t="s">
        <v>41</v>
      </c>
      <c r="D32" s="184" t="s">
        <v>214</v>
      </c>
    </row>
    <row r="33" spans="2:4" ht="15" customHeight="1" x14ac:dyDescent="0.25">
      <c r="B33" s="179" t="s">
        <v>43</v>
      </c>
      <c r="C33" s="191"/>
      <c r="D33" s="186"/>
    </row>
    <row r="34" spans="2:4" ht="15" customHeight="1" x14ac:dyDescent="0.25">
      <c r="B34" s="187" t="s">
        <v>311</v>
      </c>
      <c r="C34" s="188" t="s">
        <v>44</v>
      </c>
      <c r="D34" s="189" t="s">
        <v>300</v>
      </c>
    </row>
    <row r="35" spans="2:4" ht="15" customHeight="1" x14ac:dyDescent="0.25">
      <c r="B35" s="187" t="s">
        <v>45</v>
      </c>
      <c r="C35" s="188" t="s">
        <v>46</v>
      </c>
      <c r="D35" s="189" t="s">
        <v>215</v>
      </c>
    </row>
    <row r="36" spans="2:4" ht="15" customHeight="1" x14ac:dyDescent="0.25">
      <c r="B36" s="187" t="s">
        <v>312</v>
      </c>
      <c r="C36" s="190">
        <v>520</v>
      </c>
      <c r="D36" s="189" t="s">
        <v>313</v>
      </c>
    </row>
    <row r="37" spans="2:4" ht="15" customHeight="1" x14ac:dyDescent="0.25">
      <c r="B37" s="187" t="s">
        <v>314</v>
      </c>
      <c r="C37" s="188" t="s">
        <v>47</v>
      </c>
      <c r="D37" s="189" t="s">
        <v>301</v>
      </c>
    </row>
    <row r="38" spans="2:4" ht="15" customHeight="1" x14ac:dyDescent="0.25">
      <c r="B38" s="187" t="s">
        <v>166</v>
      </c>
      <c r="C38" s="188" t="s">
        <v>49</v>
      </c>
      <c r="D38" s="189" t="s">
        <v>217</v>
      </c>
    </row>
    <row r="39" spans="2:4" ht="15" customHeight="1" x14ac:dyDescent="0.25">
      <c r="B39" s="187" t="s">
        <v>167</v>
      </c>
      <c r="C39" s="188" t="s">
        <v>50</v>
      </c>
      <c r="D39" s="189" t="s">
        <v>218</v>
      </c>
    </row>
    <row r="40" spans="2:4" ht="15" customHeight="1" thickBot="1" x14ac:dyDescent="0.3">
      <c r="B40" s="182" t="s">
        <v>51</v>
      </c>
      <c r="C40" s="183" t="s">
        <v>52</v>
      </c>
      <c r="D40" s="184" t="s">
        <v>219</v>
      </c>
    </row>
    <row r="41" spans="2:4" ht="15" customHeight="1" x14ac:dyDescent="0.25">
      <c r="B41" s="179" t="s">
        <v>53</v>
      </c>
      <c r="C41" s="191"/>
      <c r="D41" s="186"/>
    </row>
    <row r="42" spans="2:4" ht="15" customHeight="1" x14ac:dyDescent="0.25">
      <c r="B42" s="187" t="s">
        <v>54</v>
      </c>
      <c r="C42" s="188" t="s">
        <v>55</v>
      </c>
      <c r="D42" s="189" t="s">
        <v>220</v>
      </c>
    </row>
    <row r="43" spans="2:4" ht="15" customHeight="1" x14ac:dyDescent="0.25">
      <c r="B43" s="187" t="s">
        <v>56</v>
      </c>
      <c r="C43" s="188" t="s">
        <v>57</v>
      </c>
      <c r="D43" s="189" t="s">
        <v>138</v>
      </c>
    </row>
    <row r="44" spans="2:4" ht="15" customHeight="1" x14ac:dyDescent="0.25">
      <c r="B44" s="187" t="s">
        <v>59</v>
      </c>
      <c r="C44" s="188" t="s">
        <v>60</v>
      </c>
      <c r="D44" s="189" t="s">
        <v>302</v>
      </c>
    </row>
    <row r="45" spans="2:4" ht="15" customHeight="1" thickBot="1" x14ac:dyDescent="0.3">
      <c r="B45" s="197" t="s">
        <v>168</v>
      </c>
      <c r="C45" s="198" t="s">
        <v>169</v>
      </c>
      <c r="D45" s="199" t="s">
        <v>192</v>
      </c>
    </row>
    <row r="46" spans="2:4" ht="15" customHeight="1" x14ac:dyDescent="0.25">
      <c r="B46" s="200" t="s">
        <v>61</v>
      </c>
      <c r="C46" s="201"/>
      <c r="D46" s="202"/>
    </row>
    <row r="47" spans="2:4" ht="15" customHeight="1" x14ac:dyDescent="0.25">
      <c r="B47" s="187" t="s">
        <v>62</v>
      </c>
      <c r="C47" s="188" t="s">
        <v>63</v>
      </c>
      <c r="D47" s="189" t="s">
        <v>139</v>
      </c>
    </row>
    <row r="48" spans="2:4" ht="15" customHeight="1" x14ac:dyDescent="0.25">
      <c r="B48" s="187" t="s">
        <v>64</v>
      </c>
      <c r="C48" s="188" t="s">
        <v>65</v>
      </c>
      <c r="D48" s="189" t="s">
        <v>140</v>
      </c>
    </row>
    <row r="49" spans="2:4" ht="15" customHeight="1" x14ac:dyDescent="0.25">
      <c r="B49" s="187" t="s">
        <v>170</v>
      </c>
      <c r="C49" s="188" t="s">
        <v>66</v>
      </c>
      <c r="D49" s="189" t="s">
        <v>222</v>
      </c>
    </row>
    <row r="50" spans="2:4" ht="15" customHeight="1" x14ac:dyDescent="0.25">
      <c r="B50" s="187" t="s">
        <v>67</v>
      </c>
      <c r="C50" s="188" t="s">
        <v>68</v>
      </c>
      <c r="D50" s="189" t="s">
        <v>141</v>
      </c>
    </row>
    <row r="51" spans="2:4" ht="15" customHeight="1" thickBot="1" x14ac:dyDescent="0.3">
      <c r="B51" s="182" t="s">
        <v>171</v>
      </c>
      <c r="C51" s="183" t="s">
        <v>69</v>
      </c>
      <c r="D51" s="184" t="s">
        <v>223</v>
      </c>
    </row>
    <row r="52" spans="2:4" ht="15" customHeight="1" x14ac:dyDescent="0.25">
      <c r="B52" s="179" t="s">
        <v>70</v>
      </c>
      <c r="C52" s="191"/>
      <c r="D52" s="186"/>
    </row>
    <row r="53" spans="2:4" ht="15" customHeight="1" x14ac:dyDescent="0.25">
      <c r="B53" s="203" t="s">
        <v>104</v>
      </c>
      <c r="C53" s="188"/>
      <c r="D53" s="189"/>
    </row>
    <row r="54" spans="2:4" ht="15" customHeight="1" x14ac:dyDescent="0.25">
      <c r="B54" s="187" t="s">
        <v>71</v>
      </c>
      <c r="C54" s="188" t="s">
        <v>72</v>
      </c>
      <c r="D54" s="189" t="s">
        <v>142</v>
      </c>
    </row>
    <row r="55" spans="2:4" ht="15" customHeight="1" x14ac:dyDescent="0.25">
      <c r="B55" s="187" t="s">
        <v>73</v>
      </c>
      <c r="C55" s="188" t="s">
        <v>74</v>
      </c>
      <c r="D55" s="189" t="s">
        <v>143</v>
      </c>
    </row>
    <row r="56" spans="2:4" ht="15" customHeight="1" x14ac:dyDescent="0.25">
      <c r="B56" s="187" t="s">
        <v>75</v>
      </c>
      <c r="C56" s="188" t="s">
        <v>76</v>
      </c>
      <c r="D56" s="189" t="s">
        <v>303</v>
      </c>
    </row>
    <row r="57" spans="2:4" ht="15" customHeight="1" x14ac:dyDescent="0.25">
      <c r="B57" s="187" t="s">
        <v>282</v>
      </c>
      <c r="C57" s="188" t="s">
        <v>77</v>
      </c>
      <c r="D57" s="189" t="s">
        <v>304</v>
      </c>
    </row>
    <row r="58" spans="2:4" ht="15" customHeight="1" x14ac:dyDescent="0.25">
      <c r="B58" s="187" t="s">
        <v>199</v>
      </c>
      <c r="C58" s="188" t="s">
        <v>78</v>
      </c>
      <c r="D58" s="189" t="s">
        <v>305</v>
      </c>
    </row>
    <row r="59" spans="2:4" ht="15" customHeight="1" x14ac:dyDescent="0.25">
      <c r="B59" s="187" t="s">
        <v>173</v>
      </c>
      <c r="C59" s="188" t="s">
        <v>79</v>
      </c>
      <c r="D59" s="189" t="s">
        <v>146</v>
      </c>
    </row>
    <row r="60" spans="2:4" ht="15" customHeight="1" x14ac:dyDescent="0.25">
      <c r="B60" s="187" t="s">
        <v>80</v>
      </c>
      <c r="C60" s="188" t="s">
        <v>81</v>
      </c>
      <c r="D60" s="189" t="s">
        <v>306</v>
      </c>
    </row>
    <row r="61" spans="2:4" ht="15" customHeight="1" thickBot="1" x14ac:dyDescent="0.3">
      <c r="B61" s="182" t="s">
        <v>83</v>
      </c>
      <c r="C61" s="183" t="s">
        <v>84</v>
      </c>
      <c r="D61" s="184" t="s">
        <v>307</v>
      </c>
    </row>
    <row r="62" spans="2:4" ht="15" customHeight="1" x14ac:dyDescent="0.25">
      <c r="B62" s="200" t="s">
        <v>105</v>
      </c>
      <c r="C62" s="201"/>
      <c r="D62" s="202"/>
    </row>
    <row r="63" spans="2:4" ht="15" customHeight="1" x14ac:dyDescent="0.25">
      <c r="B63" s="187" t="s">
        <v>175</v>
      </c>
      <c r="C63" s="188" t="s">
        <v>85</v>
      </c>
      <c r="D63" s="189" t="s">
        <v>308</v>
      </c>
    </row>
    <row r="64" spans="2:4" ht="15" customHeight="1" x14ac:dyDescent="0.25">
      <c r="B64" s="187" t="s">
        <v>176</v>
      </c>
      <c r="C64" s="188" t="s">
        <v>86</v>
      </c>
      <c r="D64" s="189" t="s">
        <v>309</v>
      </c>
    </row>
    <row r="65" spans="2:4" ht="15" customHeight="1" x14ac:dyDescent="0.25">
      <c r="B65" s="187" t="s">
        <v>87</v>
      </c>
      <c r="C65" s="188" t="s">
        <v>88</v>
      </c>
      <c r="D65" s="189" t="s">
        <v>227</v>
      </c>
    </row>
    <row r="66" spans="2:4" ht="15" customHeight="1" x14ac:dyDescent="0.25">
      <c r="B66" s="187" t="s">
        <v>200</v>
      </c>
      <c r="C66" s="188" t="s">
        <v>89</v>
      </c>
      <c r="D66" s="189" t="s">
        <v>228</v>
      </c>
    </row>
    <row r="67" spans="2:4" ht="15" customHeight="1" thickBot="1" x14ac:dyDescent="0.3">
      <c r="B67" s="197" t="s">
        <v>177</v>
      </c>
      <c r="C67" s="198" t="s">
        <v>178</v>
      </c>
      <c r="D67" s="184" t="s">
        <v>229</v>
      </c>
    </row>
    <row r="68" spans="2:4" ht="15" customHeight="1" x14ac:dyDescent="0.25">
      <c r="B68" s="200" t="s">
        <v>106</v>
      </c>
      <c r="C68" s="201"/>
      <c r="D68" s="204"/>
    </row>
    <row r="69" spans="2:4" ht="15" customHeight="1" x14ac:dyDescent="0.25">
      <c r="B69" s="187" t="s">
        <v>179</v>
      </c>
      <c r="C69" s="188" t="s">
        <v>90</v>
      </c>
      <c r="D69" s="189" t="s">
        <v>230</v>
      </c>
    </row>
    <row r="70" spans="2:4" ht="15" customHeight="1" x14ac:dyDescent="0.25">
      <c r="B70" s="187" t="s">
        <v>180</v>
      </c>
      <c r="C70" s="188" t="s">
        <v>91</v>
      </c>
      <c r="D70" s="189" t="s">
        <v>149</v>
      </c>
    </row>
    <row r="71" spans="2:4" ht="15" customHeight="1" x14ac:dyDescent="0.25">
      <c r="B71" s="187" t="s">
        <v>92</v>
      </c>
      <c r="C71" s="188" t="s">
        <v>93</v>
      </c>
      <c r="D71" s="189" t="s">
        <v>231</v>
      </c>
    </row>
    <row r="72" spans="2:4" ht="15" customHeight="1" x14ac:dyDescent="0.25">
      <c r="B72" s="187" t="s">
        <v>181</v>
      </c>
      <c r="C72" s="188" t="s">
        <v>182</v>
      </c>
      <c r="D72" s="189" t="s">
        <v>232</v>
      </c>
    </row>
    <row r="73" spans="2:4" ht="15" customHeight="1" x14ac:dyDescent="0.25">
      <c r="B73" s="187" t="s">
        <v>183</v>
      </c>
      <c r="C73" s="188" t="s">
        <v>94</v>
      </c>
      <c r="D73" s="189" t="s">
        <v>233</v>
      </c>
    </row>
    <row r="74" spans="2:4" ht="15" customHeight="1" x14ac:dyDescent="0.25">
      <c r="B74" s="187" t="s">
        <v>95</v>
      </c>
      <c r="C74" s="188" t="s">
        <v>96</v>
      </c>
      <c r="D74" s="189" t="s">
        <v>234</v>
      </c>
    </row>
    <row r="75" spans="2:4" ht="15" customHeight="1" x14ac:dyDescent="0.25">
      <c r="B75" s="187" t="s">
        <v>97</v>
      </c>
      <c r="C75" s="188" t="s">
        <v>98</v>
      </c>
      <c r="D75" s="189" t="s">
        <v>235</v>
      </c>
    </row>
    <row r="76" spans="2:4" ht="15" customHeight="1" x14ac:dyDescent="0.25">
      <c r="B76" s="192" t="s">
        <v>99</v>
      </c>
      <c r="C76" s="191" t="s">
        <v>100</v>
      </c>
      <c r="D76" s="195" t="s">
        <v>236</v>
      </c>
    </row>
    <row r="77" spans="2:4" ht="15" customHeight="1" thickBot="1" x14ac:dyDescent="0.3">
      <c r="B77" s="197" t="s">
        <v>184</v>
      </c>
      <c r="C77" s="198" t="s">
        <v>185</v>
      </c>
      <c r="D77" s="184" t="s">
        <v>237</v>
      </c>
    </row>
    <row r="78" spans="2:4" ht="15" customHeight="1" x14ac:dyDescent="0.25">
      <c r="B78" s="179" t="s">
        <v>101</v>
      </c>
      <c r="C78" s="191"/>
      <c r="D78" s="205"/>
    </row>
    <row r="79" spans="2:4" ht="15" customHeight="1" x14ac:dyDescent="0.25">
      <c r="B79" s="187" t="s">
        <v>186</v>
      </c>
      <c r="C79" s="188" t="s">
        <v>102</v>
      </c>
      <c r="D79" s="189" t="s">
        <v>238</v>
      </c>
    </row>
    <row r="80" spans="2:4" ht="15" customHeight="1" x14ac:dyDescent="0.25">
      <c r="B80" s="187" t="s">
        <v>187</v>
      </c>
      <c r="C80" s="196" t="s">
        <v>103</v>
      </c>
      <c r="D80" s="189" t="s">
        <v>310</v>
      </c>
    </row>
    <row r="81" spans="2:4" ht="15" customHeight="1" thickBot="1" x14ac:dyDescent="0.3">
      <c r="B81" s="182" t="s">
        <v>189</v>
      </c>
      <c r="C81" s="183" t="s">
        <v>190</v>
      </c>
      <c r="D81" s="184" t="s">
        <v>240</v>
      </c>
    </row>
    <row r="82" spans="2:4" x14ac:dyDescent="0.2">
      <c r="B82" s="3"/>
      <c r="C82" s="4"/>
      <c r="D82" s="3"/>
    </row>
    <row r="83" spans="2:4" hidden="1" x14ac:dyDescent="0.2">
      <c r="B83" s="3"/>
      <c r="C83" s="4"/>
      <c r="D83" s="3"/>
    </row>
    <row r="84" spans="2:4" hidden="1" x14ac:dyDescent="0.2">
      <c r="B84" s="3"/>
      <c r="C84" s="4"/>
      <c r="D84" s="3"/>
    </row>
  </sheetData>
  <sheetProtection password="FFAE" sheet="1" selectLockedCells="1"/>
  <pageMargins left="0.7" right="0.7" top="0.75" bottom="0.75" header="0.3" footer="0.3"/>
  <pageSetup orientation="portrait" r:id="rId1"/>
  <ignoredErrors>
    <ignoredError sqref="C37:C81 C6:C35" numberStoredAsText="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AA82"/>
  <sheetViews>
    <sheetView showGridLines="0" topLeftCell="A17" workbookViewId="0">
      <selection activeCell="J34" sqref="J34"/>
    </sheetView>
  </sheetViews>
  <sheetFormatPr defaultColWidth="0" defaultRowHeight="12.75" zeroHeight="1" x14ac:dyDescent="0.2"/>
  <cols>
    <col min="1" max="1" width="9.140625" customWidth="1"/>
    <col min="2" max="3" width="1.140625" customWidth="1"/>
    <col min="4" max="4" width="43.7109375" customWidth="1"/>
    <col min="5" max="5" width="6.140625" customWidth="1"/>
    <col min="6" max="6" width="8.7109375" customWidth="1"/>
    <col min="7" max="7" width="19.85546875" customWidth="1"/>
    <col min="8" max="9" width="8.7109375" customWidth="1"/>
    <col min="10" max="26" width="12.7109375" customWidth="1"/>
    <col min="27" max="27" width="9.140625" customWidth="1"/>
    <col min="28" max="16384" width="9.140625" hidden="1"/>
  </cols>
  <sheetData>
    <row r="1" spans="1:26" ht="13.5" thickBot="1" x14ac:dyDescent="0.25"/>
    <row r="2" spans="1:26" ht="64.5" thickBot="1" x14ac:dyDescent="0.25">
      <c r="B2" s="817" t="s">
        <v>0</v>
      </c>
      <c r="C2" s="818"/>
      <c r="D2" s="818"/>
      <c r="E2" s="24" t="s">
        <v>1</v>
      </c>
      <c r="F2" s="25" t="s">
        <v>129</v>
      </c>
      <c r="G2" s="25" t="s">
        <v>2</v>
      </c>
      <c r="H2" s="28" t="s">
        <v>257</v>
      </c>
      <c r="I2" s="28" t="s">
        <v>286</v>
      </c>
      <c r="J2" s="30" t="s">
        <v>634</v>
      </c>
      <c r="K2" s="30" t="s">
        <v>635</v>
      </c>
      <c r="L2" s="30" t="s">
        <v>636</v>
      </c>
      <c r="M2" s="30" t="s">
        <v>637</v>
      </c>
      <c r="N2" s="30" t="s">
        <v>638</v>
      </c>
      <c r="O2" s="30" t="s">
        <v>639</v>
      </c>
      <c r="P2" s="30" t="s">
        <v>640</v>
      </c>
      <c r="Q2" s="30" t="s">
        <v>641</v>
      </c>
      <c r="R2" s="30" t="s">
        <v>642</v>
      </c>
      <c r="S2" s="30" t="s">
        <v>643</v>
      </c>
      <c r="T2" s="30" t="s">
        <v>644</v>
      </c>
      <c r="U2" s="30" t="s">
        <v>645</v>
      </c>
      <c r="V2" s="30" t="s">
        <v>646</v>
      </c>
      <c r="W2" s="30" t="s">
        <v>647</v>
      </c>
      <c r="X2" s="30" t="s">
        <v>648</v>
      </c>
      <c r="Y2" s="30" t="s">
        <v>649</v>
      </c>
      <c r="Z2" s="30" t="s">
        <v>650</v>
      </c>
    </row>
    <row r="3" spans="1:26" ht="13.5" thickBot="1" x14ac:dyDescent="0.25">
      <c r="B3" s="161"/>
      <c r="C3" s="153"/>
      <c r="D3" s="152"/>
      <c r="E3" s="154"/>
      <c r="F3" s="155"/>
      <c r="G3" s="155"/>
      <c r="H3" s="160"/>
      <c r="I3" s="29"/>
      <c r="J3" s="30"/>
      <c r="K3" s="30"/>
      <c r="L3" s="30"/>
      <c r="M3" s="30"/>
      <c r="N3" s="30"/>
      <c r="O3" s="30"/>
      <c r="P3" s="30"/>
      <c r="Q3" s="30"/>
      <c r="R3" s="30"/>
      <c r="S3" s="30"/>
      <c r="T3" s="30"/>
      <c r="U3" s="30"/>
      <c r="V3" s="30"/>
      <c r="W3" s="30"/>
      <c r="X3" s="30"/>
      <c r="Y3" s="30"/>
      <c r="Z3" s="30"/>
    </row>
    <row r="4" spans="1:26" x14ac:dyDescent="0.2">
      <c r="A4" t="str">
        <f>Collected_Rate!A4</f>
        <v>PORT AND TERMINAL</v>
      </c>
      <c r="B4" s="81" t="s">
        <v>3</v>
      </c>
      <c r="C4" s="31"/>
      <c r="D4" s="151"/>
      <c r="E4" s="5"/>
      <c r="F4" s="5"/>
      <c r="G4" s="5"/>
      <c r="H4" s="14"/>
      <c r="I4" s="15"/>
      <c r="J4" s="16">
        <v>1472</v>
      </c>
      <c r="K4" s="16">
        <v>4479</v>
      </c>
      <c r="L4" s="16">
        <v>3642</v>
      </c>
      <c r="M4" s="16">
        <v>2218</v>
      </c>
      <c r="N4" s="16">
        <v>2043</v>
      </c>
      <c r="O4" s="16">
        <v>1604</v>
      </c>
      <c r="P4" s="16">
        <v>3071</v>
      </c>
      <c r="Q4" s="16">
        <v>1543</v>
      </c>
      <c r="R4" s="16">
        <v>1712</v>
      </c>
      <c r="S4" s="16">
        <v>3742</v>
      </c>
      <c r="T4" s="16">
        <v>5752</v>
      </c>
      <c r="U4" s="16">
        <v>2520</v>
      </c>
      <c r="V4" s="16">
        <v>2415</v>
      </c>
      <c r="W4" s="16">
        <v>1507</v>
      </c>
      <c r="X4" s="16">
        <v>3921</v>
      </c>
      <c r="Y4" s="16">
        <v>3011</v>
      </c>
      <c r="Z4" s="16">
        <v>1361</v>
      </c>
    </row>
    <row r="5" spans="1:26" ht="13.5" thickBot="1" x14ac:dyDescent="0.25">
      <c r="A5" t="str">
        <f>Collected_Rate!A5</f>
        <v>(030) Truck Terminal</v>
      </c>
      <c r="B5" s="32" t="s">
        <v>4</v>
      </c>
      <c r="C5" s="33"/>
      <c r="D5" s="34"/>
      <c r="E5" s="35" t="s">
        <v>5</v>
      </c>
      <c r="F5" s="36" t="s">
        <v>201</v>
      </c>
      <c r="G5" s="37" t="s">
        <v>10</v>
      </c>
      <c r="H5" s="45">
        <v>10</v>
      </c>
      <c r="I5" s="46">
        <v>10</v>
      </c>
      <c r="J5" s="47">
        <f>ROUND($J$4*I5,2)</f>
        <v>14720</v>
      </c>
      <c r="K5" s="47">
        <f>ROUND(K$4*$I5,2)</f>
        <v>44790</v>
      </c>
      <c r="L5" s="47">
        <f>ROUND(L$4*$I5,2)</f>
        <v>36420</v>
      </c>
      <c r="M5" s="47">
        <f t="shared" ref="M5:Y14" si="0">ROUND(M$4*$I5,2)</f>
        <v>22180</v>
      </c>
      <c r="N5" s="47">
        <f t="shared" si="0"/>
        <v>20430</v>
      </c>
      <c r="O5" s="47">
        <f>ROUND(O$4*$H5,2)</f>
        <v>16040</v>
      </c>
      <c r="P5" s="47">
        <f t="shared" si="0"/>
        <v>30710</v>
      </c>
      <c r="Q5" s="47">
        <f t="shared" si="0"/>
        <v>15430</v>
      </c>
      <c r="R5" s="47">
        <f>ROUND(R$4*$H5,2)</f>
        <v>17120</v>
      </c>
      <c r="S5" s="47">
        <f>ROUND(S$4*$H5,2)</f>
        <v>37420</v>
      </c>
      <c r="T5" s="47">
        <f>ROUND(T$4*$I5,2)</f>
        <v>57520</v>
      </c>
      <c r="U5" s="47">
        <f>ROUND(U$4*$H5,2)</f>
        <v>25200</v>
      </c>
      <c r="V5" s="47">
        <f t="shared" si="0"/>
        <v>24150</v>
      </c>
      <c r="W5" s="47">
        <f t="shared" si="0"/>
        <v>15070</v>
      </c>
      <c r="X5" s="47">
        <f t="shared" si="0"/>
        <v>39210</v>
      </c>
      <c r="Y5" s="47">
        <f t="shared" si="0"/>
        <v>30110</v>
      </c>
      <c r="Z5" s="47">
        <f>ROUND(Z$4*$H5,2)</f>
        <v>13610</v>
      </c>
    </row>
    <row r="6" spans="1:26" x14ac:dyDescent="0.2">
      <c r="A6" t="str">
        <f>Collected_Rate!A6</f>
        <v>INDUSTRIAL</v>
      </c>
      <c r="B6" s="81" t="s">
        <v>7</v>
      </c>
      <c r="C6" s="83"/>
      <c r="D6" s="48"/>
      <c r="E6" s="49"/>
      <c r="F6" s="50"/>
      <c r="G6" s="51"/>
      <c r="H6" s="60"/>
      <c r="I6" s="61"/>
      <c r="J6" s="62">
        <f t="shared" ref="J6:J70" si="1">ROUND($J$4*I6,2)</f>
        <v>0</v>
      </c>
      <c r="K6" s="62">
        <f t="shared" ref="K6:L38" si="2">ROUND(K$4*$I6,2)</f>
        <v>0</v>
      </c>
      <c r="L6" s="62">
        <f t="shared" si="2"/>
        <v>0</v>
      </c>
      <c r="M6" s="62">
        <f t="shared" si="0"/>
        <v>0</v>
      </c>
      <c r="N6" s="62">
        <f t="shared" si="0"/>
        <v>0</v>
      </c>
      <c r="O6" s="62">
        <f t="shared" ref="O6:O70" si="3">ROUND(O$4*$H6,2)</f>
        <v>0</v>
      </c>
      <c r="P6" s="62">
        <f t="shared" si="0"/>
        <v>0</v>
      </c>
      <c r="Q6" s="62">
        <f t="shared" si="0"/>
        <v>0</v>
      </c>
      <c r="R6" s="62">
        <f t="shared" ref="R6:S38" si="4">ROUND(R$4*$H6,2)</f>
        <v>0</v>
      </c>
      <c r="S6" s="62">
        <f t="shared" si="4"/>
        <v>0</v>
      </c>
      <c r="T6" s="62">
        <f t="shared" ref="T6:T70" si="5">ROUND(T$4*$I6,2)</f>
        <v>0</v>
      </c>
      <c r="U6" s="62">
        <f t="shared" ref="U6:U70" si="6">ROUND(U$4*$H6,2)</f>
        <v>0</v>
      </c>
      <c r="V6" s="62">
        <f t="shared" si="0"/>
        <v>0</v>
      </c>
      <c r="W6" s="62">
        <f t="shared" si="0"/>
        <v>0</v>
      </c>
      <c r="X6" s="62">
        <f t="shared" si="0"/>
        <v>0</v>
      </c>
      <c r="Y6" s="62">
        <f t="shared" si="0"/>
        <v>0</v>
      </c>
      <c r="Z6" s="62">
        <f t="shared" ref="Z6:Z70" si="7">ROUND(Z$4*$H6,2)</f>
        <v>0</v>
      </c>
    </row>
    <row r="7" spans="1:26" x14ac:dyDescent="0.2">
      <c r="A7" t="str">
        <f>Collected_Rate!A7</f>
        <v>(110) General Light Industrial</v>
      </c>
      <c r="B7" s="63" t="s">
        <v>8</v>
      </c>
      <c r="C7" s="64"/>
      <c r="D7" s="65"/>
      <c r="E7" s="66" t="s">
        <v>9</v>
      </c>
      <c r="F7" s="67" t="s">
        <v>130</v>
      </c>
      <c r="G7" s="68" t="s">
        <v>10</v>
      </c>
      <c r="H7" s="77">
        <v>1.93</v>
      </c>
      <c r="I7" s="61">
        <v>3.78</v>
      </c>
      <c r="J7" s="78">
        <f t="shared" si="1"/>
        <v>5564.16</v>
      </c>
      <c r="K7" s="78">
        <f t="shared" si="2"/>
        <v>16930.62</v>
      </c>
      <c r="L7" s="78">
        <f t="shared" si="2"/>
        <v>13766.76</v>
      </c>
      <c r="M7" s="78">
        <f t="shared" si="0"/>
        <v>8384.0400000000009</v>
      </c>
      <c r="N7" s="78">
        <f t="shared" si="0"/>
        <v>7722.54</v>
      </c>
      <c r="O7" s="78">
        <f t="shared" si="3"/>
        <v>3095.72</v>
      </c>
      <c r="P7" s="78">
        <f t="shared" si="0"/>
        <v>11608.38</v>
      </c>
      <c r="Q7" s="78">
        <f t="shared" si="0"/>
        <v>5832.54</v>
      </c>
      <c r="R7" s="78">
        <f t="shared" si="4"/>
        <v>3304.16</v>
      </c>
      <c r="S7" s="78">
        <f t="shared" si="4"/>
        <v>7222.06</v>
      </c>
      <c r="T7" s="78">
        <f t="shared" si="5"/>
        <v>21742.560000000001</v>
      </c>
      <c r="U7" s="78">
        <f t="shared" si="6"/>
        <v>4863.6000000000004</v>
      </c>
      <c r="V7" s="78">
        <f t="shared" si="0"/>
        <v>9128.7000000000007</v>
      </c>
      <c r="W7" s="78">
        <f t="shared" si="0"/>
        <v>5696.46</v>
      </c>
      <c r="X7" s="78">
        <f t="shared" si="0"/>
        <v>14821.38</v>
      </c>
      <c r="Y7" s="78">
        <f t="shared" si="0"/>
        <v>11381.58</v>
      </c>
      <c r="Z7" s="78">
        <f t="shared" si="7"/>
        <v>2626.73</v>
      </c>
    </row>
    <row r="8" spans="1:26" x14ac:dyDescent="0.2">
      <c r="A8" t="str">
        <f>Collected_Rate!A8</f>
        <v>(130) Industrial Park</v>
      </c>
      <c r="B8" s="63" t="s">
        <v>277</v>
      </c>
      <c r="C8" s="64"/>
      <c r="D8" s="65"/>
      <c r="E8" s="79">
        <v>130</v>
      </c>
      <c r="F8" s="67"/>
      <c r="G8" s="68" t="s">
        <v>10</v>
      </c>
      <c r="H8" s="77">
        <v>1.23</v>
      </c>
      <c r="I8" s="61">
        <v>2.4</v>
      </c>
      <c r="J8" s="78">
        <f t="shared" si="1"/>
        <v>3532.8</v>
      </c>
      <c r="K8" s="78">
        <f t="shared" si="2"/>
        <v>10749.6</v>
      </c>
      <c r="L8" s="78">
        <f t="shared" si="2"/>
        <v>8740.7999999999993</v>
      </c>
      <c r="M8" s="78">
        <f t="shared" si="0"/>
        <v>5323.2</v>
      </c>
      <c r="N8" s="78">
        <f t="shared" si="0"/>
        <v>4903.2</v>
      </c>
      <c r="O8" s="78">
        <f t="shared" si="3"/>
        <v>1972.92</v>
      </c>
      <c r="P8" s="78">
        <f t="shared" si="0"/>
        <v>7370.4</v>
      </c>
      <c r="Q8" s="78">
        <f t="shared" si="0"/>
        <v>3703.2</v>
      </c>
      <c r="R8" s="78">
        <f t="shared" si="4"/>
        <v>2105.7600000000002</v>
      </c>
      <c r="S8" s="78">
        <f t="shared" si="4"/>
        <v>4602.66</v>
      </c>
      <c r="T8" s="78">
        <f t="shared" si="5"/>
        <v>13804.8</v>
      </c>
      <c r="U8" s="78">
        <f t="shared" si="6"/>
        <v>3099.6</v>
      </c>
      <c r="V8" s="78">
        <f t="shared" si="0"/>
        <v>5796</v>
      </c>
      <c r="W8" s="78">
        <f t="shared" si="0"/>
        <v>3616.8</v>
      </c>
      <c r="X8" s="78">
        <f t="shared" si="0"/>
        <v>9410.4</v>
      </c>
      <c r="Y8" s="78">
        <f t="shared" si="0"/>
        <v>7226.4</v>
      </c>
      <c r="Z8" s="78">
        <f t="shared" si="7"/>
        <v>1674.03</v>
      </c>
    </row>
    <row r="9" spans="1:26" x14ac:dyDescent="0.2">
      <c r="A9" t="str">
        <f>Collected_Rate!A9</f>
        <v>(140) Manufacturing</v>
      </c>
      <c r="B9" s="63" t="s">
        <v>194</v>
      </c>
      <c r="C9" s="64"/>
      <c r="D9" s="65"/>
      <c r="E9" s="66" t="s">
        <v>195</v>
      </c>
      <c r="F9" s="67" t="s">
        <v>202</v>
      </c>
      <c r="G9" s="68" t="s">
        <v>10</v>
      </c>
      <c r="H9" s="77">
        <v>2.06</v>
      </c>
      <c r="I9" s="61">
        <v>4.0199999999999996</v>
      </c>
      <c r="J9" s="78">
        <f t="shared" si="1"/>
        <v>5917.44</v>
      </c>
      <c r="K9" s="78">
        <f t="shared" si="2"/>
        <v>18005.580000000002</v>
      </c>
      <c r="L9" s="78">
        <f t="shared" si="2"/>
        <v>14640.84</v>
      </c>
      <c r="M9" s="78">
        <f t="shared" si="0"/>
        <v>8916.36</v>
      </c>
      <c r="N9" s="78">
        <f t="shared" si="0"/>
        <v>8212.86</v>
      </c>
      <c r="O9" s="78">
        <f t="shared" si="3"/>
        <v>3304.24</v>
      </c>
      <c r="P9" s="78">
        <f t="shared" si="0"/>
        <v>12345.42</v>
      </c>
      <c r="Q9" s="78">
        <f t="shared" si="0"/>
        <v>6202.86</v>
      </c>
      <c r="R9" s="78">
        <f t="shared" si="4"/>
        <v>3526.72</v>
      </c>
      <c r="S9" s="78">
        <f t="shared" si="4"/>
        <v>7708.52</v>
      </c>
      <c r="T9" s="78">
        <f t="shared" si="5"/>
        <v>23123.040000000001</v>
      </c>
      <c r="U9" s="78">
        <f t="shared" si="6"/>
        <v>5191.2</v>
      </c>
      <c r="V9" s="78">
        <f t="shared" si="0"/>
        <v>9708.2999999999993</v>
      </c>
      <c r="W9" s="78">
        <f t="shared" si="0"/>
        <v>6058.14</v>
      </c>
      <c r="X9" s="78">
        <f t="shared" si="0"/>
        <v>15762.42</v>
      </c>
      <c r="Y9" s="78">
        <f t="shared" si="0"/>
        <v>12104.22</v>
      </c>
      <c r="Z9" s="78">
        <f t="shared" si="7"/>
        <v>2803.66</v>
      </c>
    </row>
    <row r="10" spans="1:26" x14ac:dyDescent="0.2">
      <c r="A10" t="str">
        <f>Collected_Rate!A10</f>
        <v>(150) Warehousing</v>
      </c>
      <c r="B10" s="63" t="s">
        <v>11</v>
      </c>
      <c r="C10" s="64"/>
      <c r="D10" s="65"/>
      <c r="E10" s="66" t="s">
        <v>12</v>
      </c>
      <c r="F10" s="67" t="s">
        <v>131</v>
      </c>
      <c r="G10" s="68" t="s">
        <v>10</v>
      </c>
      <c r="H10" s="77">
        <v>0.57999999999999996</v>
      </c>
      <c r="I10" s="61">
        <v>1.1399999999999999</v>
      </c>
      <c r="J10" s="78">
        <f t="shared" si="1"/>
        <v>1678.08</v>
      </c>
      <c r="K10" s="78">
        <f t="shared" si="2"/>
        <v>5106.0600000000004</v>
      </c>
      <c r="L10" s="78">
        <f t="shared" si="2"/>
        <v>4151.88</v>
      </c>
      <c r="M10" s="78">
        <f t="shared" si="0"/>
        <v>2528.52</v>
      </c>
      <c r="N10" s="78">
        <f t="shared" si="0"/>
        <v>2329.02</v>
      </c>
      <c r="O10" s="78">
        <f t="shared" si="3"/>
        <v>930.32</v>
      </c>
      <c r="P10" s="78">
        <f t="shared" si="0"/>
        <v>3500.94</v>
      </c>
      <c r="Q10" s="78">
        <f t="shared" si="0"/>
        <v>1759.02</v>
      </c>
      <c r="R10" s="78">
        <f t="shared" si="4"/>
        <v>992.96</v>
      </c>
      <c r="S10" s="78">
        <f t="shared" si="4"/>
        <v>2170.36</v>
      </c>
      <c r="T10" s="78">
        <f t="shared" si="5"/>
        <v>6557.28</v>
      </c>
      <c r="U10" s="78">
        <f t="shared" si="6"/>
        <v>1461.6</v>
      </c>
      <c r="V10" s="78">
        <f t="shared" si="0"/>
        <v>2753.1</v>
      </c>
      <c r="W10" s="78">
        <f t="shared" si="0"/>
        <v>1717.98</v>
      </c>
      <c r="X10" s="78">
        <f t="shared" si="0"/>
        <v>4469.9399999999996</v>
      </c>
      <c r="Y10" s="78">
        <f t="shared" si="0"/>
        <v>3432.54</v>
      </c>
      <c r="Z10" s="78">
        <f t="shared" si="7"/>
        <v>789.38</v>
      </c>
    </row>
    <row r="11" spans="1:26" ht="13.5" thickBot="1" x14ac:dyDescent="0.25">
      <c r="A11" t="str">
        <f>Collected_Rate!A11</f>
        <v>(151) Mini-Warehouse</v>
      </c>
      <c r="B11" s="32" t="s">
        <v>13</v>
      </c>
      <c r="C11" s="33"/>
      <c r="D11" s="34"/>
      <c r="E11" s="35" t="s">
        <v>14</v>
      </c>
      <c r="F11" s="36" t="s">
        <v>132</v>
      </c>
      <c r="G11" s="37" t="s">
        <v>10</v>
      </c>
      <c r="H11" s="45">
        <v>0.52</v>
      </c>
      <c r="I11" s="61">
        <v>1.02</v>
      </c>
      <c r="J11" s="80">
        <f t="shared" si="1"/>
        <v>1501.44</v>
      </c>
      <c r="K11" s="80">
        <f t="shared" si="2"/>
        <v>4568.58</v>
      </c>
      <c r="L11" s="80">
        <f t="shared" si="2"/>
        <v>3714.84</v>
      </c>
      <c r="M11" s="80">
        <f t="shared" si="0"/>
        <v>2262.36</v>
      </c>
      <c r="N11" s="80">
        <f t="shared" si="0"/>
        <v>2083.86</v>
      </c>
      <c r="O11" s="80">
        <f t="shared" si="3"/>
        <v>834.08</v>
      </c>
      <c r="P11" s="80">
        <f t="shared" si="0"/>
        <v>3132.42</v>
      </c>
      <c r="Q11" s="80">
        <f t="shared" si="0"/>
        <v>1573.86</v>
      </c>
      <c r="R11" s="80">
        <f t="shared" si="4"/>
        <v>890.24</v>
      </c>
      <c r="S11" s="80">
        <f t="shared" si="4"/>
        <v>1945.84</v>
      </c>
      <c r="T11" s="80">
        <f t="shared" si="5"/>
        <v>5867.04</v>
      </c>
      <c r="U11" s="80">
        <f t="shared" si="6"/>
        <v>1310.4000000000001</v>
      </c>
      <c r="V11" s="80">
        <f t="shared" si="0"/>
        <v>2463.3000000000002</v>
      </c>
      <c r="W11" s="80">
        <f t="shared" si="0"/>
        <v>1537.14</v>
      </c>
      <c r="X11" s="80">
        <f t="shared" si="0"/>
        <v>3999.42</v>
      </c>
      <c r="Y11" s="80">
        <f t="shared" si="0"/>
        <v>3071.22</v>
      </c>
      <c r="Z11" s="80">
        <f t="shared" si="7"/>
        <v>707.72</v>
      </c>
    </row>
    <row r="12" spans="1:26" x14ac:dyDescent="0.2">
      <c r="A12" t="str">
        <f>Collected_Rate!A12</f>
        <v>RESIDENTIAL</v>
      </c>
      <c r="B12" s="81" t="s">
        <v>15</v>
      </c>
      <c r="C12" s="82"/>
      <c r="D12" s="83"/>
      <c r="E12" s="84"/>
      <c r="F12" s="50"/>
      <c r="G12" s="51"/>
      <c r="H12" s="86"/>
      <c r="I12" s="61"/>
      <c r="J12" s="62">
        <f t="shared" si="1"/>
        <v>0</v>
      </c>
      <c r="K12" s="62">
        <f t="shared" si="2"/>
        <v>0</v>
      </c>
      <c r="L12" s="62">
        <f t="shared" si="2"/>
        <v>0</v>
      </c>
      <c r="M12" s="62">
        <f t="shared" si="0"/>
        <v>0</v>
      </c>
      <c r="N12" s="62">
        <f t="shared" si="0"/>
        <v>0</v>
      </c>
      <c r="O12" s="62">
        <f t="shared" si="3"/>
        <v>0</v>
      </c>
      <c r="P12" s="62">
        <f t="shared" si="0"/>
        <v>0</v>
      </c>
      <c r="Q12" s="62">
        <f t="shared" si="0"/>
        <v>0</v>
      </c>
      <c r="R12" s="62">
        <f t="shared" si="4"/>
        <v>0</v>
      </c>
      <c r="S12" s="62">
        <f t="shared" si="4"/>
        <v>0</v>
      </c>
      <c r="T12" s="62">
        <f t="shared" si="5"/>
        <v>0</v>
      </c>
      <c r="U12" s="62">
        <f t="shared" si="6"/>
        <v>0</v>
      </c>
      <c r="V12" s="62">
        <f t="shared" si="0"/>
        <v>0</v>
      </c>
      <c r="W12" s="62">
        <f t="shared" si="0"/>
        <v>0</v>
      </c>
      <c r="X12" s="62">
        <f t="shared" si="0"/>
        <v>0</v>
      </c>
      <c r="Y12" s="62">
        <f t="shared" si="0"/>
        <v>0</v>
      </c>
      <c r="Z12" s="62">
        <f t="shared" si="7"/>
        <v>0</v>
      </c>
    </row>
    <row r="13" spans="1:26" x14ac:dyDescent="0.2">
      <c r="A13" t="str">
        <f>Collected_Rate!A13</f>
        <v>(210) Single-Family Detached Housing</v>
      </c>
      <c r="B13" s="87" t="s">
        <v>16</v>
      </c>
      <c r="C13" s="82"/>
      <c r="D13" s="83"/>
      <c r="E13" s="84" t="s">
        <v>17</v>
      </c>
      <c r="F13" s="50" t="s">
        <v>133</v>
      </c>
      <c r="G13" s="51" t="s">
        <v>18</v>
      </c>
      <c r="H13" s="77">
        <v>2.87</v>
      </c>
      <c r="I13" s="61">
        <v>4.26</v>
      </c>
      <c r="J13" s="89">
        <f t="shared" si="1"/>
        <v>6270.72</v>
      </c>
      <c r="K13" s="89">
        <f t="shared" si="2"/>
        <v>19080.54</v>
      </c>
      <c r="L13" s="89">
        <f t="shared" si="2"/>
        <v>15514.92</v>
      </c>
      <c r="M13" s="89">
        <f t="shared" si="0"/>
        <v>9448.68</v>
      </c>
      <c r="N13" s="89">
        <f t="shared" si="0"/>
        <v>8703.18</v>
      </c>
      <c r="O13" s="89">
        <f t="shared" si="3"/>
        <v>4603.4799999999996</v>
      </c>
      <c r="P13" s="89">
        <f t="shared" si="0"/>
        <v>13082.46</v>
      </c>
      <c r="Q13" s="89">
        <f t="shared" si="0"/>
        <v>6573.18</v>
      </c>
      <c r="R13" s="89">
        <f t="shared" si="4"/>
        <v>4913.4399999999996</v>
      </c>
      <c r="S13" s="89">
        <f t="shared" si="4"/>
        <v>10739.54</v>
      </c>
      <c r="T13" s="89">
        <f t="shared" si="5"/>
        <v>24503.52</v>
      </c>
      <c r="U13" s="89">
        <f t="shared" si="6"/>
        <v>7232.4</v>
      </c>
      <c r="V13" s="89">
        <f t="shared" si="0"/>
        <v>10287.9</v>
      </c>
      <c r="W13" s="89">
        <f t="shared" si="0"/>
        <v>6419.82</v>
      </c>
      <c r="X13" s="89">
        <f t="shared" si="0"/>
        <v>16703.46</v>
      </c>
      <c r="Y13" s="89">
        <f t="shared" si="0"/>
        <v>12826.86</v>
      </c>
      <c r="Z13" s="89">
        <f t="shared" si="7"/>
        <v>3906.07</v>
      </c>
    </row>
    <row r="14" spans="1:26" x14ac:dyDescent="0.2">
      <c r="A14" t="str">
        <f>Collected_Rate!A14</f>
        <v>(220) Townhomes / Duplexes / Triplexes / 4-Plexes / ADUs</v>
      </c>
      <c r="B14" s="63" t="s">
        <v>283</v>
      </c>
      <c r="C14" s="64"/>
      <c r="D14" s="65"/>
      <c r="E14" s="66" t="s">
        <v>19</v>
      </c>
      <c r="F14" s="67" t="s">
        <v>134</v>
      </c>
      <c r="G14" s="68" t="s">
        <v>18</v>
      </c>
      <c r="H14" s="77">
        <v>1.62</v>
      </c>
      <c r="I14" s="61">
        <v>2.41</v>
      </c>
      <c r="J14" s="89">
        <f t="shared" si="1"/>
        <v>3547.52</v>
      </c>
      <c r="K14" s="89">
        <f t="shared" si="2"/>
        <v>10794.39</v>
      </c>
      <c r="L14" s="89">
        <f t="shared" si="2"/>
        <v>8777.2199999999993</v>
      </c>
      <c r="M14" s="89">
        <f t="shared" si="0"/>
        <v>5345.38</v>
      </c>
      <c r="N14" s="89">
        <f t="shared" si="0"/>
        <v>4923.63</v>
      </c>
      <c r="O14" s="78">
        <f t="shared" si="3"/>
        <v>2598.48</v>
      </c>
      <c r="P14" s="78">
        <f t="shared" si="0"/>
        <v>7401.11</v>
      </c>
      <c r="Q14" s="78">
        <f t="shared" ref="M14:Y43" si="8">ROUND(Q$4*$I14,2)</f>
        <v>3718.63</v>
      </c>
      <c r="R14" s="78">
        <f t="shared" si="4"/>
        <v>2773.44</v>
      </c>
      <c r="S14" s="78">
        <f t="shared" si="4"/>
        <v>6062.04</v>
      </c>
      <c r="T14" s="78">
        <f t="shared" si="5"/>
        <v>13862.32</v>
      </c>
      <c r="U14" s="78">
        <f t="shared" si="6"/>
        <v>4082.4</v>
      </c>
      <c r="V14" s="78">
        <f t="shared" si="8"/>
        <v>5820.15</v>
      </c>
      <c r="W14" s="78">
        <f t="shared" si="8"/>
        <v>3631.87</v>
      </c>
      <c r="X14" s="78">
        <f t="shared" si="8"/>
        <v>9449.61</v>
      </c>
      <c r="Y14" s="78">
        <f t="shared" si="8"/>
        <v>7256.51</v>
      </c>
      <c r="Z14" s="78">
        <f t="shared" si="7"/>
        <v>2204.8200000000002</v>
      </c>
    </row>
    <row r="15" spans="1:26" x14ac:dyDescent="0.2">
      <c r="A15" t="str">
        <f>Collected_Rate!A15</f>
        <v>(221) Mid-Rise Apartments or Condominiums</v>
      </c>
      <c r="B15" s="63" t="s">
        <v>278</v>
      </c>
      <c r="C15" s="64"/>
      <c r="D15" s="65"/>
      <c r="E15" s="66" t="s">
        <v>196</v>
      </c>
      <c r="F15" s="67" t="s">
        <v>203</v>
      </c>
      <c r="G15" s="68" t="s">
        <v>18</v>
      </c>
      <c r="H15" s="77">
        <v>1.28</v>
      </c>
      <c r="I15" s="61">
        <v>1.89</v>
      </c>
      <c r="J15" s="89">
        <f t="shared" si="1"/>
        <v>2782.08</v>
      </c>
      <c r="K15" s="89">
        <f t="shared" si="2"/>
        <v>8465.31</v>
      </c>
      <c r="L15" s="89">
        <f t="shared" si="2"/>
        <v>6883.38</v>
      </c>
      <c r="M15" s="89">
        <f t="shared" si="8"/>
        <v>4192.0200000000004</v>
      </c>
      <c r="N15" s="89">
        <f t="shared" si="8"/>
        <v>3861.27</v>
      </c>
      <c r="O15" s="89">
        <f t="shared" si="3"/>
        <v>2053.12</v>
      </c>
      <c r="P15" s="89">
        <f t="shared" si="8"/>
        <v>5804.19</v>
      </c>
      <c r="Q15" s="89">
        <f t="shared" si="8"/>
        <v>2916.27</v>
      </c>
      <c r="R15" s="89">
        <f t="shared" si="4"/>
        <v>2191.36</v>
      </c>
      <c r="S15" s="89">
        <f t="shared" si="4"/>
        <v>4789.76</v>
      </c>
      <c r="T15" s="89">
        <f t="shared" si="5"/>
        <v>10871.28</v>
      </c>
      <c r="U15" s="89">
        <f t="shared" si="6"/>
        <v>3225.6</v>
      </c>
      <c r="V15" s="89">
        <f t="shared" si="8"/>
        <v>4564.3500000000004</v>
      </c>
      <c r="W15" s="89">
        <f t="shared" si="8"/>
        <v>2848.23</v>
      </c>
      <c r="X15" s="89">
        <f t="shared" si="8"/>
        <v>7410.69</v>
      </c>
      <c r="Y15" s="89">
        <f t="shared" si="8"/>
        <v>5690.79</v>
      </c>
      <c r="Z15" s="89">
        <f t="shared" si="7"/>
        <v>1742.08</v>
      </c>
    </row>
    <row r="16" spans="1:26" x14ac:dyDescent="0.2">
      <c r="A16" t="str">
        <f>Collected_Rate!A16</f>
        <v>(222) High-Rise Apartments or Condominiums</v>
      </c>
      <c r="B16" s="63" t="s">
        <v>279</v>
      </c>
      <c r="C16" s="64"/>
      <c r="D16" s="65"/>
      <c r="E16" s="66" t="s">
        <v>197</v>
      </c>
      <c r="F16" s="67" t="s">
        <v>204</v>
      </c>
      <c r="G16" s="68" t="s">
        <v>18</v>
      </c>
      <c r="H16" s="77">
        <v>1.04</v>
      </c>
      <c r="I16" s="61">
        <v>1.55</v>
      </c>
      <c r="J16" s="89">
        <f t="shared" si="1"/>
        <v>2281.6</v>
      </c>
      <c r="K16" s="89">
        <f t="shared" si="2"/>
        <v>6942.45</v>
      </c>
      <c r="L16" s="89">
        <f t="shared" si="2"/>
        <v>5645.1</v>
      </c>
      <c r="M16" s="89">
        <f t="shared" si="8"/>
        <v>3437.9</v>
      </c>
      <c r="N16" s="89">
        <f t="shared" si="8"/>
        <v>3166.65</v>
      </c>
      <c r="O16" s="89">
        <f t="shared" si="3"/>
        <v>1668.16</v>
      </c>
      <c r="P16" s="89">
        <f t="shared" si="8"/>
        <v>4760.05</v>
      </c>
      <c r="Q16" s="89">
        <f t="shared" si="8"/>
        <v>2391.65</v>
      </c>
      <c r="R16" s="89">
        <f t="shared" si="4"/>
        <v>1780.48</v>
      </c>
      <c r="S16" s="89">
        <f t="shared" si="4"/>
        <v>3891.68</v>
      </c>
      <c r="T16" s="89">
        <f t="shared" si="5"/>
        <v>8915.6</v>
      </c>
      <c r="U16" s="89">
        <f t="shared" si="6"/>
        <v>2620.8000000000002</v>
      </c>
      <c r="V16" s="89">
        <f t="shared" si="8"/>
        <v>3743.25</v>
      </c>
      <c r="W16" s="89">
        <f t="shared" si="8"/>
        <v>2335.85</v>
      </c>
      <c r="X16" s="89">
        <f t="shared" si="8"/>
        <v>6077.55</v>
      </c>
      <c r="Y16" s="89">
        <f t="shared" si="8"/>
        <v>4667.05</v>
      </c>
      <c r="Z16" s="89">
        <f t="shared" si="7"/>
        <v>1415.44</v>
      </c>
    </row>
    <row r="17" spans="1:26" x14ac:dyDescent="0.2">
      <c r="A17" t="str">
        <f>Collected_Rate!A17</f>
        <v>(240) Mobile Home Park</v>
      </c>
      <c r="B17" s="90" t="s">
        <v>280</v>
      </c>
      <c r="C17" s="91"/>
      <c r="D17" s="92"/>
      <c r="E17" s="93">
        <v>240</v>
      </c>
      <c r="F17" s="94"/>
      <c r="G17" s="95" t="s">
        <v>18</v>
      </c>
      <c r="H17" s="77">
        <v>1.33</v>
      </c>
      <c r="I17" s="61">
        <v>1.98</v>
      </c>
      <c r="J17" s="89">
        <f t="shared" si="1"/>
        <v>2914.56</v>
      </c>
      <c r="K17" s="89">
        <f t="shared" si="2"/>
        <v>8868.42</v>
      </c>
      <c r="L17" s="89">
        <f t="shared" si="2"/>
        <v>7211.16</v>
      </c>
      <c r="M17" s="89">
        <f t="shared" si="8"/>
        <v>4391.6400000000003</v>
      </c>
      <c r="N17" s="89">
        <f t="shared" si="8"/>
        <v>4045.14</v>
      </c>
      <c r="O17" s="89">
        <f t="shared" si="3"/>
        <v>2133.3200000000002</v>
      </c>
      <c r="P17" s="89">
        <f t="shared" si="8"/>
        <v>6080.58</v>
      </c>
      <c r="Q17" s="89">
        <f t="shared" si="8"/>
        <v>3055.14</v>
      </c>
      <c r="R17" s="89">
        <f t="shared" si="4"/>
        <v>2276.96</v>
      </c>
      <c r="S17" s="89">
        <f t="shared" si="4"/>
        <v>4976.8599999999997</v>
      </c>
      <c r="T17" s="89">
        <f t="shared" si="5"/>
        <v>11388.96</v>
      </c>
      <c r="U17" s="89">
        <f t="shared" si="6"/>
        <v>3351.6</v>
      </c>
      <c r="V17" s="89">
        <f t="shared" si="8"/>
        <v>4781.7</v>
      </c>
      <c r="W17" s="89">
        <f t="shared" si="8"/>
        <v>2983.86</v>
      </c>
      <c r="X17" s="89">
        <f t="shared" si="8"/>
        <v>7763.58</v>
      </c>
      <c r="Y17" s="89">
        <f t="shared" si="8"/>
        <v>5961.78</v>
      </c>
      <c r="Z17" s="89">
        <f t="shared" si="7"/>
        <v>1810.13</v>
      </c>
    </row>
    <row r="18" spans="1:26" x14ac:dyDescent="0.2">
      <c r="A18" t="str">
        <f>Collected_Rate!A18</f>
        <v>(251) Senior Adult Housing-Detached</v>
      </c>
      <c r="B18" s="90" t="s">
        <v>158</v>
      </c>
      <c r="C18" s="91"/>
      <c r="D18" s="92"/>
      <c r="E18" s="99" t="s">
        <v>159</v>
      </c>
      <c r="F18" s="94" t="s">
        <v>205</v>
      </c>
      <c r="G18" s="95" t="s">
        <v>18</v>
      </c>
      <c r="H18" s="77">
        <v>0.87</v>
      </c>
      <c r="I18" s="61">
        <v>1.29</v>
      </c>
      <c r="J18" s="89">
        <f t="shared" si="1"/>
        <v>1898.88</v>
      </c>
      <c r="K18" s="89">
        <f t="shared" si="2"/>
        <v>5777.91</v>
      </c>
      <c r="L18" s="89">
        <f t="shared" si="2"/>
        <v>4698.18</v>
      </c>
      <c r="M18" s="89">
        <f t="shared" si="8"/>
        <v>2861.22</v>
      </c>
      <c r="N18" s="89">
        <f t="shared" si="8"/>
        <v>2635.47</v>
      </c>
      <c r="O18" s="89">
        <f t="shared" si="3"/>
        <v>1395.48</v>
      </c>
      <c r="P18" s="89">
        <f t="shared" si="8"/>
        <v>3961.59</v>
      </c>
      <c r="Q18" s="89">
        <f t="shared" si="8"/>
        <v>1990.47</v>
      </c>
      <c r="R18" s="89">
        <f t="shared" si="4"/>
        <v>1489.44</v>
      </c>
      <c r="S18" s="89">
        <f t="shared" si="4"/>
        <v>3255.54</v>
      </c>
      <c r="T18" s="89">
        <f t="shared" si="5"/>
        <v>7420.08</v>
      </c>
      <c r="U18" s="89">
        <f t="shared" si="6"/>
        <v>2192.4</v>
      </c>
      <c r="V18" s="89">
        <f t="shared" si="8"/>
        <v>3115.35</v>
      </c>
      <c r="W18" s="89">
        <f t="shared" si="8"/>
        <v>1944.03</v>
      </c>
      <c r="X18" s="89">
        <f t="shared" si="8"/>
        <v>5058.09</v>
      </c>
      <c r="Y18" s="89">
        <f t="shared" si="8"/>
        <v>3884.19</v>
      </c>
      <c r="Z18" s="89">
        <f t="shared" si="7"/>
        <v>1184.07</v>
      </c>
    </row>
    <row r="19" spans="1:26" x14ac:dyDescent="0.2">
      <c r="A19" t="str">
        <f>Collected_Rate!A19</f>
        <v>(252) Senior Adult Housing-Attached</v>
      </c>
      <c r="B19" s="90" t="s">
        <v>160</v>
      </c>
      <c r="C19" s="91"/>
      <c r="D19" s="92"/>
      <c r="E19" s="99" t="s">
        <v>161</v>
      </c>
      <c r="F19" s="94" t="s">
        <v>206</v>
      </c>
      <c r="G19" s="95" t="s">
        <v>18</v>
      </c>
      <c r="H19" s="77">
        <v>0.75</v>
      </c>
      <c r="I19" s="61">
        <v>1.1200000000000001</v>
      </c>
      <c r="J19" s="89">
        <f t="shared" si="1"/>
        <v>1648.64</v>
      </c>
      <c r="K19" s="89">
        <f t="shared" si="2"/>
        <v>5016.4799999999996</v>
      </c>
      <c r="L19" s="89">
        <f t="shared" si="2"/>
        <v>4079.04</v>
      </c>
      <c r="M19" s="89">
        <f t="shared" si="8"/>
        <v>2484.16</v>
      </c>
      <c r="N19" s="89">
        <f t="shared" si="8"/>
        <v>2288.16</v>
      </c>
      <c r="O19" s="89">
        <f t="shared" si="3"/>
        <v>1203</v>
      </c>
      <c r="P19" s="89">
        <f t="shared" si="8"/>
        <v>3439.52</v>
      </c>
      <c r="Q19" s="89">
        <f t="shared" si="8"/>
        <v>1728.16</v>
      </c>
      <c r="R19" s="89">
        <f t="shared" si="4"/>
        <v>1284</v>
      </c>
      <c r="S19" s="89">
        <f t="shared" si="4"/>
        <v>2806.5</v>
      </c>
      <c r="T19" s="89">
        <f t="shared" si="5"/>
        <v>6442.24</v>
      </c>
      <c r="U19" s="89">
        <f t="shared" si="6"/>
        <v>1890</v>
      </c>
      <c r="V19" s="89">
        <f t="shared" si="8"/>
        <v>2704.8</v>
      </c>
      <c r="W19" s="89">
        <f t="shared" si="8"/>
        <v>1687.84</v>
      </c>
      <c r="X19" s="89">
        <f t="shared" si="8"/>
        <v>4391.5200000000004</v>
      </c>
      <c r="Y19" s="89">
        <f t="shared" si="8"/>
        <v>3372.32</v>
      </c>
      <c r="Z19" s="89">
        <f t="shared" si="7"/>
        <v>1020.75</v>
      </c>
    </row>
    <row r="20" spans="1:26" ht="13.5" thickBot="1" x14ac:dyDescent="0.25">
      <c r="A20" t="str">
        <f>Collected_Rate!A20</f>
        <v>(254) Assisted Living</v>
      </c>
      <c r="B20" s="32" t="s">
        <v>20</v>
      </c>
      <c r="C20" s="33"/>
      <c r="D20" s="34"/>
      <c r="E20" s="35" t="s">
        <v>21</v>
      </c>
      <c r="F20" s="36" t="s">
        <v>207</v>
      </c>
      <c r="G20" s="37" t="s">
        <v>58</v>
      </c>
      <c r="H20" s="45">
        <v>0.75</v>
      </c>
      <c r="I20" s="61">
        <v>1.1200000000000001</v>
      </c>
      <c r="J20" s="102">
        <f t="shared" si="1"/>
        <v>1648.64</v>
      </c>
      <c r="K20" s="102">
        <f t="shared" si="2"/>
        <v>5016.4799999999996</v>
      </c>
      <c r="L20" s="102">
        <f t="shared" si="2"/>
        <v>4079.04</v>
      </c>
      <c r="M20" s="102">
        <f t="shared" si="8"/>
        <v>2484.16</v>
      </c>
      <c r="N20" s="102">
        <f t="shared" si="8"/>
        <v>2288.16</v>
      </c>
      <c r="O20" s="102">
        <f t="shared" si="3"/>
        <v>1203</v>
      </c>
      <c r="P20" s="102">
        <f t="shared" si="8"/>
        <v>3439.52</v>
      </c>
      <c r="Q20" s="102">
        <f t="shared" si="8"/>
        <v>1728.16</v>
      </c>
      <c r="R20" s="102">
        <f t="shared" si="4"/>
        <v>1284</v>
      </c>
      <c r="S20" s="102">
        <f t="shared" si="4"/>
        <v>2806.5</v>
      </c>
      <c r="T20" s="102">
        <f t="shared" si="5"/>
        <v>6442.24</v>
      </c>
      <c r="U20" s="102">
        <f t="shared" si="6"/>
        <v>1890</v>
      </c>
      <c r="V20" s="102">
        <f t="shared" si="8"/>
        <v>2704.8</v>
      </c>
      <c r="W20" s="102">
        <f t="shared" si="8"/>
        <v>1687.84</v>
      </c>
      <c r="X20" s="102">
        <f t="shared" si="8"/>
        <v>4391.5200000000004</v>
      </c>
      <c r="Y20" s="102">
        <f t="shared" si="8"/>
        <v>3372.32</v>
      </c>
      <c r="Z20" s="102">
        <f t="shared" si="7"/>
        <v>1020.75</v>
      </c>
    </row>
    <row r="21" spans="1:26" x14ac:dyDescent="0.2">
      <c r="A21" t="str">
        <f>Collected_Rate!A21</f>
        <v>LODGING</v>
      </c>
      <c r="B21" s="81" t="s">
        <v>22</v>
      </c>
      <c r="C21" s="82"/>
      <c r="D21" s="83"/>
      <c r="E21" s="84"/>
      <c r="F21" s="50"/>
      <c r="G21" s="51"/>
      <c r="H21" s="86"/>
      <c r="I21" s="61"/>
      <c r="J21" s="103">
        <f t="shared" si="1"/>
        <v>0</v>
      </c>
      <c r="K21" s="103">
        <f t="shared" si="2"/>
        <v>0</v>
      </c>
      <c r="L21" s="103">
        <f t="shared" si="2"/>
        <v>0</v>
      </c>
      <c r="M21" s="103">
        <f t="shared" si="8"/>
        <v>0</v>
      </c>
      <c r="N21" s="103">
        <f t="shared" si="8"/>
        <v>0</v>
      </c>
      <c r="O21" s="103">
        <f t="shared" si="3"/>
        <v>0</v>
      </c>
      <c r="P21" s="103">
        <f t="shared" si="8"/>
        <v>0</v>
      </c>
      <c r="Q21" s="103">
        <f t="shared" si="8"/>
        <v>0</v>
      </c>
      <c r="R21" s="103">
        <f t="shared" si="4"/>
        <v>0</v>
      </c>
      <c r="S21" s="103">
        <f t="shared" si="4"/>
        <v>0</v>
      </c>
      <c r="T21" s="103">
        <f t="shared" si="5"/>
        <v>0</v>
      </c>
      <c r="U21" s="103">
        <f t="shared" si="6"/>
        <v>0</v>
      </c>
      <c r="V21" s="103">
        <f t="shared" si="8"/>
        <v>0</v>
      </c>
      <c r="W21" s="103">
        <f t="shared" si="8"/>
        <v>0</v>
      </c>
      <c r="X21" s="103">
        <f t="shared" si="8"/>
        <v>0</v>
      </c>
      <c r="Y21" s="103">
        <f t="shared" si="8"/>
        <v>0</v>
      </c>
      <c r="Z21" s="103">
        <f t="shared" si="7"/>
        <v>0</v>
      </c>
    </row>
    <row r="22" spans="1:26" x14ac:dyDescent="0.2">
      <c r="A22" t="str">
        <f>Collected_Rate!A22</f>
        <v>(310) Hotel</v>
      </c>
      <c r="B22" s="87" t="s">
        <v>23</v>
      </c>
      <c r="C22" s="82"/>
      <c r="D22" s="83"/>
      <c r="E22" s="84" t="s">
        <v>24</v>
      </c>
      <c r="F22" s="50" t="s">
        <v>208</v>
      </c>
      <c r="G22" s="51" t="s">
        <v>25</v>
      </c>
      <c r="H22" s="77">
        <v>1.62</v>
      </c>
      <c r="I22" s="61">
        <v>1.63</v>
      </c>
      <c r="J22" s="89">
        <f t="shared" si="1"/>
        <v>2399.36</v>
      </c>
      <c r="K22" s="89">
        <f t="shared" si="2"/>
        <v>7300.77</v>
      </c>
      <c r="L22" s="89">
        <f t="shared" si="2"/>
        <v>5936.46</v>
      </c>
      <c r="M22" s="89">
        <f t="shared" si="8"/>
        <v>3615.34</v>
      </c>
      <c r="N22" s="89">
        <f t="shared" si="8"/>
        <v>3330.09</v>
      </c>
      <c r="O22" s="78">
        <f t="shared" si="3"/>
        <v>2598.48</v>
      </c>
      <c r="P22" s="78">
        <f t="shared" si="8"/>
        <v>5005.7299999999996</v>
      </c>
      <c r="Q22" s="78">
        <f t="shared" si="8"/>
        <v>2515.09</v>
      </c>
      <c r="R22" s="78">
        <f t="shared" si="4"/>
        <v>2773.44</v>
      </c>
      <c r="S22" s="78">
        <f t="shared" si="4"/>
        <v>6062.04</v>
      </c>
      <c r="T22" s="78">
        <f t="shared" si="5"/>
        <v>9375.76</v>
      </c>
      <c r="U22" s="78">
        <f t="shared" si="6"/>
        <v>4082.4</v>
      </c>
      <c r="V22" s="78">
        <f t="shared" si="8"/>
        <v>3936.45</v>
      </c>
      <c r="W22" s="78">
        <f t="shared" si="8"/>
        <v>2456.41</v>
      </c>
      <c r="X22" s="78">
        <f t="shared" si="8"/>
        <v>6391.23</v>
      </c>
      <c r="Y22" s="78">
        <f t="shared" si="8"/>
        <v>4907.93</v>
      </c>
      <c r="Z22" s="78">
        <f t="shared" si="7"/>
        <v>2204.8200000000002</v>
      </c>
    </row>
    <row r="23" spans="1:26" ht="13.5" thickBot="1" x14ac:dyDescent="0.25">
      <c r="A23" t="str">
        <f>Collected_Rate!A23</f>
        <v>(320) Motel / Other Lodging Facilities</v>
      </c>
      <c r="B23" s="32" t="s">
        <v>26</v>
      </c>
      <c r="C23" s="33"/>
      <c r="D23" s="34"/>
      <c r="E23" s="35" t="s">
        <v>27</v>
      </c>
      <c r="F23" s="36" t="s">
        <v>135</v>
      </c>
      <c r="G23" s="37" t="s">
        <v>25</v>
      </c>
      <c r="H23" s="45">
        <v>1.03</v>
      </c>
      <c r="I23" s="61">
        <v>1.03</v>
      </c>
      <c r="J23" s="80">
        <f t="shared" si="1"/>
        <v>1516.16</v>
      </c>
      <c r="K23" s="80">
        <f t="shared" si="2"/>
        <v>4613.37</v>
      </c>
      <c r="L23" s="80">
        <f t="shared" si="2"/>
        <v>3751.26</v>
      </c>
      <c r="M23" s="80">
        <f t="shared" si="8"/>
        <v>2284.54</v>
      </c>
      <c r="N23" s="80">
        <f t="shared" si="8"/>
        <v>2104.29</v>
      </c>
      <c r="O23" s="80">
        <f t="shared" si="3"/>
        <v>1652.12</v>
      </c>
      <c r="P23" s="80">
        <f t="shared" si="8"/>
        <v>3163.13</v>
      </c>
      <c r="Q23" s="80">
        <f t="shared" si="8"/>
        <v>1589.29</v>
      </c>
      <c r="R23" s="80">
        <f t="shared" si="4"/>
        <v>1763.36</v>
      </c>
      <c r="S23" s="80">
        <f t="shared" si="4"/>
        <v>3854.26</v>
      </c>
      <c r="T23" s="80">
        <f t="shared" si="5"/>
        <v>5924.56</v>
      </c>
      <c r="U23" s="80">
        <f t="shared" si="6"/>
        <v>2595.6</v>
      </c>
      <c r="V23" s="80">
        <f t="shared" si="8"/>
        <v>2487.4499999999998</v>
      </c>
      <c r="W23" s="80">
        <f t="shared" si="8"/>
        <v>1552.21</v>
      </c>
      <c r="X23" s="80">
        <f t="shared" si="8"/>
        <v>4038.63</v>
      </c>
      <c r="Y23" s="80">
        <f t="shared" si="8"/>
        <v>3101.33</v>
      </c>
      <c r="Z23" s="80">
        <f t="shared" si="7"/>
        <v>1401.83</v>
      </c>
    </row>
    <row r="24" spans="1:26" x14ac:dyDescent="0.2">
      <c r="A24" t="str">
        <f>Collected_Rate!A24</f>
        <v>RECREATIONAL</v>
      </c>
      <c r="B24" s="81" t="s">
        <v>28</v>
      </c>
      <c r="C24" s="82"/>
      <c r="D24" s="83"/>
      <c r="E24" s="84"/>
      <c r="F24" s="50"/>
      <c r="G24" s="51"/>
      <c r="H24" s="86"/>
      <c r="I24" s="61"/>
      <c r="J24" s="62">
        <f t="shared" si="1"/>
        <v>0</v>
      </c>
      <c r="K24" s="62">
        <f t="shared" si="2"/>
        <v>0</v>
      </c>
      <c r="L24" s="62">
        <f t="shared" si="2"/>
        <v>0</v>
      </c>
      <c r="M24" s="62">
        <f t="shared" si="8"/>
        <v>0</v>
      </c>
      <c r="N24" s="62">
        <f t="shared" si="8"/>
        <v>0</v>
      </c>
      <c r="O24" s="62">
        <f t="shared" si="3"/>
        <v>0</v>
      </c>
      <c r="P24" s="62">
        <f t="shared" si="8"/>
        <v>0</v>
      </c>
      <c r="Q24" s="62">
        <f t="shared" si="8"/>
        <v>0</v>
      </c>
      <c r="R24" s="62">
        <f t="shared" si="4"/>
        <v>0</v>
      </c>
      <c r="S24" s="62">
        <f t="shared" si="4"/>
        <v>0</v>
      </c>
      <c r="T24" s="62">
        <f t="shared" si="5"/>
        <v>0</v>
      </c>
      <c r="U24" s="62">
        <f t="shared" si="6"/>
        <v>0</v>
      </c>
      <c r="V24" s="62">
        <f t="shared" si="8"/>
        <v>0</v>
      </c>
      <c r="W24" s="62">
        <f t="shared" si="8"/>
        <v>0</v>
      </c>
      <c r="X24" s="62">
        <f t="shared" si="8"/>
        <v>0</v>
      </c>
      <c r="Y24" s="62">
        <f t="shared" si="8"/>
        <v>0</v>
      </c>
      <c r="Z24" s="62">
        <f t="shared" si="7"/>
        <v>0</v>
      </c>
    </row>
    <row r="25" spans="1:26" x14ac:dyDescent="0.2">
      <c r="A25" t="str">
        <f>Collected_Rate!A25</f>
        <v>(432) Golf Driving Range</v>
      </c>
      <c r="B25" s="63" t="s">
        <v>162</v>
      </c>
      <c r="C25" s="64"/>
      <c r="D25" s="65"/>
      <c r="E25" s="66" t="s">
        <v>29</v>
      </c>
      <c r="F25" s="67" t="s">
        <v>209</v>
      </c>
      <c r="G25" s="68" t="s">
        <v>30</v>
      </c>
      <c r="H25" s="77">
        <v>3.64</v>
      </c>
      <c r="I25" s="61">
        <v>3.98</v>
      </c>
      <c r="J25" s="78">
        <f t="shared" si="1"/>
        <v>5858.56</v>
      </c>
      <c r="K25" s="78">
        <f t="shared" si="2"/>
        <v>17826.419999999998</v>
      </c>
      <c r="L25" s="78">
        <f t="shared" si="2"/>
        <v>14495.16</v>
      </c>
      <c r="M25" s="78">
        <f t="shared" si="8"/>
        <v>8827.64</v>
      </c>
      <c r="N25" s="78">
        <f t="shared" si="8"/>
        <v>8131.14</v>
      </c>
      <c r="O25" s="78">
        <f t="shared" si="3"/>
        <v>5838.56</v>
      </c>
      <c r="P25" s="78">
        <f t="shared" si="8"/>
        <v>12222.58</v>
      </c>
      <c r="Q25" s="78">
        <f t="shared" si="8"/>
        <v>6141.14</v>
      </c>
      <c r="R25" s="78">
        <f t="shared" si="4"/>
        <v>6231.68</v>
      </c>
      <c r="S25" s="78">
        <f t="shared" si="4"/>
        <v>13620.88</v>
      </c>
      <c r="T25" s="78">
        <f t="shared" si="5"/>
        <v>22892.959999999999</v>
      </c>
      <c r="U25" s="78">
        <f t="shared" si="6"/>
        <v>9172.7999999999993</v>
      </c>
      <c r="V25" s="78">
        <f t="shared" si="8"/>
        <v>9611.7000000000007</v>
      </c>
      <c r="W25" s="78">
        <f t="shared" si="8"/>
        <v>5997.86</v>
      </c>
      <c r="X25" s="78">
        <f t="shared" si="8"/>
        <v>15605.58</v>
      </c>
      <c r="Y25" s="78">
        <f t="shared" si="8"/>
        <v>11983.78</v>
      </c>
      <c r="Z25" s="78">
        <f t="shared" si="7"/>
        <v>4954.04</v>
      </c>
    </row>
    <row r="26" spans="1:26" x14ac:dyDescent="0.2">
      <c r="A26" t="str">
        <f>Collected_Rate!A26</f>
        <v>(430) Golf Course</v>
      </c>
      <c r="B26" s="63" t="s">
        <v>31</v>
      </c>
      <c r="C26" s="64"/>
      <c r="D26" s="65"/>
      <c r="E26" s="66" t="s">
        <v>32</v>
      </c>
      <c r="F26" s="67" t="s">
        <v>136</v>
      </c>
      <c r="G26" s="68" t="s">
        <v>6</v>
      </c>
      <c r="H26" s="77">
        <v>0.81</v>
      </c>
      <c r="I26" s="61">
        <v>0.89</v>
      </c>
      <c r="J26" s="78">
        <f t="shared" si="1"/>
        <v>1310.08</v>
      </c>
      <c r="K26" s="78">
        <f t="shared" si="2"/>
        <v>3986.31</v>
      </c>
      <c r="L26" s="78">
        <f t="shared" si="2"/>
        <v>3241.38</v>
      </c>
      <c r="M26" s="78">
        <f t="shared" si="8"/>
        <v>1974.02</v>
      </c>
      <c r="N26" s="78">
        <f t="shared" si="8"/>
        <v>1818.27</v>
      </c>
      <c r="O26" s="78">
        <f t="shared" si="3"/>
        <v>1299.24</v>
      </c>
      <c r="P26" s="78">
        <f t="shared" si="8"/>
        <v>2733.19</v>
      </c>
      <c r="Q26" s="78">
        <f t="shared" si="8"/>
        <v>1373.27</v>
      </c>
      <c r="R26" s="78">
        <f t="shared" si="4"/>
        <v>1386.72</v>
      </c>
      <c r="S26" s="78">
        <f t="shared" si="4"/>
        <v>3031.02</v>
      </c>
      <c r="T26" s="78">
        <f t="shared" si="5"/>
        <v>5119.28</v>
      </c>
      <c r="U26" s="78">
        <f t="shared" si="6"/>
        <v>2041.2</v>
      </c>
      <c r="V26" s="78">
        <f t="shared" si="8"/>
        <v>2149.35</v>
      </c>
      <c r="W26" s="78">
        <f t="shared" si="8"/>
        <v>1341.23</v>
      </c>
      <c r="X26" s="78">
        <f t="shared" si="8"/>
        <v>3489.69</v>
      </c>
      <c r="Y26" s="78">
        <f t="shared" si="8"/>
        <v>2679.79</v>
      </c>
      <c r="Z26" s="78">
        <f t="shared" si="7"/>
        <v>1102.4100000000001</v>
      </c>
    </row>
    <row r="27" spans="1:26" x14ac:dyDescent="0.2">
      <c r="A27" t="str">
        <f>Collected_Rate!A27</f>
        <v>(495) Recreational Community Center</v>
      </c>
      <c r="B27" s="63" t="s">
        <v>163</v>
      </c>
      <c r="C27" s="64"/>
      <c r="D27" s="65"/>
      <c r="E27" s="66" t="s">
        <v>33</v>
      </c>
      <c r="F27" s="67" t="s">
        <v>210</v>
      </c>
      <c r="G27" s="68" t="s">
        <v>10</v>
      </c>
      <c r="H27" s="77">
        <v>6.72</v>
      </c>
      <c r="I27" s="61">
        <v>7.35</v>
      </c>
      <c r="J27" s="78">
        <f t="shared" si="1"/>
        <v>10819.2</v>
      </c>
      <c r="K27" s="78">
        <f t="shared" si="2"/>
        <v>32920.65</v>
      </c>
      <c r="L27" s="78">
        <f t="shared" si="2"/>
        <v>26768.7</v>
      </c>
      <c r="M27" s="78">
        <f t="shared" si="8"/>
        <v>16302.3</v>
      </c>
      <c r="N27" s="78">
        <f t="shared" si="8"/>
        <v>15016.05</v>
      </c>
      <c r="O27" s="78">
        <f t="shared" si="3"/>
        <v>10778.88</v>
      </c>
      <c r="P27" s="78">
        <f t="shared" si="8"/>
        <v>22571.85</v>
      </c>
      <c r="Q27" s="78">
        <f t="shared" si="8"/>
        <v>11341.05</v>
      </c>
      <c r="R27" s="78">
        <f t="shared" si="4"/>
        <v>11504.64</v>
      </c>
      <c r="S27" s="78">
        <f t="shared" si="4"/>
        <v>25146.240000000002</v>
      </c>
      <c r="T27" s="78">
        <f t="shared" si="5"/>
        <v>42277.2</v>
      </c>
      <c r="U27" s="78">
        <f t="shared" si="6"/>
        <v>16934.400000000001</v>
      </c>
      <c r="V27" s="78">
        <f t="shared" si="8"/>
        <v>17750.25</v>
      </c>
      <c r="W27" s="78">
        <f t="shared" si="8"/>
        <v>11076.45</v>
      </c>
      <c r="X27" s="78">
        <f t="shared" si="8"/>
        <v>28819.35</v>
      </c>
      <c r="Y27" s="78">
        <f t="shared" si="8"/>
        <v>22130.85</v>
      </c>
      <c r="Z27" s="78">
        <f t="shared" si="7"/>
        <v>9145.92</v>
      </c>
    </row>
    <row r="28" spans="1:26" x14ac:dyDescent="0.2">
      <c r="A28" t="str">
        <f>Collected_Rate!A28</f>
        <v>(465) Ice Skating Rink</v>
      </c>
      <c r="B28" s="63" t="s">
        <v>164</v>
      </c>
      <c r="C28" s="64"/>
      <c r="D28" s="65"/>
      <c r="E28" s="66" t="s">
        <v>34</v>
      </c>
      <c r="F28" s="67" t="s">
        <v>211</v>
      </c>
      <c r="G28" s="68" t="s">
        <v>10</v>
      </c>
      <c r="H28" s="77">
        <v>3.87</v>
      </c>
      <c r="I28" s="61">
        <v>4.2300000000000004</v>
      </c>
      <c r="J28" s="78">
        <f t="shared" si="1"/>
        <v>6226.56</v>
      </c>
      <c r="K28" s="78">
        <f t="shared" si="2"/>
        <v>18946.169999999998</v>
      </c>
      <c r="L28" s="78">
        <f t="shared" si="2"/>
        <v>15405.66</v>
      </c>
      <c r="M28" s="78">
        <f t="shared" si="8"/>
        <v>9382.14</v>
      </c>
      <c r="N28" s="78">
        <f t="shared" si="8"/>
        <v>8641.89</v>
      </c>
      <c r="O28" s="78">
        <f t="shared" si="3"/>
        <v>6207.48</v>
      </c>
      <c r="P28" s="78">
        <f t="shared" si="8"/>
        <v>12990.33</v>
      </c>
      <c r="Q28" s="78">
        <f t="shared" si="8"/>
        <v>6526.89</v>
      </c>
      <c r="R28" s="78">
        <f t="shared" si="4"/>
        <v>6625.44</v>
      </c>
      <c r="S28" s="78">
        <f t="shared" si="4"/>
        <v>14481.54</v>
      </c>
      <c r="T28" s="78">
        <f t="shared" si="5"/>
        <v>24330.959999999999</v>
      </c>
      <c r="U28" s="78">
        <f t="shared" si="6"/>
        <v>9752.4</v>
      </c>
      <c r="V28" s="78">
        <f t="shared" si="8"/>
        <v>10215.450000000001</v>
      </c>
      <c r="W28" s="78">
        <f t="shared" si="8"/>
        <v>6374.61</v>
      </c>
      <c r="X28" s="78">
        <f t="shared" si="8"/>
        <v>16585.830000000002</v>
      </c>
      <c r="Y28" s="78">
        <f t="shared" si="8"/>
        <v>12736.53</v>
      </c>
      <c r="Z28" s="78">
        <f t="shared" si="7"/>
        <v>5267.07</v>
      </c>
    </row>
    <row r="29" spans="1:26" x14ac:dyDescent="0.2">
      <c r="A29" t="str">
        <f>Collected_Rate!A29</f>
        <v>(431) Miniature Golf Course</v>
      </c>
      <c r="B29" s="63" t="s">
        <v>165</v>
      </c>
      <c r="C29" s="64"/>
      <c r="D29" s="65"/>
      <c r="E29" s="66" t="s">
        <v>35</v>
      </c>
      <c r="F29" s="67" t="s">
        <v>212</v>
      </c>
      <c r="G29" s="68" t="s">
        <v>36</v>
      </c>
      <c r="H29" s="77">
        <v>0.96</v>
      </c>
      <c r="I29" s="61">
        <v>1.05</v>
      </c>
      <c r="J29" s="78">
        <f t="shared" si="1"/>
        <v>1545.6</v>
      </c>
      <c r="K29" s="78">
        <f t="shared" si="2"/>
        <v>4702.95</v>
      </c>
      <c r="L29" s="78">
        <f t="shared" si="2"/>
        <v>3824.1</v>
      </c>
      <c r="M29" s="78">
        <f t="shared" si="8"/>
        <v>2328.9</v>
      </c>
      <c r="N29" s="78">
        <f t="shared" si="8"/>
        <v>2145.15</v>
      </c>
      <c r="O29" s="78">
        <f t="shared" si="3"/>
        <v>1539.84</v>
      </c>
      <c r="P29" s="78">
        <f t="shared" si="8"/>
        <v>3224.55</v>
      </c>
      <c r="Q29" s="78">
        <f t="shared" si="8"/>
        <v>1620.15</v>
      </c>
      <c r="R29" s="78">
        <f t="shared" si="4"/>
        <v>1643.52</v>
      </c>
      <c r="S29" s="78">
        <f t="shared" si="4"/>
        <v>3592.32</v>
      </c>
      <c r="T29" s="78">
        <f t="shared" si="5"/>
        <v>6039.6</v>
      </c>
      <c r="U29" s="78">
        <f t="shared" si="6"/>
        <v>2419.1999999999998</v>
      </c>
      <c r="V29" s="78">
        <f t="shared" si="8"/>
        <v>2535.75</v>
      </c>
      <c r="W29" s="78">
        <f t="shared" si="8"/>
        <v>1582.35</v>
      </c>
      <c r="X29" s="78">
        <f t="shared" si="8"/>
        <v>4117.05</v>
      </c>
      <c r="Y29" s="78">
        <f t="shared" si="8"/>
        <v>3161.55</v>
      </c>
      <c r="Z29" s="78">
        <f t="shared" si="7"/>
        <v>1306.56</v>
      </c>
    </row>
    <row r="30" spans="1:26" x14ac:dyDescent="0.2">
      <c r="A30" t="str">
        <f>Collected_Rate!A30</f>
        <v>(445) Multiplex Movie Theater</v>
      </c>
      <c r="B30" s="63" t="s">
        <v>37</v>
      </c>
      <c r="C30" s="64"/>
      <c r="D30" s="65"/>
      <c r="E30" s="66" t="s">
        <v>38</v>
      </c>
      <c r="F30" s="67" t="s">
        <v>213</v>
      </c>
      <c r="G30" s="68" t="s">
        <v>39</v>
      </c>
      <c r="H30" s="77">
        <v>39.950000000000003</v>
      </c>
      <c r="I30" s="61">
        <v>43.66</v>
      </c>
      <c r="J30" s="78">
        <f t="shared" si="1"/>
        <v>64267.519999999997</v>
      </c>
      <c r="K30" s="78">
        <f t="shared" si="2"/>
        <v>195553.14</v>
      </c>
      <c r="L30" s="78">
        <f t="shared" si="2"/>
        <v>159009.72</v>
      </c>
      <c r="M30" s="78">
        <f t="shared" si="8"/>
        <v>96837.88</v>
      </c>
      <c r="N30" s="78">
        <f t="shared" si="8"/>
        <v>89197.38</v>
      </c>
      <c r="O30" s="78">
        <f t="shared" si="3"/>
        <v>64079.8</v>
      </c>
      <c r="P30" s="78">
        <f t="shared" si="8"/>
        <v>134079.85999999999</v>
      </c>
      <c r="Q30" s="78">
        <f t="shared" si="8"/>
        <v>67367.38</v>
      </c>
      <c r="R30" s="78">
        <f t="shared" si="4"/>
        <v>68394.399999999994</v>
      </c>
      <c r="S30" s="78">
        <f t="shared" si="4"/>
        <v>149492.9</v>
      </c>
      <c r="T30" s="78">
        <f t="shared" si="5"/>
        <v>251132.32</v>
      </c>
      <c r="U30" s="78">
        <f t="shared" si="6"/>
        <v>100674</v>
      </c>
      <c r="V30" s="78">
        <f t="shared" si="8"/>
        <v>105438.9</v>
      </c>
      <c r="W30" s="78">
        <f t="shared" si="8"/>
        <v>65795.62</v>
      </c>
      <c r="X30" s="78">
        <f t="shared" si="8"/>
        <v>171190.86</v>
      </c>
      <c r="Y30" s="78">
        <f t="shared" si="8"/>
        <v>131460.26</v>
      </c>
      <c r="Z30" s="78">
        <f t="shared" si="7"/>
        <v>54371.95</v>
      </c>
    </row>
    <row r="31" spans="1:26" ht="13.5" thickBot="1" x14ac:dyDescent="0.25">
      <c r="A31" t="str">
        <f>Collected_Rate!A31</f>
        <v>(491) Racquet / Tennis Club</v>
      </c>
      <c r="B31" s="32" t="s">
        <v>40</v>
      </c>
      <c r="C31" s="33"/>
      <c r="D31" s="34"/>
      <c r="E31" s="35" t="s">
        <v>41</v>
      </c>
      <c r="F31" s="36" t="s">
        <v>214</v>
      </c>
      <c r="G31" s="37" t="s">
        <v>42</v>
      </c>
      <c r="H31" s="45">
        <v>11.12</v>
      </c>
      <c r="I31" s="61">
        <v>12.15</v>
      </c>
      <c r="J31" s="104">
        <f t="shared" si="1"/>
        <v>17884.8</v>
      </c>
      <c r="K31" s="104">
        <f t="shared" si="2"/>
        <v>54419.85</v>
      </c>
      <c r="L31" s="104">
        <f t="shared" si="2"/>
        <v>44250.3</v>
      </c>
      <c r="M31" s="104">
        <f t="shared" si="8"/>
        <v>26948.7</v>
      </c>
      <c r="N31" s="104">
        <f t="shared" si="8"/>
        <v>24822.45</v>
      </c>
      <c r="O31" s="104">
        <f t="shared" si="3"/>
        <v>17836.48</v>
      </c>
      <c r="P31" s="104">
        <f t="shared" si="8"/>
        <v>37312.65</v>
      </c>
      <c r="Q31" s="104">
        <f t="shared" si="8"/>
        <v>18747.45</v>
      </c>
      <c r="R31" s="104">
        <f t="shared" si="4"/>
        <v>19037.439999999999</v>
      </c>
      <c r="S31" s="104">
        <f t="shared" si="4"/>
        <v>41611.040000000001</v>
      </c>
      <c r="T31" s="104">
        <f t="shared" si="5"/>
        <v>69886.8</v>
      </c>
      <c r="U31" s="104">
        <f t="shared" si="6"/>
        <v>28022.400000000001</v>
      </c>
      <c r="V31" s="104">
        <f t="shared" si="8"/>
        <v>29342.25</v>
      </c>
      <c r="W31" s="104">
        <f t="shared" si="8"/>
        <v>18310.05</v>
      </c>
      <c r="X31" s="104">
        <f t="shared" si="8"/>
        <v>47640.15</v>
      </c>
      <c r="Y31" s="104">
        <f t="shared" si="8"/>
        <v>36583.65</v>
      </c>
      <c r="Z31" s="104">
        <f t="shared" si="7"/>
        <v>15134.32</v>
      </c>
    </row>
    <row r="32" spans="1:26" x14ac:dyDescent="0.2">
      <c r="A32" t="str">
        <f>Collected_Rate!A32</f>
        <v>INSTITUTIONAL</v>
      </c>
      <c r="B32" s="117" t="s">
        <v>43</v>
      </c>
      <c r="C32" s="118"/>
      <c r="D32" s="119"/>
      <c r="E32" s="120"/>
      <c r="F32" s="121"/>
      <c r="G32" s="209"/>
      <c r="H32" s="206"/>
      <c r="I32" s="61"/>
      <c r="J32" s="105">
        <f t="shared" si="1"/>
        <v>0</v>
      </c>
      <c r="K32" s="105">
        <f t="shared" si="2"/>
        <v>0</v>
      </c>
      <c r="L32" s="105">
        <f t="shared" si="2"/>
        <v>0</v>
      </c>
      <c r="M32" s="105">
        <f t="shared" si="8"/>
        <v>0</v>
      </c>
      <c r="N32" s="105">
        <f t="shared" si="8"/>
        <v>0</v>
      </c>
      <c r="O32" s="105">
        <f t="shared" si="3"/>
        <v>0</v>
      </c>
      <c r="P32" s="105">
        <f t="shared" si="8"/>
        <v>0</v>
      </c>
      <c r="Q32" s="105">
        <f t="shared" si="8"/>
        <v>0</v>
      </c>
      <c r="R32" s="105">
        <f t="shared" si="4"/>
        <v>0</v>
      </c>
      <c r="S32" s="105">
        <f t="shared" si="4"/>
        <v>0</v>
      </c>
      <c r="T32" s="105">
        <f t="shared" si="5"/>
        <v>0</v>
      </c>
      <c r="U32" s="105">
        <f t="shared" si="6"/>
        <v>0</v>
      </c>
      <c r="V32" s="105">
        <f t="shared" si="8"/>
        <v>0</v>
      </c>
      <c r="W32" s="105">
        <f t="shared" si="8"/>
        <v>0</v>
      </c>
      <c r="X32" s="105">
        <f t="shared" si="8"/>
        <v>0</v>
      </c>
      <c r="Y32" s="105">
        <f t="shared" si="8"/>
        <v>0</v>
      </c>
      <c r="Z32" s="105">
        <f t="shared" si="7"/>
        <v>0</v>
      </c>
    </row>
    <row r="33" spans="1:26" x14ac:dyDescent="0.2">
      <c r="A33" t="str">
        <f>Collected_Rate!A33</f>
        <v>(560) Religious Place of Worship</v>
      </c>
      <c r="B33" s="210" t="s">
        <v>311</v>
      </c>
      <c r="C33" s="64"/>
      <c r="D33" s="65"/>
      <c r="E33" s="66" t="s">
        <v>44</v>
      </c>
      <c r="F33" s="67" t="s">
        <v>137</v>
      </c>
      <c r="G33" s="211" t="s">
        <v>10</v>
      </c>
      <c r="H33" s="207">
        <v>1.54</v>
      </c>
      <c r="I33" s="61">
        <v>1.54</v>
      </c>
      <c r="J33" s="78">
        <f t="shared" si="1"/>
        <v>2266.88</v>
      </c>
      <c r="K33" s="78">
        <f t="shared" si="2"/>
        <v>6897.66</v>
      </c>
      <c r="L33" s="78">
        <f t="shared" si="2"/>
        <v>5608.68</v>
      </c>
      <c r="M33" s="78">
        <f t="shared" si="8"/>
        <v>3415.72</v>
      </c>
      <c r="N33" s="78">
        <f t="shared" si="8"/>
        <v>3146.22</v>
      </c>
      <c r="O33" s="78">
        <f t="shared" si="3"/>
        <v>2470.16</v>
      </c>
      <c r="P33" s="78">
        <f t="shared" si="8"/>
        <v>4729.34</v>
      </c>
      <c r="Q33" s="78">
        <f t="shared" si="8"/>
        <v>2376.2199999999998</v>
      </c>
      <c r="R33" s="78">
        <f t="shared" si="4"/>
        <v>2636.48</v>
      </c>
      <c r="S33" s="78">
        <f t="shared" si="4"/>
        <v>5762.68</v>
      </c>
      <c r="T33" s="78">
        <f t="shared" si="5"/>
        <v>8858.08</v>
      </c>
      <c r="U33" s="78">
        <f t="shared" si="6"/>
        <v>3880.8</v>
      </c>
      <c r="V33" s="78">
        <f t="shared" si="8"/>
        <v>3719.1</v>
      </c>
      <c r="W33" s="78">
        <f t="shared" si="8"/>
        <v>2320.7800000000002</v>
      </c>
      <c r="X33" s="78">
        <f t="shared" si="8"/>
        <v>6038.34</v>
      </c>
      <c r="Y33" s="78">
        <f t="shared" si="8"/>
        <v>4636.9399999999996</v>
      </c>
      <c r="Z33" s="78">
        <f t="shared" si="7"/>
        <v>2095.94</v>
      </c>
    </row>
    <row r="34" spans="1:26" x14ac:dyDescent="0.2">
      <c r="A34" t="str">
        <f>Collected_Rate!A34</f>
        <v>(565) Day Care Center</v>
      </c>
      <c r="B34" s="210" t="s">
        <v>45</v>
      </c>
      <c r="C34" s="64"/>
      <c r="D34" s="65"/>
      <c r="E34" s="66" t="s">
        <v>46</v>
      </c>
      <c r="F34" s="67" t="s">
        <v>215</v>
      </c>
      <c r="G34" s="211" t="s">
        <v>10</v>
      </c>
      <c r="H34" s="207">
        <v>10.53</v>
      </c>
      <c r="I34" s="61">
        <v>10.59</v>
      </c>
      <c r="J34" s="78">
        <f t="shared" si="1"/>
        <v>15588.48</v>
      </c>
      <c r="K34" s="78">
        <f t="shared" si="2"/>
        <v>47432.61</v>
      </c>
      <c r="L34" s="78">
        <f t="shared" si="2"/>
        <v>38568.78</v>
      </c>
      <c r="M34" s="78">
        <f t="shared" si="8"/>
        <v>23488.62</v>
      </c>
      <c r="N34" s="78">
        <f t="shared" si="8"/>
        <v>21635.37</v>
      </c>
      <c r="O34" s="78">
        <f t="shared" si="3"/>
        <v>16890.12</v>
      </c>
      <c r="P34" s="78">
        <f t="shared" si="8"/>
        <v>32521.89</v>
      </c>
      <c r="Q34" s="78">
        <f t="shared" si="8"/>
        <v>16340.37</v>
      </c>
      <c r="R34" s="78">
        <f t="shared" si="4"/>
        <v>18027.36</v>
      </c>
      <c r="S34" s="78">
        <f t="shared" si="4"/>
        <v>39403.26</v>
      </c>
      <c r="T34" s="78">
        <f t="shared" si="5"/>
        <v>60913.68</v>
      </c>
      <c r="U34" s="78">
        <f t="shared" si="6"/>
        <v>26535.599999999999</v>
      </c>
      <c r="V34" s="78">
        <f t="shared" si="8"/>
        <v>25574.85</v>
      </c>
      <c r="W34" s="78">
        <f t="shared" si="8"/>
        <v>15959.13</v>
      </c>
      <c r="X34" s="78">
        <f t="shared" si="8"/>
        <v>41523.39</v>
      </c>
      <c r="Y34" s="78">
        <f t="shared" si="8"/>
        <v>31886.49</v>
      </c>
      <c r="Z34" s="78">
        <f t="shared" si="7"/>
        <v>14331.33</v>
      </c>
    </row>
    <row r="35" spans="1:26" x14ac:dyDescent="0.2">
      <c r="A35" t="str">
        <f>Collected_Rate!A35</f>
        <v>(520) Elementary School</v>
      </c>
      <c r="B35" s="210" t="s">
        <v>312</v>
      </c>
      <c r="C35" s="64"/>
      <c r="D35" s="65"/>
      <c r="E35" s="214">
        <v>520</v>
      </c>
      <c r="F35" s="215"/>
      <c r="G35" s="216" t="s">
        <v>48</v>
      </c>
      <c r="H35" s="207">
        <v>0.28999999999999998</v>
      </c>
      <c r="I35" s="61">
        <v>0.28999999999999998</v>
      </c>
      <c r="J35" s="78">
        <f>ROUND($J$4*I35,2)</f>
        <v>426.88</v>
      </c>
      <c r="K35" s="78">
        <f t="shared" si="2"/>
        <v>1298.9100000000001</v>
      </c>
      <c r="L35" s="78">
        <f t="shared" si="2"/>
        <v>1056.18</v>
      </c>
      <c r="M35" s="78">
        <f t="shared" si="8"/>
        <v>643.22</v>
      </c>
      <c r="N35" s="78">
        <f t="shared" si="8"/>
        <v>592.47</v>
      </c>
      <c r="O35" s="78">
        <f t="shared" si="3"/>
        <v>465.16</v>
      </c>
      <c r="P35" s="78">
        <f t="shared" si="8"/>
        <v>890.59</v>
      </c>
      <c r="Q35" s="78">
        <f t="shared" si="8"/>
        <v>447.47</v>
      </c>
      <c r="R35" s="78">
        <f t="shared" si="4"/>
        <v>496.48</v>
      </c>
      <c r="S35" s="78">
        <f t="shared" si="4"/>
        <v>1085.18</v>
      </c>
      <c r="T35" s="78">
        <f t="shared" si="5"/>
        <v>1668.08</v>
      </c>
      <c r="U35" s="78">
        <f t="shared" si="6"/>
        <v>730.8</v>
      </c>
      <c r="V35" s="78">
        <f t="shared" si="8"/>
        <v>700.35</v>
      </c>
      <c r="W35" s="78">
        <f t="shared" si="8"/>
        <v>437.03</v>
      </c>
      <c r="X35" s="78">
        <f t="shared" si="8"/>
        <v>1137.0899999999999</v>
      </c>
      <c r="Y35" s="78">
        <f t="shared" si="8"/>
        <v>873.19</v>
      </c>
      <c r="Z35" s="78">
        <f t="shared" si="7"/>
        <v>394.69</v>
      </c>
    </row>
    <row r="36" spans="1:26" x14ac:dyDescent="0.2">
      <c r="A36" t="str">
        <f>Collected_Rate!A36</f>
        <v>(522) Middle School / Junior High School</v>
      </c>
      <c r="B36" s="210" t="s">
        <v>314</v>
      </c>
      <c r="C36" s="64"/>
      <c r="D36" s="65"/>
      <c r="E36" s="66" t="s">
        <v>47</v>
      </c>
      <c r="F36" s="67" t="s">
        <v>216</v>
      </c>
      <c r="G36" s="211" t="s">
        <v>48</v>
      </c>
      <c r="H36" s="207">
        <v>0.28999999999999998</v>
      </c>
      <c r="I36" s="61">
        <v>0.28999999999999998</v>
      </c>
      <c r="J36" s="78">
        <f>ROUND($J$4*I36,2)</f>
        <v>426.88</v>
      </c>
      <c r="K36" s="78">
        <f t="shared" si="2"/>
        <v>1298.9100000000001</v>
      </c>
      <c r="L36" s="78">
        <f t="shared" si="2"/>
        <v>1056.18</v>
      </c>
      <c r="M36" s="78">
        <f t="shared" si="8"/>
        <v>643.22</v>
      </c>
      <c r="N36" s="78">
        <f t="shared" si="8"/>
        <v>592.47</v>
      </c>
      <c r="O36" s="78">
        <f t="shared" si="3"/>
        <v>465.16</v>
      </c>
      <c r="P36" s="78">
        <f t="shared" si="8"/>
        <v>890.59</v>
      </c>
      <c r="Q36" s="78">
        <f t="shared" si="8"/>
        <v>447.47</v>
      </c>
      <c r="R36" s="78">
        <f t="shared" si="4"/>
        <v>496.48</v>
      </c>
      <c r="S36" s="78">
        <f t="shared" si="4"/>
        <v>1085.18</v>
      </c>
      <c r="T36" s="78">
        <f t="shared" si="5"/>
        <v>1668.08</v>
      </c>
      <c r="U36" s="78">
        <f t="shared" si="6"/>
        <v>730.8</v>
      </c>
      <c r="V36" s="78">
        <f t="shared" si="8"/>
        <v>700.35</v>
      </c>
      <c r="W36" s="78">
        <f t="shared" si="8"/>
        <v>437.03</v>
      </c>
      <c r="X36" s="78">
        <f t="shared" si="8"/>
        <v>1137.0899999999999</v>
      </c>
      <c r="Y36" s="78">
        <f t="shared" si="8"/>
        <v>873.19</v>
      </c>
      <c r="Z36" s="78">
        <f t="shared" si="7"/>
        <v>394.69</v>
      </c>
    </row>
    <row r="37" spans="1:26" x14ac:dyDescent="0.2">
      <c r="A37" t="str">
        <f>Collected_Rate!A37</f>
        <v>(530) High School</v>
      </c>
      <c r="B37" s="210" t="s">
        <v>166</v>
      </c>
      <c r="C37" s="64"/>
      <c r="D37" s="65"/>
      <c r="E37" s="66" t="s">
        <v>49</v>
      </c>
      <c r="F37" s="67" t="s">
        <v>217</v>
      </c>
      <c r="G37" s="211" t="s">
        <v>48</v>
      </c>
      <c r="H37" s="207">
        <v>0.24</v>
      </c>
      <c r="I37" s="61">
        <v>0.24</v>
      </c>
      <c r="J37" s="78">
        <f t="shared" si="1"/>
        <v>353.28</v>
      </c>
      <c r="K37" s="78">
        <f t="shared" si="2"/>
        <v>1074.96</v>
      </c>
      <c r="L37" s="78">
        <f t="shared" si="2"/>
        <v>874.08</v>
      </c>
      <c r="M37" s="78">
        <f t="shared" si="8"/>
        <v>532.32000000000005</v>
      </c>
      <c r="N37" s="78">
        <f t="shared" si="8"/>
        <v>490.32</v>
      </c>
      <c r="O37" s="78">
        <f t="shared" si="3"/>
        <v>384.96</v>
      </c>
      <c r="P37" s="78">
        <f t="shared" si="8"/>
        <v>737.04</v>
      </c>
      <c r="Q37" s="78">
        <f t="shared" si="8"/>
        <v>370.32</v>
      </c>
      <c r="R37" s="78">
        <f t="shared" si="4"/>
        <v>410.88</v>
      </c>
      <c r="S37" s="78">
        <f t="shared" si="4"/>
        <v>898.08</v>
      </c>
      <c r="T37" s="78">
        <f t="shared" si="5"/>
        <v>1380.48</v>
      </c>
      <c r="U37" s="78">
        <f t="shared" si="6"/>
        <v>604.79999999999995</v>
      </c>
      <c r="V37" s="78">
        <f t="shared" si="8"/>
        <v>579.6</v>
      </c>
      <c r="W37" s="78">
        <f t="shared" si="8"/>
        <v>361.68</v>
      </c>
      <c r="X37" s="78">
        <f t="shared" si="8"/>
        <v>941.04</v>
      </c>
      <c r="Y37" s="78">
        <f t="shared" si="8"/>
        <v>722.64</v>
      </c>
      <c r="Z37" s="78">
        <f t="shared" si="7"/>
        <v>326.64</v>
      </c>
    </row>
    <row r="38" spans="1:26" x14ac:dyDescent="0.2">
      <c r="A38" t="str">
        <f>Collected_Rate!A38</f>
        <v>(540) Junior / Community College</v>
      </c>
      <c r="B38" s="210" t="s">
        <v>167</v>
      </c>
      <c r="C38" s="64"/>
      <c r="D38" s="65"/>
      <c r="E38" s="66" t="s">
        <v>50</v>
      </c>
      <c r="F38" s="67" t="s">
        <v>218</v>
      </c>
      <c r="G38" s="211" t="s">
        <v>48</v>
      </c>
      <c r="H38" s="207">
        <v>0.19</v>
      </c>
      <c r="I38" s="61">
        <v>0.19</v>
      </c>
      <c r="J38" s="78">
        <f t="shared" si="1"/>
        <v>279.68</v>
      </c>
      <c r="K38" s="78">
        <f t="shared" si="2"/>
        <v>851.01</v>
      </c>
      <c r="L38" s="78">
        <f t="shared" si="2"/>
        <v>691.98</v>
      </c>
      <c r="M38" s="78">
        <f t="shared" si="8"/>
        <v>421.42</v>
      </c>
      <c r="N38" s="78">
        <f t="shared" si="8"/>
        <v>388.17</v>
      </c>
      <c r="O38" s="78">
        <f t="shared" si="3"/>
        <v>304.76</v>
      </c>
      <c r="P38" s="78">
        <f t="shared" si="8"/>
        <v>583.49</v>
      </c>
      <c r="Q38" s="78">
        <f t="shared" si="8"/>
        <v>293.17</v>
      </c>
      <c r="R38" s="78">
        <f t="shared" si="4"/>
        <v>325.27999999999997</v>
      </c>
      <c r="S38" s="78">
        <f t="shared" si="4"/>
        <v>710.98</v>
      </c>
      <c r="T38" s="78">
        <f t="shared" si="5"/>
        <v>1092.8800000000001</v>
      </c>
      <c r="U38" s="78">
        <f t="shared" si="6"/>
        <v>478.8</v>
      </c>
      <c r="V38" s="78">
        <f t="shared" si="8"/>
        <v>458.85</v>
      </c>
      <c r="W38" s="78">
        <f t="shared" si="8"/>
        <v>286.33</v>
      </c>
      <c r="X38" s="78">
        <f t="shared" si="8"/>
        <v>744.99</v>
      </c>
      <c r="Y38" s="78">
        <f t="shared" si="8"/>
        <v>572.09</v>
      </c>
      <c r="Z38" s="78">
        <f t="shared" si="7"/>
        <v>258.58999999999997</v>
      </c>
    </row>
    <row r="39" spans="1:26" ht="13.5" thickBot="1" x14ac:dyDescent="0.25">
      <c r="A39" t="str">
        <f>Collected_Rate!A39</f>
        <v>(550) University / College</v>
      </c>
      <c r="B39" s="212" t="s">
        <v>51</v>
      </c>
      <c r="C39" s="33"/>
      <c r="D39" s="34"/>
      <c r="E39" s="35" t="s">
        <v>52</v>
      </c>
      <c r="F39" s="36" t="s">
        <v>219</v>
      </c>
      <c r="G39" s="213" t="s">
        <v>48</v>
      </c>
      <c r="H39" s="208">
        <v>0.25</v>
      </c>
      <c r="I39" s="61">
        <v>0.26</v>
      </c>
      <c r="J39" s="80">
        <f t="shared" si="1"/>
        <v>382.72</v>
      </c>
      <c r="K39" s="80">
        <f t="shared" ref="K39:L58" si="9">ROUND(K$4*$I39,2)</f>
        <v>1164.54</v>
      </c>
      <c r="L39" s="80">
        <f t="shared" si="9"/>
        <v>946.92</v>
      </c>
      <c r="M39" s="80">
        <f t="shared" si="8"/>
        <v>576.67999999999995</v>
      </c>
      <c r="N39" s="80">
        <f t="shared" si="8"/>
        <v>531.17999999999995</v>
      </c>
      <c r="O39" s="80">
        <f t="shared" si="3"/>
        <v>401</v>
      </c>
      <c r="P39" s="80">
        <f t="shared" si="8"/>
        <v>798.46</v>
      </c>
      <c r="Q39" s="80">
        <f t="shared" si="8"/>
        <v>401.18</v>
      </c>
      <c r="R39" s="80">
        <f t="shared" ref="R39:S80" si="10">ROUND(R$4*$H39,2)</f>
        <v>428</v>
      </c>
      <c r="S39" s="80">
        <f t="shared" si="10"/>
        <v>935.5</v>
      </c>
      <c r="T39" s="80">
        <f t="shared" si="5"/>
        <v>1495.52</v>
      </c>
      <c r="U39" s="80">
        <f t="shared" si="6"/>
        <v>630</v>
      </c>
      <c r="V39" s="80">
        <f t="shared" si="8"/>
        <v>627.9</v>
      </c>
      <c r="W39" s="80">
        <f t="shared" si="8"/>
        <v>391.82</v>
      </c>
      <c r="X39" s="80">
        <f t="shared" si="8"/>
        <v>1019.46</v>
      </c>
      <c r="Y39" s="80">
        <f t="shared" si="8"/>
        <v>782.86</v>
      </c>
      <c r="Z39" s="80">
        <f t="shared" si="7"/>
        <v>340.25</v>
      </c>
    </row>
    <row r="40" spans="1:26" x14ac:dyDescent="0.2">
      <c r="A40" t="str">
        <f>Collected_Rate!A40</f>
        <v>MEDICAL</v>
      </c>
      <c r="B40" s="81" t="s">
        <v>53</v>
      </c>
      <c r="C40" s="82"/>
      <c r="D40" s="83"/>
      <c r="E40" s="84"/>
      <c r="F40" s="50"/>
      <c r="G40" s="51"/>
      <c r="H40" s="86"/>
      <c r="I40" s="61"/>
      <c r="J40" s="62">
        <f t="shared" si="1"/>
        <v>0</v>
      </c>
      <c r="K40" s="62">
        <f t="shared" si="9"/>
        <v>0</v>
      </c>
      <c r="L40" s="62">
        <f t="shared" si="9"/>
        <v>0</v>
      </c>
      <c r="M40" s="62">
        <f t="shared" si="8"/>
        <v>0</v>
      </c>
      <c r="N40" s="62">
        <f t="shared" si="8"/>
        <v>0</v>
      </c>
      <c r="O40" s="62">
        <f t="shared" si="3"/>
        <v>0</v>
      </c>
      <c r="P40" s="62">
        <f t="shared" si="8"/>
        <v>0</v>
      </c>
      <c r="Q40" s="62">
        <f t="shared" si="8"/>
        <v>0</v>
      </c>
      <c r="R40" s="62">
        <f t="shared" si="10"/>
        <v>0</v>
      </c>
      <c r="S40" s="62">
        <f t="shared" si="10"/>
        <v>0</v>
      </c>
      <c r="T40" s="62">
        <f t="shared" si="5"/>
        <v>0</v>
      </c>
      <c r="U40" s="62">
        <f t="shared" si="6"/>
        <v>0</v>
      </c>
      <c r="V40" s="62">
        <f t="shared" si="8"/>
        <v>0</v>
      </c>
      <c r="W40" s="62">
        <f t="shared" si="8"/>
        <v>0</v>
      </c>
      <c r="X40" s="62">
        <f t="shared" si="8"/>
        <v>0</v>
      </c>
      <c r="Y40" s="62">
        <f t="shared" si="8"/>
        <v>0</v>
      </c>
      <c r="Z40" s="62">
        <f t="shared" si="7"/>
        <v>0</v>
      </c>
    </row>
    <row r="41" spans="1:26" x14ac:dyDescent="0.2">
      <c r="A41" t="str">
        <f>Collected_Rate!A41</f>
        <v>(630) Clinic</v>
      </c>
      <c r="B41" s="63" t="s">
        <v>54</v>
      </c>
      <c r="C41" s="64"/>
      <c r="D41" s="65"/>
      <c r="E41" s="66" t="s">
        <v>55</v>
      </c>
      <c r="F41" s="67" t="s">
        <v>220</v>
      </c>
      <c r="G41" s="68" t="s">
        <v>10</v>
      </c>
      <c r="H41" s="77">
        <v>12.17</v>
      </c>
      <c r="I41" s="61">
        <v>11.09</v>
      </c>
      <c r="J41" s="78">
        <f t="shared" si="1"/>
        <v>16324.48</v>
      </c>
      <c r="K41" s="78">
        <f t="shared" si="9"/>
        <v>49672.11</v>
      </c>
      <c r="L41" s="78">
        <f t="shared" si="9"/>
        <v>40389.78</v>
      </c>
      <c r="M41" s="78">
        <f t="shared" si="8"/>
        <v>24597.62</v>
      </c>
      <c r="N41" s="78">
        <f t="shared" si="8"/>
        <v>22656.87</v>
      </c>
      <c r="O41" s="78">
        <f t="shared" si="3"/>
        <v>19520.68</v>
      </c>
      <c r="P41" s="78">
        <f t="shared" si="8"/>
        <v>34057.39</v>
      </c>
      <c r="Q41" s="78">
        <f t="shared" si="8"/>
        <v>17111.87</v>
      </c>
      <c r="R41" s="78">
        <f t="shared" si="10"/>
        <v>20835.04</v>
      </c>
      <c r="S41" s="78">
        <f t="shared" si="10"/>
        <v>45540.14</v>
      </c>
      <c r="T41" s="78">
        <f t="shared" si="5"/>
        <v>63789.68</v>
      </c>
      <c r="U41" s="78">
        <f t="shared" si="6"/>
        <v>30668.400000000001</v>
      </c>
      <c r="V41" s="78">
        <f t="shared" si="8"/>
        <v>26782.35</v>
      </c>
      <c r="W41" s="78">
        <f t="shared" si="8"/>
        <v>16712.63</v>
      </c>
      <c r="X41" s="78">
        <f t="shared" si="8"/>
        <v>43483.89</v>
      </c>
      <c r="Y41" s="78">
        <f t="shared" si="8"/>
        <v>33391.99</v>
      </c>
      <c r="Z41" s="78">
        <f t="shared" si="7"/>
        <v>16563.37</v>
      </c>
    </row>
    <row r="42" spans="1:26" x14ac:dyDescent="0.2">
      <c r="A42" t="str">
        <f>Collected_Rate!A42</f>
        <v>(610) Hospital</v>
      </c>
      <c r="B42" s="63" t="s">
        <v>56</v>
      </c>
      <c r="C42" s="64"/>
      <c r="D42" s="65"/>
      <c r="E42" s="66" t="s">
        <v>57</v>
      </c>
      <c r="F42" s="67" t="s">
        <v>138</v>
      </c>
      <c r="G42" s="68" t="s">
        <v>10</v>
      </c>
      <c r="H42" s="77">
        <v>3.6</v>
      </c>
      <c r="I42" s="61">
        <v>3.28</v>
      </c>
      <c r="J42" s="78">
        <f t="shared" si="1"/>
        <v>4828.16</v>
      </c>
      <c r="K42" s="78">
        <f t="shared" si="9"/>
        <v>14691.12</v>
      </c>
      <c r="L42" s="78">
        <f t="shared" si="9"/>
        <v>11945.76</v>
      </c>
      <c r="M42" s="78">
        <f t="shared" si="8"/>
        <v>7275.04</v>
      </c>
      <c r="N42" s="78">
        <f t="shared" si="8"/>
        <v>6701.04</v>
      </c>
      <c r="O42" s="78">
        <f t="shared" si="3"/>
        <v>5774.4</v>
      </c>
      <c r="P42" s="78">
        <f t="shared" si="8"/>
        <v>10072.879999999999</v>
      </c>
      <c r="Q42" s="78">
        <f t="shared" si="8"/>
        <v>5061.04</v>
      </c>
      <c r="R42" s="78">
        <f t="shared" si="10"/>
        <v>6163.2</v>
      </c>
      <c r="S42" s="78">
        <f t="shared" si="10"/>
        <v>13471.2</v>
      </c>
      <c r="T42" s="78">
        <f t="shared" si="5"/>
        <v>18866.560000000001</v>
      </c>
      <c r="U42" s="78">
        <f t="shared" si="6"/>
        <v>9072</v>
      </c>
      <c r="V42" s="78">
        <f t="shared" si="8"/>
        <v>7921.2</v>
      </c>
      <c r="W42" s="78">
        <f t="shared" si="8"/>
        <v>4942.96</v>
      </c>
      <c r="X42" s="78">
        <f t="shared" si="8"/>
        <v>12860.88</v>
      </c>
      <c r="Y42" s="78">
        <f t="shared" si="8"/>
        <v>9876.08</v>
      </c>
      <c r="Z42" s="78">
        <f t="shared" si="7"/>
        <v>4899.6000000000004</v>
      </c>
    </row>
    <row r="43" spans="1:26" x14ac:dyDescent="0.2">
      <c r="A43" t="str">
        <f>Collected_Rate!A43</f>
        <v>(620) Nursing Home</v>
      </c>
      <c r="B43" s="63" t="s">
        <v>59</v>
      </c>
      <c r="C43" s="91"/>
      <c r="D43" s="65"/>
      <c r="E43" s="66" t="s">
        <v>60</v>
      </c>
      <c r="F43" s="67" t="s">
        <v>221</v>
      </c>
      <c r="G43" s="68" t="s">
        <v>58</v>
      </c>
      <c r="H43" s="106">
        <v>0.82</v>
      </c>
      <c r="I43" s="61">
        <v>0.74</v>
      </c>
      <c r="J43" s="78">
        <f t="shared" si="1"/>
        <v>1089.28</v>
      </c>
      <c r="K43" s="78">
        <f t="shared" si="9"/>
        <v>3314.46</v>
      </c>
      <c r="L43" s="78">
        <f t="shared" si="9"/>
        <v>2695.08</v>
      </c>
      <c r="M43" s="78">
        <f t="shared" si="8"/>
        <v>1641.32</v>
      </c>
      <c r="N43" s="78">
        <f t="shared" si="8"/>
        <v>1511.82</v>
      </c>
      <c r="O43" s="78">
        <f t="shared" si="3"/>
        <v>1315.28</v>
      </c>
      <c r="P43" s="78">
        <f t="shared" si="8"/>
        <v>2272.54</v>
      </c>
      <c r="Q43" s="78">
        <f t="shared" si="8"/>
        <v>1141.82</v>
      </c>
      <c r="R43" s="78">
        <f t="shared" si="10"/>
        <v>1403.84</v>
      </c>
      <c r="S43" s="78">
        <f t="shared" si="10"/>
        <v>3068.44</v>
      </c>
      <c r="T43" s="78">
        <f t="shared" si="5"/>
        <v>4256.4799999999996</v>
      </c>
      <c r="U43" s="78">
        <f t="shared" si="6"/>
        <v>2066.4</v>
      </c>
      <c r="V43" s="78">
        <f t="shared" si="8"/>
        <v>1787.1</v>
      </c>
      <c r="W43" s="78">
        <f t="shared" ref="M43:Y71" si="11">ROUND(W$4*$I43,2)</f>
        <v>1115.18</v>
      </c>
      <c r="X43" s="78">
        <f t="shared" si="11"/>
        <v>2901.54</v>
      </c>
      <c r="Y43" s="78">
        <f t="shared" si="11"/>
        <v>2228.14</v>
      </c>
      <c r="Z43" s="78">
        <f t="shared" si="7"/>
        <v>1116.02</v>
      </c>
    </row>
    <row r="44" spans="1:26" ht="13.5" thickBot="1" x14ac:dyDescent="0.25">
      <c r="A44" t="str">
        <f>Collected_Rate!A44</f>
        <v>(640) Animal Hospital/Veterinary Clinic</v>
      </c>
      <c r="B44" s="139" t="s">
        <v>168</v>
      </c>
      <c r="C44" s="33"/>
      <c r="D44" s="107"/>
      <c r="E44" s="108" t="s">
        <v>169</v>
      </c>
      <c r="F44" s="109" t="s">
        <v>221</v>
      </c>
      <c r="G44" s="37" t="s">
        <v>10</v>
      </c>
      <c r="H44" s="116">
        <v>9.16</v>
      </c>
      <c r="I44" s="61">
        <v>8.35</v>
      </c>
      <c r="J44" s="104">
        <f t="shared" si="1"/>
        <v>12291.2</v>
      </c>
      <c r="K44" s="104">
        <f t="shared" si="9"/>
        <v>37399.65</v>
      </c>
      <c r="L44" s="104">
        <f t="shared" si="9"/>
        <v>30410.7</v>
      </c>
      <c r="M44" s="104">
        <f t="shared" si="11"/>
        <v>18520.3</v>
      </c>
      <c r="N44" s="104">
        <f t="shared" si="11"/>
        <v>17059.05</v>
      </c>
      <c r="O44" s="104">
        <f t="shared" si="3"/>
        <v>14692.64</v>
      </c>
      <c r="P44" s="104">
        <f t="shared" si="11"/>
        <v>25642.85</v>
      </c>
      <c r="Q44" s="104">
        <f t="shared" si="11"/>
        <v>12884.05</v>
      </c>
      <c r="R44" s="104">
        <f t="shared" si="10"/>
        <v>15681.92</v>
      </c>
      <c r="S44" s="104">
        <f t="shared" si="10"/>
        <v>34276.720000000001</v>
      </c>
      <c r="T44" s="104">
        <f t="shared" si="5"/>
        <v>48029.2</v>
      </c>
      <c r="U44" s="104">
        <f t="shared" si="6"/>
        <v>23083.200000000001</v>
      </c>
      <c r="V44" s="104">
        <f t="shared" si="11"/>
        <v>20165.25</v>
      </c>
      <c r="W44" s="104">
        <f t="shared" si="11"/>
        <v>12583.45</v>
      </c>
      <c r="X44" s="104">
        <f t="shared" si="11"/>
        <v>32740.35</v>
      </c>
      <c r="Y44" s="104">
        <f t="shared" si="11"/>
        <v>25141.85</v>
      </c>
      <c r="Z44" s="104">
        <f t="shared" si="7"/>
        <v>12466.76</v>
      </c>
    </row>
    <row r="45" spans="1:26" x14ac:dyDescent="0.2">
      <c r="A45" t="str">
        <f>Collected_Rate!A45</f>
        <v>OFFICE</v>
      </c>
      <c r="B45" s="117" t="s">
        <v>61</v>
      </c>
      <c r="C45" s="118"/>
      <c r="D45" s="119"/>
      <c r="E45" s="120"/>
      <c r="F45" s="121"/>
      <c r="G45" s="122"/>
      <c r="H45" s="130"/>
      <c r="I45" s="61"/>
      <c r="J45" s="105">
        <f t="shared" si="1"/>
        <v>0</v>
      </c>
      <c r="K45" s="105">
        <f t="shared" si="9"/>
        <v>0</v>
      </c>
      <c r="L45" s="105">
        <f t="shared" si="9"/>
        <v>0</v>
      </c>
      <c r="M45" s="105">
        <f t="shared" si="11"/>
        <v>0</v>
      </c>
      <c r="N45" s="105">
        <f t="shared" si="11"/>
        <v>0</v>
      </c>
      <c r="O45" s="105">
        <f t="shared" si="3"/>
        <v>0</v>
      </c>
      <c r="P45" s="105">
        <f t="shared" si="11"/>
        <v>0</v>
      </c>
      <c r="Q45" s="105">
        <f t="shared" si="11"/>
        <v>0</v>
      </c>
      <c r="R45" s="105">
        <f t="shared" si="10"/>
        <v>0</v>
      </c>
      <c r="S45" s="105">
        <f t="shared" si="10"/>
        <v>0</v>
      </c>
      <c r="T45" s="105">
        <f t="shared" si="5"/>
        <v>0</v>
      </c>
      <c r="U45" s="105">
        <f t="shared" si="6"/>
        <v>0</v>
      </c>
      <c r="V45" s="105">
        <f t="shared" si="11"/>
        <v>0</v>
      </c>
      <c r="W45" s="105">
        <f t="shared" si="11"/>
        <v>0</v>
      </c>
      <c r="X45" s="105">
        <f t="shared" si="11"/>
        <v>0</v>
      </c>
      <c r="Y45" s="105">
        <f t="shared" si="11"/>
        <v>0</v>
      </c>
      <c r="Z45" s="105">
        <f t="shared" si="7"/>
        <v>0</v>
      </c>
    </row>
    <row r="46" spans="1:26" x14ac:dyDescent="0.2">
      <c r="A46" t="str">
        <f>Collected_Rate!A46</f>
        <v>(714) Corporate Headquarters Building</v>
      </c>
      <c r="B46" s="63" t="s">
        <v>62</v>
      </c>
      <c r="C46" s="64"/>
      <c r="D46" s="65"/>
      <c r="E46" s="66" t="s">
        <v>63</v>
      </c>
      <c r="F46" s="67" t="s">
        <v>139</v>
      </c>
      <c r="G46" s="68" t="s">
        <v>10</v>
      </c>
      <c r="H46" s="77">
        <v>2.23</v>
      </c>
      <c r="I46" s="61">
        <v>2.0299999999999998</v>
      </c>
      <c r="J46" s="78">
        <f t="shared" si="1"/>
        <v>2988.16</v>
      </c>
      <c r="K46" s="78">
        <f t="shared" si="9"/>
        <v>9092.3700000000008</v>
      </c>
      <c r="L46" s="78">
        <f t="shared" si="9"/>
        <v>7393.26</v>
      </c>
      <c r="M46" s="78">
        <f t="shared" si="11"/>
        <v>4502.54</v>
      </c>
      <c r="N46" s="78">
        <f t="shared" si="11"/>
        <v>4147.29</v>
      </c>
      <c r="O46" s="78">
        <f t="shared" si="3"/>
        <v>3576.92</v>
      </c>
      <c r="P46" s="78">
        <f t="shared" si="11"/>
        <v>6234.13</v>
      </c>
      <c r="Q46" s="78">
        <f t="shared" si="11"/>
        <v>3132.29</v>
      </c>
      <c r="R46" s="78">
        <f t="shared" si="10"/>
        <v>3817.76</v>
      </c>
      <c r="S46" s="78">
        <f t="shared" si="10"/>
        <v>8344.66</v>
      </c>
      <c r="T46" s="78">
        <f t="shared" si="5"/>
        <v>11676.56</v>
      </c>
      <c r="U46" s="78">
        <f t="shared" si="6"/>
        <v>5619.6</v>
      </c>
      <c r="V46" s="78">
        <f t="shared" si="11"/>
        <v>4902.45</v>
      </c>
      <c r="W46" s="78">
        <f t="shared" si="11"/>
        <v>3059.21</v>
      </c>
      <c r="X46" s="78">
        <f t="shared" si="11"/>
        <v>7959.63</v>
      </c>
      <c r="Y46" s="78">
        <f t="shared" si="11"/>
        <v>6112.33</v>
      </c>
      <c r="Z46" s="78">
        <f t="shared" si="7"/>
        <v>3035.03</v>
      </c>
    </row>
    <row r="47" spans="1:26" x14ac:dyDescent="0.2">
      <c r="A47" t="str">
        <f>Collected_Rate!A47</f>
        <v>(710) General Office Building</v>
      </c>
      <c r="B47" s="63" t="s">
        <v>64</v>
      </c>
      <c r="C47" s="64"/>
      <c r="D47" s="65"/>
      <c r="E47" s="66" t="s">
        <v>65</v>
      </c>
      <c r="F47" s="67" t="s">
        <v>140</v>
      </c>
      <c r="G47" s="68" t="s">
        <v>10</v>
      </c>
      <c r="H47" s="77">
        <v>4.2699999999999996</v>
      </c>
      <c r="I47" s="61">
        <v>3.89</v>
      </c>
      <c r="J47" s="78">
        <f t="shared" si="1"/>
        <v>5726.08</v>
      </c>
      <c r="K47" s="78">
        <f t="shared" si="9"/>
        <v>17423.310000000001</v>
      </c>
      <c r="L47" s="78">
        <f t="shared" si="9"/>
        <v>14167.38</v>
      </c>
      <c r="M47" s="78">
        <f t="shared" si="11"/>
        <v>8628.02</v>
      </c>
      <c r="N47" s="78">
        <f t="shared" si="11"/>
        <v>7947.27</v>
      </c>
      <c r="O47" s="78">
        <f t="shared" si="3"/>
        <v>6849.08</v>
      </c>
      <c r="P47" s="78">
        <f t="shared" si="11"/>
        <v>11946.19</v>
      </c>
      <c r="Q47" s="78">
        <f t="shared" si="11"/>
        <v>6002.27</v>
      </c>
      <c r="R47" s="78">
        <f t="shared" si="10"/>
        <v>7310.24</v>
      </c>
      <c r="S47" s="78">
        <f t="shared" si="10"/>
        <v>15978.34</v>
      </c>
      <c r="T47" s="78">
        <f t="shared" si="5"/>
        <v>22375.279999999999</v>
      </c>
      <c r="U47" s="78">
        <f t="shared" si="6"/>
        <v>10760.4</v>
      </c>
      <c r="V47" s="78">
        <f t="shared" si="11"/>
        <v>9394.35</v>
      </c>
      <c r="W47" s="78">
        <f t="shared" si="11"/>
        <v>5862.23</v>
      </c>
      <c r="X47" s="78">
        <f t="shared" si="11"/>
        <v>15252.69</v>
      </c>
      <c r="Y47" s="78">
        <f t="shared" si="11"/>
        <v>11712.79</v>
      </c>
      <c r="Z47" s="78">
        <f t="shared" si="7"/>
        <v>5811.47</v>
      </c>
    </row>
    <row r="48" spans="1:26" x14ac:dyDescent="0.2">
      <c r="A48" t="str">
        <f>Collected_Rate!A48</f>
        <v>(720) Medical-Dental Office Building</v>
      </c>
      <c r="B48" s="63" t="s">
        <v>170</v>
      </c>
      <c r="C48" s="64"/>
      <c r="D48" s="65"/>
      <c r="E48" s="66" t="s">
        <v>66</v>
      </c>
      <c r="F48" s="67" t="s">
        <v>222</v>
      </c>
      <c r="G48" s="68" t="s">
        <v>10</v>
      </c>
      <c r="H48" s="77">
        <v>12.84</v>
      </c>
      <c r="I48" s="61">
        <v>11.69</v>
      </c>
      <c r="J48" s="78">
        <f t="shared" si="1"/>
        <v>17207.68</v>
      </c>
      <c r="K48" s="78">
        <f t="shared" si="9"/>
        <v>52359.51</v>
      </c>
      <c r="L48" s="78">
        <f t="shared" si="9"/>
        <v>42574.98</v>
      </c>
      <c r="M48" s="78">
        <f t="shared" si="11"/>
        <v>25928.42</v>
      </c>
      <c r="N48" s="78">
        <f t="shared" si="11"/>
        <v>23882.67</v>
      </c>
      <c r="O48" s="78">
        <f t="shared" si="3"/>
        <v>20595.36</v>
      </c>
      <c r="P48" s="78">
        <f t="shared" si="11"/>
        <v>35899.99</v>
      </c>
      <c r="Q48" s="78">
        <f t="shared" si="11"/>
        <v>18037.669999999998</v>
      </c>
      <c r="R48" s="78">
        <f t="shared" si="10"/>
        <v>21982.080000000002</v>
      </c>
      <c r="S48" s="78">
        <f t="shared" si="10"/>
        <v>48047.28</v>
      </c>
      <c r="T48" s="78">
        <f t="shared" si="5"/>
        <v>67240.88</v>
      </c>
      <c r="U48" s="78">
        <f t="shared" si="6"/>
        <v>32356.799999999999</v>
      </c>
      <c r="V48" s="78">
        <f t="shared" si="11"/>
        <v>28231.35</v>
      </c>
      <c r="W48" s="78">
        <f t="shared" si="11"/>
        <v>17616.830000000002</v>
      </c>
      <c r="X48" s="78">
        <f t="shared" si="11"/>
        <v>45836.49</v>
      </c>
      <c r="Y48" s="78">
        <f t="shared" si="11"/>
        <v>35198.589999999997</v>
      </c>
      <c r="Z48" s="78">
        <f t="shared" si="7"/>
        <v>17475.240000000002</v>
      </c>
    </row>
    <row r="49" spans="1:26" x14ac:dyDescent="0.2">
      <c r="A49" t="str">
        <f>Collected_Rate!A49</f>
        <v>(715) Single Tenant Office Building</v>
      </c>
      <c r="B49" s="63" t="s">
        <v>67</v>
      </c>
      <c r="C49" s="64"/>
      <c r="D49" s="65"/>
      <c r="E49" s="66" t="s">
        <v>68</v>
      </c>
      <c r="F49" s="67" t="s">
        <v>141</v>
      </c>
      <c r="G49" s="68" t="s">
        <v>10</v>
      </c>
      <c r="H49" s="77">
        <v>6.34</v>
      </c>
      <c r="I49" s="61">
        <v>5.78</v>
      </c>
      <c r="J49" s="78">
        <f t="shared" si="1"/>
        <v>8508.16</v>
      </c>
      <c r="K49" s="78">
        <f t="shared" si="9"/>
        <v>25888.62</v>
      </c>
      <c r="L49" s="78">
        <f t="shared" si="9"/>
        <v>21050.76</v>
      </c>
      <c r="M49" s="78">
        <f t="shared" si="11"/>
        <v>12820.04</v>
      </c>
      <c r="N49" s="78">
        <f t="shared" si="11"/>
        <v>11808.54</v>
      </c>
      <c r="O49" s="78">
        <f t="shared" si="3"/>
        <v>10169.36</v>
      </c>
      <c r="P49" s="78">
        <f t="shared" si="11"/>
        <v>17750.38</v>
      </c>
      <c r="Q49" s="78">
        <f t="shared" si="11"/>
        <v>8918.5400000000009</v>
      </c>
      <c r="R49" s="78">
        <f t="shared" si="10"/>
        <v>10854.08</v>
      </c>
      <c r="S49" s="78">
        <f t="shared" si="10"/>
        <v>23724.28</v>
      </c>
      <c r="T49" s="78">
        <f t="shared" si="5"/>
        <v>33246.559999999998</v>
      </c>
      <c r="U49" s="78">
        <f t="shared" si="6"/>
        <v>15976.8</v>
      </c>
      <c r="V49" s="78">
        <f t="shared" si="11"/>
        <v>13958.7</v>
      </c>
      <c r="W49" s="78">
        <f t="shared" si="11"/>
        <v>8710.4599999999991</v>
      </c>
      <c r="X49" s="78">
        <f t="shared" si="11"/>
        <v>22663.38</v>
      </c>
      <c r="Y49" s="78">
        <f t="shared" si="11"/>
        <v>17403.580000000002</v>
      </c>
      <c r="Z49" s="78">
        <f t="shared" si="7"/>
        <v>8628.74</v>
      </c>
    </row>
    <row r="50" spans="1:26" ht="13.5" thickBot="1" x14ac:dyDescent="0.25">
      <c r="A50" t="str">
        <f>Collected_Rate!A50</f>
        <v>(750) Office Park</v>
      </c>
      <c r="B50" s="32" t="s">
        <v>171</v>
      </c>
      <c r="C50" s="33"/>
      <c r="D50" s="34"/>
      <c r="E50" s="35" t="s">
        <v>69</v>
      </c>
      <c r="F50" s="36" t="s">
        <v>223</v>
      </c>
      <c r="G50" s="37" t="s">
        <v>10</v>
      </c>
      <c r="H50" s="45">
        <v>3.97</v>
      </c>
      <c r="I50" s="61">
        <v>3.62</v>
      </c>
      <c r="J50" s="80">
        <f t="shared" si="1"/>
        <v>5328.64</v>
      </c>
      <c r="K50" s="80">
        <f t="shared" si="9"/>
        <v>16213.98</v>
      </c>
      <c r="L50" s="80">
        <f t="shared" si="9"/>
        <v>13184.04</v>
      </c>
      <c r="M50" s="80">
        <f t="shared" si="11"/>
        <v>8029.16</v>
      </c>
      <c r="N50" s="80">
        <f t="shared" si="11"/>
        <v>7395.66</v>
      </c>
      <c r="O50" s="80">
        <f t="shared" si="3"/>
        <v>6367.88</v>
      </c>
      <c r="P50" s="80">
        <f t="shared" si="11"/>
        <v>11117.02</v>
      </c>
      <c r="Q50" s="80">
        <f t="shared" si="11"/>
        <v>5585.66</v>
      </c>
      <c r="R50" s="80">
        <f t="shared" si="10"/>
        <v>6796.64</v>
      </c>
      <c r="S50" s="80">
        <f t="shared" si="10"/>
        <v>14855.74</v>
      </c>
      <c r="T50" s="80">
        <f t="shared" si="5"/>
        <v>20822.240000000002</v>
      </c>
      <c r="U50" s="80">
        <f t="shared" si="6"/>
        <v>10004.4</v>
      </c>
      <c r="V50" s="80">
        <f t="shared" si="11"/>
        <v>8742.2999999999993</v>
      </c>
      <c r="W50" s="80">
        <f t="shared" si="11"/>
        <v>5455.34</v>
      </c>
      <c r="X50" s="80">
        <f t="shared" si="11"/>
        <v>14194.02</v>
      </c>
      <c r="Y50" s="80">
        <f t="shared" si="11"/>
        <v>10899.82</v>
      </c>
      <c r="Z50" s="80">
        <f t="shared" si="7"/>
        <v>5403.17</v>
      </c>
    </row>
    <row r="51" spans="1:26" x14ac:dyDescent="0.2">
      <c r="A51" t="str">
        <f>Collected_Rate!A51</f>
        <v>COMMERCIAL</v>
      </c>
      <c r="B51" s="81" t="s">
        <v>70</v>
      </c>
      <c r="C51" s="82"/>
      <c r="D51" s="83"/>
      <c r="E51" s="84"/>
      <c r="F51" s="50"/>
      <c r="G51" s="51"/>
      <c r="H51" s="86"/>
      <c r="I51" s="61"/>
      <c r="J51" s="62">
        <f t="shared" si="1"/>
        <v>0</v>
      </c>
      <c r="K51" s="62">
        <f t="shared" si="9"/>
        <v>0</v>
      </c>
      <c r="L51" s="62">
        <f t="shared" si="9"/>
        <v>0</v>
      </c>
      <c r="M51" s="62">
        <f t="shared" si="11"/>
        <v>0</v>
      </c>
      <c r="N51" s="62">
        <f t="shared" si="11"/>
        <v>0</v>
      </c>
      <c r="O51" s="62">
        <f t="shared" si="3"/>
        <v>0</v>
      </c>
      <c r="P51" s="62">
        <f t="shared" si="11"/>
        <v>0</v>
      </c>
      <c r="Q51" s="62">
        <f t="shared" si="11"/>
        <v>0</v>
      </c>
      <c r="R51" s="62">
        <f t="shared" si="10"/>
        <v>0</v>
      </c>
      <c r="S51" s="62">
        <f t="shared" si="10"/>
        <v>0</v>
      </c>
      <c r="T51" s="62">
        <f t="shared" si="5"/>
        <v>0</v>
      </c>
      <c r="U51" s="62">
        <f t="shared" si="6"/>
        <v>0</v>
      </c>
      <c r="V51" s="62">
        <f t="shared" si="11"/>
        <v>0</v>
      </c>
      <c r="W51" s="62">
        <f t="shared" si="11"/>
        <v>0</v>
      </c>
      <c r="X51" s="62">
        <f t="shared" si="11"/>
        <v>0</v>
      </c>
      <c r="Y51" s="62">
        <f t="shared" si="11"/>
        <v>0</v>
      </c>
      <c r="Z51" s="62">
        <f t="shared" si="7"/>
        <v>0</v>
      </c>
    </row>
    <row r="52" spans="1:26" x14ac:dyDescent="0.2">
      <c r="A52" t="str">
        <f>Collected_Rate!A52</f>
        <v>AUTOMOBILE RELATED</v>
      </c>
      <c r="B52" s="162" t="s">
        <v>104</v>
      </c>
      <c r="C52" s="131"/>
      <c r="D52" s="65"/>
      <c r="E52" s="66"/>
      <c r="F52" s="67"/>
      <c r="G52" s="68"/>
      <c r="H52" s="77"/>
      <c r="I52" s="61"/>
      <c r="J52" s="78">
        <f t="shared" si="1"/>
        <v>0</v>
      </c>
      <c r="K52" s="78">
        <f t="shared" si="9"/>
        <v>0</v>
      </c>
      <c r="L52" s="78">
        <f t="shared" si="9"/>
        <v>0</v>
      </c>
      <c r="M52" s="78">
        <f t="shared" si="11"/>
        <v>0</v>
      </c>
      <c r="N52" s="78">
        <f t="shared" si="11"/>
        <v>0</v>
      </c>
      <c r="O52" s="78">
        <f t="shared" si="3"/>
        <v>0</v>
      </c>
      <c r="P52" s="78">
        <f t="shared" si="11"/>
        <v>0</v>
      </c>
      <c r="Q52" s="78">
        <f t="shared" si="11"/>
        <v>0</v>
      </c>
      <c r="R52" s="78">
        <f t="shared" si="10"/>
        <v>0</v>
      </c>
      <c r="S52" s="78">
        <f t="shared" si="10"/>
        <v>0</v>
      </c>
      <c r="T52" s="78">
        <f t="shared" si="5"/>
        <v>0</v>
      </c>
      <c r="U52" s="78">
        <f t="shared" si="6"/>
        <v>0</v>
      </c>
      <c r="V52" s="78">
        <f t="shared" si="11"/>
        <v>0</v>
      </c>
      <c r="W52" s="78">
        <f t="shared" si="11"/>
        <v>0</v>
      </c>
      <c r="X52" s="78">
        <f t="shared" si="11"/>
        <v>0</v>
      </c>
      <c r="Y52" s="78">
        <f t="shared" si="11"/>
        <v>0</v>
      </c>
      <c r="Z52" s="78">
        <f t="shared" si="7"/>
        <v>0</v>
      </c>
    </row>
    <row r="53" spans="1:26" x14ac:dyDescent="0.2">
      <c r="A53" t="str">
        <f>Collected_Rate!A53</f>
        <v>(942) Automobile Care Center</v>
      </c>
      <c r="B53" s="63" t="s">
        <v>71</v>
      </c>
      <c r="C53" s="64"/>
      <c r="D53" s="65"/>
      <c r="E53" s="66" t="s">
        <v>72</v>
      </c>
      <c r="F53" s="67" t="s">
        <v>142</v>
      </c>
      <c r="G53" s="68" t="s">
        <v>10</v>
      </c>
      <c r="H53" s="106">
        <v>5.05</v>
      </c>
      <c r="I53" s="61">
        <v>5.07</v>
      </c>
      <c r="J53" s="78">
        <f t="shared" si="1"/>
        <v>7463.04</v>
      </c>
      <c r="K53" s="78">
        <f t="shared" si="9"/>
        <v>22708.53</v>
      </c>
      <c r="L53" s="78">
        <f t="shared" si="9"/>
        <v>18464.939999999999</v>
      </c>
      <c r="M53" s="78">
        <f t="shared" si="11"/>
        <v>11245.26</v>
      </c>
      <c r="N53" s="78">
        <f t="shared" si="11"/>
        <v>10358.01</v>
      </c>
      <c r="O53" s="78">
        <f t="shared" si="3"/>
        <v>8100.2</v>
      </c>
      <c r="P53" s="78">
        <f t="shared" si="11"/>
        <v>15569.97</v>
      </c>
      <c r="Q53" s="78">
        <f t="shared" si="11"/>
        <v>7823.01</v>
      </c>
      <c r="R53" s="78">
        <f t="shared" si="10"/>
        <v>8645.6</v>
      </c>
      <c r="S53" s="78">
        <f t="shared" si="10"/>
        <v>18897.099999999999</v>
      </c>
      <c r="T53" s="78">
        <f t="shared" si="5"/>
        <v>29162.639999999999</v>
      </c>
      <c r="U53" s="78">
        <f t="shared" si="6"/>
        <v>12726</v>
      </c>
      <c r="V53" s="78">
        <f t="shared" si="11"/>
        <v>12244.05</v>
      </c>
      <c r="W53" s="78">
        <f t="shared" si="11"/>
        <v>7640.49</v>
      </c>
      <c r="X53" s="78">
        <f t="shared" si="11"/>
        <v>19879.47</v>
      </c>
      <c r="Y53" s="78">
        <f t="shared" si="11"/>
        <v>15265.77</v>
      </c>
      <c r="Z53" s="78">
        <f t="shared" si="7"/>
        <v>6873.05</v>
      </c>
    </row>
    <row r="54" spans="1:26" x14ac:dyDescent="0.2">
      <c r="A54" t="str">
        <f>Collected_Rate!A54</f>
        <v>(843) Automobile Parts Sales</v>
      </c>
      <c r="B54" s="63" t="s">
        <v>73</v>
      </c>
      <c r="C54" s="64"/>
      <c r="D54" s="65"/>
      <c r="E54" s="66" t="s">
        <v>74</v>
      </c>
      <c r="F54" s="67" t="s">
        <v>143</v>
      </c>
      <c r="G54" s="68" t="s">
        <v>10</v>
      </c>
      <c r="H54" s="106">
        <v>7.56</v>
      </c>
      <c r="I54" s="61">
        <v>7.59</v>
      </c>
      <c r="J54" s="78">
        <f t="shared" si="1"/>
        <v>11172.48</v>
      </c>
      <c r="K54" s="78">
        <f t="shared" si="9"/>
        <v>33995.61</v>
      </c>
      <c r="L54" s="78">
        <f t="shared" si="9"/>
        <v>27642.78</v>
      </c>
      <c r="M54" s="78">
        <f t="shared" si="11"/>
        <v>16834.62</v>
      </c>
      <c r="N54" s="78">
        <f t="shared" si="11"/>
        <v>15506.37</v>
      </c>
      <c r="O54" s="78">
        <f t="shared" si="3"/>
        <v>12126.24</v>
      </c>
      <c r="P54" s="78">
        <f t="shared" si="11"/>
        <v>23308.89</v>
      </c>
      <c r="Q54" s="78">
        <f t="shared" si="11"/>
        <v>11711.37</v>
      </c>
      <c r="R54" s="78">
        <f t="shared" si="10"/>
        <v>12942.72</v>
      </c>
      <c r="S54" s="78">
        <f t="shared" si="10"/>
        <v>28289.52</v>
      </c>
      <c r="T54" s="78">
        <f t="shared" si="5"/>
        <v>43657.68</v>
      </c>
      <c r="U54" s="78">
        <f t="shared" si="6"/>
        <v>19051.2</v>
      </c>
      <c r="V54" s="78">
        <f t="shared" si="11"/>
        <v>18329.849999999999</v>
      </c>
      <c r="W54" s="78">
        <f t="shared" si="11"/>
        <v>11438.13</v>
      </c>
      <c r="X54" s="78">
        <f t="shared" si="11"/>
        <v>29760.39</v>
      </c>
      <c r="Y54" s="78">
        <f t="shared" si="11"/>
        <v>22853.49</v>
      </c>
      <c r="Z54" s="78">
        <f t="shared" si="7"/>
        <v>10289.16</v>
      </c>
    </row>
    <row r="55" spans="1:26" x14ac:dyDescent="0.2">
      <c r="A55" t="str">
        <f>Collected_Rate!A55</f>
        <v>(944) Gasoline/Service Station</v>
      </c>
      <c r="B55" s="63" t="s">
        <v>75</v>
      </c>
      <c r="C55" s="64"/>
      <c r="D55" s="65"/>
      <c r="E55" s="66" t="s">
        <v>76</v>
      </c>
      <c r="F55" s="67" t="s">
        <v>144</v>
      </c>
      <c r="G55" s="68" t="s">
        <v>198</v>
      </c>
      <c r="H55" s="106">
        <v>4.88</v>
      </c>
      <c r="I55" s="61">
        <v>4.88</v>
      </c>
      <c r="J55" s="78">
        <f t="shared" si="1"/>
        <v>7183.36</v>
      </c>
      <c r="K55" s="78">
        <f t="shared" si="9"/>
        <v>21857.52</v>
      </c>
      <c r="L55" s="78">
        <f t="shared" si="9"/>
        <v>17772.96</v>
      </c>
      <c r="M55" s="78">
        <f t="shared" si="11"/>
        <v>10823.84</v>
      </c>
      <c r="N55" s="78">
        <f t="shared" si="11"/>
        <v>9969.84</v>
      </c>
      <c r="O55" s="78">
        <f t="shared" si="3"/>
        <v>7827.52</v>
      </c>
      <c r="P55" s="78">
        <f t="shared" si="11"/>
        <v>14986.48</v>
      </c>
      <c r="Q55" s="78">
        <f t="shared" si="11"/>
        <v>7529.84</v>
      </c>
      <c r="R55" s="78">
        <f t="shared" si="10"/>
        <v>8354.56</v>
      </c>
      <c r="S55" s="78">
        <f t="shared" si="10"/>
        <v>18260.96</v>
      </c>
      <c r="T55" s="78">
        <f t="shared" si="5"/>
        <v>28069.759999999998</v>
      </c>
      <c r="U55" s="78">
        <f t="shared" si="6"/>
        <v>12297.6</v>
      </c>
      <c r="V55" s="78">
        <f t="shared" si="11"/>
        <v>11785.2</v>
      </c>
      <c r="W55" s="78">
        <f t="shared" si="11"/>
        <v>7354.16</v>
      </c>
      <c r="X55" s="78">
        <f t="shared" si="11"/>
        <v>19134.48</v>
      </c>
      <c r="Y55" s="78">
        <f t="shared" si="11"/>
        <v>14693.68</v>
      </c>
      <c r="Z55" s="78">
        <f t="shared" si="7"/>
        <v>6641.68</v>
      </c>
    </row>
    <row r="56" spans="1:26" x14ac:dyDescent="0.2">
      <c r="A56" t="str">
        <f>Collected_Rate!A56</f>
        <v>(945) Gasoline/Service Station w/ Conv Market</v>
      </c>
      <c r="B56" s="63" t="s">
        <v>282</v>
      </c>
      <c r="C56" s="64"/>
      <c r="D56" s="65"/>
      <c r="E56" s="66" t="s">
        <v>77</v>
      </c>
      <c r="F56" s="67" t="s">
        <v>224</v>
      </c>
      <c r="G56" s="68" t="s">
        <v>198</v>
      </c>
      <c r="H56" s="106">
        <v>3.7</v>
      </c>
      <c r="I56" s="61">
        <v>3.7</v>
      </c>
      <c r="J56" s="78">
        <f t="shared" si="1"/>
        <v>5446.4</v>
      </c>
      <c r="K56" s="78">
        <f t="shared" si="9"/>
        <v>16572.3</v>
      </c>
      <c r="L56" s="78">
        <f t="shared" si="9"/>
        <v>13475.4</v>
      </c>
      <c r="M56" s="78">
        <f t="shared" si="11"/>
        <v>8206.6</v>
      </c>
      <c r="N56" s="78">
        <f t="shared" si="11"/>
        <v>7559.1</v>
      </c>
      <c r="O56" s="78">
        <f t="shared" si="3"/>
        <v>5934.8</v>
      </c>
      <c r="P56" s="78">
        <f t="shared" si="11"/>
        <v>11362.7</v>
      </c>
      <c r="Q56" s="78">
        <f t="shared" si="11"/>
        <v>5709.1</v>
      </c>
      <c r="R56" s="78">
        <f t="shared" si="10"/>
        <v>6334.4</v>
      </c>
      <c r="S56" s="78">
        <f t="shared" si="10"/>
        <v>13845.4</v>
      </c>
      <c r="T56" s="78">
        <f t="shared" si="5"/>
        <v>21282.400000000001</v>
      </c>
      <c r="U56" s="78">
        <f t="shared" si="6"/>
        <v>9324</v>
      </c>
      <c r="V56" s="78">
        <f t="shared" si="11"/>
        <v>8935.5</v>
      </c>
      <c r="W56" s="78">
        <f t="shared" si="11"/>
        <v>5575.9</v>
      </c>
      <c r="X56" s="78">
        <f t="shared" si="11"/>
        <v>14507.7</v>
      </c>
      <c r="Y56" s="78">
        <f t="shared" si="11"/>
        <v>11140.7</v>
      </c>
      <c r="Z56" s="78">
        <f t="shared" si="7"/>
        <v>5035.7</v>
      </c>
    </row>
    <row r="57" spans="1:26" x14ac:dyDescent="0.2">
      <c r="A57" t="str">
        <f>Collected_Rate!A57</f>
        <v>(841) New Car Sales</v>
      </c>
      <c r="B57" s="63" t="s">
        <v>199</v>
      </c>
      <c r="C57" s="64"/>
      <c r="D57" s="65"/>
      <c r="E57" s="66" t="s">
        <v>78</v>
      </c>
      <c r="F57" s="67" t="s">
        <v>145</v>
      </c>
      <c r="G57" s="68" t="s">
        <v>10</v>
      </c>
      <c r="H57" s="106">
        <v>5.24</v>
      </c>
      <c r="I57" s="61">
        <v>5.26</v>
      </c>
      <c r="J57" s="78">
        <f t="shared" si="1"/>
        <v>7742.72</v>
      </c>
      <c r="K57" s="78">
        <f t="shared" si="9"/>
        <v>23559.54</v>
      </c>
      <c r="L57" s="78">
        <f t="shared" si="9"/>
        <v>19156.919999999998</v>
      </c>
      <c r="M57" s="78">
        <f t="shared" si="11"/>
        <v>11666.68</v>
      </c>
      <c r="N57" s="78">
        <f t="shared" si="11"/>
        <v>10746.18</v>
      </c>
      <c r="O57" s="78">
        <f t="shared" si="3"/>
        <v>8404.9599999999991</v>
      </c>
      <c r="P57" s="78">
        <f t="shared" si="11"/>
        <v>16153.46</v>
      </c>
      <c r="Q57" s="78">
        <f t="shared" si="11"/>
        <v>8116.18</v>
      </c>
      <c r="R57" s="78">
        <f t="shared" si="10"/>
        <v>8970.8799999999992</v>
      </c>
      <c r="S57" s="78">
        <f t="shared" si="10"/>
        <v>19608.080000000002</v>
      </c>
      <c r="T57" s="78">
        <f t="shared" si="5"/>
        <v>30255.52</v>
      </c>
      <c r="U57" s="78">
        <f t="shared" si="6"/>
        <v>13204.8</v>
      </c>
      <c r="V57" s="78">
        <f t="shared" si="11"/>
        <v>12702.9</v>
      </c>
      <c r="W57" s="78">
        <f t="shared" si="11"/>
        <v>7926.82</v>
      </c>
      <c r="X57" s="78">
        <f t="shared" si="11"/>
        <v>20624.46</v>
      </c>
      <c r="Y57" s="78">
        <f t="shared" si="11"/>
        <v>15837.86</v>
      </c>
      <c r="Z57" s="78">
        <f t="shared" si="7"/>
        <v>7131.64</v>
      </c>
    </row>
    <row r="58" spans="1:26" x14ac:dyDescent="0.2">
      <c r="A58" t="str">
        <f>Collected_Rate!A58</f>
        <v>(941) Quick Lubrication Vehicle Shop</v>
      </c>
      <c r="B58" s="63" t="s">
        <v>173</v>
      </c>
      <c r="C58" s="64"/>
      <c r="D58" s="65"/>
      <c r="E58" s="66" t="s">
        <v>79</v>
      </c>
      <c r="F58" s="67" t="s">
        <v>146</v>
      </c>
      <c r="G58" s="68" t="s">
        <v>174</v>
      </c>
      <c r="H58" s="106">
        <v>7.86</v>
      </c>
      <c r="I58" s="61">
        <v>7.89</v>
      </c>
      <c r="J58" s="78">
        <f t="shared" si="1"/>
        <v>11614.08</v>
      </c>
      <c r="K58" s="78">
        <f t="shared" si="9"/>
        <v>35339.31</v>
      </c>
      <c r="L58" s="78">
        <f t="shared" si="9"/>
        <v>28735.38</v>
      </c>
      <c r="M58" s="78">
        <f t="shared" si="11"/>
        <v>17500.02</v>
      </c>
      <c r="N58" s="78">
        <f t="shared" si="11"/>
        <v>16119.27</v>
      </c>
      <c r="O58" s="78">
        <f t="shared" si="3"/>
        <v>12607.44</v>
      </c>
      <c r="P58" s="78">
        <f t="shared" si="11"/>
        <v>24230.19</v>
      </c>
      <c r="Q58" s="78">
        <f t="shared" si="11"/>
        <v>12174.27</v>
      </c>
      <c r="R58" s="78">
        <f t="shared" si="10"/>
        <v>13456.32</v>
      </c>
      <c r="S58" s="78">
        <f t="shared" si="10"/>
        <v>29412.12</v>
      </c>
      <c r="T58" s="78">
        <f t="shared" si="5"/>
        <v>45383.28</v>
      </c>
      <c r="U58" s="78">
        <f t="shared" si="6"/>
        <v>19807.2</v>
      </c>
      <c r="V58" s="78">
        <f t="shared" si="11"/>
        <v>19054.349999999999</v>
      </c>
      <c r="W58" s="78">
        <f t="shared" si="11"/>
        <v>11890.23</v>
      </c>
      <c r="X58" s="78">
        <f t="shared" si="11"/>
        <v>30936.69</v>
      </c>
      <c r="Y58" s="78">
        <f t="shared" si="11"/>
        <v>23756.79</v>
      </c>
      <c r="Z58" s="78">
        <f t="shared" si="7"/>
        <v>10697.46</v>
      </c>
    </row>
    <row r="59" spans="1:26" x14ac:dyDescent="0.2">
      <c r="A59" t="str">
        <f>Collected_Rate!A59</f>
        <v>(947) Self-Service Car Wash</v>
      </c>
      <c r="B59" s="63" t="s">
        <v>80</v>
      </c>
      <c r="C59" s="64"/>
      <c r="D59" s="65"/>
      <c r="E59" s="66" t="s">
        <v>81</v>
      </c>
      <c r="F59" s="67" t="s">
        <v>225</v>
      </c>
      <c r="G59" s="68" t="s">
        <v>82</v>
      </c>
      <c r="H59" s="106">
        <v>1.99</v>
      </c>
      <c r="I59" s="61">
        <v>1.99</v>
      </c>
      <c r="J59" s="78">
        <f t="shared" si="1"/>
        <v>2929.28</v>
      </c>
      <c r="K59" s="78">
        <f t="shared" ref="K59:L80" si="12">ROUND(K$4*$I59,2)</f>
        <v>8913.2099999999991</v>
      </c>
      <c r="L59" s="78">
        <f t="shared" si="12"/>
        <v>7247.58</v>
      </c>
      <c r="M59" s="78">
        <f t="shared" si="11"/>
        <v>4413.82</v>
      </c>
      <c r="N59" s="78">
        <f t="shared" si="11"/>
        <v>4065.57</v>
      </c>
      <c r="O59" s="78">
        <f t="shared" si="3"/>
        <v>3191.96</v>
      </c>
      <c r="P59" s="78">
        <f t="shared" si="11"/>
        <v>6111.29</v>
      </c>
      <c r="Q59" s="78">
        <f t="shared" si="11"/>
        <v>3070.57</v>
      </c>
      <c r="R59" s="78">
        <f t="shared" si="10"/>
        <v>3406.88</v>
      </c>
      <c r="S59" s="78">
        <f t="shared" si="10"/>
        <v>7446.58</v>
      </c>
      <c r="T59" s="78">
        <f t="shared" si="5"/>
        <v>11446.48</v>
      </c>
      <c r="U59" s="78">
        <f t="shared" si="6"/>
        <v>5014.8</v>
      </c>
      <c r="V59" s="78">
        <f t="shared" si="11"/>
        <v>4805.8500000000004</v>
      </c>
      <c r="W59" s="78">
        <f t="shared" si="11"/>
        <v>2998.93</v>
      </c>
      <c r="X59" s="78">
        <f t="shared" si="11"/>
        <v>7802.79</v>
      </c>
      <c r="Y59" s="78">
        <f t="shared" si="11"/>
        <v>5991.89</v>
      </c>
      <c r="Z59" s="78">
        <f t="shared" si="7"/>
        <v>2708.39</v>
      </c>
    </row>
    <row r="60" spans="1:26" ht="13.5" thickBot="1" x14ac:dyDescent="0.25">
      <c r="A60" t="str">
        <f>Collected_Rate!A60</f>
        <v>(848) Tire Store</v>
      </c>
      <c r="B60" s="32" t="s">
        <v>83</v>
      </c>
      <c r="C60" s="33"/>
      <c r="D60" s="34"/>
      <c r="E60" s="35" t="s">
        <v>84</v>
      </c>
      <c r="F60" s="36" t="s">
        <v>226</v>
      </c>
      <c r="G60" s="37" t="s">
        <v>10</v>
      </c>
      <c r="H60" s="45">
        <v>7.75</v>
      </c>
      <c r="I60" s="61">
        <v>7.78</v>
      </c>
      <c r="J60" s="104">
        <f t="shared" si="1"/>
        <v>11452.16</v>
      </c>
      <c r="K60" s="104">
        <f t="shared" si="12"/>
        <v>34846.620000000003</v>
      </c>
      <c r="L60" s="104">
        <f t="shared" si="12"/>
        <v>28334.76</v>
      </c>
      <c r="M60" s="104">
        <f t="shared" si="11"/>
        <v>17256.04</v>
      </c>
      <c r="N60" s="104">
        <f t="shared" si="11"/>
        <v>15894.54</v>
      </c>
      <c r="O60" s="104">
        <f t="shared" si="3"/>
        <v>12431</v>
      </c>
      <c r="P60" s="104">
        <f t="shared" si="11"/>
        <v>23892.38</v>
      </c>
      <c r="Q60" s="104">
        <f t="shared" si="11"/>
        <v>12004.54</v>
      </c>
      <c r="R60" s="104">
        <f t="shared" si="10"/>
        <v>13268</v>
      </c>
      <c r="S60" s="104">
        <f t="shared" si="10"/>
        <v>29000.5</v>
      </c>
      <c r="T60" s="104">
        <f t="shared" si="5"/>
        <v>44750.559999999998</v>
      </c>
      <c r="U60" s="104">
        <f t="shared" si="6"/>
        <v>19530</v>
      </c>
      <c r="V60" s="104">
        <f t="shared" si="11"/>
        <v>18788.7</v>
      </c>
      <c r="W60" s="104">
        <f t="shared" si="11"/>
        <v>11724.46</v>
      </c>
      <c r="X60" s="104">
        <f t="shared" si="11"/>
        <v>30505.38</v>
      </c>
      <c r="Y60" s="104">
        <f t="shared" si="11"/>
        <v>23425.58</v>
      </c>
      <c r="Z60" s="104">
        <f t="shared" si="7"/>
        <v>10547.75</v>
      </c>
    </row>
    <row r="61" spans="1:26" x14ac:dyDescent="0.2">
      <c r="A61" t="str">
        <f>Collected_Rate!A61</f>
        <v>DINING</v>
      </c>
      <c r="B61" s="132" t="s">
        <v>105</v>
      </c>
      <c r="C61" s="133"/>
      <c r="D61" s="119"/>
      <c r="E61" s="120"/>
      <c r="F61" s="134"/>
      <c r="G61" s="122"/>
      <c r="H61" s="135"/>
      <c r="I61" s="61"/>
      <c r="J61" s="105">
        <f t="shared" si="1"/>
        <v>0</v>
      </c>
      <c r="K61" s="105">
        <f t="shared" si="12"/>
        <v>0</v>
      </c>
      <c r="L61" s="105">
        <f t="shared" si="12"/>
        <v>0</v>
      </c>
      <c r="M61" s="105">
        <f t="shared" si="11"/>
        <v>0</v>
      </c>
      <c r="N61" s="105">
        <f t="shared" si="11"/>
        <v>0</v>
      </c>
      <c r="O61" s="105">
        <f t="shared" si="3"/>
        <v>0</v>
      </c>
      <c r="P61" s="105">
        <f t="shared" si="11"/>
        <v>0</v>
      </c>
      <c r="Q61" s="105">
        <f t="shared" si="11"/>
        <v>0</v>
      </c>
      <c r="R61" s="105">
        <f t="shared" si="10"/>
        <v>0</v>
      </c>
      <c r="S61" s="105">
        <f t="shared" si="10"/>
        <v>0</v>
      </c>
      <c r="T61" s="105">
        <f t="shared" si="5"/>
        <v>0</v>
      </c>
      <c r="U61" s="105">
        <f t="shared" si="6"/>
        <v>0</v>
      </c>
      <c r="V61" s="105">
        <f t="shared" si="11"/>
        <v>0</v>
      </c>
      <c r="W61" s="105">
        <f t="shared" si="11"/>
        <v>0</v>
      </c>
      <c r="X61" s="105">
        <f t="shared" si="11"/>
        <v>0</v>
      </c>
      <c r="Y61" s="105">
        <f t="shared" si="11"/>
        <v>0</v>
      </c>
      <c r="Z61" s="105">
        <f t="shared" si="7"/>
        <v>0</v>
      </c>
    </row>
    <row r="62" spans="1:26" x14ac:dyDescent="0.2">
      <c r="A62" t="str">
        <f>Collected_Rate!A62</f>
        <v>(934) Fast Food Restaurant with Drive-Thru Window</v>
      </c>
      <c r="B62" s="63" t="s">
        <v>175</v>
      </c>
      <c r="C62" s="64"/>
      <c r="D62" s="65"/>
      <c r="E62" s="66" t="s">
        <v>85</v>
      </c>
      <c r="F62" s="67" t="s">
        <v>147</v>
      </c>
      <c r="G62" s="68" t="s">
        <v>10</v>
      </c>
      <c r="H62" s="106">
        <v>27.61</v>
      </c>
      <c r="I62" s="61">
        <v>27.78</v>
      </c>
      <c r="J62" s="78">
        <f t="shared" si="1"/>
        <v>40892.160000000003</v>
      </c>
      <c r="K62" s="78">
        <f t="shared" si="12"/>
        <v>124426.62</v>
      </c>
      <c r="L62" s="78">
        <f t="shared" si="12"/>
        <v>101174.76</v>
      </c>
      <c r="M62" s="78">
        <f t="shared" si="11"/>
        <v>61616.04</v>
      </c>
      <c r="N62" s="78">
        <f t="shared" si="11"/>
        <v>56754.54</v>
      </c>
      <c r="O62" s="78">
        <f t="shared" si="3"/>
        <v>44286.44</v>
      </c>
      <c r="P62" s="78">
        <f t="shared" si="11"/>
        <v>85312.38</v>
      </c>
      <c r="Q62" s="78">
        <f t="shared" si="11"/>
        <v>42864.54</v>
      </c>
      <c r="R62" s="78">
        <f t="shared" si="10"/>
        <v>47268.32</v>
      </c>
      <c r="S62" s="78">
        <f t="shared" si="10"/>
        <v>103316.62</v>
      </c>
      <c r="T62" s="78">
        <f t="shared" si="5"/>
        <v>159790.56</v>
      </c>
      <c r="U62" s="78">
        <f t="shared" si="6"/>
        <v>69577.2</v>
      </c>
      <c r="V62" s="78">
        <f t="shared" si="11"/>
        <v>67088.7</v>
      </c>
      <c r="W62" s="78">
        <f t="shared" si="11"/>
        <v>41864.46</v>
      </c>
      <c r="X62" s="78">
        <f t="shared" si="11"/>
        <v>108925.38</v>
      </c>
      <c r="Y62" s="78">
        <f t="shared" si="11"/>
        <v>83645.58</v>
      </c>
      <c r="Z62" s="78">
        <f t="shared" si="7"/>
        <v>37577.21</v>
      </c>
    </row>
    <row r="63" spans="1:26" x14ac:dyDescent="0.2">
      <c r="A63" t="str">
        <f>Collected_Rate!A63</f>
        <v>(933) Fast Food Restaurant without Drive-Thru Window</v>
      </c>
      <c r="B63" s="63" t="s">
        <v>176</v>
      </c>
      <c r="C63" s="64"/>
      <c r="D63" s="65"/>
      <c r="E63" s="66" t="s">
        <v>86</v>
      </c>
      <c r="F63" s="67" t="s">
        <v>148</v>
      </c>
      <c r="G63" s="68" t="s">
        <v>10</v>
      </c>
      <c r="H63" s="106">
        <v>23.95</v>
      </c>
      <c r="I63" s="61">
        <v>24.09</v>
      </c>
      <c r="J63" s="78">
        <f t="shared" si="1"/>
        <v>35460.480000000003</v>
      </c>
      <c r="K63" s="78">
        <f t="shared" si="12"/>
        <v>107899.11</v>
      </c>
      <c r="L63" s="78">
        <f t="shared" si="12"/>
        <v>87735.78</v>
      </c>
      <c r="M63" s="78">
        <f t="shared" si="11"/>
        <v>53431.62</v>
      </c>
      <c r="N63" s="78">
        <f t="shared" si="11"/>
        <v>49215.87</v>
      </c>
      <c r="O63" s="78">
        <f t="shared" si="3"/>
        <v>38415.800000000003</v>
      </c>
      <c r="P63" s="78">
        <f t="shared" si="11"/>
        <v>73980.39</v>
      </c>
      <c r="Q63" s="78">
        <f t="shared" si="11"/>
        <v>37170.870000000003</v>
      </c>
      <c r="R63" s="78">
        <f t="shared" si="10"/>
        <v>41002.400000000001</v>
      </c>
      <c r="S63" s="78">
        <f t="shared" si="10"/>
        <v>89620.9</v>
      </c>
      <c r="T63" s="78">
        <f t="shared" si="5"/>
        <v>138565.68</v>
      </c>
      <c r="U63" s="78">
        <f t="shared" si="6"/>
        <v>60354</v>
      </c>
      <c r="V63" s="78">
        <f t="shared" si="11"/>
        <v>58177.35</v>
      </c>
      <c r="W63" s="78">
        <f t="shared" si="11"/>
        <v>36303.629999999997</v>
      </c>
      <c r="X63" s="78">
        <f t="shared" si="11"/>
        <v>94456.89</v>
      </c>
      <c r="Y63" s="78">
        <f t="shared" si="11"/>
        <v>72534.990000000005</v>
      </c>
      <c r="Z63" s="78">
        <f t="shared" si="7"/>
        <v>32595.95</v>
      </c>
    </row>
    <row r="64" spans="1:26" x14ac:dyDescent="0.2">
      <c r="A64" t="str">
        <f>Collected_Rate!A64</f>
        <v>(932) High Turnover (Sit-Down) Restaurant</v>
      </c>
      <c r="B64" s="63" t="s">
        <v>87</v>
      </c>
      <c r="C64" s="64"/>
      <c r="D64" s="65"/>
      <c r="E64" s="66" t="s">
        <v>88</v>
      </c>
      <c r="F64" s="67" t="s">
        <v>227</v>
      </c>
      <c r="G64" s="68" t="s">
        <v>10</v>
      </c>
      <c r="H64" s="106">
        <v>15.04</v>
      </c>
      <c r="I64" s="61">
        <v>15.09</v>
      </c>
      <c r="J64" s="78">
        <f t="shared" si="1"/>
        <v>22212.48</v>
      </c>
      <c r="K64" s="78">
        <f t="shared" si="12"/>
        <v>67588.11</v>
      </c>
      <c r="L64" s="78">
        <f t="shared" si="12"/>
        <v>54957.78</v>
      </c>
      <c r="M64" s="78">
        <f t="shared" si="11"/>
        <v>33469.620000000003</v>
      </c>
      <c r="N64" s="78">
        <f t="shared" si="11"/>
        <v>30828.87</v>
      </c>
      <c r="O64" s="78">
        <f t="shared" si="3"/>
        <v>24124.16</v>
      </c>
      <c r="P64" s="78">
        <f t="shared" si="11"/>
        <v>46341.39</v>
      </c>
      <c r="Q64" s="78">
        <f t="shared" si="11"/>
        <v>23283.87</v>
      </c>
      <c r="R64" s="78">
        <f t="shared" si="10"/>
        <v>25748.48</v>
      </c>
      <c r="S64" s="78">
        <f t="shared" si="10"/>
        <v>56279.68</v>
      </c>
      <c r="T64" s="78">
        <f t="shared" si="5"/>
        <v>86797.68</v>
      </c>
      <c r="U64" s="78">
        <f t="shared" si="6"/>
        <v>37900.800000000003</v>
      </c>
      <c r="V64" s="78">
        <f t="shared" si="11"/>
        <v>36442.35</v>
      </c>
      <c r="W64" s="78">
        <f t="shared" si="11"/>
        <v>22740.63</v>
      </c>
      <c r="X64" s="78">
        <f t="shared" si="11"/>
        <v>59167.89</v>
      </c>
      <c r="Y64" s="78">
        <f t="shared" si="11"/>
        <v>45435.99</v>
      </c>
      <c r="Z64" s="78">
        <f t="shared" si="7"/>
        <v>20469.439999999999</v>
      </c>
    </row>
    <row r="65" spans="1:26" x14ac:dyDescent="0.2">
      <c r="A65" t="str">
        <f>Collected_Rate!A65</f>
        <v>(931) Quality Restaurant</v>
      </c>
      <c r="B65" s="63" t="s">
        <v>200</v>
      </c>
      <c r="C65" s="91"/>
      <c r="D65" s="65"/>
      <c r="E65" s="66" t="s">
        <v>89</v>
      </c>
      <c r="F65" s="67" t="s">
        <v>228</v>
      </c>
      <c r="G65" s="68" t="s">
        <v>10</v>
      </c>
      <c r="H65" s="106">
        <v>11.8</v>
      </c>
      <c r="I65" s="61">
        <v>11.84</v>
      </c>
      <c r="J65" s="78">
        <f t="shared" si="1"/>
        <v>17428.48</v>
      </c>
      <c r="K65" s="78">
        <f t="shared" si="12"/>
        <v>53031.360000000001</v>
      </c>
      <c r="L65" s="78">
        <f t="shared" si="12"/>
        <v>43121.279999999999</v>
      </c>
      <c r="M65" s="78">
        <f t="shared" si="11"/>
        <v>26261.119999999999</v>
      </c>
      <c r="N65" s="78">
        <f t="shared" si="11"/>
        <v>24189.119999999999</v>
      </c>
      <c r="O65" s="78">
        <f t="shared" si="3"/>
        <v>18927.2</v>
      </c>
      <c r="P65" s="78">
        <f t="shared" si="11"/>
        <v>36360.639999999999</v>
      </c>
      <c r="Q65" s="78">
        <f t="shared" si="11"/>
        <v>18269.12</v>
      </c>
      <c r="R65" s="78">
        <f t="shared" si="10"/>
        <v>20201.599999999999</v>
      </c>
      <c r="S65" s="78">
        <f t="shared" si="10"/>
        <v>44155.6</v>
      </c>
      <c r="T65" s="78">
        <f t="shared" si="5"/>
        <v>68103.679999999993</v>
      </c>
      <c r="U65" s="78">
        <f t="shared" si="6"/>
        <v>29736</v>
      </c>
      <c r="V65" s="78">
        <f t="shared" si="11"/>
        <v>28593.599999999999</v>
      </c>
      <c r="W65" s="78">
        <f t="shared" si="11"/>
        <v>17842.88</v>
      </c>
      <c r="X65" s="78">
        <f t="shared" si="11"/>
        <v>46424.639999999999</v>
      </c>
      <c r="Y65" s="78">
        <f t="shared" si="11"/>
        <v>35650.239999999998</v>
      </c>
      <c r="Z65" s="78">
        <f t="shared" si="7"/>
        <v>16059.8</v>
      </c>
    </row>
    <row r="66" spans="1:26" ht="13.5" thickBot="1" x14ac:dyDescent="0.25">
      <c r="A66" t="str">
        <f>Collected_Rate!A66</f>
        <v>(937) Coffee/Donut Shop with Drive-Thru Window</v>
      </c>
      <c r="B66" s="139" t="s">
        <v>177</v>
      </c>
      <c r="C66" s="33"/>
      <c r="D66" s="107"/>
      <c r="E66" s="108" t="s">
        <v>178</v>
      </c>
      <c r="F66" s="36" t="s">
        <v>229</v>
      </c>
      <c r="G66" s="136" t="s">
        <v>10</v>
      </c>
      <c r="H66" s="116">
        <v>7.81</v>
      </c>
      <c r="I66" s="61">
        <v>7.81</v>
      </c>
      <c r="J66" s="80">
        <f t="shared" si="1"/>
        <v>11496.32</v>
      </c>
      <c r="K66" s="80">
        <f t="shared" si="12"/>
        <v>34980.99</v>
      </c>
      <c r="L66" s="80">
        <f t="shared" si="12"/>
        <v>28444.02</v>
      </c>
      <c r="M66" s="80">
        <f t="shared" si="11"/>
        <v>17322.580000000002</v>
      </c>
      <c r="N66" s="80">
        <f t="shared" si="11"/>
        <v>15955.83</v>
      </c>
      <c r="O66" s="80">
        <f t="shared" si="3"/>
        <v>12527.24</v>
      </c>
      <c r="P66" s="80">
        <f t="shared" si="11"/>
        <v>23984.51</v>
      </c>
      <c r="Q66" s="80">
        <f t="shared" si="11"/>
        <v>12050.83</v>
      </c>
      <c r="R66" s="80">
        <f t="shared" si="10"/>
        <v>13370.72</v>
      </c>
      <c r="S66" s="80">
        <f t="shared" si="10"/>
        <v>29225.02</v>
      </c>
      <c r="T66" s="80">
        <f t="shared" si="5"/>
        <v>44923.12</v>
      </c>
      <c r="U66" s="80">
        <f t="shared" si="6"/>
        <v>19681.2</v>
      </c>
      <c r="V66" s="80">
        <f t="shared" si="11"/>
        <v>18861.150000000001</v>
      </c>
      <c r="W66" s="80">
        <f t="shared" si="11"/>
        <v>11769.67</v>
      </c>
      <c r="X66" s="80">
        <f t="shared" si="11"/>
        <v>30623.01</v>
      </c>
      <c r="Y66" s="80">
        <f t="shared" si="11"/>
        <v>23515.91</v>
      </c>
      <c r="Z66" s="80">
        <f t="shared" si="7"/>
        <v>10629.41</v>
      </c>
    </row>
    <row r="67" spans="1:26" x14ac:dyDescent="0.2">
      <c r="A67" t="str">
        <f>Collected_Rate!A67</f>
        <v>OTHER RETAIL</v>
      </c>
      <c r="B67" s="132" t="s">
        <v>106</v>
      </c>
      <c r="C67" s="133"/>
      <c r="D67" s="119"/>
      <c r="E67" s="120"/>
      <c r="F67" s="137"/>
      <c r="G67" s="122"/>
      <c r="H67" s="135"/>
      <c r="I67" s="61"/>
      <c r="J67" s="62">
        <f t="shared" si="1"/>
        <v>0</v>
      </c>
      <c r="K67" s="62">
        <f t="shared" si="12"/>
        <v>0</v>
      </c>
      <c r="L67" s="62">
        <f t="shared" si="12"/>
        <v>0</v>
      </c>
      <c r="M67" s="62">
        <f t="shared" si="11"/>
        <v>0</v>
      </c>
      <c r="N67" s="62">
        <f t="shared" si="11"/>
        <v>0</v>
      </c>
      <c r="O67" s="62">
        <f t="shared" si="3"/>
        <v>0</v>
      </c>
      <c r="P67" s="62">
        <f t="shared" si="11"/>
        <v>0</v>
      </c>
      <c r="Q67" s="62">
        <f t="shared" si="11"/>
        <v>0</v>
      </c>
      <c r="R67" s="62">
        <f t="shared" si="10"/>
        <v>0</v>
      </c>
      <c r="S67" s="62">
        <f t="shared" si="10"/>
        <v>0</v>
      </c>
      <c r="T67" s="62">
        <f t="shared" si="5"/>
        <v>0</v>
      </c>
      <c r="U67" s="62">
        <f t="shared" si="6"/>
        <v>0</v>
      </c>
      <c r="V67" s="62">
        <f t="shared" si="11"/>
        <v>0</v>
      </c>
      <c r="W67" s="62">
        <f t="shared" si="11"/>
        <v>0</v>
      </c>
      <c r="X67" s="62">
        <f t="shared" si="11"/>
        <v>0</v>
      </c>
      <c r="Y67" s="62">
        <f t="shared" si="11"/>
        <v>0</v>
      </c>
      <c r="Z67" s="62">
        <f t="shared" si="7"/>
        <v>0</v>
      </c>
    </row>
    <row r="68" spans="1:26" x14ac:dyDescent="0.2">
      <c r="A68" t="str">
        <f>Collected_Rate!A68</f>
        <v>(815) Free-Standing Discount Store</v>
      </c>
      <c r="B68" s="63" t="s">
        <v>179</v>
      </c>
      <c r="C68" s="64"/>
      <c r="D68" s="65"/>
      <c r="E68" s="66" t="s">
        <v>90</v>
      </c>
      <c r="F68" s="67" t="s">
        <v>230</v>
      </c>
      <c r="G68" s="68" t="s">
        <v>10</v>
      </c>
      <c r="H68" s="106">
        <v>9.84</v>
      </c>
      <c r="I68" s="61">
        <v>10.75</v>
      </c>
      <c r="J68" s="78">
        <f t="shared" si="1"/>
        <v>15824</v>
      </c>
      <c r="K68" s="78">
        <f t="shared" si="12"/>
        <v>48149.25</v>
      </c>
      <c r="L68" s="78">
        <f t="shared" si="12"/>
        <v>39151.5</v>
      </c>
      <c r="M68" s="78">
        <f t="shared" si="11"/>
        <v>23843.5</v>
      </c>
      <c r="N68" s="78">
        <f t="shared" si="11"/>
        <v>21962.25</v>
      </c>
      <c r="O68" s="78">
        <f t="shared" si="3"/>
        <v>15783.36</v>
      </c>
      <c r="P68" s="78">
        <f t="shared" si="11"/>
        <v>33013.25</v>
      </c>
      <c r="Q68" s="78">
        <f t="shared" si="11"/>
        <v>16587.25</v>
      </c>
      <c r="R68" s="78">
        <f t="shared" si="10"/>
        <v>16846.080000000002</v>
      </c>
      <c r="S68" s="78">
        <f t="shared" si="10"/>
        <v>36821.279999999999</v>
      </c>
      <c r="T68" s="78">
        <f t="shared" si="5"/>
        <v>61834</v>
      </c>
      <c r="U68" s="78">
        <f t="shared" si="6"/>
        <v>24796.799999999999</v>
      </c>
      <c r="V68" s="78">
        <f t="shared" si="11"/>
        <v>25961.25</v>
      </c>
      <c r="W68" s="78">
        <f t="shared" si="11"/>
        <v>16200.25</v>
      </c>
      <c r="X68" s="78">
        <f t="shared" si="11"/>
        <v>42150.75</v>
      </c>
      <c r="Y68" s="78">
        <f t="shared" si="11"/>
        <v>32368.25</v>
      </c>
      <c r="Z68" s="78">
        <f t="shared" si="7"/>
        <v>13392.24</v>
      </c>
    </row>
    <row r="69" spans="1:26" x14ac:dyDescent="0.2">
      <c r="A69" t="str">
        <f>Collected_Rate!A69</f>
        <v>(817) Nursery (Garden Center)</v>
      </c>
      <c r="B69" s="63" t="s">
        <v>180</v>
      </c>
      <c r="C69" s="64"/>
      <c r="D69" s="65"/>
      <c r="E69" s="66" t="s">
        <v>91</v>
      </c>
      <c r="F69" s="67" t="s">
        <v>149</v>
      </c>
      <c r="G69" s="68" t="s">
        <v>10</v>
      </c>
      <c r="H69" s="106">
        <v>14.14</v>
      </c>
      <c r="I69" s="61">
        <v>15.45</v>
      </c>
      <c r="J69" s="78">
        <f t="shared" si="1"/>
        <v>22742.400000000001</v>
      </c>
      <c r="K69" s="78">
        <f t="shared" si="12"/>
        <v>69200.55</v>
      </c>
      <c r="L69" s="78">
        <f t="shared" si="12"/>
        <v>56268.9</v>
      </c>
      <c r="M69" s="78">
        <f t="shared" si="11"/>
        <v>34268.1</v>
      </c>
      <c r="N69" s="78">
        <f t="shared" si="11"/>
        <v>31564.35</v>
      </c>
      <c r="O69" s="78">
        <f t="shared" si="3"/>
        <v>22680.560000000001</v>
      </c>
      <c r="P69" s="78">
        <f t="shared" si="11"/>
        <v>47446.95</v>
      </c>
      <c r="Q69" s="78">
        <f t="shared" si="11"/>
        <v>23839.35</v>
      </c>
      <c r="R69" s="78">
        <f t="shared" si="10"/>
        <v>24207.68</v>
      </c>
      <c r="S69" s="78">
        <f t="shared" si="10"/>
        <v>52911.88</v>
      </c>
      <c r="T69" s="78">
        <f t="shared" si="5"/>
        <v>88868.4</v>
      </c>
      <c r="U69" s="78">
        <f t="shared" si="6"/>
        <v>35632.800000000003</v>
      </c>
      <c r="V69" s="78">
        <f t="shared" si="11"/>
        <v>37311.75</v>
      </c>
      <c r="W69" s="78">
        <f t="shared" si="11"/>
        <v>23283.15</v>
      </c>
      <c r="X69" s="78">
        <f t="shared" si="11"/>
        <v>60579.45</v>
      </c>
      <c r="Y69" s="78">
        <f t="shared" si="11"/>
        <v>46519.95</v>
      </c>
      <c r="Z69" s="78">
        <f t="shared" si="7"/>
        <v>19244.54</v>
      </c>
    </row>
    <row r="70" spans="1:26" x14ac:dyDescent="0.2">
      <c r="A70" t="str">
        <f>Collected_Rate!A70</f>
        <v>(862) Home Improvement Superstore</v>
      </c>
      <c r="B70" s="63" t="s">
        <v>92</v>
      </c>
      <c r="C70" s="64"/>
      <c r="D70" s="65"/>
      <c r="E70" s="66" t="s">
        <v>93</v>
      </c>
      <c r="F70" s="67" t="s">
        <v>231</v>
      </c>
      <c r="G70" s="68" t="s">
        <v>10</v>
      </c>
      <c r="H70" s="106">
        <v>3.52</v>
      </c>
      <c r="I70" s="61">
        <v>3.85</v>
      </c>
      <c r="J70" s="78">
        <f t="shared" si="1"/>
        <v>5667.2</v>
      </c>
      <c r="K70" s="78">
        <f t="shared" si="12"/>
        <v>17244.150000000001</v>
      </c>
      <c r="L70" s="78">
        <f t="shared" si="12"/>
        <v>14021.7</v>
      </c>
      <c r="M70" s="78">
        <f t="shared" si="11"/>
        <v>8539.2999999999993</v>
      </c>
      <c r="N70" s="78">
        <f t="shared" si="11"/>
        <v>7865.55</v>
      </c>
      <c r="O70" s="78">
        <f t="shared" si="3"/>
        <v>5646.08</v>
      </c>
      <c r="P70" s="78">
        <f t="shared" si="11"/>
        <v>11823.35</v>
      </c>
      <c r="Q70" s="78">
        <f t="shared" si="11"/>
        <v>5940.55</v>
      </c>
      <c r="R70" s="78">
        <f t="shared" si="10"/>
        <v>6026.24</v>
      </c>
      <c r="S70" s="78">
        <f t="shared" si="10"/>
        <v>13171.84</v>
      </c>
      <c r="T70" s="78">
        <f t="shared" si="5"/>
        <v>22145.200000000001</v>
      </c>
      <c r="U70" s="78">
        <f t="shared" si="6"/>
        <v>8870.4</v>
      </c>
      <c r="V70" s="78">
        <f t="shared" si="11"/>
        <v>9297.75</v>
      </c>
      <c r="W70" s="78">
        <f t="shared" si="11"/>
        <v>5801.95</v>
      </c>
      <c r="X70" s="78">
        <f t="shared" si="11"/>
        <v>15095.85</v>
      </c>
      <c r="Y70" s="78">
        <f t="shared" si="11"/>
        <v>11592.35</v>
      </c>
      <c r="Z70" s="78">
        <f t="shared" si="7"/>
        <v>4790.72</v>
      </c>
    </row>
    <row r="71" spans="1:26" x14ac:dyDescent="0.2">
      <c r="A71" t="str">
        <f>Collected_Rate!A71</f>
        <v>(880) Pharmacy/Drugstore w/o Drive-Thru Window</v>
      </c>
      <c r="B71" s="63" t="s">
        <v>181</v>
      </c>
      <c r="C71" s="64"/>
      <c r="D71" s="65"/>
      <c r="E71" s="66" t="s">
        <v>182</v>
      </c>
      <c r="F71" s="67" t="s">
        <v>232</v>
      </c>
      <c r="G71" s="68" t="s">
        <v>10</v>
      </c>
      <c r="H71" s="106">
        <v>11.64</v>
      </c>
      <c r="I71" s="61">
        <v>12.72</v>
      </c>
      <c r="J71" s="78">
        <f t="shared" ref="J71:J80" si="13">ROUND($J$4*I71,2)</f>
        <v>18723.84</v>
      </c>
      <c r="K71" s="78">
        <f t="shared" si="12"/>
        <v>56972.88</v>
      </c>
      <c r="L71" s="78">
        <f t="shared" si="12"/>
        <v>46326.239999999998</v>
      </c>
      <c r="M71" s="78">
        <f t="shared" si="11"/>
        <v>28212.959999999999</v>
      </c>
      <c r="N71" s="78">
        <f t="shared" si="11"/>
        <v>25986.959999999999</v>
      </c>
      <c r="O71" s="78">
        <f t="shared" ref="O71:O80" si="14">ROUND(O$4*$H71,2)</f>
        <v>18670.560000000001</v>
      </c>
      <c r="P71" s="78">
        <f t="shared" si="11"/>
        <v>39063.120000000003</v>
      </c>
      <c r="Q71" s="78">
        <f t="shared" si="11"/>
        <v>19626.96</v>
      </c>
      <c r="R71" s="78">
        <f t="shared" si="10"/>
        <v>19927.68</v>
      </c>
      <c r="S71" s="78">
        <f t="shared" si="10"/>
        <v>43556.88</v>
      </c>
      <c r="T71" s="78">
        <f t="shared" ref="T71:T80" si="15">ROUND(T$4*$I71,2)</f>
        <v>73165.440000000002</v>
      </c>
      <c r="U71" s="78">
        <f t="shared" ref="U71:U80" si="16">ROUND(U$4*$H71,2)</f>
        <v>29332.799999999999</v>
      </c>
      <c r="V71" s="78">
        <f t="shared" si="11"/>
        <v>30718.799999999999</v>
      </c>
      <c r="W71" s="78">
        <f t="shared" si="11"/>
        <v>19169.04</v>
      </c>
      <c r="X71" s="78">
        <f t="shared" si="11"/>
        <v>49875.12</v>
      </c>
      <c r="Y71" s="78">
        <f t="shared" si="11"/>
        <v>38299.919999999998</v>
      </c>
      <c r="Z71" s="78">
        <f t="shared" ref="Z71:Z80" si="17">ROUND(Z$4*$H71,2)</f>
        <v>15842.04</v>
      </c>
    </row>
    <row r="72" spans="1:26" x14ac:dyDescent="0.2">
      <c r="A72" t="str">
        <f>Collected_Rate!A72</f>
        <v>(881) Pharmacy/Drugstore w/ Drive-Thru Window</v>
      </c>
      <c r="B72" s="63" t="s">
        <v>183</v>
      </c>
      <c r="C72" s="64"/>
      <c r="D72" s="65"/>
      <c r="E72" s="66" t="s">
        <v>94</v>
      </c>
      <c r="F72" s="67" t="s">
        <v>233</v>
      </c>
      <c r="G72" s="68" t="s">
        <v>10</v>
      </c>
      <c r="H72" s="106">
        <v>15.28</v>
      </c>
      <c r="I72" s="61">
        <v>16.7</v>
      </c>
      <c r="J72" s="78">
        <f t="shared" si="13"/>
        <v>24582.400000000001</v>
      </c>
      <c r="K72" s="78">
        <f t="shared" si="12"/>
        <v>74799.3</v>
      </c>
      <c r="L72" s="78">
        <f t="shared" si="12"/>
        <v>60821.4</v>
      </c>
      <c r="M72" s="78">
        <f t="shared" ref="M72:N80" si="18">ROUND(M$4*$I72,2)</f>
        <v>37040.6</v>
      </c>
      <c r="N72" s="78">
        <f t="shared" si="18"/>
        <v>34118.1</v>
      </c>
      <c r="O72" s="78">
        <f t="shared" si="14"/>
        <v>24509.119999999999</v>
      </c>
      <c r="P72" s="78">
        <f t="shared" ref="P72:Q80" si="19">ROUND(P$4*$I72,2)</f>
        <v>51285.7</v>
      </c>
      <c r="Q72" s="78">
        <f t="shared" si="19"/>
        <v>25768.1</v>
      </c>
      <c r="R72" s="78">
        <f t="shared" si="10"/>
        <v>26159.360000000001</v>
      </c>
      <c r="S72" s="78">
        <f t="shared" si="10"/>
        <v>57177.760000000002</v>
      </c>
      <c r="T72" s="78">
        <f t="shared" si="15"/>
        <v>96058.4</v>
      </c>
      <c r="U72" s="78">
        <f t="shared" si="16"/>
        <v>38505.599999999999</v>
      </c>
      <c r="V72" s="78">
        <f t="shared" ref="V72:Y80" si="20">ROUND(V$4*$I72,2)</f>
        <v>40330.5</v>
      </c>
      <c r="W72" s="78">
        <f t="shared" si="20"/>
        <v>25166.9</v>
      </c>
      <c r="X72" s="78">
        <f t="shared" si="20"/>
        <v>65480.7</v>
      </c>
      <c r="Y72" s="78">
        <f t="shared" si="20"/>
        <v>50283.7</v>
      </c>
      <c r="Z72" s="78">
        <f t="shared" si="17"/>
        <v>20796.080000000002</v>
      </c>
    </row>
    <row r="73" spans="1:26" x14ac:dyDescent="0.2">
      <c r="A73" t="str">
        <f>Collected_Rate!A73</f>
        <v>(820) Shopping Center</v>
      </c>
      <c r="B73" s="63" t="s">
        <v>95</v>
      </c>
      <c r="C73" s="64"/>
      <c r="D73" s="65"/>
      <c r="E73" s="66" t="s">
        <v>96</v>
      </c>
      <c r="F73" s="67" t="s">
        <v>234</v>
      </c>
      <c r="G73" s="68" t="s">
        <v>172</v>
      </c>
      <c r="H73" s="106">
        <v>7.3</v>
      </c>
      <c r="I73" s="61">
        <v>7.98</v>
      </c>
      <c r="J73" s="78">
        <f t="shared" si="13"/>
        <v>11746.56</v>
      </c>
      <c r="K73" s="78">
        <f t="shared" si="12"/>
        <v>35742.42</v>
      </c>
      <c r="L73" s="78">
        <f t="shared" si="12"/>
        <v>29063.16</v>
      </c>
      <c r="M73" s="78">
        <f t="shared" si="18"/>
        <v>17699.64</v>
      </c>
      <c r="N73" s="78">
        <f t="shared" si="18"/>
        <v>16303.14</v>
      </c>
      <c r="O73" s="78">
        <f t="shared" si="14"/>
        <v>11709.2</v>
      </c>
      <c r="P73" s="78">
        <f t="shared" si="19"/>
        <v>24506.58</v>
      </c>
      <c r="Q73" s="78">
        <f t="shared" si="19"/>
        <v>12313.14</v>
      </c>
      <c r="R73" s="78">
        <f t="shared" si="10"/>
        <v>12497.6</v>
      </c>
      <c r="S73" s="78">
        <f t="shared" si="10"/>
        <v>27316.6</v>
      </c>
      <c r="T73" s="78">
        <f t="shared" si="15"/>
        <v>45900.959999999999</v>
      </c>
      <c r="U73" s="78">
        <f t="shared" si="16"/>
        <v>18396</v>
      </c>
      <c r="V73" s="78">
        <f t="shared" si="20"/>
        <v>19271.7</v>
      </c>
      <c r="W73" s="78">
        <f t="shared" si="20"/>
        <v>12025.86</v>
      </c>
      <c r="X73" s="78">
        <f t="shared" si="20"/>
        <v>31289.58</v>
      </c>
      <c r="Y73" s="78">
        <f t="shared" si="20"/>
        <v>24027.78</v>
      </c>
      <c r="Z73" s="78">
        <f t="shared" si="17"/>
        <v>9935.2999999999993</v>
      </c>
    </row>
    <row r="74" spans="1:26" x14ac:dyDescent="0.2">
      <c r="A74" t="str">
        <f>Collected_Rate!A74</f>
        <v>(850) Supermarket</v>
      </c>
      <c r="B74" s="63" t="s">
        <v>97</v>
      </c>
      <c r="C74" s="64"/>
      <c r="D74" s="65"/>
      <c r="E74" s="66" t="s">
        <v>98</v>
      </c>
      <c r="F74" s="67" t="s">
        <v>235</v>
      </c>
      <c r="G74" s="68" t="s">
        <v>10</v>
      </c>
      <c r="H74" s="106">
        <v>17.2</v>
      </c>
      <c r="I74" s="61">
        <v>18.79</v>
      </c>
      <c r="J74" s="78">
        <f t="shared" si="13"/>
        <v>27658.880000000001</v>
      </c>
      <c r="K74" s="78">
        <f t="shared" si="12"/>
        <v>84160.41</v>
      </c>
      <c r="L74" s="78">
        <f t="shared" si="12"/>
        <v>68433.179999999993</v>
      </c>
      <c r="M74" s="78">
        <f t="shared" si="18"/>
        <v>41676.22</v>
      </c>
      <c r="N74" s="78">
        <f t="shared" si="18"/>
        <v>38387.97</v>
      </c>
      <c r="O74" s="78">
        <f t="shared" si="14"/>
        <v>27588.799999999999</v>
      </c>
      <c r="P74" s="78">
        <f t="shared" si="19"/>
        <v>57704.09</v>
      </c>
      <c r="Q74" s="78">
        <f t="shared" si="19"/>
        <v>28992.97</v>
      </c>
      <c r="R74" s="78">
        <f t="shared" si="10"/>
        <v>29446.400000000001</v>
      </c>
      <c r="S74" s="78">
        <f t="shared" si="10"/>
        <v>64362.400000000001</v>
      </c>
      <c r="T74" s="78">
        <f t="shared" si="15"/>
        <v>108080.08</v>
      </c>
      <c r="U74" s="78">
        <f t="shared" si="16"/>
        <v>43344</v>
      </c>
      <c r="V74" s="78">
        <f t="shared" si="20"/>
        <v>45377.85</v>
      </c>
      <c r="W74" s="78">
        <f t="shared" si="20"/>
        <v>28316.53</v>
      </c>
      <c r="X74" s="78">
        <f t="shared" si="20"/>
        <v>73675.59</v>
      </c>
      <c r="Y74" s="78">
        <f t="shared" si="20"/>
        <v>56576.69</v>
      </c>
      <c r="Z74" s="78">
        <f t="shared" si="17"/>
        <v>23409.200000000001</v>
      </c>
    </row>
    <row r="75" spans="1:26" x14ac:dyDescent="0.2">
      <c r="A75" t="str">
        <f>Collected_Rate!A75</f>
        <v>(864) Toy/Children's Superstore</v>
      </c>
      <c r="B75" s="87" t="s">
        <v>99</v>
      </c>
      <c r="C75" s="82"/>
      <c r="D75" s="83"/>
      <c r="E75" s="84" t="s">
        <v>100</v>
      </c>
      <c r="F75" s="94" t="s">
        <v>236</v>
      </c>
      <c r="G75" s="51" t="s">
        <v>10</v>
      </c>
      <c r="H75" s="138">
        <v>10.19</v>
      </c>
      <c r="I75" s="61">
        <v>11.13</v>
      </c>
      <c r="J75" s="78">
        <f t="shared" si="13"/>
        <v>16383.36</v>
      </c>
      <c r="K75" s="78">
        <f t="shared" si="12"/>
        <v>49851.27</v>
      </c>
      <c r="L75" s="78">
        <f t="shared" si="12"/>
        <v>40535.46</v>
      </c>
      <c r="M75" s="78">
        <f t="shared" si="18"/>
        <v>24686.34</v>
      </c>
      <c r="N75" s="78">
        <f t="shared" si="18"/>
        <v>22738.59</v>
      </c>
      <c r="O75" s="78">
        <f t="shared" si="14"/>
        <v>16344.76</v>
      </c>
      <c r="P75" s="78">
        <f t="shared" si="19"/>
        <v>34180.230000000003</v>
      </c>
      <c r="Q75" s="78">
        <f t="shared" si="19"/>
        <v>17173.59</v>
      </c>
      <c r="R75" s="78">
        <f t="shared" si="10"/>
        <v>17445.28</v>
      </c>
      <c r="S75" s="78">
        <f t="shared" si="10"/>
        <v>38130.980000000003</v>
      </c>
      <c r="T75" s="78">
        <f t="shared" si="15"/>
        <v>64019.76</v>
      </c>
      <c r="U75" s="78">
        <f t="shared" si="16"/>
        <v>25678.799999999999</v>
      </c>
      <c r="V75" s="78">
        <f t="shared" si="20"/>
        <v>26878.95</v>
      </c>
      <c r="W75" s="78">
        <f t="shared" si="20"/>
        <v>16772.91</v>
      </c>
      <c r="X75" s="78">
        <f t="shared" si="20"/>
        <v>43640.73</v>
      </c>
      <c r="Y75" s="78">
        <f t="shared" si="20"/>
        <v>33512.43</v>
      </c>
      <c r="Z75" s="78">
        <f t="shared" si="17"/>
        <v>13868.59</v>
      </c>
    </row>
    <row r="76" spans="1:26" ht="13.5" thickBot="1" x14ac:dyDescent="0.25">
      <c r="A76" t="str">
        <f>Collected_Rate!A76</f>
        <v>(875) Department Store</v>
      </c>
      <c r="B76" s="139" t="s">
        <v>184</v>
      </c>
      <c r="C76" s="140"/>
      <c r="D76" s="107"/>
      <c r="E76" s="108" t="s">
        <v>185</v>
      </c>
      <c r="F76" s="36" t="s">
        <v>237</v>
      </c>
      <c r="G76" s="136" t="s">
        <v>10</v>
      </c>
      <c r="H76" s="116">
        <v>3.99</v>
      </c>
      <c r="I76" s="61">
        <v>4.3600000000000003</v>
      </c>
      <c r="J76" s="104">
        <f t="shared" si="13"/>
        <v>6417.92</v>
      </c>
      <c r="K76" s="104">
        <f t="shared" si="12"/>
        <v>19528.439999999999</v>
      </c>
      <c r="L76" s="104">
        <f t="shared" si="12"/>
        <v>15879.12</v>
      </c>
      <c r="M76" s="104">
        <f t="shared" si="18"/>
        <v>9670.48</v>
      </c>
      <c r="N76" s="104">
        <f t="shared" si="18"/>
        <v>8907.48</v>
      </c>
      <c r="O76" s="104">
        <f t="shared" si="14"/>
        <v>6399.96</v>
      </c>
      <c r="P76" s="104">
        <f t="shared" si="19"/>
        <v>13389.56</v>
      </c>
      <c r="Q76" s="104">
        <f t="shared" si="19"/>
        <v>6727.48</v>
      </c>
      <c r="R76" s="104">
        <f t="shared" si="10"/>
        <v>6830.88</v>
      </c>
      <c r="S76" s="104">
        <f t="shared" si="10"/>
        <v>14930.58</v>
      </c>
      <c r="T76" s="104">
        <f t="shared" si="15"/>
        <v>25078.720000000001</v>
      </c>
      <c r="U76" s="104">
        <f t="shared" si="16"/>
        <v>10054.799999999999</v>
      </c>
      <c r="V76" s="104">
        <f t="shared" si="20"/>
        <v>10529.4</v>
      </c>
      <c r="W76" s="104">
        <f t="shared" si="20"/>
        <v>6570.52</v>
      </c>
      <c r="X76" s="104">
        <f t="shared" si="20"/>
        <v>17095.560000000001</v>
      </c>
      <c r="Y76" s="104">
        <f t="shared" si="20"/>
        <v>13127.96</v>
      </c>
      <c r="Z76" s="104">
        <f t="shared" si="17"/>
        <v>5430.39</v>
      </c>
    </row>
    <row r="77" spans="1:26" x14ac:dyDescent="0.2">
      <c r="A77" t="str">
        <f>Collected_Rate!A77</f>
        <v>SERVICES</v>
      </c>
      <c r="B77" s="81" t="s">
        <v>101</v>
      </c>
      <c r="C77" s="82"/>
      <c r="D77" s="83"/>
      <c r="E77" s="84"/>
      <c r="F77" s="141"/>
      <c r="G77" s="51"/>
      <c r="H77" s="138"/>
      <c r="I77" s="61"/>
      <c r="J77" s="105">
        <f t="shared" si="13"/>
        <v>0</v>
      </c>
      <c r="K77" s="105">
        <f t="shared" si="12"/>
        <v>0</v>
      </c>
      <c r="L77" s="105">
        <f t="shared" si="12"/>
        <v>0</v>
      </c>
      <c r="M77" s="105">
        <f t="shared" si="18"/>
        <v>0</v>
      </c>
      <c r="N77" s="105">
        <f t="shared" si="18"/>
        <v>0</v>
      </c>
      <c r="O77" s="105">
        <f t="shared" si="14"/>
        <v>0</v>
      </c>
      <c r="P77" s="105">
        <f t="shared" si="19"/>
        <v>0</v>
      </c>
      <c r="Q77" s="105">
        <f t="shared" si="19"/>
        <v>0</v>
      </c>
      <c r="R77" s="105">
        <f t="shared" si="10"/>
        <v>0</v>
      </c>
      <c r="S77" s="105">
        <f t="shared" si="10"/>
        <v>0</v>
      </c>
      <c r="T77" s="105">
        <f t="shared" si="15"/>
        <v>0</v>
      </c>
      <c r="U77" s="105">
        <f t="shared" si="16"/>
        <v>0</v>
      </c>
      <c r="V77" s="105">
        <f t="shared" si="20"/>
        <v>0</v>
      </c>
      <c r="W77" s="105">
        <f t="shared" si="20"/>
        <v>0</v>
      </c>
      <c r="X77" s="105">
        <f t="shared" si="20"/>
        <v>0</v>
      </c>
      <c r="Y77" s="105">
        <f t="shared" si="20"/>
        <v>0</v>
      </c>
      <c r="Z77" s="105">
        <f t="shared" si="17"/>
        <v>0</v>
      </c>
    </row>
    <row r="78" spans="1:26" x14ac:dyDescent="0.2">
      <c r="A78" t="str">
        <f>Collected_Rate!A78</f>
        <v>(911) Walk-In Bank</v>
      </c>
      <c r="B78" s="63" t="s">
        <v>186</v>
      </c>
      <c r="C78" s="64"/>
      <c r="D78" s="65"/>
      <c r="E78" s="66" t="s">
        <v>102</v>
      </c>
      <c r="F78" s="67" t="s">
        <v>238</v>
      </c>
      <c r="G78" s="68" t="s">
        <v>10</v>
      </c>
      <c r="H78" s="106">
        <v>12.3</v>
      </c>
      <c r="I78" s="61">
        <v>12.38</v>
      </c>
      <c r="J78" s="78">
        <f t="shared" si="13"/>
        <v>18223.36</v>
      </c>
      <c r="K78" s="78">
        <f t="shared" si="12"/>
        <v>55450.02</v>
      </c>
      <c r="L78" s="78">
        <f t="shared" si="12"/>
        <v>45087.96</v>
      </c>
      <c r="M78" s="78">
        <f t="shared" si="18"/>
        <v>27458.84</v>
      </c>
      <c r="N78" s="78">
        <f t="shared" si="18"/>
        <v>25292.34</v>
      </c>
      <c r="O78" s="78">
        <f t="shared" si="14"/>
        <v>19729.2</v>
      </c>
      <c r="P78" s="78">
        <f t="shared" si="19"/>
        <v>38018.980000000003</v>
      </c>
      <c r="Q78" s="78">
        <f t="shared" si="19"/>
        <v>19102.34</v>
      </c>
      <c r="R78" s="78">
        <f t="shared" si="10"/>
        <v>21057.599999999999</v>
      </c>
      <c r="S78" s="78">
        <f t="shared" si="10"/>
        <v>46026.6</v>
      </c>
      <c r="T78" s="78">
        <f t="shared" si="15"/>
        <v>71209.759999999995</v>
      </c>
      <c r="U78" s="78">
        <f t="shared" si="16"/>
        <v>30996</v>
      </c>
      <c r="V78" s="78">
        <f t="shared" si="20"/>
        <v>29897.7</v>
      </c>
      <c r="W78" s="78">
        <f t="shared" si="20"/>
        <v>18656.66</v>
      </c>
      <c r="X78" s="78">
        <f t="shared" si="20"/>
        <v>48541.98</v>
      </c>
      <c r="Y78" s="78">
        <f t="shared" si="20"/>
        <v>37276.18</v>
      </c>
      <c r="Z78" s="78">
        <f t="shared" si="17"/>
        <v>16740.3</v>
      </c>
    </row>
    <row r="79" spans="1:26" x14ac:dyDescent="0.2">
      <c r="A79" t="str">
        <f>Collected_Rate!A79</f>
        <v>(912) Drive-In Bank</v>
      </c>
      <c r="B79" s="63" t="s">
        <v>187</v>
      </c>
      <c r="C79" s="91"/>
      <c r="D79" s="65"/>
      <c r="E79" s="99" t="s">
        <v>103</v>
      </c>
      <c r="F79" s="2" t="s">
        <v>239</v>
      </c>
      <c r="G79" s="95" t="s">
        <v>188</v>
      </c>
      <c r="H79" s="77">
        <v>29.83</v>
      </c>
      <c r="I79" s="61">
        <v>30.01</v>
      </c>
      <c r="J79" s="78">
        <f t="shared" si="13"/>
        <v>44174.720000000001</v>
      </c>
      <c r="K79" s="78">
        <f t="shared" si="12"/>
        <v>134414.79</v>
      </c>
      <c r="L79" s="78">
        <f t="shared" si="12"/>
        <v>109296.42</v>
      </c>
      <c r="M79" s="78">
        <f t="shared" si="18"/>
        <v>66562.179999999993</v>
      </c>
      <c r="N79" s="78">
        <f t="shared" si="18"/>
        <v>61310.43</v>
      </c>
      <c r="O79" s="78">
        <f t="shared" si="14"/>
        <v>47847.32</v>
      </c>
      <c r="P79" s="78">
        <f t="shared" si="19"/>
        <v>92160.71</v>
      </c>
      <c r="Q79" s="78">
        <f t="shared" si="19"/>
        <v>46305.43</v>
      </c>
      <c r="R79" s="78">
        <f t="shared" si="10"/>
        <v>51068.959999999999</v>
      </c>
      <c r="S79" s="78">
        <f t="shared" si="10"/>
        <v>111623.86</v>
      </c>
      <c r="T79" s="78">
        <f t="shared" si="15"/>
        <v>172617.52</v>
      </c>
      <c r="U79" s="78">
        <f t="shared" si="16"/>
        <v>75171.600000000006</v>
      </c>
      <c r="V79" s="78">
        <f t="shared" si="20"/>
        <v>72474.149999999994</v>
      </c>
      <c r="W79" s="78">
        <f t="shared" si="20"/>
        <v>45225.07</v>
      </c>
      <c r="X79" s="78">
        <f t="shared" si="20"/>
        <v>117669.21</v>
      </c>
      <c r="Y79" s="78">
        <f t="shared" si="20"/>
        <v>90360.11</v>
      </c>
      <c r="Z79" s="78">
        <f t="shared" si="17"/>
        <v>40598.629999999997</v>
      </c>
    </row>
    <row r="80" spans="1:26" ht="13.5" thickBot="1" x14ac:dyDescent="0.25">
      <c r="A80" t="str">
        <f>Collected_Rate!A80</f>
        <v>(918) Hair Salon</v>
      </c>
      <c r="B80" s="32" t="s">
        <v>189</v>
      </c>
      <c r="C80" s="33"/>
      <c r="D80" s="34"/>
      <c r="E80" s="35" t="s">
        <v>190</v>
      </c>
      <c r="F80" s="1" t="s">
        <v>240</v>
      </c>
      <c r="G80" s="37" t="s">
        <v>172</v>
      </c>
      <c r="H80" s="45">
        <v>1.72</v>
      </c>
      <c r="I80" s="61">
        <v>1.73</v>
      </c>
      <c r="J80" s="80">
        <f t="shared" si="13"/>
        <v>2546.56</v>
      </c>
      <c r="K80" s="80">
        <f t="shared" si="12"/>
        <v>7748.67</v>
      </c>
      <c r="L80" s="80">
        <f t="shared" si="12"/>
        <v>6300.66</v>
      </c>
      <c r="M80" s="80">
        <f t="shared" si="18"/>
        <v>3837.14</v>
      </c>
      <c r="N80" s="80">
        <f t="shared" si="18"/>
        <v>3534.39</v>
      </c>
      <c r="O80" s="80">
        <f t="shared" si="14"/>
        <v>2758.88</v>
      </c>
      <c r="P80" s="80">
        <f t="shared" si="19"/>
        <v>5312.83</v>
      </c>
      <c r="Q80" s="80">
        <f t="shared" si="19"/>
        <v>2669.39</v>
      </c>
      <c r="R80" s="80">
        <f t="shared" si="10"/>
        <v>2944.64</v>
      </c>
      <c r="S80" s="80">
        <f t="shared" si="10"/>
        <v>6436.24</v>
      </c>
      <c r="T80" s="80">
        <f t="shared" si="15"/>
        <v>9950.9599999999991</v>
      </c>
      <c r="U80" s="80">
        <f t="shared" si="16"/>
        <v>4334.3999999999996</v>
      </c>
      <c r="V80" s="80">
        <f t="shared" si="20"/>
        <v>4177.95</v>
      </c>
      <c r="W80" s="80">
        <f t="shared" si="20"/>
        <v>2607.11</v>
      </c>
      <c r="X80" s="80">
        <f t="shared" si="20"/>
        <v>6783.33</v>
      </c>
      <c r="Y80" s="80">
        <f t="shared" si="20"/>
        <v>5209.03</v>
      </c>
      <c r="Z80" s="80">
        <f t="shared" si="17"/>
        <v>2340.92</v>
      </c>
    </row>
    <row r="81" spans="2:27" x14ac:dyDescent="0.2">
      <c r="B81" s="31"/>
      <c r="C81" s="31"/>
      <c r="D81" s="31"/>
      <c r="E81" s="31"/>
      <c r="F81" s="31"/>
      <c r="G81" s="31"/>
      <c r="H81" s="31"/>
      <c r="I81" s="31"/>
      <c r="J81" s="31"/>
      <c r="K81" s="165"/>
      <c r="L81" s="31"/>
      <c r="M81" s="167"/>
      <c r="N81" s="167"/>
      <c r="O81" s="167"/>
      <c r="P81" s="167"/>
      <c r="Q81" s="167"/>
      <c r="R81" s="167"/>
      <c r="S81" s="167"/>
      <c r="T81" s="167"/>
      <c r="U81" s="167"/>
      <c r="V81" s="167"/>
      <c r="W81" s="167"/>
      <c r="X81" s="167"/>
      <c r="Y81" s="167"/>
      <c r="Z81" s="167"/>
    </row>
    <row r="82" spans="2:27" s="146" customFormat="1" hidden="1" x14ac:dyDescent="0.2">
      <c r="B82" s="146">
        <v>1</v>
      </c>
      <c r="C82" s="146">
        <v>2</v>
      </c>
      <c r="D82" s="146">
        <v>3</v>
      </c>
      <c r="E82" s="146">
        <v>4</v>
      </c>
      <c r="F82" s="146">
        <v>5</v>
      </c>
      <c r="G82" s="146">
        <v>6</v>
      </c>
      <c r="H82" s="150">
        <v>7</v>
      </c>
      <c r="I82" s="149">
        <v>8</v>
      </c>
      <c r="J82" s="149">
        <v>9</v>
      </c>
      <c r="K82" s="149">
        <v>10</v>
      </c>
      <c r="L82" s="149">
        <v>11</v>
      </c>
      <c r="M82" s="149">
        <v>12</v>
      </c>
      <c r="N82" s="149">
        <v>13</v>
      </c>
      <c r="O82" s="149">
        <v>14</v>
      </c>
      <c r="P82" s="149">
        <v>15</v>
      </c>
      <c r="Q82" s="149">
        <v>16</v>
      </c>
      <c r="R82" s="149">
        <v>17</v>
      </c>
      <c r="S82" s="149">
        <v>18</v>
      </c>
      <c r="T82" s="149">
        <v>19</v>
      </c>
      <c r="U82" s="149">
        <v>20</v>
      </c>
      <c r="V82" s="149">
        <v>21</v>
      </c>
      <c r="W82" s="149">
        <v>22</v>
      </c>
      <c r="X82" s="149">
        <v>23</v>
      </c>
      <c r="Y82" s="149">
        <v>24</v>
      </c>
      <c r="Z82" s="149">
        <v>25</v>
      </c>
      <c r="AA82" s="149">
        <v>39</v>
      </c>
    </row>
  </sheetData>
  <mergeCells count="1">
    <mergeCell ref="B2:D2"/>
  </mergeCells>
  <pageMargins left="0.7" right="0.7" top="0.75" bottom="0.75" header="0.3" footer="0.3"/>
  <pageSetup orientation="portrait" r:id="rId1"/>
  <ignoredErrors>
    <ignoredError sqref="O5" formula="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AP83"/>
  <sheetViews>
    <sheetView showGridLines="0" zoomScaleNormal="100" workbookViewId="0">
      <pane xSplit="22" ySplit="3" topLeftCell="AG4" activePane="bottomRight" state="frozen"/>
      <selection activeCell="T9" sqref="T9"/>
      <selection pane="topRight" activeCell="T9" sqref="T9"/>
      <selection pane="bottomLeft" activeCell="T9" sqref="T9"/>
      <selection pane="bottomRight" activeCell="AO4" sqref="AO4"/>
    </sheetView>
  </sheetViews>
  <sheetFormatPr defaultColWidth="0" defaultRowHeight="12.75" zeroHeight="1" x14ac:dyDescent="0.2"/>
  <cols>
    <col min="1" max="1" width="9.140625" hidden="1" customWidth="1"/>
    <col min="2" max="3" width="1.140625" customWidth="1"/>
    <col min="4" max="4" width="43.7109375" customWidth="1"/>
    <col min="5" max="5" width="4.85546875" bestFit="1" customWidth="1"/>
    <col min="6" max="6" width="117.5703125" hidden="1" customWidth="1"/>
    <col min="7" max="7" width="18.85546875" bestFit="1" customWidth="1"/>
    <col min="8" max="8" width="8.42578125" hidden="1" customWidth="1"/>
    <col min="9" max="10" width="6.7109375" hidden="1" customWidth="1"/>
    <col min="11" max="13" width="8.28515625" hidden="1" customWidth="1"/>
    <col min="14" max="14" width="7.42578125" hidden="1" customWidth="1"/>
    <col min="15" max="15" width="8.7109375" hidden="1" customWidth="1"/>
    <col min="16" max="16" width="7.140625" hidden="1" customWidth="1"/>
    <col min="17" max="18" width="8.28515625" hidden="1" customWidth="1"/>
    <col min="19" max="20" width="8.28515625" customWidth="1"/>
    <col min="21" max="21" width="7.7109375" hidden="1" customWidth="1"/>
    <col min="22" max="22" width="12.5703125" hidden="1" customWidth="1"/>
    <col min="23" max="23" width="11.85546875" bestFit="1" customWidth="1"/>
    <col min="24" max="40" width="12.7109375" customWidth="1"/>
    <col min="41" max="41" width="10.28515625" bestFit="1" customWidth="1"/>
    <col min="42" max="42" width="9.140625" customWidth="1"/>
    <col min="43" max="16384" width="9.140625" hidden="1"/>
  </cols>
  <sheetData>
    <row r="1" spans="1:41" ht="13.5" thickBot="1" x14ac:dyDescent="0.25"/>
    <row r="2" spans="1:41" ht="64.5" thickBot="1" x14ac:dyDescent="0.25">
      <c r="B2" s="817" t="s">
        <v>0</v>
      </c>
      <c r="C2" s="818"/>
      <c r="D2" s="818"/>
      <c r="E2" s="24" t="s">
        <v>1</v>
      </c>
      <c r="F2" s="25" t="s">
        <v>129</v>
      </c>
      <c r="G2" s="25" t="s">
        <v>2</v>
      </c>
      <c r="H2" s="26" t="s">
        <v>153</v>
      </c>
      <c r="I2" s="27" t="s">
        <v>154</v>
      </c>
      <c r="J2" s="25" t="s">
        <v>155</v>
      </c>
      <c r="K2" s="26" t="s">
        <v>156</v>
      </c>
      <c r="L2" s="26" t="s">
        <v>249</v>
      </c>
      <c r="M2" s="26" t="s">
        <v>250</v>
      </c>
      <c r="N2" s="26" t="s">
        <v>251</v>
      </c>
      <c r="O2" s="26" t="s">
        <v>252</v>
      </c>
      <c r="P2" s="27" t="s">
        <v>157</v>
      </c>
      <c r="Q2" s="26" t="s">
        <v>253</v>
      </c>
      <c r="R2" s="26" t="s">
        <v>254</v>
      </c>
      <c r="S2" s="25" t="s">
        <v>255</v>
      </c>
      <c r="T2" s="25" t="s">
        <v>256</v>
      </c>
      <c r="U2" s="28" t="s">
        <v>257</v>
      </c>
      <c r="V2" s="29"/>
      <c r="W2" s="30" t="s">
        <v>258</v>
      </c>
      <c r="X2" s="30" t="s">
        <v>259</v>
      </c>
      <c r="Y2" s="30" t="s">
        <v>260</v>
      </c>
      <c r="Z2" s="30" t="s">
        <v>261</v>
      </c>
      <c r="AA2" s="30" t="s">
        <v>262</v>
      </c>
      <c r="AB2" s="30" t="s">
        <v>263</v>
      </c>
      <c r="AC2" s="30" t="s">
        <v>264</v>
      </c>
      <c r="AD2" s="30" t="s">
        <v>265</v>
      </c>
      <c r="AE2" s="30" t="s">
        <v>266</v>
      </c>
      <c r="AF2" s="30" t="s">
        <v>267</v>
      </c>
      <c r="AG2" s="30" t="s">
        <v>334</v>
      </c>
      <c r="AH2" s="30" t="s">
        <v>333</v>
      </c>
      <c r="AI2" s="30" t="s">
        <v>269</v>
      </c>
      <c r="AJ2" s="30" t="s">
        <v>270</v>
      </c>
      <c r="AK2" s="30" t="s">
        <v>271</v>
      </c>
      <c r="AL2" s="30" t="s">
        <v>272</v>
      </c>
      <c r="AM2" s="30" t="s">
        <v>273</v>
      </c>
      <c r="AN2" s="30" t="s">
        <v>274</v>
      </c>
    </row>
    <row r="3" spans="1:41" ht="13.5" thickBot="1" x14ac:dyDescent="0.25">
      <c r="B3" s="161"/>
      <c r="C3" s="153"/>
      <c r="D3" s="152"/>
      <c r="E3" s="154"/>
      <c r="F3" s="155"/>
      <c r="G3" s="155"/>
      <c r="H3" s="156"/>
      <c r="I3" s="157"/>
      <c r="J3" s="155"/>
      <c r="K3" s="156"/>
      <c r="L3" s="156"/>
      <c r="M3" s="156"/>
      <c r="N3" s="156"/>
      <c r="O3" s="156"/>
      <c r="P3" s="157"/>
      <c r="Q3" s="158"/>
      <c r="R3" s="158"/>
      <c r="S3" s="155"/>
      <c r="T3" s="159"/>
      <c r="U3" s="160"/>
      <c r="V3" s="29"/>
      <c r="W3" s="333"/>
      <c r="X3" s="30"/>
      <c r="Y3" s="30"/>
      <c r="Z3" s="30"/>
      <c r="AA3" s="30"/>
      <c r="AB3" s="30"/>
      <c r="AC3" s="30"/>
      <c r="AD3" s="30"/>
      <c r="AE3" s="30"/>
      <c r="AF3" s="30"/>
      <c r="AG3" s="30"/>
      <c r="AH3" s="30"/>
      <c r="AI3" s="30"/>
      <c r="AJ3" s="30"/>
      <c r="AK3" s="30"/>
      <c r="AL3" s="30"/>
      <c r="AM3" s="30"/>
      <c r="AN3" s="30"/>
      <c r="AO3" s="334">
        <v>850</v>
      </c>
    </row>
    <row r="4" spans="1:41" x14ac:dyDescent="0.2">
      <c r="A4" t="str">
        <f t="shared" ref="A4:A35" si="0">IF(ISBLANK(E4),B4,CONCATENATE("(",E4,") ",B4))</f>
        <v>PORT AND TERMINAL</v>
      </c>
      <c r="B4" s="81" t="s">
        <v>3</v>
      </c>
      <c r="C4" s="31"/>
      <c r="D4" s="151"/>
      <c r="E4" s="5"/>
      <c r="F4" s="5"/>
      <c r="G4" s="5"/>
      <c r="H4" s="6"/>
      <c r="I4" s="7"/>
      <c r="J4" s="8"/>
      <c r="K4" s="9"/>
      <c r="L4" s="9"/>
      <c r="M4" s="9"/>
      <c r="N4" s="9"/>
      <c r="O4" s="10"/>
      <c r="P4" s="7"/>
      <c r="Q4" s="11"/>
      <c r="R4" s="12"/>
      <c r="S4" s="8"/>
      <c r="T4" s="13"/>
      <c r="U4" s="14"/>
      <c r="V4" s="15"/>
      <c r="W4" s="16"/>
      <c r="X4" s="16"/>
      <c r="Y4" s="16"/>
      <c r="Z4" s="16"/>
      <c r="AA4" s="16"/>
      <c r="AB4" s="16"/>
      <c r="AC4" s="16"/>
      <c r="AD4" s="16"/>
      <c r="AE4" s="16"/>
      <c r="AF4" s="16"/>
      <c r="AG4" s="16"/>
      <c r="AH4" s="16"/>
      <c r="AI4" s="16"/>
      <c r="AJ4" s="16"/>
      <c r="AK4" s="16"/>
      <c r="AL4" s="16"/>
      <c r="AM4" s="16"/>
      <c r="AN4" s="16"/>
      <c r="AO4" s="334">
        <v>1215</v>
      </c>
    </row>
    <row r="5" spans="1:41" ht="13.5" thickBot="1" x14ac:dyDescent="0.25">
      <c r="A5" t="str">
        <f t="shared" si="0"/>
        <v>(030) Truck Terminal</v>
      </c>
      <c r="B5" s="32" t="s">
        <v>4</v>
      </c>
      <c r="C5" s="33"/>
      <c r="D5" s="34"/>
      <c r="E5" s="35" t="s">
        <v>5</v>
      </c>
      <c r="F5" s="36" t="s">
        <v>201</v>
      </c>
      <c r="G5" s="37" t="s">
        <v>10</v>
      </c>
      <c r="H5" s="38">
        <v>1.87</v>
      </c>
      <c r="I5" s="39"/>
      <c r="J5" s="40"/>
      <c r="K5" s="17">
        <v>1.87</v>
      </c>
      <c r="L5" s="17">
        <v>10.7</v>
      </c>
      <c r="M5" s="17">
        <v>10.7</v>
      </c>
      <c r="N5" s="41" t="s">
        <v>275</v>
      </c>
      <c r="O5" s="42">
        <v>10.02</v>
      </c>
      <c r="P5" s="39">
        <v>0.5</v>
      </c>
      <c r="Q5" s="43">
        <v>5.35</v>
      </c>
      <c r="R5" s="43">
        <v>5.35</v>
      </c>
      <c r="S5" s="44">
        <v>5.35</v>
      </c>
      <c r="T5" s="43">
        <v>5.35</v>
      </c>
      <c r="U5" s="45">
        <v>10</v>
      </c>
      <c r="V5" s="46"/>
      <c r="W5" s="47">
        <v>12150</v>
      </c>
      <c r="X5" s="47">
        <v>12150</v>
      </c>
      <c r="Y5" s="47">
        <v>12150</v>
      </c>
      <c r="Z5" s="47">
        <v>12150</v>
      </c>
      <c r="AA5" s="47">
        <v>12150</v>
      </c>
      <c r="AB5" s="47">
        <v>12150</v>
      </c>
      <c r="AC5" s="47">
        <v>12150</v>
      </c>
      <c r="AD5" s="47">
        <v>12150</v>
      </c>
      <c r="AE5" s="47">
        <v>12150</v>
      </c>
      <c r="AF5" s="47">
        <v>12150</v>
      </c>
      <c r="AG5" s="47">
        <v>12150</v>
      </c>
      <c r="AH5" s="47">
        <v>12150</v>
      </c>
      <c r="AI5" s="47">
        <v>12150</v>
      </c>
      <c r="AJ5" s="47">
        <v>12150</v>
      </c>
      <c r="AK5" s="47">
        <v>12150</v>
      </c>
      <c r="AL5" s="47">
        <v>12150</v>
      </c>
      <c r="AM5" s="47">
        <v>12150</v>
      </c>
      <c r="AN5" s="47">
        <v>12150</v>
      </c>
    </row>
    <row r="6" spans="1:41" x14ac:dyDescent="0.2">
      <c r="A6" t="str">
        <f t="shared" si="0"/>
        <v>INDUSTRIAL</v>
      </c>
      <c r="B6" s="81" t="s">
        <v>7</v>
      </c>
      <c r="C6" s="83"/>
      <c r="D6" s="48"/>
      <c r="E6" s="49"/>
      <c r="F6" s="50"/>
      <c r="G6" s="51"/>
      <c r="H6" s="52"/>
      <c r="I6" s="53"/>
      <c r="J6" s="54"/>
      <c r="K6" s="55"/>
      <c r="L6" s="55"/>
      <c r="M6" s="55"/>
      <c r="N6" s="55"/>
      <c r="O6" s="56"/>
      <c r="P6" s="53"/>
      <c r="Q6" s="57"/>
      <c r="R6" s="58"/>
      <c r="S6" s="54"/>
      <c r="T6" s="59"/>
      <c r="U6" s="60"/>
      <c r="V6" s="61"/>
      <c r="W6" s="62"/>
      <c r="X6" s="62"/>
      <c r="Y6" s="62"/>
      <c r="Z6" s="62"/>
      <c r="AA6" s="62"/>
      <c r="AB6" s="62"/>
      <c r="AC6" s="62"/>
      <c r="AD6" s="62"/>
      <c r="AE6" s="62"/>
      <c r="AF6" s="62"/>
      <c r="AG6" s="62"/>
      <c r="AH6" s="62"/>
      <c r="AI6" s="62"/>
      <c r="AJ6" s="62"/>
      <c r="AK6" s="62"/>
      <c r="AL6" s="62"/>
      <c r="AM6" s="62"/>
      <c r="AN6" s="62"/>
    </row>
    <row r="7" spans="1:41" x14ac:dyDescent="0.2">
      <c r="A7" t="str">
        <f t="shared" si="0"/>
        <v>(110) General Light Industrial</v>
      </c>
      <c r="B7" s="63" t="s">
        <v>8</v>
      </c>
      <c r="C7" s="64"/>
      <c r="D7" s="65"/>
      <c r="E7" s="66" t="s">
        <v>9</v>
      </c>
      <c r="F7" s="67" t="s">
        <v>130</v>
      </c>
      <c r="G7" s="68" t="s">
        <v>10</v>
      </c>
      <c r="H7" s="69">
        <v>0.63</v>
      </c>
      <c r="I7" s="70"/>
      <c r="J7" s="71"/>
      <c r="K7" s="18">
        <v>0.63</v>
      </c>
      <c r="L7" s="18">
        <v>6.15</v>
      </c>
      <c r="M7" s="18">
        <v>12.89</v>
      </c>
      <c r="N7" s="72" t="s">
        <v>276</v>
      </c>
      <c r="O7" s="73">
        <v>10.02</v>
      </c>
      <c r="P7" s="70">
        <v>0.5</v>
      </c>
      <c r="Q7" s="74">
        <v>3.07</v>
      </c>
      <c r="R7" s="74">
        <v>6.45</v>
      </c>
      <c r="S7" s="75">
        <v>3.07</v>
      </c>
      <c r="T7" s="76">
        <v>6</v>
      </c>
      <c r="U7" s="77">
        <v>1.93</v>
      </c>
      <c r="V7" s="61"/>
      <c r="W7" s="78">
        <v>4592.7</v>
      </c>
      <c r="X7" s="78">
        <v>4592.7</v>
      </c>
      <c r="Y7" s="78">
        <v>4592.7</v>
      </c>
      <c r="Z7" s="78">
        <v>4592.7</v>
      </c>
      <c r="AA7" s="78">
        <v>4592.7</v>
      </c>
      <c r="AB7" s="78">
        <v>2344.9499999999998</v>
      </c>
      <c r="AC7" s="78">
        <v>4592.7</v>
      </c>
      <c r="AD7" s="78">
        <v>4592.7</v>
      </c>
      <c r="AE7" s="78">
        <v>2344.9499999999998</v>
      </c>
      <c r="AF7" s="78">
        <v>2344.9499999999998</v>
      </c>
      <c r="AG7" s="78">
        <v>2344.9499999999998</v>
      </c>
      <c r="AH7" s="78">
        <v>4592.7</v>
      </c>
      <c r="AI7" s="78">
        <v>2344.9499999999998</v>
      </c>
      <c r="AJ7" s="78">
        <v>4592.7</v>
      </c>
      <c r="AK7" s="78">
        <v>4592.7</v>
      </c>
      <c r="AL7" s="78">
        <v>4592.7</v>
      </c>
      <c r="AM7" s="78">
        <v>4592.7</v>
      </c>
      <c r="AN7" s="78">
        <v>2344.9499999999998</v>
      </c>
    </row>
    <row r="8" spans="1:41" x14ac:dyDescent="0.2">
      <c r="A8" t="str">
        <f t="shared" si="0"/>
        <v>(130) Industrial Park</v>
      </c>
      <c r="B8" s="63" t="s">
        <v>277</v>
      </c>
      <c r="C8" s="64"/>
      <c r="D8" s="65"/>
      <c r="E8" s="79">
        <v>130</v>
      </c>
      <c r="F8" s="67"/>
      <c r="G8" s="68" t="s">
        <v>10</v>
      </c>
      <c r="H8" s="69">
        <v>0.4</v>
      </c>
      <c r="I8" s="70"/>
      <c r="J8" s="71"/>
      <c r="K8" s="18">
        <v>0.4</v>
      </c>
      <c r="L8" s="18">
        <v>6.15</v>
      </c>
      <c r="M8" s="18">
        <v>12.89</v>
      </c>
      <c r="N8" s="72" t="s">
        <v>276</v>
      </c>
      <c r="O8" s="73">
        <v>10.02</v>
      </c>
      <c r="P8" s="70">
        <v>0.5</v>
      </c>
      <c r="Q8" s="74">
        <v>3.07</v>
      </c>
      <c r="R8" s="74">
        <v>6.45</v>
      </c>
      <c r="S8" s="75">
        <v>3.07</v>
      </c>
      <c r="T8" s="76">
        <v>6</v>
      </c>
      <c r="U8" s="77">
        <v>1.23</v>
      </c>
      <c r="V8" s="61"/>
      <c r="W8" s="78">
        <v>2916</v>
      </c>
      <c r="X8" s="78">
        <v>2916</v>
      </c>
      <c r="Y8" s="78">
        <v>2916</v>
      </c>
      <c r="Z8" s="78">
        <v>2916</v>
      </c>
      <c r="AA8" s="78">
        <v>2916</v>
      </c>
      <c r="AB8" s="78">
        <v>1494.45</v>
      </c>
      <c r="AC8" s="78">
        <v>2916</v>
      </c>
      <c r="AD8" s="78">
        <v>2916</v>
      </c>
      <c r="AE8" s="78">
        <v>1494.45</v>
      </c>
      <c r="AF8" s="78">
        <v>1494.45</v>
      </c>
      <c r="AG8" s="78">
        <v>1494.45</v>
      </c>
      <c r="AH8" s="78">
        <v>2916</v>
      </c>
      <c r="AI8" s="78">
        <v>1494.45</v>
      </c>
      <c r="AJ8" s="78">
        <v>2916</v>
      </c>
      <c r="AK8" s="78">
        <v>2916</v>
      </c>
      <c r="AL8" s="78">
        <v>2916</v>
      </c>
      <c r="AM8" s="78">
        <v>2916</v>
      </c>
      <c r="AN8" s="78">
        <v>1494.45</v>
      </c>
    </row>
    <row r="9" spans="1:41" x14ac:dyDescent="0.2">
      <c r="A9" t="str">
        <f t="shared" si="0"/>
        <v>(140) Manufacturing</v>
      </c>
      <c r="B9" s="63" t="s">
        <v>194</v>
      </c>
      <c r="C9" s="64"/>
      <c r="D9" s="65"/>
      <c r="E9" s="66" t="s">
        <v>195</v>
      </c>
      <c r="F9" s="67" t="s">
        <v>202</v>
      </c>
      <c r="G9" s="68" t="s">
        <v>10</v>
      </c>
      <c r="H9" s="69">
        <v>0.67</v>
      </c>
      <c r="I9" s="70"/>
      <c r="J9" s="71"/>
      <c r="K9" s="18">
        <v>0.67</v>
      </c>
      <c r="L9" s="18">
        <v>6.15</v>
      </c>
      <c r="M9" s="18">
        <v>12.89</v>
      </c>
      <c r="N9" s="72" t="s">
        <v>276</v>
      </c>
      <c r="O9" s="73">
        <v>10.02</v>
      </c>
      <c r="P9" s="70">
        <v>0.5</v>
      </c>
      <c r="Q9" s="74">
        <v>3.07</v>
      </c>
      <c r="R9" s="74">
        <v>6.45</v>
      </c>
      <c r="S9" s="75">
        <v>3.07</v>
      </c>
      <c r="T9" s="76">
        <v>6</v>
      </c>
      <c r="U9" s="77">
        <v>2.06</v>
      </c>
      <c r="V9" s="61"/>
      <c r="W9" s="78">
        <v>4884.2999999999993</v>
      </c>
      <c r="X9" s="78">
        <v>4884.2999999999993</v>
      </c>
      <c r="Y9" s="78">
        <v>4884.2999999999993</v>
      </c>
      <c r="Z9" s="78">
        <v>4884.2999999999993</v>
      </c>
      <c r="AA9" s="78">
        <v>4884.2999999999993</v>
      </c>
      <c r="AB9" s="78">
        <v>2502.9</v>
      </c>
      <c r="AC9" s="78">
        <v>4884.2999999999993</v>
      </c>
      <c r="AD9" s="78">
        <v>4884.2999999999993</v>
      </c>
      <c r="AE9" s="78">
        <v>2502.9</v>
      </c>
      <c r="AF9" s="78">
        <v>2502.9</v>
      </c>
      <c r="AG9" s="78">
        <v>2502.9</v>
      </c>
      <c r="AH9" s="78">
        <v>4884.2999999999993</v>
      </c>
      <c r="AI9" s="78">
        <v>2502.9</v>
      </c>
      <c r="AJ9" s="78">
        <v>4884.2999999999993</v>
      </c>
      <c r="AK9" s="78">
        <v>4884.2999999999993</v>
      </c>
      <c r="AL9" s="78">
        <v>4884.2999999999993</v>
      </c>
      <c r="AM9" s="78">
        <v>4884.2999999999993</v>
      </c>
      <c r="AN9" s="78">
        <v>2502.9</v>
      </c>
    </row>
    <row r="10" spans="1:41" x14ac:dyDescent="0.2">
      <c r="A10" t="str">
        <f t="shared" si="0"/>
        <v>(150) Warehousing</v>
      </c>
      <c r="B10" s="63" t="s">
        <v>11</v>
      </c>
      <c r="C10" s="64"/>
      <c r="D10" s="65"/>
      <c r="E10" s="66" t="s">
        <v>12</v>
      </c>
      <c r="F10" s="67" t="s">
        <v>131</v>
      </c>
      <c r="G10" s="68" t="s">
        <v>10</v>
      </c>
      <c r="H10" s="69">
        <v>0.19</v>
      </c>
      <c r="I10" s="70"/>
      <c r="J10" s="71"/>
      <c r="K10" s="18">
        <v>0.19</v>
      </c>
      <c r="L10" s="18">
        <v>6.15</v>
      </c>
      <c r="M10" s="18">
        <v>12.89</v>
      </c>
      <c r="N10" s="72" t="s">
        <v>276</v>
      </c>
      <c r="O10" s="73">
        <v>10.83</v>
      </c>
      <c r="P10" s="70">
        <v>0.5</v>
      </c>
      <c r="Q10" s="74">
        <v>3.07</v>
      </c>
      <c r="R10" s="74">
        <v>6.45</v>
      </c>
      <c r="S10" s="75">
        <v>3.07</v>
      </c>
      <c r="T10" s="76">
        <v>6</v>
      </c>
      <c r="U10" s="77">
        <v>0.57999999999999996</v>
      </c>
      <c r="V10" s="61"/>
      <c r="W10" s="78">
        <v>1385.1</v>
      </c>
      <c r="X10" s="78">
        <v>1385.1</v>
      </c>
      <c r="Y10" s="78">
        <v>1385.1</v>
      </c>
      <c r="Z10" s="78">
        <v>1385.1</v>
      </c>
      <c r="AA10" s="78">
        <v>1385.1</v>
      </c>
      <c r="AB10" s="78">
        <v>704.69999999999993</v>
      </c>
      <c r="AC10" s="78">
        <v>1385.1</v>
      </c>
      <c r="AD10" s="78">
        <v>1385.1</v>
      </c>
      <c r="AE10" s="78">
        <v>704.69999999999993</v>
      </c>
      <c r="AF10" s="78">
        <v>704.69999999999993</v>
      </c>
      <c r="AG10" s="78">
        <v>704.69999999999993</v>
      </c>
      <c r="AH10" s="78">
        <v>1385.1</v>
      </c>
      <c r="AI10" s="78">
        <v>704.69999999999993</v>
      </c>
      <c r="AJ10" s="78">
        <v>1385.1</v>
      </c>
      <c r="AK10" s="78">
        <v>1385.1</v>
      </c>
      <c r="AL10" s="78">
        <v>1385.1</v>
      </c>
      <c r="AM10" s="78">
        <v>1385.1</v>
      </c>
      <c r="AN10" s="78">
        <v>704.69999999999993</v>
      </c>
    </row>
    <row r="11" spans="1:41" ht="13.5" thickBot="1" x14ac:dyDescent="0.25">
      <c r="A11" t="str">
        <f t="shared" si="0"/>
        <v>(151) Mini-Warehouse</v>
      </c>
      <c r="B11" s="32" t="s">
        <v>13</v>
      </c>
      <c r="C11" s="33"/>
      <c r="D11" s="34"/>
      <c r="E11" s="35" t="s">
        <v>14</v>
      </c>
      <c r="F11" s="36" t="s">
        <v>132</v>
      </c>
      <c r="G11" s="37" t="s">
        <v>10</v>
      </c>
      <c r="H11" s="38">
        <v>0.17</v>
      </c>
      <c r="I11" s="39"/>
      <c r="J11" s="40"/>
      <c r="K11" s="17">
        <v>0.17</v>
      </c>
      <c r="L11" s="17">
        <v>6.15</v>
      </c>
      <c r="M11" s="17">
        <v>12.89</v>
      </c>
      <c r="N11" s="41" t="s">
        <v>276</v>
      </c>
      <c r="O11" s="42">
        <v>10.83</v>
      </c>
      <c r="P11" s="39">
        <v>0.5</v>
      </c>
      <c r="Q11" s="43">
        <v>3.07</v>
      </c>
      <c r="R11" s="43">
        <v>6.45</v>
      </c>
      <c r="S11" s="44">
        <v>3.07</v>
      </c>
      <c r="T11" s="43">
        <v>6</v>
      </c>
      <c r="U11" s="45">
        <v>0.52</v>
      </c>
      <c r="V11" s="61"/>
      <c r="W11" s="80">
        <v>1239.3</v>
      </c>
      <c r="X11" s="80">
        <v>1239.3</v>
      </c>
      <c r="Y11" s="80">
        <v>1239.3</v>
      </c>
      <c r="Z11" s="80">
        <v>1239.3</v>
      </c>
      <c r="AA11" s="80">
        <v>1239.3</v>
      </c>
      <c r="AB11" s="80">
        <v>631.80000000000007</v>
      </c>
      <c r="AC11" s="80">
        <v>1239.3</v>
      </c>
      <c r="AD11" s="80">
        <v>1239.3</v>
      </c>
      <c r="AE11" s="80">
        <v>631.80000000000007</v>
      </c>
      <c r="AF11" s="80">
        <v>631.80000000000007</v>
      </c>
      <c r="AG11" s="80">
        <v>631.80000000000007</v>
      </c>
      <c r="AH11" s="80">
        <v>1239.3</v>
      </c>
      <c r="AI11" s="80">
        <v>631.80000000000007</v>
      </c>
      <c r="AJ11" s="80">
        <v>1239.3</v>
      </c>
      <c r="AK11" s="80">
        <v>1239.3</v>
      </c>
      <c r="AL11" s="80">
        <v>1239.3</v>
      </c>
      <c r="AM11" s="80">
        <v>1239.3</v>
      </c>
      <c r="AN11" s="80">
        <v>631.80000000000007</v>
      </c>
    </row>
    <row r="12" spans="1:41" x14ac:dyDescent="0.2">
      <c r="A12" t="str">
        <f t="shared" si="0"/>
        <v>RESIDENTIAL</v>
      </c>
      <c r="B12" s="81" t="s">
        <v>15</v>
      </c>
      <c r="C12" s="82"/>
      <c r="D12" s="83"/>
      <c r="E12" s="84"/>
      <c r="F12" s="50"/>
      <c r="G12" s="51"/>
      <c r="H12" s="52"/>
      <c r="I12" s="53"/>
      <c r="J12" s="54"/>
      <c r="K12" s="19"/>
      <c r="L12" s="19"/>
      <c r="M12" s="19"/>
      <c r="N12" s="55"/>
      <c r="O12" s="56"/>
      <c r="P12" s="53"/>
      <c r="Q12" s="58"/>
      <c r="R12" s="58"/>
      <c r="S12" s="55"/>
      <c r="T12" s="85"/>
      <c r="U12" s="86"/>
      <c r="V12" s="61"/>
      <c r="W12" s="62"/>
      <c r="X12" s="62"/>
      <c r="Y12" s="62"/>
      <c r="Z12" s="62"/>
      <c r="AA12" s="62"/>
      <c r="AB12" s="62"/>
      <c r="AC12" s="62"/>
      <c r="AD12" s="62"/>
      <c r="AE12" s="62"/>
      <c r="AF12" s="62"/>
      <c r="AG12" s="62"/>
      <c r="AH12" s="62"/>
      <c r="AI12" s="62"/>
      <c r="AJ12" s="62"/>
      <c r="AK12" s="62"/>
      <c r="AL12" s="62"/>
      <c r="AM12" s="62"/>
      <c r="AN12" s="62"/>
    </row>
    <row r="13" spans="1:41" x14ac:dyDescent="0.2">
      <c r="A13" t="str">
        <f t="shared" si="0"/>
        <v>(210) Single-Family Detached Housing</v>
      </c>
      <c r="B13" s="87" t="s">
        <v>16</v>
      </c>
      <c r="C13" s="82"/>
      <c r="D13" s="83"/>
      <c r="E13" s="84" t="s">
        <v>17</v>
      </c>
      <c r="F13" s="50" t="s">
        <v>133</v>
      </c>
      <c r="G13" s="51" t="s">
        <v>18</v>
      </c>
      <c r="H13" s="52">
        <v>0.99</v>
      </c>
      <c r="I13" s="53"/>
      <c r="J13" s="54"/>
      <c r="K13" s="19">
        <v>0.99</v>
      </c>
      <c r="L13" s="19">
        <v>5.81</v>
      </c>
      <c r="M13" s="19">
        <v>8.59</v>
      </c>
      <c r="N13" s="88" t="s">
        <v>276</v>
      </c>
      <c r="O13" s="56">
        <v>17.21</v>
      </c>
      <c r="P13" s="53">
        <v>0.5</v>
      </c>
      <c r="Q13" s="58">
        <v>2.9</v>
      </c>
      <c r="R13" s="58">
        <v>4.3</v>
      </c>
      <c r="S13" s="75">
        <v>2.9</v>
      </c>
      <c r="T13" s="76">
        <v>4.3</v>
      </c>
      <c r="U13" s="77">
        <v>2.87</v>
      </c>
      <c r="V13" s="61"/>
      <c r="W13" s="89">
        <v>3621</v>
      </c>
      <c r="X13" s="89">
        <v>3621</v>
      </c>
      <c r="Y13" s="89">
        <v>3621</v>
      </c>
      <c r="Z13" s="89">
        <v>3621</v>
      </c>
      <c r="AA13" s="89">
        <v>3621</v>
      </c>
      <c r="AB13" s="89">
        <v>2439.5</v>
      </c>
      <c r="AC13" s="89">
        <v>3621</v>
      </c>
      <c r="AD13" s="89">
        <v>3621</v>
      </c>
      <c r="AE13" s="89">
        <v>2439.5</v>
      </c>
      <c r="AF13" s="89">
        <v>2439.5</v>
      </c>
      <c r="AG13" s="89">
        <v>2439.5</v>
      </c>
      <c r="AH13" s="89">
        <v>3621</v>
      </c>
      <c r="AI13" s="89">
        <v>2439.5</v>
      </c>
      <c r="AJ13" s="89">
        <v>3621</v>
      </c>
      <c r="AK13" s="89">
        <v>3621</v>
      </c>
      <c r="AL13" s="89">
        <v>3621</v>
      </c>
      <c r="AM13" s="89">
        <v>3621</v>
      </c>
      <c r="AN13" s="89">
        <v>2439.5</v>
      </c>
    </row>
    <row r="14" spans="1:41" x14ac:dyDescent="0.2">
      <c r="A14" t="str">
        <f t="shared" si="0"/>
        <v>(220) Townhomes / Duplexes / Triplexes / 4-Plexes / ADUs</v>
      </c>
      <c r="B14" s="63" t="s">
        <v>283</v>
      </c>
      <c r="C14" s="64"/>
      <c r="D14" s="65"/>
      <c r="E14" s="66" t="s">
        <v>19</v>
      </c>
      <c r="F14" s="67" t="s">
        <v>134</v>
      </c>
      <c r="G14" s="68" t="s">
        <v>18</v>
      </c>
      <c r="H14" s="69">
        <v>0.56000000000000005</v>
      </c>
      <c r="I14" s="70"/>
      <c r="J14" s="71"/>
      <c r="K14" s="18">
        <v>0.56000000000000005</v>
      </c>
      <c r="L14" s="18">
        <v>5.81</v>
      </c>
      <c r="M14" s="18">
        <v>8.59</v>
      </c>
      <c r="N14" s="72" t="s">
        <v>276</v>
      </c>
      <c r="O14" s="73">
        <v>17.21</v>
      </c>
      <c r="P14" s="70">
        <v>0.5</v>
      </c>
      <c r="Q14" s="74">
        <v>2.9</v>
      </c>
      <c r="R14" s="74">
        <v>4.3</v>
      </c>
      <c r="S14" s="75">
        <v>2.9</v>
      </c>
      <c r="T14" s="76">
        <v>4.3</v>
      </c>
      <c r="U14" s="77">
        <v>1.62</v>
      </c>
      <c r="V14" s="61"/>
      <c r="W14" s="89">
        <v>2048.5</v>
      </c>
      <c r="X14" s="89">
        <v>2048.5</v>
      </c>
      <c r="Y14" s="89">
        <v>2048.5</v>
      </c>
      <c r="Z14" s="89">
        <v>2048.5</v>
      </c>
      <c r="AA14" s="89">
        <v>2048.5</v>
      </c>
      <c r="AB14" s="78">
        <v>1377</v>
      </c>
      <c r="AC14" s="89">
        <v>2048.5</v>
      </c>
      <c r="AD14" s="89">
        <v>2048.5</v>
      </c>
      <c r="AE14" s="78">
        <v>1377</v>
      </c>
      <c r="AF14" s="78">
        <v>1377</v>
      </c>
      <c r="AG14" s="78">
        <v>1377</v>
      </c>
      <c r="AH14" s="89">
        <v>2048.5</v>
      </c>
      <c r="AI14" s="78">
        <v>1377</v>
      </c>
      <c r="AJ14" s="89">
        <v>2048.5</v>
      </c>
      <c r="AK14" s="89">
        <v>2048.5</v>
      </c>
      <c r="AL14" s="89">
        <v>2048.5</v>
      </c>
      <c r="AM14" s="89">
        <v>2048.5</v>
      </c>
      <c r="AN14" s="78">
        <v>1377</v>
      </c>
    </row>
    <row r="15" spans="1:41" x14ac:dyDescent="0.2">
      <c r="A15" t="str">
        <f t="shared" si="0"/>
        <v>(221) Mid-Rise Apartments or Condominiums</v>
      </c>
      <c r="B15" s="63" t="s">
        <v>278</v>
      </c>
      <c r="C15" s="64"/>
      <c r="D15" s="65"/>
      <c r="E15" s="66" t="s">
        <v>196</v>
      </c>
      <c r="F15" s="67" t="s">
        <v>203</v>
      </c>
      <c r="G15" s="68" t="s">
        <v>18</v>
      </c>
      <c r="H15" s="69">
        <v>0.44</v>
      </c>
      <c r="I15" s="70"/>
      <c r="J15" s="71"/>
      <c r="K15" s="18">
        <v>0.44</v>
      </c>
      <c r="L15" s="18">
        <v>5.81</v>
      </c>
      <c r="M15" s="18">
        <v>8.59</v>
      </c>
      <c r="N15" s="72"/>
      <c r="O15" s="73"/>
      <c r="P15" s="70">
        <v>0.5</v>
      </c>
      <c r="Q15" s="74">
        <v>2.9</v>
      </c>
      <c r="R15" s="74">
        <v>4.3</v>
      </c>
      <c r="S15" s="75">
        <v>2.9</v>
      </c>
      <c r="T15" s="76">
        <v>4.3</v>
      </c>
      <c r="U15" s="77">
        <v>1.28</v>
      </c>
      <c r="V15" s="61"/>
      <c r="W15" s="89">
        <v>1606.5</v>
      </c>
      <c r="X15" s="89">
        <v>1606.5</v>
      </c>
      <c r="Y15" s="89">
        <v>1606.5</v>
      </c>
      <c r="Z15" s="89">
        <v>1606.5</v>
      </c>
      <c r="AA15" s="89">
        <v>1606.5</v>
      </c>
      <c r="AB15" s="89">
        <v>1088</v>
      </c>
      <c r="AC15" s="89">
        <v>1606.5</v>
      </c>
      <c r="AD15" s="89">
        <v>1606.5</v>
      </c>
      <c r="AE15" s="89">
        <v>1088</v>
      </c>
      <c r="AF15" s="89">
        <v>1088</v>
      </c>
      <c r="AG15" s="89">
        <v>1088</v>
      </c>
      <c r="AH15" s="89">
        <v>1606.5</v>
      </c>
      <c r="AI15" s="89">
        <v>1088</v>
      </c>
      <c r="AJ15" s="89">
        <v>1606.5</v>
      </c>
      <c r="AK15" s="89">
        <v>1606.5</v>
      </c>
      <c r="AL15" s="89">
        <v>1606.5</v>
      </c>
      <c r="AM15" s="89">
        <v>1606.5</v>
      </c>
      <c r="AN15" s="89">
        <v>1088</v>
      </c>
    </row>
    <row r="16" spans="1:41" x14ac:dyDescent="0.2">
      <c r="A16" t="str">
        <f t="shared" si="0"/>
        <v>(222) High-Rise Apartments or Condominiums</v>
      </c>
      <c r="B16" s="63" t="s">
        <v>279</v>
      </c>
      <c r="C16" s="64"/>
      <c r="D16" s="65"/>
      <c r="E16" s="66" t="s">
        <v>197</v>
      </c>
      <c r="F16" s="67" t="s">
        <v>204</v>
      </c>
      <c r="G16" s="68" t="s">
        <v>18</v>
      </c>
      <c r="H16" s="69">
        <v>0.36</v>
      </c>
      <c r="I16" s="70"/>
      <c r="J16" s="71"/>
      <c r="K16" s="18">
        <v>0.36</v>
      </c>
      <c r="L16" s="18">
        <v>5.81</v>
      </c>
      <c r="M16" s="18">
        <v>8.59</v>
      </c>
      <c r="N16" s="72" t="s">
        <v>276</v>
      </c>
      <c r="O16" s="73">
        <v>17.21</v>
      </c>
      <c r="P16" s="70">
        <v>0.5</v>
      </c>
      <c r="Q16" s="74">
        <v>2.9</v>
      </c>
      <c r="R16" s="74">
        <v>4.3</v>
      </c>
      <c r="S16" s="75">
        <v>2.9</v>
      </c>
      <c r="T16" s="76">
        <v>4.3</v>
      </c>
      <c r="U16" s="77">
        <v>1.04</v>
      </c>
      <c r="V16" s="61"/>
      <c r="W16" s="89">
        <v>1317.5</v>
      </c>
      <c r="X16" s="89">
        <v>1317.5</v>
      </c>
      <c r="Y16" s="89">
        <v>1317.5</v>
      </c>
      <c r="Z16" s="89">
        <v>1317.5</v>
      </c>
      <c r="AA16" s="89">
        <v>1317.5</v>
      </c>
      <c r="AB16" s="89">
        <v>884</v>
      </c>
      <c r="AC16" s="89">
        <v>1317.5</v>
      </c>
      <c r="AD16" s="89">
        <v>1317.5</v>
      </c>
      <c r="AE16" s="89">
        <v>884</v>
      </c>
      <c r="AF16" s="89">
        <v>884</v>
      </c>
      <c r="AG16" s="89">
        <v>884</v>
      </c>
      <c r="AH16" s="89">
        <v>1317.5</v>
      </c>
      <c r="AI16" s="89">
        <v>884</v>
      </c>
      <c r="AJ16" s="89">
        <v>1317.5</v>
      </c>
      <c r="AK16" s="89">
        <v>1317.5</v>
      </c>
      <c r="AL16" s="89">
        <v>1317.5</v>
      </c>
      <c r="AM16" s="89">
        <v>1317.5</v>
      </c>
      <c r="AN16" s="89">
        <v>884</v>
      </c>
    </row>
    <row r="17" spans="1:40" x14ac:dyDescent="0.2">
      <c r="A17" t="str">
        <f t="shared" si="0"/>
        <v>(240) Mobile Home Park</v>
      </c>
      <c r="B17" s="90" t="s">
        <v>280</v>
      </c>
      <c r="C17" s="91"/>
      <c r="D17" s="92"/>
      <c r="E17" s="93">
        <v>240</v>
      </c>
      <c r="F17" s="94"/>
      <c r="G17" s="95" t="s">
        <v>18</v>
      </c>
      <c r="H17" s="96">
        <v>0.46</v>
      </c>
      <c r="I17" s="97"/>
      <c r="J17" s="98"/>
      <c r="K17" s="20">
        <v>0.46</v>
      </c>
      <c r="L17" s="18">
        <v>5.81</v>
      </c>
      <c r="M17" s="18">
        <v>8.59</v>
      </c>
      <c r="N17" s="72" t="s">
        <v>276</v>
      </c>
      <c r="O17" s="73">
        <v>17.21</v>
      </c>
      <c r="P17" s="70">
        <v>0.5</v>
      </c>
      <c r="Q17" s="74">
        <v>2.9</v>
      </c>
      <c r="R17" s="74">
        <v>4.3</v>
      </c>
      <c r="S17" s="75">
        <v>2.9</v>
      </c>
      <c r="T17" s="76">
        <v>4.3</v>
      </c>
      <c r="U17" s="77">
        <v>1.33</v>
      </c>
      <c r="V17" s="61"/>
      <c r="W17" s="89">
        <v>1683</v>
      </c>
      <c r="X17" s="89">
        <v>1683</v>
      </c>
      <c r="Y17" s="89">
        <v>1683</v>
      </c>
      <c r="Z17" s="89">
        <v>1683</v>
      </c>
      <c r="AA17" s="89">
        <v>1683</v>
      </c>
      <c r="AB17" s="89">
        <v>1130.5</v>
      </c>
      <c r="AC17" s="89">
        <v>1683</v>
      </c>
      <c r="AD17" s="89">
        <v>1683</v>
      </c>
      <c r="AE17" s="89">
        <v>1130.5</v>
      </c>
      <c r="AF17" s="89">
        <v>1130.5</v>
      </c>
      <c r="AG17" s="89">
        <v>1130.5</v>
      </c>
      <c r="AH17" s="89">
        <v>1683</v>
      </c>
      <c r="AI17" s="89">
        <v>1130.5</v>
      </c>
      <c r="AJ17" s="89">
        <v>1683</v>
      </c>
      <c r="AK17" s="89">
        <v>1683</v>
      </c>
      <c r="AL17" s="89">
        <v>1683</v>
      </c>
      <c r="AM17" s="89">
        <v>1683</v>
      </c>
      <c r="AN17" s="89">
        <v>1130.5</v>
      </c>
    </row>
    <row r="18" spans="1:40" x14ac:dyDescent="0.2">
      <c r="A18" t="str">
        <f t="shared" si="0"/>
        <v>(251) Senior Adult Housing-Detached</v>
      </c>
      <c r="B18" s="90" t="s">
        <v>158</v>
      </c>
      <c r="C18" s="91"/>
      <c r="D18" s="92"/>
      <c r="E18" s="99" t="s">
        <v>159</v>
      </c>
      <c r="F18" s="94" t="s">
        <v>205</v>
      </c>
      <c r="G18" s="95" t="s">
        <v>18</v>
      </c>
      <c r="H18" s="96">
        <v>0.3</v>
      </c>
      <c r="I18" s="97"/>
      <c r="J18" s="98"/>
      <c r="K18" s="20">
        <v>0.3</v>
      </c>
      <c r="L18" s="20">
        <v>5.81</v>
      </c>
      <c r="M18" s="20">
        <v>8.59</v>
      </c>
      <c r="N18" s="100" t="s">
        <v>276</v>
      </c>
      <c r="O18" s="73">
        <v>17.21</v>
      </c>
      <c r="P18" s="70">
        <v>0.5</v>
      </c>
      <c r="Q18" s="74">
        <v>2.9</v>
      </c>
      <c r="R18" s="74">
        <v>4.3</v>
      </c>
      <c r="S18" s="75">
        <v>2.9</v>
      </c>
      <c r="T18" s="76">
        <v>4.3</v>
      </c>
      <c r="U18" s="77">
        <v>0.87</v>
      </c>
      <c r="V18" s="61"/>
      <c r="W18" s="89">
        <v>1096.5</v>
      </c>
      <c r="X18" s="89">
        <v>1096.5</v>
      </c>
      <c r="Y18" s="89">
        <v>1096.5</v>
      </c>
      <c r="Z18" s="89">
        <v>1096.5</v>
      </c>
      <c r="AA18" s="89">
        <v>1096.5</v>
      </c>
      <c r="AB18" s="89">
        <v>739.5</v>
      </c>
      <c r="AC18" s="89">
        <v>1096.5</v>
      </c>
      <c r="AD18" s="89">
        <v>1096.5</v>
      </c>
      <c r="AE18" s="89">
        <v>739.5</v>
      </c>
      <c r="AF18" s="89">
        <v>739.5</v>
      </c>
      <c r="AG18" s="89">
        <v>739.5</v>
      </c>
      <c r="AH18" s="89">
        <v>1096.5</v>
      </c>
      <c r="AI18" s="89">
        <v>739.5</v>
      </c>
      <c r="AJ18" s="89">
        <v>1096.5</v>
      </c>
      <c r="AK18" s="89">
        <v>1096.5</v>
      </c>
      <c r="AL18" s="89">
        <v>1096.5</v>
      </c>
      <c r="AM18" s="89">
        <v>1096.5</v>
      </c>
      <c r="AN18" s="89">
        <v>739.5</v>
      </c>
    </row>
    <row r="19" spans="1:40" x14ac:dyDescent="0.2">
      <c r="A19" t="str">
        <f t="shared" si="0"/>
        <v>(252) Senior Adult Housing-Attached</v>
      </c>
      <c r="B19" s="90" t="s">
        <v>160</v>
      </c>
      <c r="C19" s="91"/>
      <c r="D19" s="92"/>
      <c r="E19" s="99" t="s">
        <v>161</v>
      </c>
      <c r="F19" s="94" t="s">
        <v>206</v>
      </c>
      <c r="G19" s="95" t="s">
        <v>18</v>
      </c>
      <c r="H19" s="96">
        <v>0.26</v>
      </c>
      <c r="I19" s="97"/>
      <c r="J19" s="98"/>
      <c r="K19" s="20">
        <v>0.26</v>
      </c>
      <c r="L19" s="20">
        <v>5.81</v>
      </c>
      <c r="M19" s="20">
        <v>8.59</v>
      </c>
      <c r="N19" s="100" t="s">
        <v>276</v>
      </c>
      <c r="O19" s="101">
        <v>17.21</v>
      </c>
      <c r="P19" s="70">
        <v>0.5</v>
      </c>
      <c r="Q19" s="74">
        <v>2.9</v>
      </c>
      <c r="R19" s="74">
        <v>4.3</v>
      </c>
      <c r="S19" s="75">
        <v>2.9</v>
      </c>
      <c r="T19" s="76">
        <v>4.3</v>
      </c>
      <c r="U19" s="77">
        <v>0.75</v>
      </c>
      <c r="V19" s="61"/>
      <c r="W19" s="89">
        <v>952.00000000000011</v>
      </c>
      <c r="X19" s="89">
        <v>952.00000000000011</v>
      </c>
      <c r="Y19" s="89">
        <v>952.00000000000011</v>
      </c>
      <c r="Z19" s="89">
        <v>952.00000000000011</v>
      </c>
      <c r="AA19" s="89">
        <v>952.00000000000011</v>
      </c>
      <c r="AB19" s="89">
        <v>637.5</v>
      </c>
      <c r="AC19" s="89">
        <v>952.00000000000011</v>
      </c>
      <c r="AD19" s="89">
        <v>952.00000000000011</v>
      </c>
      <c r="AE19" s="89">
        <v>637.5</v>
      </c>
      <c r="AF19" s="89">
        <v>637.5</v>
      </c>
      <c r="AG19" s="89">
        <v>637.5</v>
      </c>
      <c r="AH19" s="89">
        <v>952.00000000000011</v>
      </c>
      <c r="AI19" s="89">
        <v>637.5</v>
      </c>
      <c r="AJ19" s="89">
        <v>952.00000000000011</v>
      </c>
      <c r="AK19" s="89">
        <v>952.00000000000011</v>
      </c>
      <c r="AL19" s="89">
        <v>952.00000000000011</v>
      </c>
      <c r="AM19" s="89">
        <v>952.00000000000011</v>
      </c>
      <c r="AN19" s="89">
        <v>637.5</v>
      </c>
    </row>
    <row r="20" spans="1:40" ht="13.5" thickBot="1" x14ac:dyDescent="0.25">
      <c r="A20" t="str">
        <f t="shared" si="0"/>
        <v>(254) Assisted Living</v>
      </c>
      <c r="B20" s="32" t="s">
        <v>20</v>
      </c>
      <c r="C20" s="33"/>
      <c r="D20" s="34"/>
      <c r="E20" s="35" t="s">
        <v>21</v>
      </c>
      <c r="F20" s="36" t="s">
        <v>207</v>
      </c>
      <c r="G20" s="37" t="s">
        <v>58</v>
      </c>
      <c r="H20" s="38">
        <v>0.26</v>
      </c>
      <c r="I20" s="39"/>
      <c r="J20" s="40"/>
      <c r="K20" s="17">
        <v>0.26</v>
      </c>
      <c r="L20" s="17">
        <v>5.81</v>
      </c>
      <c r="M20" s="17">
        <v>8.59</v>
      </c>
      <c r="N20" s="41" t="s">
        <v>276</v>
      </c>
      <c r="O20" s="42">
        <v>17.21</v>
      </c>
      <c r="P20" s="39">
        <v>0.5</v>
      </c>
      <c r="Q20" s="43">
        <v>2.9</v>
      </c>
      <c r="R20" s="43">
        <v>4.3</v>
      </c>
      <c r="S20" s="44">
        <v>2.9</v>
      </c>
      <c r="T20" s="43">
        <v>4.3</v>
      </c>
      <c r="U20" s="45">
        <v>0.75</v>
      </c>
      <c r="V20" s="61"/>
      <c r="W20" s="102">
        <v>952.00000000000011</v>
      </c>
      <c r="X20" s="102">
        <v>952.00000000000011</v>
      </c>
      <c r="Y20" s="102">
        <v>952.00000000000011</v>
      </c>
      <c r="Z20" s="102">
        <v>952.00000000000011</v>
      </c>
      <c r="AA20" s="102">
        <v>952.00000000000011</v>
      </c>
      <c r="AB20" s="102">
        <v>637.5</v>
      </c>
      <c r="AC20" s="102">
        <v>952.00000000000011</v>
      </c>
      <c r="AD20" s="102">
        <v>952.00000000000011</v>
      </c>
      <c r="AE20" s="102">
        <v>637.5</v>
      </c>
      <c r="AF20" s="102">
        <v>637.5</v>
      </c>
      <c r="AG20" s="102">
        <v>637.5</v>
      </c>
      <c r="AH20" s="102">
        <v>952.00000000000011</v>
      </c>
      <c r="AI20" s="102">
        <v>637.5</v>
      </c>
      <c r="AJ20" s="102">
        <v>952.00000000000011</v>
      </c>
      <c r="AK20" s="102">
        <v>952.00000000000011</v>
      </c>
      <c r="AL20" s="102">
        <v>952.00000000000011</v>
      </c>
      <c r="AM20" s="102">
        <v>952.00000000000011</v>
      </c>
      <c r="AN20" s="102">
        <v>637.5</v>
      </c>
    </row>
    <row r="21" spans="1:40" x14ac:dyDescent="0.2">
      <c r="A21" t="str">
        <f t="shared" si="0"/>
        <v>LODGING</v>
      </c>
      <c r="B21" s="81" t="s">
        <v>22</v>
      </c>
      <c r="C21" s="82"/>
      <c r="D21" s="83"/>
      <c r="E21" s="84"/>
      <c r="F21" s="50"/>
      <c r="G21" s="51"/>
      <c r="H21" s="52"/>
      <c r="I21" s="53"/>
      <c r="J21" s="54"/>
      <c r="K21" s="19"/>
      <c r="L21" s="19"/>
      <c r="M21" s="19"/>
      <c r="N21" s="55"/>
      <c r="O21" s="56"/>
      <c r="P21" s="53"/>
      <c r="Q21" s="58"/>
      <c r="R21" s="58"/>
      <c r="S21" s="55"/>
      <c r="T21" s="85"/>
      <c r="U21" s="86"/>
      <c r="V21" s="61"/>
      <c r="W21" s="103"/>
      <c r="X21" s="103"/>
      <c r="Y21" s="103"/>
      <c r="Z21" s="103"/>
      <c r="AA21" s="103"/>
      <c r="AB21" s="103"/>
      <c r="AC21" s="103"/>
      <c r="AD21" s="103"/>
      <c r="AE21" s="103"/>
      <c r="AF21" s="103"/>
      <c r="AG21" s="103"/>
      <c r="AH21" s="103"/>
      <c r="AI21" s="103"/>
      <c r="AJ21" s="103"/>
      <c r="AK21" s="103"/>
      <c r="AL21" s="103"/>
      <c r="AM21" s="103"/>
      <c r="AN21" s="103"/>
    </row>
    <row r="22" spans="1:40" x14ac:dyDescent="0.2">
      <c r="A22" t="str">
        <f t="shared" si="0"/>
        <v>(310) Hotel</v>
      </c>
      <c r="B22" s="87" t="s">
        <v>23</v>
      </c>
      <c r="C22" s="82"/>
      <c r="D22" s="83"/>
      <c r="E22" s="84" t="s">
        <v>24</v>
      </c>
      <c r="F22" s="50" t="s">
        <v>208</v>
      </c>
      <c r="G22" s="51" t="s">
        <v>25</v>
      </c>
      <c r="H22" s="52">
        <v>0.6</v>
      </c>
      <c r="I22" s="53"/>
      <c r="J22" s="54"/>
      <c r="K22" s="19">
        <v>0.6</v>
      </c>
      <c r="L22" s="19">
        <v>5.41</v>
      </c>
      <c r="M22" s="19">
        <v>5.41</v>
      </c>
      <c r="N22" s="88" t="s">
        <v>275</v>
      </c>
      <c r="O22" s="21">
        <v>6.43</v>
      </c>
      <c r="P22" s="53">
        <v>0.5</v>
      </c>
      <c r="Q22" s="58">
        <v>2.7</v>
      </c>
      <c r="R22" s="58">
        <v>2.71</v>
      </c>
      <c r="S22" s="75">
        <v>2.7</v>
      </c>
      <c r="T22" s="76">
        <v>2.71</v>
      </c>
      <c r="U22" s="77">
        <v>1.62</v>
      </c>
      <c r="V22" s="61"/>
      <c r="W22" s="89">
        <v>1980.4499999999998</v>
      </c>
      <c r="X22" s="89">
        <v>1980.4499999999998</v>
      </c>
      <c r="Y22" s="89">
        <v>1980.4499999999998</v>
      </c>
      <c r="Z22" s="89">
        <v>1980.4499999999998</v>
      </c>
      <c r="AA22" s="89">
        <v>1980.4499999999998</v>
      </c>
      <c r="AB22" s="78">
        <v>1968.3000000000002</v>
      </c>
      <c r="AC22" s="89">
        <v>1980.4499999999998</v>
      </c>
      <c r="AD22" s="89">
        <v>1980.4499999999998</v>
      </c>
      <c r="AE22" s="78">
        <v>1968.3000000000002</v>
      </c>
      <c r="AF22" s="78">
        <v>1968.3000000000002</v>
      </c>
      <c r="AG22" s="78">
        <v>1968.3000000000002</v>
      </c>
      <c r="AH22" s="89">
        <v>1980.4499999999998</v>
      </c>
      <c r="AI22" s="78">
        <v>1968.3000000000002</v>
      </c>
      <c r="AJ22" s="89">
        <v>1980.4499999999998</v>
      </c>
      <c r="AK22" s="89">
        <v>1980.4499999999998</v>
      </c>
      <c r="AL22" s="89">
        <v>1980.4499999999998</v>
      </c>
      <c r="AM22" s="89">
        <v>1980.4499999999998</v>
      </c>
      <c r="AN22" s="78">
        <v>1968.3000000000002</v>
      </c>
    </row>
    <row r="23" spans="1:40" ht="13.5" thickBot="1" x14ac:dyDescent="0.25">
      <c r="A23" t="str">
        <f t="shared" si="0"/>
        <v>(320) Motel / Other Lodging Facilities</v>
      </c>
      <c r="B23" s="32" t="s">
        <v>26</v>
      </c>
      <c r="C23" s="33"/>
      <c r="D23" s="34"/>
      <c r="E23" s="35" t="s">
        <v>27</v>
      </c>
      <c r="F23" s="36" t="s">
        <v>135</v>
      </c>
      <c r="G23" s="37" t="s">
        <v>25</v>
      </c>
      <c r="H23" s="38">
        <v>0.38</v>
      </c>
      <c r="I23" s="39"/>
      <c r="J23" s="40"/>
      <c r="K23" s="17">
        <v>0.38</v>
      </c>
      <c r="L23" s="17">
        <v>5.41</v>
      </c>
      <c r="M23" s="17">
        <v>5.41</v>
      </c>
      <c r="N23" s="41" t="s">
        <v>275</v>
      </c>
      <c r="O23" s="22">
        <v>6.43</v>
      </c>
      <c r="P23" s="39">
        <v>0.5</v>
      </c>
      <c r="Q23" s="43">
        <v>2.7</v>
      </c>
      <c r="R23" s="43">
        <v>2.71</v>
      </c>
      <c r="S23" s="44">
        <v>2.7</v>
      </c>
      <c r="T23" s="43">
        <v>2.71</v>
      </c>
      <c r="U23" s="45">
        <v>1.03</v>
      </c>
      <c r="V23" s="61"/>
      <c r="W23" s="80">
        <v>1251.45</v>
      </c>
      <c r="X23" s="80">
        <v>1251.45</v>
      </c>
      <c r="Y23" s="80">
        <v>1251.45</v>
      </c>
      <c r="Z23" s="80">
        <v>1251.45</v>
      </c>
      <c r="AA23" s="80">
        <v>1251.45</v>
      </c>
      <c r="AB23" s="80">
        <v>1251.45</v>
      </c>
      <c r="AC23" s="80">
        <v>1251.45</v>
      </c>
      <c r="AD23" s="80">
        <v>1251.45</v>
      </c>
      <c r="AE23" s="80">
        <v>1251.45</v>
      </c>
      <c r="AF23" s="80">
        <v>1251.45</v>
      </c>
      <c r="AG23" s="80">
        <v>1251.45</v>
      </c>
      <c r="AH23" s="80">
        <v>1251.45</v>
      </c>
      <c r="AI23" s="80">
        <v>1251.45</v>
      </c>
      <c r="AJ23" s="80">
        <v>1251.45</v>
      </c>
      <c r="AK23" s="80">
        <v>1251.45</v>
      </c>
      <c r="AL23" s="80">
        <v>1251.45</v>
      </c>
      <c r="AM23" s="80">
        <v>1251.45</v>
      </c>
      <c r="AN23" s="80">
        <v>1251.45</v>
      </c>
    </row>
    <row r="24" spans="1:40" x14ac:dyDescent="0.2">
      <c r="A24" t="str">
        <f t="shared" si="0"/>
        <v>RECREATIONAL</v>
      </c>
      <c r="B24" s="81" t="s">
        <v>28</v>
      </c>
      <c r="C24" s="82"/>
      <c r="D24" s="83"/>
      <c r="E24" s="84"/>
      <c r="F24" s="50"/>
      <c r="G24" s="51"/>
      <c r="H24" s="52"/>
      <c r="I24" s="53"/>
      <c r="J24" s="54"/>
      <c r="K24" s="19"/>
      <c r="L24" s="19"/>
      <c r="M24" s="19"/>
      <c r="N24" s="55"/>
      <c r="O24" s="56"/>
      <c r="P24" s="53"/>
      <c r="Q24" s="58"/>
      <c r="R24" s="58"/>
      <c r="S24" s="55"/>
      <c r="T24" s="85"/>
      <c r="U24" s="86"/>
      <c r="V24" s="61"/>
      <c r="W24" s="62"/>
      <c r="X24" s="62"/>
      <c r="Y24" s="62"/>
      <c r="Z24" s="62"/>
      <c r="AA24" s="62"/>
      <c r="AB24" s="62"/>
      <c r="AC24" s="62"/>
      <c r="AD24" s="62"/>
      <c r="AE24" s="62"/>
      <c r="AF24" s="62"/>
      <c r="AG24" s="62"/>
      <c r="AH24" s="62"/>
      <c r="AI24" s="62"/>
      <c r="AJ24" s="62"/>
      <c r="AK24" s="62"/>
      <c r="AL24" s="62"/>
      <c r="AM24" s="62"/>
      <c r="AN24" s="62"/>
    </row>
    <row r="25" spans="1:40" x14ac:dyDescent="0.2">
      <c r="A25" t="str">
        <f t="shared" si="0"/>
        <v>(432) Golf Driving Range</v>
      </c>
      <c r="B25" s="63" t="s">
        <v>162</v>
      </c>
      <c r="C25" s="64"/>
      <c r="D25" s="65"/>
      <c r="E25" s="66" t="s">
        <v>29</v>
      </c>
      <c r="F25" s="67" t="s">
        <v>209</v>
      </c>
      <c r="G25" s="68" t="s">
        <v>30</v>
      </c>
      <c r="H25" s="69">
        <v>1.25</v>
      </c>
      <c r="I25" s="70"/>
      <c r="J25" s="71"/>
      <c r="K25" s="18">
        <v>1.25</v>
      </c>
      <c r="L25" s="18">
        <v>5.82</v>
      </c>
      <c r="M25" s="18">
        <v>6.35</v>
      </c>
      <c r="N25" s="75" t="s">
        <v>276</v>
      </c>
      <c r="O25" s="73">
        <v>6.43</v>
      </c>
      <c r="P25" s="70">
        <v>0.5</v>
      </c>
      <c r="Q25" s="74">
        <v>2.91</v>
      </c>
      <c r="R25" s="74">
        <v>3.18</v>
      </c>
      <c r="S25" s="75">
        <v>2.91</v>
      </c>
      <c r="T25" s="76">
        <v>3.18</v>
      </c>
      <c r="U25" s="77">
        <v>3.64</v>
      </c>
      <c r="V25" s="61"/>
      <c r="W25" s="78">
        <v>4835.7</v>
      </c>
      <c r="X25" s="78">
        <v>4835.7</v>
      </c>
      <c r="Y25" s="78">
        <v>4835.7</v>
      </c>
      <c r="Z25" s="78">
        <v>4835.7</v>
      </c>
      <c r="AA25" s="78">
        <v>4835.7</v>
      </c>
      <c r="AB25" s="78">
        <v>4422.6000000000004</v>
      </c>
      <c r="AC25" s="78">
        <v>4835.7</v>
      </c>
      <c r="AD25" s="78">
        <v>4835.7</v>
      </c>
      <c r="AE25" s="78">
        <v>4422.6000000000004</v>
      </c>
      <c r="AF25" s="78">
        <v>4422.6000000000004</v>
      </c>
      <c r="AG25" s="78">
        <v>4422.6000000000004</v>
      </c>
      <c r="AH25" s="78">
        <v>4835.7</v>
      </c>
      <c r="AI25" s="78">
        <v>4422.6000000000004</v>
      </c>
      <c r="AJ25" s="78">
        <v>4835.7</v>
      </c>
      <c r="AK25" s="78">
        <v>4835.7</v>
      </c>
      <c r="AL25" s="78">
        <v>4835.7</v>
      </c>
      <c r="AM25" s="78">
        <v>4835.7</v>
      </c>
      <c r="AN25" s="78">
        <v>4422.6000000000004</v>
      </c>
    </row>
    <row r="26" spans="1:40" x14ac:dyDescent="0.2">
      <c r="A26" t="str">
        <f t="shared" si="0"/>
        <v>(430) Golf Course</v>
      </c>
      <c r="B26" s="63" t="s">
        <v>31</v>
      </c>
      <c r="C26" s="64"/>
      <c r="D26" s="65"/>
      <c r="E26" s="66" t="s">
        <v>32</v>
      </c>
      <c r="F26" s="67" t="s">
        <v>136</v>
      </c>
      <c r="G26" s="68" t="s">
        <v>6</v>
      </c>
      <c r="H26" s="69">
        <v>0.28000000000000003</v>
      </c>
      <c r="I26" s="70"/>
      <c r="J26" s="71"/>
      <c r="K26" s="18">
        <v>0.28000000000000003</v>
      </c>
      <c r="L26" s="18">
        <v>5.82</v>
      </c>
      <c r="M26" s="18">
        <v>6.35</v>
      </c>
      <c r="N26" s="75" t="s">
        <v>276</v>
      </c>
      <c r="O26" s="73">
        <v>6.43</v>
      </c>
      <c r="P26" s="70">
        <v>0.5</v>
      </c>
      <c r="Q26" s="74">
        <v>2.91</v>
      </c>
      <c r="R26" s="74">
        <v>3.18</v>
      </c>
      <c r="S26" s="75">
        <v>2.91</v>
      </c>
      <c r="T26" s="76">
        <v>3.18</v>
      </c>
      <c r="U26" s="77">
        <v>0.81</v>
      </c>
      <c r="V26" s="61"/>
      <c r="W26" s="78">
        <v>1081.3499999999999</v>
      </c>
      <c r="X26" s="78">
        <v>1081.3499999999999</v>
      </c>
      <c r="Y26" s="78">
        <v>1081.3499999999999</v>
      </c>
      <c r="Z26" s="78">
        <v>1081.3499999999999</v>
      </c>
      <c r="AA26" s="78">
        <v>1081.3499999999999</v>
      </c>
      <c r="AB26" s="78">
        <v>984.15000000000009</v>
      </c>
      <c r="AC26" s="78">
        <v>1081.3499999999999</v>
      </c>
      <c r="AD26" s="78">
        <v>1081.3499999999999</v>
      </c>
      <c r="AE26" s="78">
        <v>984.15000000000009</v>
      </c>
      <c r="AF26" s="78">
        <v>984.15000000000009</v>
      </c>
      <c r="AG26" s="78">
        <v>984.15000000000009</v>
      </c>
      <c r="AH26" s="78">
        <v>1081.3499999999999</v>
      </c>
      <c r="AI26" s="78">
        <v>984.15000000000009</v>
      </c>
      <c r="AJ26" s="78">
        <v>1081.3499999999999</v>
      </c>
      <c r="AK26" s="78">
        <v>1081.3499999999999</v>
      </c>
      <c r="AL26" s="78">
        <v>1081.3499999999999</v>
      </c>
      <c r="AM26" s="78">
        <v>1081.3499999999999</v>
      </c>
      <c r="AN26" s="78">
        <v>984.15000000000009</v>
      </c>
    </row>
    <row r="27" spans="1:40" x14ac:dyDescent="0.2">
      <c r="A27" t="str">
        <f t="shared" si="0"/>
        <v>(495) Recreational Community Center</v>
      </c>
      <c r="B27" s="63" t="s">
        <v>163</v>
      </c>
      <c r="C27" s="64"/>
      <c r="D27" s="65"/>
      <c r="E27" s="66" t="s">
        <v>33</v>
      </c>
      <c r="F27" s="67" t="s">
        <v>210</v>
      </c>
      <c r="G27" s="68" t="s">
        <v>10</v>
      </c>
      <c r="H27" s="69">
        <v>2.31</v>
      </c>
      <c r="I27" s="70"/>
      <c r="J27" s="71"/>
      <c r="K27" s="18">
        <v>2.31</v>
      </c>
      <c r="L27" s="18">
        <v>5.82</v>
      </c>
      <c r="M27" s="18">
        <v>6.35</v>
      </c>
      <c r="N27" s="75" t="s">
        <v>276</v>
      </c>
      <c r="O27" s="73">
        <v>6.43</v>
      </c>
      <c r="P27" s="70">
        <v>0.5</v>
      </c>
      <c r="Q27" s="74">
        <v>2.91</v>
      </c>
      <c r="R27" s="74">
        <v>3.18</v>
      </c>
      <c r="S27" s="75">
        <v>2.91</v>
      </c>
      <c r="T27" s="76">
        <v>3.18</v>
      </c>
      <c r="U27" s="77">
        <v>6.72</v>
      </c>
      <c r="V27" s="61"/>
      <c r="W27" s="78">
        <v>8930.25</v>
      </c>
      <c r="X27" s="78">
        <v>8930.25</v>
      </c>
      <c r="Y27" s="78">
        <v>8930.25</v>
      </c>
      <c r="Z27" s="78">
        <v>8930.25</v>
      </c>
      <c r="AA27" s="78">
        <v>8930.25</v>
      </c>
      <c r="AB27" s="78">
        <v>8164.7999999999993</v>
      </c>
      <c r="AC27" s="78">
        <v>8930.25</v>
      </c>
      <c r="AD27" s="78">
        <v>8930.25</v>
      </c>
      <c r="AE27" s="78">
        <v>8164.7999999999993</v>
      </c>
      <c r="AF27" s="78">
        <v>8164.7999999999993</v>
      </c>
      <c r="AG27" s="78">
        <v>8164.7999999999993</v>
      </c>
      <c r="AH27" s="78">
        <v>8930.25</v>
      </c>
      <c r="AI27" s="78">
        <v>8164.7999999999993</v>
      </c>
      <c r="AJ27" s="78">
        <v>8930.25</v>
      </c>
      <c r="AK27" s="78">
        <v>8930.25</v>
      </c>
      <c r="AL27" s="78">
        <v>8930.25</v>
      </c>
      <c r="AM27" s="78">
        <v>8930.25</v>
      </c>
      <c r="AN27" s="78">
        <v>8164.7999999999993</v>
      </c>
    </row>
    <row r="28" spans="1:40" x14ac:dyDescent="0.2">
      <c r="A28" t="str">
        <f t="shared" si="0"/>
        <v>(465) Ice Skating Rink</v>
      </c>
      <c r="B28" s="63" t="s">
        <v>164</v>
      </c>
      <c r="C28" s="64"/>
      <c r="D28" s="65"/>
      <c r="E28" s="66" t="s">
        <v>34</v>
      </c>
      <c r="F28" s="67" t="s">
        <v>211</v>
      </c>
      <c r="G28" s="68" t="s">
        <v>10</v>
      </c>
      <c r="H28" s="69">
        <v>1.33</v>
      </c>
      <c r="I28" s="70"/>
      <c r="J28" s="71"/>
      <c r="K28" s="18">
        <v>1.33</v>
      </c>
      <c r="L28" s="18">
        <v>5.82</v>
      </c>
      <c r="M28" s="18">
        <v>6.35</v>
      </c>
      <c r="N28" s="75" t="s">
        <v>276</v>
      </c>
      <c r="O28" s="73">
        <v>6.43</v>
      </c>
      <c r="P28" s="70">
        <v>0.5</v>
      </c>
      <c r="Q28" s="74">
        <v>2.91</v>
      </c>
      <c r="R28" s="74">
        <v>3.18</v>
      </c>
      <c r="S28" s="75">
        <v>2.91</v>
      </c>
      <c r="T28" s="76">
        <v>3.18</v>
      </c>
      <c r="U28" s="77">
        <v>3.87</v>
      </c>
      <c r="V28" s="61"/>
      <c r="W28" s="78">
        <v>5139.4500000000007</v>
      </c>
      <c r="X28" s="78">
        <v>5139.4500000000007</v>
      </c>
      <c r="Y28" s="78">
        <v>5139.4500000000007</v>
      </c>
      <c r="Z28" s="78">
        <v>5139.4500000000007</v>
      </c>
      <c r="AA28" s="78">
        <v>5139.4500000000007</v>
      </c>
      <c r="AB28" s="78">
        <v>4702.05</v>
      </c>
      <c r="AC28" s="78">
        <v>5139.4500000000007</v>
      </c>
      <c r="AD28" s="78">
        <v>5139.4500000000007</v>
      </c>
      <c r="AE28" s="78">
        <v>4702.05</v>
      </c>
      <c r="AF28" s="78">
        <v>4702.05</v>
      </c>
      <c r="AG28" s="78">
        <v>4702.05</v>
      </c>
      <c r="AH28" s="78">
        <v>5139.4500000000007</v>
      </c>
      <c r="AI28" s="78">
        <v>4702.05</v>
      </c>
      <c r="AJ28" s="78">
        <v>5139.4500000000007</v>
      </c>
      <c r="AK28" s="78">
        <v>5139.4500000000007</v>
      </c>
      <c r="AL28" s="78">
        <v>5139.4500000000007</v>
      </c>
      <c r="AM28" s="78">
        <v>5139.4500000000007</v>
      </c>
      <c r="AN28" s="78">
        <v>4702.05</v>
      </c>
    </row>
    <row r="29" spans="1:40" x14ac:dyDescent="0.2">
      <c r="A29" t="str">
        <f t="shared" si="0"/>
        <v>(431) Miniature Golf Course</v>
      </c>
      <c r="B29" s="63" t="s">
        <v>165</v>
      </c>
      <c r="C29" s="64"/>
      <c r="D29" s="65"/>
      <c r="E29" s="66" t="s">
        <v>35</v>
      </c>
      <c r="F29" s="67" t="s">
        <v>212</v>
      </c>
      <c r="G29" s="68" t="s">
        <v>36</v>
      </c>
      <c r="H29" s="69">
        <v>0.33</v>
      </c>
      <c r="I29" s="70"/>
      <c r="J29" s="71"/>
      <c r="K29" s="18">
        <v>0.33</v>
      </c>
      <c r="L29" s="18">
        <v>5.82</v>
      </c>
      <c r="M29" s="18">
        <v>6.35</v>
      </c>
      <c r="N29" s="75" t="s">
        <v>276</v>
      </c>
      <c r="O29" s="73">
        <v>6.43</v>
      </c>
      <c r="P29" s="70">
        <v>0.5</v>
      </c>
      <c r="Q29" s="74">
        <v>2.91</v>
      </c>
      <c r="R29" s="74">
        <v>3.18</v>
      </c>
      <c r="S29" s="75">
        <v>2.91</v>
      </c>
      <c r="T29" s="76">
        <v>3.18</v>
      </c>
      <c r="U29" s="77">
        <v>0.96</v>
      </c>
      <c r="V29" s="61"/>
      <c r="W29" s="78">
        <v>1275.75</v>
      </c>
      <c r="X29" s="78">
        <v>1275.75</v>
      </c>
      <c r="Y29" s="78">
        <v>1275.75</v>
      </c>
      <c r="Z29" s="78">
        <v>1275.75</v>
      </c>
      <c r="AA29" s="78">
        <v>1275.75</v>
      </c>
      <c r="AB29" s="78">
        <v>1166.3999999999999</v>
      </c>
      <c r="AC29" s="78">
        <v>1275.75</v>
      </c>
      <c r="AD29" s="78">
        <v>1275.75</v>
      </c>
      <c r="AE29" s="78">
        <v>1166.3999999999999</v>
      </c>
      <c r="AF29" s="78">
        <v>1166.3999999999999</v>
      </c>
      <c r="AG29" s="78">
        <v>1166.3999999999999</v>
      </c>
      <c r="AH29" s="78">
        <v>1275.75</v>
      </c>
      <c r="AI29" s="78">
        <v>1166.3999999999999</v>
      </c>
      <c r="AJ29" s="78">
        <v>1275.75</v>
      </c>
      <c r="AK29" s="78">
        <v>1275.75</v>
      </c>
      <c r="AL29" s="78">
        <v>1275.75</v>
      </c>
      <c r="AM29" s="78">
        <v>1275.75</v>
      </c>
      <c r="AN29" s="78">
        <v>1166.3999999999999</v>
      </c>
    </row>
    <row r="30" spans="1:40" x14ac:dyDescent="0.2">
      <c r="A30" t="str">
        <f t="shared" si="0"/>
        <v>(445) Multiplex Movie Theater</v>
      </c>
      <c r="B30" s="63" t="s">
        <v>37</v>
      </c>
      <c r="C30" s="64"/>
      <c r="D30" s="65"/>
      <c r="E30" s="66" t="s">
        <v>38</v>
      </c>
      <c r="F30" s="67" t="s">
        <v>213</v>
      </c>
      <c r="G30" s="68" t="s">
        <v>39</v>
      </c>
      <c r="H30" s="69">
        <v>13.73</v>
      </c>
      <c r="I30" s="70"/>
      <c r="J30" s="71"/>
      <c r="K30" s="18">
        <v>13.73</v>
      </c>
      <c r="L30" s="18">
        <v>5.82</v>
      </c>
      <c r="M30" s="18">
        <v>6.35</v>
      </c>
      <c r="N30" s="75" t="s">
        <v>276</v>
      </c>
      <c r="O30" s="73">
        <v>6.43</v>
      </c>
      <c r="P30" s="70">
        <v>0.5</v>
      </c>
      <c r="Q30" s="74">
        <v>2.91</v>
      </c>
      <c r="R30" s="74">
        <v>3.18</v>
      </c>
      <c r="S30" s="75">
        <v>2.91</v>
      </c>
      <c r="T30" s="76">
        <v>3.18</v>
      </c>
      <c r="U30" s="77">
        <v>39.950000000000003</v>
      </c>
      <c r="V30" s="61"/>
      <c r="W30" s="78">
        <v>53046.899999999994</v>
      </c>
      <c r="X30" s="78">
        <v>53046.899999999994</v>
      </c>
      <c r="Y30" s="78">
        <v>53046.899999999994</v>
      </c>
      <c r="Z30" s="78">
        <v>53046.899999999994</v>
      </c>
      <c r="AA30" s="78">
        <v>53046.899999999994</v>
      </c>
      <c r="AB30" s="78">
        <v>48539.25</v>
      </c>
      <c r="AC30" s="78">
        <v>53046.899999999994</v>
      </c>
      <c r="AD30" s="78">
        <v>53046.899999999994</v>
      </c>
      <c r="AE30" s="78">
        <v>48539.25</v>
      </c>
      <c r="AF30" s="78">
        <v>48539.25</v>
      </c>
      <c r="AG30" s="78">
        <v>48539.25</v>
      </c>
      <c r="AH30" s="78">
        <v>53046.899999999994</v>
      </c>
      <c r="AI30" s="78">
        <v>48539.25</v>
      </c>
      <c r="AJ30" s="78">
        <v>53046.899999999994</v>
      </c>
      <c r="AK30" s="78">
        <v>53046.899999999994</v>
      </c>
      <c r="AL30" s="78">
        <v>53046.899999999994</v>
      </c>
      <c r="AM30" s="78">
        <v>53046.899999999994</v>
      </c>
      <c r="AN30" s="78">
        <v>48539.25</v>
      </c>
    </row>
    <row r="31" spans="1:40" ht="13.5" thickBot="1" x14ac:dyDescent="0.25">
      <c r="A31" t="str">
        <f t="shared" si="0"/>
        <v>(491) Racquet / Tennis Club</v>
      </c>
      <c r="B31" s="32" t="s">
        <v>40</v>
      </c>
      <c r="C31" s="33"/>
      <c r="D31" s="34"/>
      <c r="E31" s="35" t="s">
        <v>41</v>
      </c>
      <c r="F31" s="36" t="s">
        <v>214</v>
      </c>
      <c r="G31" s="37" t="s">
        <v>42</v>
      </c>
      <c r="H31" s="38">
        <v>3.82</v>
      </c>
      <c r="I31" s="39"/>
      <c r="J31" s="40"/>
      <c r="K31" s="17">
        <v>3.82</v>
      </c>
      <c r="L31" s="17">
        <v>5.82</v>
      </c>
      <c r="M31" s="17">
        <v>6.35</v>
      </c>
      <c r="N31" s="44" t="s">
        <v>276</v>
      </c>
      <c r="O31" s="42">
        <v>6.43</v>
      </c>
      <c r="P31" s="39">
        <v>0.5</v>
      </c>
      <c r="Q31" s="43">
        <v>2.91</v>
      </c>
      <c r="R31" s="43">
        <v>3.18</v>
      </c>
      <c r="S31" s="44">
        <v>2.91</v>
      </c>
      <c r="T31" s="43">
        <v>3.18</v>
      </c>
      <c r="U31" s="45">
        <v>11.12</v>
      </c>
      <c r="V31" s="61"/>
      <c r="W31" s="104">
        <v>14762.25</v>
      </c>
      <c r="X31" s="104">
        <v>14762.25</v>
      </c>
      <c r="Y31" s="104">
        <v>14762.25</v>
      </c>
      <c r="Z31" s="104">
        <v>14762.25</v>
      </c>
      <c r="AA31" s="104">
        <v>14762.25</v>
      </c>
      <c r="AB31" s="104">
        <v>13510.8</v>
      </c>
      <c r="AC31" s="104">
        <v>14762.25</v>
      </c>
      <c r="AD31" s="104">
        <v>14762.25</v>
      </c>
      <c r="AE31" s="104">
        <v>13510.8</v>
      </c>
      <c r="AF31" s="104">
        <v>13510.8</v>
      </c>
      <c r="AG31" s="104">
        <v>13510.8</v>
      </c>
      <c r="AH31" s="104">
        <v>14762.25</v>
      </c>
      <c r="AI31" s="104">
        <v>13510.8</v>
      </c>
      <c r="AJ31" s="104">
        <v>14762.25</v>
      </c>
      <c r="AK31" s="104">
        <v>14762.25</v>
      </c>
      <c r="AL31" s="104">
        <v>14762.25</v>
      </c>
      <c r="AM31" s="104">
        <v>14762.25</v>
      </c>
      <c r="AN31" s="104">
        <v>13510.8</v>
      </c>
    </row>
    <row r="32" spans="1:40" x14ac:dyDescent="0.2">
      <c r="A32" t="str">
        <f t="shared" si="0"/>
        <v>INSTITUTIONAL</v>
      </c>
      <c r="B32" s="117" t="s">
        <v>43</v>
      </c>
      <c r="C32" s="118"/>
      <c r="D32" s="119"/>
      <c r="E32" s="120"/>
      <c r="F32" s="121"/>
      <c r="G32" s="209"/>
      <c r="H32" s="217"/>
      <c r="I32" s="53"/>
      <c r="J32" s="54"/>
      <c r="K32" s="19"/>
      <c r="L32" s="19"/>
      <c r="M32" s="19"/>
      <c r="N32" s="55"/>
      <c r="O32" s="56"/>
      <c r="P32" s="53"/>
      <c r="Q32" s="58"/>
      <c r="R32" s="58"/>
      <c r="S32" s="55"/>
      <c r="T32" s="85"/>
      <c r="U32" s="86"/>
      <c r="V32" s="61"/>
      <c r="W32" s="105"/>
      <c r="X32" s="105"/>
      <c r="Y32" s="105"/>
      <c r="Z32" s="105"/>
      <c r="AA32" s="105"/>
      <c r="AB32" s="105"/>
      <c r="AC32" s="105"/>
      <c r="AD32" s="105"/>
      <c r="AE32" s="105"/>
      <c r="AF32" s="105"/>
      <c r="AG32" s="105"/>
      <c r="AH32" s="105"/>
      <c r="AI32" s="105"/>
      <c r="AJ32" s="105"/>
      <c r="AK32" s="105"/>
      <c r="AL32" s="105"/>
      <c r="AM32" s="105"/>
      <c r="AN32" s="105"/>
    </row>
    <row r="33" spans="1:40" x14ac:dyDescent="0.2">
      <c r="A33" t="str">
        <f t="shared" si="0"/>
        <v>(560) Religious Place of Worship</v>
      </c>
      <c r="B33" s="210" t="s">
        <v>311</v>
      </c>
      <c r="C33" s="64"/>
      <c r="D33" s="65"/>
      <c r="E33" s="66" t="s">
        <v>44</v>
      </c>
      <c r="F33" s="67" t="s">
        <v>137</v>
      </c>
      <c r="G33" s="211" t="s">
        <v>10</v>
      </c>
      <c r="H33" s="218">
        <v>0.49</v>
      </c>
      <c r="I33" s="70"/>
      <c r="J33" s="71"/>
      <c r="K33" s="75">
        <v>0.49</v>
      </c>
      <c r="L33" s="75">
        <v>6.3</v>
      </c>
      <c r="M33" s="75">
        <v>6.3</v>
      </c>
      <c r="N33" s="75" t="s">
        <v>275</v>
      </c>
      <c r="O33" s="73">
        <v>4.2</v>
      </c>
      <c r="P33" s="70">
        <v>0.5</v>
      </c>
      <c r="Q33" s="74">
        <v>3.15</v>
      </c>
      <c r="R33" s="74">
        <v>3.15</v>
      </c>
      <c r="S33" s="75">
        <v>3.15</v>
      </c>
      <c r="T33" s="76">
        <v>3.15</v>
      </c>
      <c r="U33" s="77">
        <v>1.54</v>
      </c>
      <c r="V33" s="61"/>
      <c r="W33" s="78">
        <v>1871.1000000000001</v>
      </c>
      <c r="X33" s="78">
        <v>1871.1000000000001</v>
      </c>
      <c r="Y33" s="78">
        <v>1871.1000000000001</v>
      </c>
      <c r="Z33" s="78">
        <v>1871.1000000000001</v>
      </c>
      <c r="AA33" s="78">
        <v>1871.1000000000001</v>
      </c>
      <c r="AB33" s="78">
        <v>1871.1000000000001</v>
      </c>
      <c r="AC33" s="78">
        <v>1871.1000000000001</v>
      </c>
      <c r="AD33" s="78">
        <v>1871.1000000000001</v>
      </c>
      <c r="AE33" s="78">
        <v>1871.1000000000001</v>
      </c>
      <c r="AF33" s="78">
        <v>1871.1000000000001</v>
      </c>
      <c r="AG33" s="78">
        <v>1871.1000000000001</v>
      </c>
      <c r="AH33" s="78">
        <v>1871.1000000000001</v>
      </c>
      <c r="AI33" s="78">
        <v>1871.1000000000001</v>
      </c>
      <c r="AJ33" s="78">
        <v>1871.1000000000001</v>
      </c>
      <c r="AK33" s="78">
        <v>1871.1000000000001</v>
      </c>
      <c r="AL33" s="78">
        <v>1871.1000000000001</v>
      </c>
      <c r="AM33" s="78">
        <v>1871.1000000000001</v>
      </c>
      <c r="AN33" s="78">
        <v>1871.1000000000001</v>
      </c>
    </row>
    <row r="34" spans="1:40" s="515" customFormat="1" x14ac:dyDescent="0.2">
      <c r="A34" s="515" t="str">
        <f t="shared" si="0"/>
        <v>(565) Day Care Center</v>
      </c>
      <c r="B34" s="516" t="s">
        <v>45</v>
      </c>
      <c r="C34" s="517"/>
      <c r="D34" s="518"/>
      <c r="E34" s="519" t="s">
        <v>46</v>
      </c>
      <c r="F34" s="520" t="s">
        <v>215</v>
      </c>
      <c r="G34" s="521" t="s">
        <v>10</v>
      </c>
      <c r="H34" s="522">
        <v>11.12</v>
      </c>
      <c r="I34" s="523">
        <v>0.44</v>
      </c>
      <c r="J34" s="524" t="s">
        <v>117</v>
      </c>
      <c r="K34" s="525">
        <v>6.23</v>
      </c>
      <c r="L34" s="525">
        <v>3.39</v>
      </c>
      <c r="M34" s="525">
        <v>3.39</v>
      </c>
      <c r="N34" s="525" t="s">
        <v>275</v>
      </c>
      <c r="O34" s="526">
        <v>4.2</v>
      </c>
      <c r="P34" s="523">
        <v>0.5</v>
      </c>
      <c r="Q34" s="527">
        <v>1.69</v>
      </c>
      <c r="R34" s="527">
        <v>1.7</v>
      </c>
      <c r="S34" s="525">
        <v>1.69</v>
      </c>
      <c r="T34" s="528">
        <v>1.7</v>
      </c>
      <c r="U34" s="528">
        <v>10.53</v>
      </c>
      <c r="V34" s="529"/>
      <c r="W34" s="530">
        <v>0</v>
      </c>
      <c r="X34" s="530">
        <v>0</v>
      </c>
      <c r="Y34" s="530">
        <v>0</v>
      </c>
      <c r="Z34" s="530">
        <v>0</v>
      </c>
      <c r="AA34" s="530">
        <v>0</v>
      </c>
      <c r="AB34" s="530">
        <v>0</v>
      </c>
      <c r="AC34" s="530">
        <v>0</v>
      </c>
      <c r="AD34" s="530">
        <v>0</v>
      </c>
      <c r="AE34" s="530">
        <v>0</v>
      </c>
      <c r="AF34" s="530">
        <v>0</v>
      </c>
      <c r="AG34" s="530">
        <v>0</v>
      </c>
      <c r="AH34" s="530">
        <v>0</v>
      </c>
      <c r="AI34" s="530">
        <v>0</v>
      </c>
      <c r="AJ34" s="530">
        <v>0</v>
      </c>
      <c r="AK34" s="530">
        <v>0</v>
      </c>
      <c r="AL34" s="530">
        <v>0</v>
      </c>
      <c r="AM34" s="530">
        <v>0</v>
      </c>
      <c r="AN34" s="530">
        <v>0</v>
      </c>
    </row>
    <row r="35" spans="1:40" x14ac:dyDescent="0.2">
      <c r="A35" t="str">
        <f t="shared" si="0"/>
        <v>(520) Elementary School</v>
      </c>
      <c r="B35" s="210" t="s">
        <v>312</v>
      </c>
      <c r="C35" s="64"/>
      <c r="D35" s="65"/>
      <c r="E35" s="79">
        <v>520</v>
      </c>
      <c r="F35" s="67"/>
      <c r="G35" s="211" t="s">
        <v>48</v>
      </c>
      <c r="H35" s="218">
        <v>0.17</v>
      </c>
      <c r="I35" s="70"/>
      <c r="J35" s="71"/>
      <c r="K35" s="75">
        <v>0.17</v>
      </c>
      <c r="L35" s="75">
        <v>3.39</v>
      </c>
      <c r="M35" s="75">
        <v>3.39</v>
      </c>
      <c r="N35" s="75" t="s">
        <v>275</v>
      </c>
      <c r="O35" s="73">
        <v>5.2</v>
      </c>
      <c r="P35" s="70">
        <v>0.5</v>
      </c>
      <c r="Q35" s="74">
        <v>1.69</v>
      </c>
      <c r="R35" s="74">
        <v>1.7</v>
      </c>
      <c r="S35" s="75">
        <v>1.69</v>
      </c>
      <c r="T35" s="76">
        <v>1.7</v>
      </c>
      <c r="U35" s="77">
        <v>0.28999999999999998</v>
      </c>
      <c r="V35" s="61"/>
      <c r="W35" s="78">
        <v>352.34999999999997</v>
      </c>
      <c r="X35" s="78">
        <v>352.34999999999997</v>
      </c>
      <c r="Y35" s="78">
        <v>352.34999999999997</v>
      </c>
      <c r="Z35" s="78">
        <v>352.34999999999997</v>
      </c>
      <c r="AA35" s="78">
        <v>352.34999999999997</v>
      </c>
      <c r="AB35" s="78">
        <v>352.34999999999997</v>
      </c>
      <c r="AC35" s="78">
        <v>352.34999999999997</v>
      </c>
      <c r="AD35" s="78">
        <v>352.34999999999997</v>
      </c>
      <c r="AE35" s="78">
        <v>352.34999999999997</v>
      </c>
      <c r="AF35" s="78">
        <v>352.34999999999997</v>
      </c>
      <c r="AG35" s="78">
        <v>352.34999999999997</v>
      </c>
      <c r="AH35" s="78">
        <v>352.34999999999997</v>
      </c>
      <c r="AI35" s="78">
        <v>352.34999999999997</v>
      </c>
      <c r="AJ35" s="78">
        <v>352.34999999999997</v>
      </c>
      <c r="AK35" s="78">
        <v>352.34999999999997</v>
      </c>
      <c r="AL35" s="78">
        <v>352.34999999999997</v>
      </c>
      <c r="AM35" s="78">
        <v>352.34999999999997</v>
      </c>
      <c r="AN35" s="78">
        <v>352.34999999999997</v>
      </c>
    </row>
    <row r="36" spans="1:40" x14ac:dyDescent="0.2">
      <c r="A36" t="str">
        <f t="shared" ref="A36:A67" si="1">IF(ISBLANK(E36),B36,CONCATENATE("(",E36,") ",B36))</f>
        <v>(522) Middle School / Junior High School</v>
      </c>
      <c r="B36" s="210" t="s">
        <v>314</v>
      </c>
      <c r="C36" s="64"/>
      <c r="D36" s="65"/>
      <c r="E36" s="66" t="s">
        <v>47</v>
      </c>
      <c r="F36" s="67" t="s">
        <v>216</v>
      </c>
      <c r="G36" s="211" t="s">
        <v>48</v>
      </c>
      <c r="H36" s="218">
        <v>0.17</v>
      </c>
      <c r="I36" s="70"/>
      <c r="J36" s="71"/>
      <c r="K36" s="18">
        <v>0.17</v>
      </c>
      <c r="L36" s="18">
        <v>3.39</v>
      </c>
      <c r="M36" s="18">
        <v>3.39</v>
      </c>
      <c r="N36" s="18" t="s">
        <v>281</v>
      </c>
      <c r="O36" s="73">
        <v>4.2</v>
      </c>
      <c r="P36" s="70">
        <v>0.5</v>
      </c>
      <c r="Q36" s="74">
        <v>1.69</v>
      </c>
      <c r="R36" s="74">
        <v>1.7</v>
      </c>
      <c r="S36" s="75">
        <v>1.69</v>
      </c>
      <c r="T36" s="76">
        <v>1.7</v>
      </c>
      <c r="U36" s="77">
        <v>0.28999999999999998</v>
      </c>
      <c r="V36" s="61"/>
      <c r="W36" s="78">
        <v>352.34999999999997</v>
      </c>
      <c r="X36" s="78">
        <v>352.34999999999997</v>
      </c>
      <c r="Y36" s="78">
        <v>352.34999999999997</v>
      </c>
      <c r="Z36" s="78">
        <v>352.34999999999997</v>
      </c>
      <c r="AA36" s="78">
        <v>352.34999999999997</v>
      </c>
      <c r="AB36" s="78">
        <v>352.34999999999997</v>
      </c>
      <c r="AC36" s="78">
        <v>352.34999999999997</v>
      </c>
      <c r="AD36" s="78">
        <v>352.34999999999997</v>
      </c>
      <c r="AE36" s="78">
        <v>352.34999999999997</v>
      </c>
      <c r="AF36" s="78">
        <v>352.34999999999997</v>
      </c>
      <c r="AG36" s="78">
        <v>352.34999999999997</v>
      </c>
      <c r="AH36" s="78">
        <v>352.34999999999997</v>
      </c>
      <c r="AI36" s="78">
        <v>352.34999999999997</v>
      </c>
      <c r="AJ36" s="78">
        <v>352.34999999999997</v>
      </c>
      <c r="AK36" s="78">
        <v>352.34999999999997</v>
      </c>
      <c r="AL36" s="78">
        <v>352.34999999999997</v>
      </c>
      <c r="AM36" s="78">
        <v>352.34999999999997</v>
      </c>
      <c r="AN36" s="78">
        <v>352.34999999999997</v>
      </c>
    </row>
    <row r="37" spans="1:40" x14ac:dyDescent="0.2">
      <c r="A37" t="str">
        <f t="shared" si="1"/>
        <v>(530) High School</v>
      </c>
      <c r="B37" s="210" t="s">
        <v>166</v>
      </c>
      <c r="C37" s="64"/>
      <c r="D37" s="65"/>
      <c r="E37" s="66" t="s">
        <v>49</v>
      </c>
      <c r="F37" s="67" t="s">
        <v>217</v>
      </c>
      <c r="G37" s="211" t="s">
        <v>48</v>
      </c>
      <c r="H37" s="218">
        <v>0.14000000000000001</v>
      </c>
      <c r="I37" s="70"/>
      <c r="J37" s="71"/>
      <c r="K37" s="18">
        <v>0.14000000000000001</v>
      </c>
      <c r="L37" s="18">
        <v>3.39</v>
      </c>
      <c r="M37" s="18">
        <v>3.39</v>
      </c>
      <c r="N37" s="18" t="s">
        <v>281</v>
      </c>
      <c r="O37" s="73">
        <v>4.2</v>
      </c>
      <c r="P37" s="70">
        <v>0.5</v>
      </c>
      <c r="Q37" s="74">
        <v>1.69</v>
      </c>
      <c r="R37" s="74">
        <v>1.7</v>
      </c>
      <c r="S37" s="75">
        <v>1.69</v>
      </c>
      <c r="T37" s="76">
        <v>1.7</v>
      </c>
      <c r="U37" s="77">
        <v>0.24</v>
      </c>
      <c r="V37" s="61"/>
      <c r="W37" s="78">
        <v>291.59999999999997</v>
      </c>
      <c r="X37" s="78">
        <v>291.59999999999997</v>
      </c>
      <c r="Y37" s="78">
        <v>291.59999999999997</v>
      </c>
      <c r="Z37" s="78">
        <v>291.59999999999997</v>
      </c>
      <c r="AA37" s="78">
        <v>291.59999999999997</v>
      </c>
      <c r="AB37" s="78">
        <v>291.59999999999997</v>
      </c>
      <c r="AC37" s="78">
        <v>291.59999999999997</v>
      </c>
      <c r="AD37" s="78">
        <v>291.59999999999997</v>
      </c>
      <c r="AE37" s="78">
        <v>291.59999999999997</v>
      </c>
      <c r="AF37" s="78">
        <v>291.59999999999997</v>
      </c>
      <c r="AG37" s="78">
        <v>291.59999999999997</v>
      </c>
      <c r="AH37" s="78">
        <v>291.59999999999997</v>
      </c>
      <c r="AI37" s="78">
        <v>291.59999999999997</v>
      </c>
      <c r="AJ37" s="78">
        <v>291.59999999999997</v>
      </c>
      <c r="AK37" s="78">
        <v>291.59999999999997</v>
      </c>
      <c r="AL37" s="78">
        <v>291.59999999999997</v>
      </c>
      <c r="AM37" s="78">
        <v>291.59999999999997</v>
      </c>
      <c r="AN37" s="78">
        <v>291.59999999999997</v>
      </c>
    </row>
    <row r="38" spans="1:40" x14ac:dyDescent="0.2">
      <c r="A38" t="str">
        <f t="shared" si="1"/>
        <v>(540) Junior / Community College</v>
      </c>
      <c r="B38" s="210" t="s">
        <v>167</v>
      </c>
      <c r="C38" s="64"/>
      <c r="D38" s="65"/>
      <c r="E38" s="66" t="s">
        <v>50</v>
      </c>
      <c r="F38" s="67" t="s">
        <v>218</v>
      </c>
      <c r="G38" s="211" t="s">
        <v>48</v>
      </c>
      <c r="H38" s="218">
        <v>0.11</v>
      </c>
      <c r="I38" s="70"/>
      <c r="J38" s="71"/>
      <c r="K38" s="75">
        <v>0.11</v>
      </c>
      <c r="L38" s="75">
        <v>3.39</v>
      </c>
      <c r="M38" s="75">
        <v>3.39</v>
      </c>
      <c r="N38" s="18" t="s">
        <v>281</v>
      </c>
      <c r="O38" s="73">
        <v>4.2</v>
      </c>
      <c r="P38" s="70">
        <v>0.5</v>
      </c>
      <c r="Q38" s="74">
        <v>1.69</v>
      </c>
      <c r="R38" s="74">
        <v>1.7</v>
      </c>
      <c r="S38" s="75">
        <v>1.69</v>
      </c>
      <c r="T38" s="76">
        <v>1.7</v>
      </c>
      <c r="U38" s="77">
        <v>0.19</v>
      </c>
      <c r="V38" s="61"/>
      <c r="W38" s="78">
        <v>230.85</v>
      </c>
      <c r="X38" s="78">
        <v>230.85</v>
      </c>
      <c r="Y38" s="78">
        <v>230.85</v>
      </c>
      <c r="Z38" s="78">
        <v>230.85</v>
      </c>
      <c r="AA38" s="78">
        <v>230.85</v>
      </c>
      <c r="AB38" s="78">
        <v>230.85</v>
      </c>
      <c r="AC38" s="78">
        <v>230.85</v>
      </c>
      <c r="AD38" s="78">
        <v>230.85</v>
      </c>
      <c r="AE38" s="78">
        <v>230.85</v>
      </c>
      <c r="AF38" s="78">
        <v>230.85</v>
      </c>
      <c r="AG38" s="78">
        <v>230.85</v>
      </c>
      <c r="AH38" s="78">
        <v>230.85</v>
      </c>
      <c r="AI38" s="78">
        <v>230.85</v>
      </c>
      <c r="AJ38" s="78">
        <v>230.85</v>
      </c>
      <c r="AK38" s="78">
        <v>230.85</v>
      </c>
      <c r="AL38" s="78">
        <v>230.85</v>
      </c>
      <c r="AM38" s="78">
        <v>230.85</v>
      </c>
      <c r="AN38" s="78">
        <v>230.85</v>
      </c>
    </row>
    <row r="39" spans="1:40" ht="13.5" thickBot="1" x14ac:dyDescent="0.25">
      <c r="A39" t="str">
        <f t="shared" si="1"/>
        <v>(550) University / College</v>
      </c>
      <c r="B39" s="212" t="s">
        <v>51</v>
      </c>
      <c r="C39" s="33"/>
      <c r="D39" s="34"/>
      <c r="E39" s="35" t="s">
        <v>52</v>
      </c>
      <c r="F39" s="36" t="s">
        <v>219</v>
      </c>
      <c r="G39" s="213" t="s">
        <v>48</v>
      </c>
      <c r="H39" s="219">
        <v>0.15</v>
      </c>
      <c r="I39" s="39"/>
      <c r="J39" s="40"/>
      <c r="K39" s="44">
        <v>0.15</v>
      </c>
      <c r="L39" s="44">
        <v>3.39</v>
      </c>
      <c r="M39" s="44">
        <v>3.39</v>
      </c>
      <c r="N39" s="17" t="s">
        <v>281</v>
      </c>
      <c r="O39" s="42">
        <v>4.2</v>
      </c>
      <c r="P39" s="39">
        <v>0.5</v>
      </c>
      <c r="Q39" s="43">
        <v>1.69</v>
      </c>
      <c r="R39" s="43">
        <v>1.7</v>
      </c>
      <c r="S39" s="44">
        <v>1.69</v>
      </c>
      <c r="T39" s="43">
        <v>1.7</v>
      </c>
      <c r="U39" s="45">
        <v>0.25</v>
      </c>
      <c r="V39" s="61"/>
      <c r="W39" s="80">
        <v>315.90000000000003</v>
      </c>
      <c r="X39" s="80">
        <v>315.90000000000003</v>
      </c>
      <c r="Y39" s="80">
        <v>315.90000000000003</v>
      </c>
      <c r="Z39" s="80">
        <v>315.90000000000003</v>
      </c>
      <c r="AA39" s="80">
        <v>315.90000000000003</v>
      </c>
      <c r="AB39" s="80">
        <v>303.75</v>
      </c>
      <c r="AC39" s="80">
        <v>315.90000000000003</v>
      </c>
      <c r="AD39" s="80">
        <v>315.90000000000003</v>
      </c>
      <c r="AE39" s="80">
        <v>303.75</v>
      </c>
      <c r="AF39" s="80">
        <v>303.75</v>
      </c>
      <c r="AG39" s="80">
        <v>303.75</v>
      </c>
      <c r="AH39" s="80">
        <v>315.90000000000003</v>
      </c>
      <c r="AI39" s="80">
        <v>303.75</v>
      </c>
      <c r="AJ39" s="80">
        <v>315.90000000000003</v>
      </c>
      <c r="AK39" s="80">
        <v>315.90000000000003</v>
      </c>
      <c r="AL39" s="80">
        <v>315.90000000000003</v>
      </c>
      <c r="AM39" s="80">
        <v>315.90000000000003</v>
      </c>
      <c r="AN39" s="80">
        <v>303.75</v>
      </c>
    </row>
    <row r="40" spans="1:40" x14ac:dyDescent="0.2">
      <c r="A40" t="str">
        <f t="shared" si="1"/>
        <v>MEDICAL</v>
      </c>
      <c r="B40" s="81" t="s">
        <v>53</v>
      </c>
      <c r="C40" s="82"/>
      <c r="D40" s="83"/>
      <c r="E40" s="84"/>
      <c r="F40" s="50"/>
      <c r="G40" s="51"/>
      <c r="H40" s="52"/>
      <c r="I40" s="53"/>
      <c r="J40" s="54"/>
      <c r="K40" s="55"/>
      <c r="L40" s="55"/>
      <c r="M40" s="55"/>
      <c r="N40" s="55"/>
      <c r="O40" s="56"/>
      <c r="P40" s="53"/>
      <c r="Q40" s="58"/>
      <c r="R40" s="58"/>
      <c r="S40" s="55"/>
      <c r="T40" s="85"/>
      <c r="U40" s="86"/>
      <c r="V40" s="61"/>
      <c r="W40" s="62"/>
      <c r="X40" s="62"/>
      <c r="Y40" s="62"/>
      <c r="Z40" s="62"/>
      <c r="AA40" s="62"/>
      <c r="AB40" s="62"/>
      <c r="AC40" s="62"/>
      <c r="AD40" s="62"/>
      <c r="AE40" s="62"/>
      <c r="AF40" s="62"/>
      <c r="AG40" s="62"/>
      <c r="AH40" s="62"/>
      <c r="AI40" s="62"/>
      <c r="AJ40" s="62"/>
      <c r="AK40" s="62"/>
      <c r="AL40" s="62"/>
      <c r="AM40" s="62"/>
      <c r="AN40" s="62"/>
    </row>
    <row r="41" spans="1:40" x14ac:dyDescent="0.2">
      <c r="A41" t="str">
        <f t="shared" si="1"/>
        <v>(630) Clinic</v>
      </c>
      <c r="B41" s="63" t="s">
        <v>54</v>
      </c>
      <c r="C41" s="64"/>
      <c r="D41" s="65"/>
      <c r="E41" s="66" t="s">
        <v>55</v>
      </c>
      <c r="F41" s="67" t="s">
        <v>220</v>
      </c>
      <c r="G41" s="68" t="s">
        <v>10</v>
      </c>
      <c r="H41" s="69">
        <v>3.28</v>
      </c>
      <c r="I41" s="70"/>
      <c r="J41" s="71"/>
      <c r="K41" s="75">
        <v>3.28</v>
      </c>
      <c r="L41" s="75">
        <v>7.42</v>
      </c>
      <c r="M41" s="75">
        <v>6.76</v>
      </c>
      <c r="N41" s="75" t="s">
        <v>276</v>
      </c>
      <c r="O41" s="73">
        <v>7.55</v>
      </c>
      <c r="P41" s="70">
        <v>0.5</v>
      </c>
      <c r="Q41" s="74">
        <v>3.71</v>
      </c>
      <c r="R41" s="74">
        <v>3.38</v>
      </c>
      <c r="S41" s="75">
        <v>3.71</v>
      </c>
      <c r="T41" s="76">
        <v>3.38</v>
      </c>
      <c r="U41" s="77">
        <v>12.17</v>
      </c>
      <c r="V41" s="61"/>
      <c r="W41" s="78">
        <v>13474.35</v>
      </c>
      <c r="X41" s="78">
        <v>13474.35</v>
      </c>
      <c r="Y41" s="78">
        <v>13474.35</v>
      </c>
      <c r="Z41" s="78">
        <v>13474.35</v>
      </c>
      <c r="AA41" s="78">
        <v>13474.35</v>
      </c>
      <c r="AB41" s="78">
        <v>14786.55</v>
      </c>
      <c r="AC41" s="78">
        <v>13474.35</v>
      </c>
      <c r="AD41" s="78">
        <v>13474.35</v>
      </c>
      <c r="AE41" s="78">
        <v>14786.55</v>
      </c>
      <c r="AF41" s="78">
        <v>14786.55</v>
      </c>
      <c r="AG41" s="78">
        <v>14786.55</v>
      </c>
      <c r="AH41" s="78">
        <v>13474.35</v>
      </c>
      <c r="AI41" s="78">
        <v>14786.55</v>
      </c>
      <c r="AJ41" s="78">
        <v>13474.35</v>
      </c>
      <c r="AK41" s="78">
        <v>13474.35</v>
      </c>
      <c r="AL41" s="78">
        <v>13474.35</v>
      </c>
      <c r="AM41" s="78">
        <v>13474.35</v>
      </c>
      <c r="AN41" s="78">
        <v>14786.55</v>
      </c>
    </row>
    <row r="42" spans="1:40" x14ac:dyDescent="0.2">
      <c r="A42" t="str">
        <f t="shared" si="1"/>
        <v>(610) Hospital</v>
      </c>
      <c r="B42" s="63" t="s">
        <v>56</v>
      </c>
      <c r="C42" s="64"/>
      <c r="D42" s="65"/>
      <c r="E42" s="66" t="s">
        <v>57</v>
      </c>
      <c r="F42" s="67" t="s">
        <v>138</v>
      </c>
      <c r="G42" s="68" t="s">
        <v>10</v>
      </c>
      <c r="H42" s="69">
        <v>0.97</v>
      </c>
      <c r="I42" s="70"/>
      <c r="J42" s="71"/>
      <c r="K42" s="75">
        <v>0.97</v>
      </c>
      <c r="L42" s="75">
        <v>7.42</v>
      </c>
      <c r="M42" s="75">
        <v>6.76</v>
      </c>
      <c r="N42" s="75" t="s">
        <v>276</v>
      </c>
      <c r="O42" s="73">
        <v>7.55</v>
      </c>
      <c r="P42" s="70">
        <v>0.5</v>
      </c>
      <c r="Q42" s="74">
        <v>3.71</v>
      </c>
      <c r="R42" s="74">
        <v>3.38</v>
      </c>
      <c r="S42" s="75">
        <v>3.71</v>
      </c>
      <c r="T42" s="76">
        <v>3.38</v>
      </c>
      <c r="U42" s="77">
        <v>3.6</v>
      </c>
      <c r="V42" s="61"/>
      <c r="W42" s="78">
        <v>3985.2</v>
      </c>
      <c r="X42" s="78">
        <v>3985.2</v>
      </c>
      <c r="Y42" s="78">
        <v>3985.2</v>
      </c>
      <c r="Z42" s="78">
        <v>3985.2</v>
      </c>
      <c r="AA42" s="78">
        <v>3985.2</v>
      </c>
      <c r="AB42" s="78">
        <v>4374</v>
      </c>
      <c r="AC42" s="78">
        <v>3985.2</v>
      </c>
      <c r="AD42" s="78">
        <v>3985.2</v>
      </c>
      <c r="AE42" s="78">
        <v>4374</v>
      </c>
      <c r="AF42" s="78">
        <v>4374</v>
      </c>
      <c r="AG42" s="78">
        <v>4374</v>
      </c>
      <c r="AH42" s="78">
        <v>3985.2</v>
      </c>
      <c r="AI42" s="78">
        <v>4374</v>
      </c>
      <c r="AJ42" s="78">
        <v>3985.2</v>
      </c>
      <c r="AK42" s="78">
        <v>3985.2</v>
      </c>
      <c r="AL42" s="78">
        <v>3985.2</v>
      </c>
      <c r="AM42" s="78">
        <v>3985.2</v>
      </c>
      <c r="AN42" s="78">
        <v>4374</v>
      </c>
    </row>
    <row r="43" spans="1:40" x14ac:dyDescent="0.2">
      <c r="A43" t="str">
        <f t="shared" si="1"/>
        <v>(620) Nursing Home</v>
      </c>
      <c r="B43" s="63" t="s">
        <v>59</v>
      </c>
      <c r="C43" s="91"/>
      <c r="D43" s="65"/>
      <c r="E43" s="66" t="s">
        <v>60</v>
      </c>
      <c r="F43" s="67" t="s">
        <v>221</v>
      </c>
      <c r="G43" s="68" t="s">
        <v>58</v>
      </c>
      <c r="H43" s="69">
        <v>0.22</v>
      </c>
      <c r="I43" s="70"/>
      <c r="J43" s="71"/>
      <c r="K43" s="75">
        <v>0.22</v>
      </c>
      <c r="L43" s="75">
        <v>7.42</v>
      </c>
      <c r="M43" s="75">
        <v>6.76</v>
      </c>
      <c r="N43" s="75" t="s">
        <v>276</v>
      </c>
      <c r="O43" s="73">
        <v>7.55</v>
      </c>
      <c r="P43" s="70">
        <v>0.5</v>
      </c>
      <c r="Q43" s="74">
        <v>3.71</v>
      </c>
      <c r="R43" s="74">
        <v>3.38</v>
      </c>
      <c r="S43" s="75">
        <v>3.71</v>
      </c>
      <c r="T43" s="74">
        <v>3.38</v>
      </c>
      <c r="U43" s="106">
        <v>0.82</v>
      </c>
      <c r="V43" s="61"/>
      <c r="W43" s="78">
        <v>899.1</v>
      </c>
      <c r="X43" s="78">
        <v>899.1</v>
      </c>
      <c r="Y43" s="78">
        <v>899.1</v>
      </c>
      <c r="Z43" s="78">
        <v>899.1</v>
      </c>
      <c r="AA43" s="78">
        <v>899.1</v>
      </c>
      <c r="AB43" s="78">
        <v>996.3</v>
      </c>
      <c r="AC43" s="78">
        <v>899.1</v>
      </c>
      <c r="AD43" s="78">
        <v>899.1</v>
      </c>
      <c r="AE43" s="78">
        <v>996.3</v>
      </c>
      <c r="AF43" s="78">
        <v>996.3</v>
      </c>
      <c r="AG43" s="78">
        <v>996.3</v>
      </c>
      <c r="AH43" s="78">
        <v>899.1</v>
      </c>
      <c r="AI43" s="78">
        <v>996.3</v>
      </c>
      <c r="AJ43" s="78">
        <v>899.1</v>
      </c>
      <c r="AK43" s="78">
        <v>899.1</v>
      </c>
      <c r="AL43" s="78">
        <v>899.1</v>
      </c>
      <c r="AM43" s="78">
        <v>899.1</v>
      </c>
      <c r="AN43" s="78">
        <v>996.3</v>
      </c>
    </row>
    <row r="44" spans="1:40" ht="13.5" thickBot="1" x14ac:dyDescent="0.25">
      <c r="A44" t="str">
        <f t="shared" si="1"/>
        <v>(640) Animal Hospital/Veterinary Clinic</v>
      </c>
      <c r="B44" s="139" t="s">
        <v>168</v>
      </c>
      <c r="C44" s="33"/>
      <c r="D44" s="107"/>
      <c r="E44" s="108" t="s">
        <v>169</v>
      </c>
      <c r="F44" s="109" t="s">
        <v>221</v>
      </c>
      <c r="G44" s="37" t="s">
        <v>10</v>
      </c>
      <c r="H44" s="110">
        <v>3.53</v>
      </c>
      <c r="I44" s="111">
        <v>0.3</v>
      </c>
      <c r="J44" s="112" t="s">
        <v>117</v>
      </c>
      <c r="K44" s="113">
        <v>2.4700000000000002</v>
      </c>
      <c r="L44" s="113">
        <v>7.42</v>
      </c>
      <c r="M44" s="113">
        <v>6.76</v>
      </c>
      <c r="N44" s="113" t="s">
        <v>276</v>
      </c>
      <c r="O44" s="114">
        <v>7.55</v>
      </c>
      <c r="P44" s="111">
        <v>0.5</v>
      </c>
      <c r="Q44" s="115">
        <v>3.71</v>
      </c>
      <c r="R44" s="115">
        <v>3.38</v>
      </c>
      <c r="S44" s="113">
        <v>3.71</v>
      </c>
      <c r="T44" s="115">
        <v>3.38</v>
      </c>
      <c r="U44" s="116">
        <v>9.16</v>
      </c>
      <c r="V44" s="61"/>
      <c r="W44" s="104">
        <v>10145.25</v>
      </c>
      <c r="X44" s="104">
        <v>10145.25</v>
      </c>
      <c r="Y44" s="104">
        <v>10145.25</v>
      </c>
      <c r="Z44" s="104">
        <v>10145.25</v>
      </c>
      <c r="AA44" s="104">
        <v>10145.25</v>
      </c>
      <c r="AB44" s="104">
        <v>11129.4</v>
      </c>
      <c r="AC44" s="104">
        <v>10145.25</v>
      </c>
      <c r="AD44" s="104">
        <v>10145.25</v>
      </c>
      <c r="AE44" s="104">
        <v>11129.4</v>
      </c>
      <c r="AF44" s="104">
        <v>11129.4</v>
      </c>
      <c r="AG44" s="104">
        <v>11129.4</v>
      </c>
      <c r="AH44" s="104">
        <v>10145.25</v>
      </c>
      <c r="AI44" s="104">
        <v>11129.4</v>
      </c>
      <c r="AJ44" s="104">
        <v>10145.25</v>
      </c>
      <c r="AK44" s="104">
        <v>10145.25</v>
      </c>
      <c r="AL44" s="104">
        <v>10145.25</v>
      </c>
      <c r="AM44" s="104">
        <v>10145.25</v>
      </c>
      <c r="AN44" s="104">
        <v>11129.4</v>
      </c>
    </row>
    <row r="45" spans="1:40" x14ac:dyDescent="0.2">
      <c r="A45" t="str">
        <f t="shared" si="1"/>
        <v>OFFICE</v>
      </c>
      <c r="B45" s="117" t="s">
        <v>61</v>
      </c>
      <c r="C45" s="118"/>
      <c r="D45" s="119"/>
      <c r="E45" s="120"/>
      <c r="F45" s="121"/>
      <c r="G45" s="122"/>
      <c r="H45" s="123"/>
      <c r="I45" s="124"/>
      <c r="J45" s="125"/>
      <c r="K45" s="126"/>
      <c r="L45" s="126"/>
      <c r="M45" s="126"/>
      <c r="N45" s="126"/>
      <c r="O45" s="127"/>
      <c r="P45" s="124"/>
      <c r="Q45" s="128"/>
      <c r="R45" s="128"/>
      <c r="S45" s="126"/>
      <c r="T45" s="129"/>
      <c r="U45" s="130"/>
      <c r="V45" s="61"/>
      <c r="W45" s="105"/>
      <c r="X45" s="105"/>
      <c r="Y45" s="105"/>
      <c r="Z45" s="105"/>
      <c r="AA45" s="105"/>
      <c r="AB45" s="105"/>
      <c r="AC45" s="105"/>
      <c r="AD45" s="105"/>
      <c r="AE45" s="105"/>
      <c r="AF45" s="105"/>
      <c r="AG45" s="105"/>
      <c r="AH45" s="105"/>
      <c r="AI45" s="105"/>
      <c r="AJ45" s="105"/>
      <c r="AK45" s="105"/>
      <c r="AL45" s="105"/>
      <c r="AM45" s="105"/>
      <c r="AN45" s="105"/>
    </row>
    <row r="46" spans="1:40" x14ac:dyDescent="0.2">
      <c r="A46" t="str">
        <f t="shared" si="1"/>
        <v>(714) Corporate Headquarters Building</v>
      </c>
      <c r="B46" s="63" t="s">
        <v>62</v>
      </c>
      <c r="C46" s="64"/>
      <c r="D46" s="65"/>
      <c r="E46" s="66" t="s">
        <v>63</v>
      </c>
      <c r="F46" s="67" t="s">
        <v>139</v>
      </c>
      <c r="G46" s="68" t="s">
        <v>10</v>
      </c>
      <c r="H46" s="69">
        <v>0.6</v>
      </c>
      <c r="I46" s="70"/>
      <c r="J46" s="71"/>
      <c r="K46" s="75">
        <v>0.6</v>
      </c>
      <c r="L46" s="75">
        <v>7.42</v>
      </c>
      <c r="M46" s="75">
        <v>6.76</v>
      </c>
      <c r="N46" s="75" t="s">
        <v>276</v>
      </c>
      <c r="O46" s="73">
        <v>10.92</v>
      </c>
      <c r="P46" s="70">
        <v>0.5</v>
      </c>
      <c r="Q46" s="74">
        <v>3.71</v>
      </c>
      <c r="R46" s="74">
        <v>3.38</v>
      </c>
      <c r="S46" s="75">
        <v>3.71</v>
      </c>
      <c r="T46" s="76">
        <v>3.38</v>
      </c>
      <c r="U46" s="77">
        <v>2.23</v>
      </c>
      <c r="V46" s="61"/>
      <c r="W46" s="78">
        <v>2466.4499999999998</v>
      </c>
      <c r="X46" s="78">
        <v>2466.4499999999998</v>
      </c>
      <c r="Y46" s="78">
        <v>2466.4499999999998</v>
      </c>
      <c r="Z46" s="78">
        <v>2466.4499999999998</v>
      </c>
      <c r="AA46" s="78">
        <v>2466.4499999999998</v>
      </c>
      <c r="AB46" s="78">
        <v>2709.45</v>
      </c>
      <c r="AC46" s="78">
        <v>2466.4499999999998</v>
      </c>
      <c r="AD46" s="78">
        <v>2466.4499999999998</v>
      </c>
      <c r="AE46" s="78">
        <v>2709.45</v>
      </c>
      <c r="AF46" s="78">
        <v>2709.45</v>
      </c>
      <c r="AG46" s="78">
        <v>2709.45</v>
      </c>
      <c r="AH46" s="78">
        <v>2466.4499999999998</v>
      </c>
      <c r="AI46" s="78">
        <v>2709.45</v>
      </c>
      <c r="AJ46" s="78">
        <v>2466.4499999999998</v>
      </c>
      <c r="AK46" s="78">
        <v>2466.4499999999998</v>
      </c>
      <c r="AL46" s="78">
        <v>2466.4499999999998</v>
      </c>
      <c r="AM46" s="78">
        <v>2466.4499999999998</v>
      </c>
      <c r="AN46" s="78">
        <v>2709.45</v>
      </c>
    </row>
    <row r="47" spans="1:40" x14ac:dyDescent="0.2">
      <c r="A47" t="str">
        <f t="shared" si="1"/>
        <v>(710) General Office Building</v>
      </c>
      <c r="B47" s="63" t="s">
        <v>64</v>
      </c>
      <c r="C47" s="64"/>
      <c r="D47" s="65"/>
      <c r="E47" s="66" t="s">
        <v>65</v>
      </c>
      <c r="F47" s="67" t="s">
        <v>140</v>
      </c>
      <c r="G47" s="68" t="s">
        <v>10</v>
      </c>
      <c r="H47" s="69">
        <v>1.1499999999999999</v>
      </c>
      <c r="I47" s="70"/>
      <c r="J47" s="71"/>
      <c r="K47" s="75">
        <v>1.1499999999999999</v>
      </c>
      <c r="L47" s="75">
        <v>7.42</v>
      </c>
      <c r="M47" s="75">
        <v>6.76</v>
      </c>
      <c r="N47" s="75" t="s">
        <v>276</v>
      </c>
      <c r="O47" s="73">
        <v>10.92</v>
      </c>
      <c r="P47" s="70">
        <v>0.5</v>
      </c>
      <c r="Q47" s="74">
        <v>3.71</v>
      </c>
      <c r="R47" s="74">
        <v>3.38</v>
      </c>
      <c r="S47" s="75">
        <v>3.71</v>
      </c>
      <c r="T47" s="76">
        <v>3.38</v>
      </c>
      <c r="U47" s="77">
        <v>4.2699999999999996</v>
      </c>
      <c r="V47" s="61"/>
      <c r="W47" s="78">
        <v>4726.3500000000004</v>
      </c>
      <c r="X47" s="78">
        <v>4726.3500000000004</v>
      </c>
      <c r="Y47" s="78">
        <v>4726.3500000000004</v>
      </c>
      <c r="Z47" s="78">
        <v>4726.3500000000004</v>
      </c>
      <c r="AA47" s="78">
        <v>4726.3500000000004</v>
      </c>
      <c r="AB47" s="78">
        <v>5188.0499999999993</v>
      </c>
      <c r="AC47" s="78">
        <v>4726.3500000000004</v>
      </c>
      <c r="AD47" s="78">
        <v>4726.3500000000004</v>
      </c>
      <c r="AE47" s="78">
        <v>5188.0499999999993</v>
      </c>
      <c r="AF47" s="78">
        <v>5188.0499999999993</v>
      </c>
      <c r="AG47" s="78">
        <v>5188.0499999999993</v>
      </c>
      <c r="AH47" s="78">
        <v>4726.3500000000004</v>
      </c>
      <c r="AI47" s="78">
        <v>5188.0499999999993</v>
      </c>
      <c r="AJ47" s="78">
        <v>4726.3500000000004</v>
      </c>
      <c r="AK47" s="78">
        <v>4726.3500000000004</v>
      </c>
      <c r="AL47" s="78">
        <v>4726.3500000000004</v>
      </c>
      <c r="AM47" s="78">
        <v>4726.3500000000004</v>
      </c>
      <c r="AN47" s="78">
        <v>5188.0499999999993</v>
      </c>
    </row>
    <row r="48" spans="1:40" x14ac:dyDescent="0.2">
      <c r="A48" t="str">
        <f t="shared" si="1"/>
        <v>(720) Medical-Dental Office Building</v>
      </c>
      <c r="B48" s="63" t="s">
        <v>170</v>
      </c>
      <c r="C48" s="64"/>
      <c r="D48" s="65"/>
      <c r="E48" s="66" t="s">
        <v>66</v>
      </c>
      <c r="F48" s="67" t="s">
        <v>222</v>
      </c>
      <c r="G48" s="68" t="s">
        <v>10</v>
      </c>
      <c r="H48" s="69">
        <v>3.46</v>
      </c>
      <c r="I48" s="70"/>
      <c r="J48" s="71"/>
      <c r="K48" s="18">
        <v>3.46</v>
      </c>
      <c r="L48" s="18">
        <v>7.42</v>
      </c>
      <c r="M48" s="18">
        <v>6.76</v>
      </c>
      <c r="N48" s="18" t="s">
        <v>276</v>
      </c>
      <c r="O48" s="73">
        <v>10.92</v>
      </c>
      <c r="P48" s="70">
        <v>0.5</v>
      </c>
      <c r="Q48" s="74">
        <v>3.71</v>
      </c>
      <c r="R48" s="74">
        <v>3.38</v>
      </c>
      <c r="S48" s="75">
        <v>3.71</v>
      </c>
      <c r="T48" s="76">
        <v>3.38</v>
      </c>
      <c r="U48" s="77">
        <v>12.84</v>
      </c>
      <c r="V48" s="61"/>
      <c r="W48" s="78">
        <v>14203.349999999999</v>
      </c>
      <c r="X48" s="78">
        <v>14203.349999999999</v>
      </c>
      <c r="Y48" s="78">
        <v>14203.349999999999</v>
      </c>
      <c r="Z48" s="78">
        <v>14203.349999999999</v>
      </c>
      <c r="AA48" s="78">
        <v>14203.349999999999</v>
      </c>
      <c r="AB48" s="78">
        <v>15600.6</v>
      </c>
      <c r="AC48" s="78">
        <v>14203.349999999999</v>
      </c>
      <c r="AD48" s="78">
        <v>14203.349999999999</v>
      </c>
      <c r="AE48" s="78">
        <v>15600.6</v>
      </c>
      <c r="AF48" s="78">
        <v>15600.6</v>
      </c>
      <c r="AG48" s="78">
        <v>15600.6</v>
      </c>
      <c r="AH48" s="78">
        <v>14203.349999999999</v>
      </c>
      <c r="AI48" s="78">
        <v>15600.6</v>
      </c>
      <c r="AJ48" s="78">
        <v>14203.349999999999</v>
      </c>
      <c r="AK48" s="78">
        <v>14203.349999999999</v>
      </c>
      <c r="AL48" s="78">
        <v>14203.349999999999</v>
      </c>
      <c r="AM48" s="78">
        <v>14203.349999999999</v>
      </c>
      <c r="AN48" s="78">
        <v>15600.6</v>
      </c>
    </row>
    <row r="49" spans="1:40" x14ac:dyDescent="0.2">
      <c r="A49" t="str">
        <f t="shared" si="1"/>
        <v>(715) Single Tenant Office Building</v>
      </c>
      <c r="B49" s="63" t="s">
        <v>67</v>
      </c>
      <c r="C49" s="64"/>
      <c r="D49" s="65"/>
      <c r="E49" s="66" t="s">
        <v>68</v>
      </c>
      <c r="F49" s="67" t="s">
        <v>141</v>
      </c>
      <c r="G49" s="68" t="s">
        <v>10</v>
      </c>
      <c r="H49" s="69">
        <v>1.71</v>
      </c>
      <c r="I49" s="70"/>
      <c r="J49" s="71"/>
      <c r="K49" s="75">
        <v>1.71</v>
      </c>
      <c r="L49" s="75">
        <v>7.42</v>
      </c>
      <c r="M49" s="75">
        <v>6.76</v>
      </c>
      <c r="N49" s="75" t="s">
        <v>276</v>
      </c>
      <c r="O49" s="73">
        <v>10.92</v>
      </c>
      <c r="P49" s="70">
        <v>0.5</v>
      </c>
      <c r="Q49" s="74">
        <v>3.71</v>
      </c>
      <c r="R49" s="74">
        <v>3.38</v>
      </c>
      <c r="S49" s="75">
        <v>3.71</v>
      </c>
      <c r="T49" s="76">
        <v>3.38</v>
      </c>
      <c r="U49" s="77">
        <v>6.34</v>
      </c>
      <c r="V49" s="61"/>
      <c r="W49" s="78">
        <v>7022.7000000000007</v>
      </c>
      <c r="X49" s="78">
        <v>7022.7000000000007</v>
      </c>
      <c r="Y49" s="78">
        <v>7022.7000000000007</v>
      </c>
      <c r="Z49" s="78">
        <v>7022.7000000000007</v>
      </c>
      <c r="AA49" s="78">
        <v>7022.7000000000007</v>
      </c>
      <c r="AB49" s="78">
        <v>7703.0999999999995</v>
      </c>
      <c r="AC49" s="78">
        <v>7022.7000000000007</v>
      </c>
      <c r="AD49" s="78">
        <v>7022.7000000000007</v>
      </c>
      <c r="AE49" s="78">
        <v>7703.0999999999995</v>
      </c>
      <c r="AF49" s="78">
        <v>7703.0999999999995</v>
      </c>
      <c r="AG49" s="78">
        <v>7703.0999999999995</v>
      </c>
      <c r="AH49" s="78">
        <v>7022.7000000000007</v>
      </c>
      <c r="AI49" s="78">
        <v>7703.0999999999995</v>
      </c>
      <c r="AJ49" s="78">
        <v>7022.7000000000007</v>
      </c>
      <c r="AK49" s="78">
        <v>7022.7000000000007</v>
      </c>
      <c r="AL49" s="78">
        <v>7022.7000000000007</v>
      </c>
      <c r="AM49" s="78">
        <v>7022.7000000000007</v>
      </c>
      <c r="AN49" s="78">
        <v>7703.0999999999995</v>
      </c>
    </row>
    <row r="50" spans="1:40" ht="13.5" thickBot="1" x14ac:dyDescent="0.25">
      <c r="A50" t="str">
        <f t="shared" si="1"/>
        <v>(750) Office Park</v>
      </c>
      <c r="B50" s="32" t="s">
        <v>171</v>
      </c>
      <c r="C50" s="33"/>
      <c r="D50" s="34"/>
      <c r="E50" s="35" t="s">
        <v>69</v>
      </c>
      <c r="F50" s="36" t="s">
        <v>223</v>
      </c>
      <c r="G50" s="37" t="s">
        <v>10</v>
      </c>
      <c r="H50" s="38">
        <v>1.07</v>
      </c>
      <c r="I50" s="39"/>
      <c r="J50" s="40"/>
      <c r="K50" s="44">
        <v>1.07</v>
      </c>
      <c r="L50" s="44">
        <v>7.42</v>
      </c>
      <c r="M50" s="44">
        <v>6.76</v>
      </c>
      <c r="N50" s="44" t="s">
        <v>276</v>
      </c>
      <c r="O50" s="42">
        <v>10.92</v>
      </c>
      <c r="P50" s="39">
        <v>0.5</v>
      </c>
      <c r="Q50" s="43">
        <v>3.71</v>
      </c>
      <c r="R50" s="43">
        <v>3.38</v>
      </c>
      <c r="S50" s="44">
        <v>3.71</v>
      </c>
      <c r="T50" s="43">
        <v>3.38</v>
      </c>
      <c r="U50" s="45">
        <v>3.97</v>
      </c>
      <c r="V50" s="61"/>
      <c r="W50" s="80">
        <v>4398.3</v>
      </c>
      <c r="X50" s="80">
        <v>4398.3</v>
      </c>
      <c r="Y50" s="80">
        <v>4398.3</v>
      </c>
      <c r="Z50" s="80">
        <v>4398.3</v>
      </c>
      <c r="AA50" s="80">
        <v>4398.3</v>
      </c>
      <c r="AB50" s="80">
        <v>4823.55</v>
      </c>
      <c r="AC50" s="80">
        <v>4398.3</v>
      </c>
      <c r="AD50" s="80">
        <v>4398.3</v>
      </c>
      <c r="AE50" s="80">
        <v>4823.55</v>
      </c>
      <c r="AF50" s="80">
        <v>4823.55</v>
      </c>
      <c r="AG50" s="80">
        <v>4823.55</v>
      </c>
      <c r="AH50" s="80">
        <v>4398.3</v>
      </c>
      <c r="AI50" s="80">
        <v>4823.55</v>
      </c>
      <c r="AJ50" s="80">
        <v>4398.3</v>
      </c>
      <c r="AK50" s="80">
        <v>4398.3</v>
      </c>
      <c r="AL50" s="80">
        <v>4398.3</v>
      </c>
      <c r="AM50" s="80">
        <v>4398.3</v>
      </c>
      <c r="AN50" s="80">
        <v>4823.55</v>
      </c>
    </row>
    <row r="51" spans="1:40" x14ac:dyDescent="0.2">
      <c r="A51" t="str">
        <f t="shared" si="1"/>
        <v>COMMERCIAL</v>
      </c>
      <c r="B51" s="81" t="s">
        <v>70</v>
      </c>
      <c r="C51" s="82"/>
      <c r="D51" s="83"/>
      <c r="E51" s="84"/>
      <c r="F51" s="50"/>
      <c r="G51" s="51"/>
      <c r="H51" s="52"/>
      <c r="I51" s="53"/>
      <c r="J51" s="54"/>
      <c r="K51" s="55"/>
      <c r="L51" s="55"/>
      <c r="M51" s="55"/>
      <c r="N51" s="55"/>
      <c r="O51" s="56"/>
      <c r="P51" s="53"/>
      <c r="Q51" s="58"/>
      <c r="R51" s="58"/>
      <c r="S51" s="55"/>
      <c r="T51" s="85"/>
      <c r="U51" s="86"/>
      <c r="V51" s="61"/>
      <c r="W51" s="62"/>
      <c r="X51" s="62"/>
      <c r="Y51" s="62"/>
      <c r="Z51" s="62"/>
      <c r="AA51" s="62"/>
      <c r="AB51" s="62"/>
      <c r="AC51" s="62"/>
      <c r="AD51" s="62"/>
      <c r="AE51" s="62"/>
      <c r="AF51" s="62"/>
      <c r="AG51" s="62"/>
      <c r="AH51" s="62"/>
      <c r="AI51" s="62"/>
      <c r="AJ51" s="62"/>
      <c r="AK51" s="62"/>
      <c r="AL51" s="62"/>
      <c r="AM51" s="62"/>
      <c r="AN51" s="62"/>
    </row>
    <row r="52" spans="1:40" x14ac:dyDescent="0.2">
      <c r="A52" t="str">
        <f t="shared" si="1"/>
        <v>AUTOMOBILE RELATED</v>
      </c>
      <c r="B52" s="162" t="s">
        <v>104</v>
      </c>
      <c r="C52" s="131"/>
      <c r="D52" s="65"/>
      <c r="E52" s="66"/>
      <c r="F52" s="67"/>
      <c r="G52" s="68"/>
      <c r="H52" s="69"/>
      <c r="I52" s="70"/>
      <c r="J52" s="71"/>
      <c r="K52" s="75"/>
      <c r="L52" s="75"/>
      <c r="M52" s="75"/>
      <c r="N52" s="75"/>
      <c r="O52" s="73"/>
      <c r="P52" s="70"/>
      <c r="Q52" s="74"/>
      <c r="R52" s="74"/>
      <c r="S52" s="75"/>
      <c r="T52" s="76"/>
      <c r="U52" s="77"/>
      <c r="V52" s="61"/>
      <c r="W52" s="78"/>
      <c r="X52" s="78"/>
      <c r="Y52" s="78"/>
      <c r="Z52" s="78"/>
      <c r="AA52" s="78"/>
      <c r="AB52" s="78"/>
      <c r="AC52" s="78"/>
      <c r="AD52" s="78"/>
      <c r="AE52" s="78"/>
      <c r="AF52" s="78"/>
      <c r="AG52" s="78"/>
      <c r="AH52" s="78"/>
      <c r="AI52" s="78"/>
      <c r="AJ52" s="78"/>
      <c r="AK52" s="78"/>
      <c r="AL52" s="78"/>
      <c r="AM52" s="78"/>
      <c r="AN52" s="78"/>
    </row>
    <row r="53" spans="1:40" x14ac:dyDescent="0.2">
      <c r="A53" t="str">
        <f t="shared" si="1"/>
        <v>(942) Automobile Care Center</v>
      </c>
      <c r="B53" s="63" t="s">
        <v>71</v>
      </c>
      <c r="C53" s="64"/>
      <c r="D53" s="65"/>
      <c r="E53" s="66" t="s">
        <v>72</v>
      </c>
      <c r="F53" s="67" t="s">
        <v>142</v>
      </c>
      <c r="G53" s="68" t="s">
        <v>10</v>
      </c>
      <c r="H53" s="69">
        <v>3.11</v>
      </c>
      <c r="I53" s="70">
        <v>0.4</v>
      </c>
      <c r="J53" s="71" t="s">
        <v>117</v>
      </c>
      <c r="K53" s="75">
        <v>1.87</v>
      </c>
      <c r="L53" s="75">
        <v>5.41</v>
      </c>
      <c r="M53" s="75">
        <v>5.41</v>
      </c>
      <c r="N53" s="75" t="s">
        <v>275</v>
      </c>
      <c r="O53" s="75">
        <v>6.43</v>
      </c>
      <c r="P53" s="70">
        <v>0.5</v>
      </c>
      <c r="Q53" s="75">
        <v>2.7</v>
      </c>
      <c r="R53" s="75">
        <v>2.71</v>
      </c>
      <c r="S53" s="75">
        <v>2.7</v>
      </c>
      <c r="T53" s="74">
        <v>2.71</v>
      </c>
      <c r="U53" s="106">
        <v>5.05</v>
      </c>
      <c r="V53" s="61"/>
      <c r="W53" s="78">
        <v>6160.05</v>
      </c>
      <c r="X53" s="78">
        <v>6160.05</v>
      </c>
      <c r="Y53" s="78">
        <v>6160.05</v>
      </c>
      <c r="Z53" s="78">
        <v>6160.05</v>
      </c>
      <c r="AA53" s="78">
        <v>6160.05</v>
      </c>
      <c r="AB53" s="78">
        <v>6135.75</v>
      </c>
      <c r="AC53" s="78">
        <v>6160.05</v>
      </c>
      <c r="AD53" s="78">
        <v>6160.05</v>
      </c>
      <c r="AE53" s="78">
        <v>6135.75</v>
      </c>
      <c r="AF53" s="78">
        <v>6135.75</v>
      </c>
      <c r="AG53" s="78">
        <v>6135.75</v>
      </c>
      <c r="AH53" s="78">
        <v>6160.05</v>
      </c>
      <c r="AI53" s="78">
        <v>6135.75</v>
      </c>
      <c r="AJ53" s="78">
        <v>6160.05</v>
      </c>
      <c r="AK53" s="78">
        <v>6160.05</v>
      </c>
      <c r="AL53" s="78">
        <v>6160.05</v>
      </c>
      <c r="AM53" s="78">
        <v>6160.05</v>
      </c>
      <c r="AN53" s="78">
        <v>6135.75</v>
      </c>
    </row>
    <row r="54" spans="1:40" x14ac:dyDescent="0.2">
      <c r="A54" t="str">
        <f t="shared" si="1"/>
        <v>(843) Automobile Parts Sales</v>
      </c>
      <c r="B54" s="63" t="s">
        <v>73</v>
      </c>
      <c r="C54" s="64"/>
      <c r="D54" s="65"/>
      <c r="E54" s="66" t="s">
        <v>74</v>
      </c>
      <c r="F54" s="67" t="s">
        <v>143</v>
      </c>
      <c r="G54" s="68" t="s">
        <v>10</v>
      </c>
      <c r="H54" s="69">
        <v>4.91</v>
      </c>
      <c r="I54" s="70">
        <v>0.43</v>
      </c>
      <c r="J54" s="71" t="s">
        <v>116</v>
      </c>
      <c r="K54" s="75">
        <v>2.8</v>
      </c>
      <c r="L54" s="75">
        <v>5.41</v>
      </c>
      <c r="M54" s="75">
        <v>5.41</v>
      </c>
      <c r="N54" s="75" t="s">
        <v>275</v>
      </c>
      <c r="O54" s="75">
        <v>6.43</v>
      </c>
      <c r="P54" s="70">
        <v>0.5</v>
      </c>
      <c r="Q54" s="75">
        <v>2.7</v>
      </c>
      <c r="R54" s="75">
        <v>2.71</v>
      </c>
      <c r="S54" s="75">
        <v>2.7</v>
      </c>
      <c r="T54" s="74">
        <v>2.71</v>
      </c>
      <c r="U54" s="106">
        <v>7.56</v>
      </c>
      <c r="V54" s="61"/>
      <c r="W54" s="78">
        <v>9221.85</v>
      </c>
      <c r="X54" s="78">
        <v>9221.85</v>
      </c>
      <c r="Y54" s="78">
        <v>9221.85</v>
      </c>
      <c r="Z54" s="78">
        <v>9221.85</v>
      </c>
      <c r="AA54" s="78">
        <v>9221.85</v>
      </c>
      <c r="AB54" s="78">
        <v>9185.4</v>
      </c>
      <c r="AC54" s="78">
        <v>9221.85</v>
      </c>
      <c r="AD54" s="78">
        <v>9221.85</v>
      </c>
      <c r="AE54" s="78">
        <v>9185.4</v>
      </c>
      <c r="AF54" s="78">
        <v>9185.4</v>
      </c>
      <c r="AG54" s="78">
        <v>9185.4</v>
      </c>
      <c r="AH54" s="78">
        <v>9221.85</v>
      </c>
      <c r="AI54" s="78">
        <v>9185.4</v>
      </c>
      <c r="AJ54" s="78">
        <v>9221.85</v>
      </c>
      <c r="AK54" s="78">
        <v>9221.85</v>
      </c>
      <c r="AL54" s="78">
        <v>9221.85</v>
      </c>
      <c r="AM54" s="78">
        <v>9221.85</v>
      </c>
      <c r="AN54" s="78">
        <v>9185.4</v>
      </c>
    </row>
    <row r="55" spans="1:40" x14ac:dyDescent="0.2">
      <c r="A55" t="str">
        <f t="shared" si="1"/>
        <v>(944) Gasoline/Service Station</v>
      </c>
      <c r="B55" s="63" t="s">
        <v>75</v>
      </c>
      <c r="C55" s="64"/>
      <c r="D55" s="65"/>
      <c r="E55" s="66" t="s">
        <v>76</v>
      </c>
      <c r="F55" s="67" t="s">
        <v>144</v>
      </c>
      <c r="G55" s="68" t="s">
        <v>198</v>
      </c>
      <c r="H55" s="69">
        <v>14.03</v>
      </c>
      <c r="I55" s="70">
        <v>0.42</v>
      </c>
      <c r="J55" s="71" t="s">
        <v>116</v>
      </c>
      <c r="K55" s="18">
        <v>8.14</v>
      </c>
      <c r="L55" s="18">
        <v>1.2</v>
      </c>
      <c r="M55" s="18">
        <v>1.2</v>
      </c>
      <c r="N55" s="75" t="s">
        <v>275</v>
      </c>
      <c r="O55" s="75">
        <v>1.2</v>
      </c>
      <c r="P55" s="70">
        <v>0.5</v>
      </c>
      <c r="Q55" s="75">
        <v>0.6</v>
      </c>
      <c r="R55" s="75">
        <v>0.6</v>
      </c>
      <c r="S55" s="75">
        <v>0.6</v>
      </c>
      <c r="T55" s="74">
        <v>0.6</v>
      </c>
      <c r="U55" s="106">
        <v>4.88</v>
      </c>
      <c r="V55" s="61"/>
      <c r="W55" s="78">
        <v>5929.2</v>
      </c>
      <c r="X55" s="78">
        <v>5929.2</v>
      </c>
      <c r="Y55" s="78">
        <v>5929.2</v>
      </c>
      <c r="Z55" s="78">
        <v>5929.2</v>
      </c>
      <c r="AA55" s="78">
        <v>5929.2</v>
      </c>
      <c r="AB55" s="78">
        <v>5929.2</v>
      </c>
      <c r="AC55" s="78">
        <v>5929.2</v>
      </c>
      <c r="AD55" s="78">
        <v>5929.2</v>
      </c>
      <c r="AE55" s="78">
        <v>5929.2</v>
      </c>
      <c r="AF55" s="78">
        <v>5929.2</v>
      </c>
      <c r="AG55" s="78">
        <v>5929.2</v>
      </c>
      <c r="AH55" s="78">
        <v>5929.2</v>
      </c>
      <c r="AI55" s="78">
        <v>5929.2</v>
      </c>
      <c r="AJ55" s="78">
        <v>5929.2</v>
      </c>
      <c r="AK55" s="78">
        <v>5929.2</v>
      </c>
      <c r="AL55" s="78">
        <v>5929.2</v>
      </c>
      <c r="AM55" s="78">
        <v>5929.2</v>
      </c>
      <c r="AN55" s="78">
        <v>5929.2</v>
      </c>
    </row>
    <row r="56" spans="1:40" x14ac:dyDescent="0.2">
      <c r="A56" t="str">
        <f t="shared" si="1"/>
        <v>(945) Gasoline/Service Station w/ Conv Market</v>
      </c>
      <c r="B56" s="63" t="s">
        <v>282</v>
      </c>
      <c r="C56" s="64"/>
      <c r="D56" s="65"/>
      <c r="E56" s="66" t="s">
        <v>77</v>
      </c>
      <c r="F56" s="67" t="s">
        <v>224</v>
      </c>
      <c r="G56" s="68" t="s">
        <v>198</v>
      </c>
      <c r="H56" s="69">
        <v>13.99</v>
      </c>
      <c r="I56" s="70">
        <v>0.56000000000000005</v>
      </c>
      <c r="J56" s="71" t="s">
        <v>117</v>
      </c>
      <c r="K56" s="18">
        <v>6.16</v>
      </c>
      <c r="L56" s="18">
        <v>1.2</v>
      </c>
      <c r="M56" s="18">
        <v>1.2</v>
      </c>
      <c r="N56" s="75" t="s">
        <v>275</v>
      </c>
      <c r="O56" s="75">
        <v>1.2</v>
      </c>
      <c r="P56" s="70">
        <v>0.5</v>
      </c>
      <c r="Q56" s="75">
        <v>0.6</v>
      </c>
      <c r="R56" s="75">
        <v>0.6</v>
      </c>
      <c r="S56" s="75">
        <v>0.6</v>
      </c>
      <c r="T56" s="74">
        <v>0.6</v>
      </c>
      <c r="U56" s="106">
        <v>3.7</v>
      </c>
      <c r="V56" s="61"/>
      <c r="W56" s="78">
        <v>4495.5</v>
      </c>
      <c r="X56" s="78">
        <v>4495.5</v>
      </c>
      <c r="Y56" s="78">
        <v>4495.5</v>
      </c>
      <c r="Z56" s="78">
        <v>4495.5</v>
      </c>
      <c r="AA56" s="78">
        <v>4495.5</v>
      </c>
      <c r="AB56" s="78">
        <v>4495.5</v>
      </c>
      <c r="AC56" s="78">
        <v>4495.5</v>
      </c>
      <c r="AD56" s="78">
        <v>4495.5</v>
      </c>
      <c r="AE56" s="78">
        <v>4495.5</v>
      </c>
      <c r="AF56" s="78">
        <v>4495.5</v>
      </c>
      <c r="AG56" s="78">
        <v>4495.5</v>
      </c>
      <c r="AH56" s="78">
        <v>4495.5</v>
      </c>
      <c r="AI56" s="78">
        <v>4495.5</v>
      </c>
      <c r="AJ56" s="78">
        <v>4495.5</v>
      </c>
      <c r="AK56" s="78">
        <v>4495.5</v>
      </c>
      <c r="AL56" s="78">
        <v>4495.5</v>
      </c>
      <c r="AM56" s="78">
        <v>4495.5</v>
      </c>
      <c r="AN56" s="78">
        <v>4495.5</v>
      </c>
    </row>
    <row r="57" spans="1:40" x14ac:dyDescent="0.2">
      <c r="A57" t="str">
        <f t="shared" si="1"/>
        <v>(841) New Car Sales</v>
      </c>
      <c r="B57" s="63" t="s">
        <v>199</v>
      </c>
      <c r="C57" s="64"/>
      <c r="D57" s="65"/>
      <c r="E57" s="66" t="s">
        <v>78</v>
      </c>
      <c r="F57" s="67" t="s">
        <v>145</v>
      </c>
      <c r="G57" s="68" t="s">
        <v>10</v>
      </c>
      <c r="H57" s="69">
        <v>2.4300000000000002</v>
      </c>
      <c r="I57" s="70">
        <v>0.2</v>
      </c>
      <c r="J57" s="71" t="s">
        <v>117</v>
      </c>
      <c r="K57" s="18">
        <v>1.94</v>
      </c>
      <c r="L57" s="18">
        <v>5.41</v>
      </c>
      <c r="M57" s="18">
        <v>5.41</v>
      </c>
      <c r="N57" s="75" t="s">
        <v>275</v>
      </c>
      <c r="O57" s="75">
        <v>6.43</v>
      </c>
      <c r="P57" s="70">
        <v>0.5</v>
      </c>
      <c r="Q57" s="75">
        <v>2.7</v>
      </c>
      <c r="R57" s="75">
        <v>2.71</v>
      </c>
      <c r="S57" s="75">
        <v>2.7</v>
      </c>
      <c r="T57" s="74">
        <v>2.71</v>
      </c>
      <c r="U57" s="106">
        <v>5.24</v>
      </c>
      <c r="V57" s="61"/>
      <c r="W57" s="78">
        <v>6390.9</v>
      </c>
      <c r="X57" s="78">
        <v>6390.9</v>
      </c>
      <c r="Y57" s="78">
        <v>6390.9</v>
      </c>
      <c r="Z57" s="78">
        <v>6390.9</v>
      </c>
      <c r="AA57" s="78">
        <v>6390.9</v>
      </c>
      <c r="AB57" s="78">
        <v>6366.6</v>
      </c>
      <c r="AC57" s="78">
        <v>6390.9</v>
      </c>
      <c r="AD57" s="78">
        <v>6390.9</v>
      </c>
      <c r="AE57" s="78">
        <v>6366.6</v>
      </c>
      <c r="AF57" s="78">
        <v>6366.6</v>
      </c>
      <c r="AG57" s="78">
        <v>6366.6</v>
      </c>
      <c r="AH57" s="78">
        <v>6390.9</v>
      </c>
      <c r="AI57" s="78">
        <v>6366.6</v>
      </c>
      <c r="AJ57" s="78">
        <v>6390.9</v>
      </c>
      <c r="AK57" s="78">
        <v>6390.9</v>
      </c>
      <c r="AL57" s="78">
        <v>6390.9</v>
      </c>
      <c r="AM57" s="78">
        <v>6390.9</v>
      </c>
      <c r="AN57" s="78">
        <v>6366.6</v>
      </c>
    </row>
    <row r="58" spans="1:40" x14ac:dyDescent="0.2">
      <c r="A58" t="str">
        <f t="shared" si="1"/>
        <v>(941) Quick Lubrication Vehicle Shop</v>
      </c>
      <c r="B58" s="63" t="s">
        <v>173</v>
      </c>
      <c r="C58" s="64"/>
      <c r="D58" s="65"/>
      <c r="E58" s="66" t="s">
        <v>79</v>
      </c>
      <c r="F58" s="67" t="s">
        <v>146</v>
      </c>
      <c r="G58" s="68" t="s">
        <v>174</v>
      </c>
      <c r="H58" s="69">
        <v>4.8499999999999996</v>
      </c>
      <c r="I58" s="70">
        <v>0.4</v>
      </c>
      <c r="J58" s="71" t="s">
        <v>117</v>
      </c>
      <c r="K58" s="18">
        <v>2.91</v>
      </c>
      <c r="L58" s="18">
        <v>5.41</v>
      </c>
      <c r="M58" s="18">
        <v>5.41</v>
      </c>
      <c r="N58" s="75" t="s">
        <v>275</v>
      </c>
      <c r="O58" s="75">
        <v>6.43</v>
      </c>
      <c r="P58" s="70">
        <v>0.5</v>
      </c>
      <c r="Q58" s="75">
        <v>2.7</v>
      </c>
      <c r="R58" s="75">
        <v>2.71</v>
      </c>
      <c r="S58" s="75">
        <v>2.7</v>
      </c>
      <c r="T58" s="74">
        <v>2.71</v>
      </c>
      <c r="U58" s="106">
        <v>7.86</v>
      </c>
      <c r="V58" s="61"/>
      <c r="W58" s="78">
        <v>9586.35</v>
      </c>
      <c r="X58" s="78">
        <v>9586.35</v>
      </c>
      <c r="Y58" s="78">
        <v>9586.35</v>
      </c>
      <c r="Z58" s="78">
        <v>9586.35</v>
      </c>
      <c r="AA58" s="78">
        <v>9586.35</v>
      </c>
      <c r="AB58" s="78">
        <v>9549.9</v>
      </c>
      <c r="AC58" s="78">
        <v>9586.35</v>
      </c>
      <c r="AD58" s="78">
        <v>9586.35</v>
      </c>
      <c r="AE58" s="78">
        <v>9549.9</v>
      </c>
      <c r="AF58" s="78">
        <v>9549.9</v>
      </c>
      <c r="AG58" s="78">
        <v>9549.9</v>
      </c>
      <c r="AH58" s="78">
        <v>9586.35</v>
      </c>
      <c r="AI58" s="78">
        <v>9549.9</v>
      </c>
      <c r="AJ58" s="78">
        <v>9586.35</v>
      </c>
      <c r="AK58" s="78">
        <v>9586.35</v>
      </c>
      <c r="AL58" s="78">
        <v>9586.35</v>
      </c>
      <c r="AM58" s="78">
        <v>9586.35</v>
      </c>
      <c r="AN58" s="78">
        <v>9549.9</v>
      </c>
    </row>
    <row r="59" spans="1:40" x14ac:dyDescent="0.2">
      <c r="A59" t="str">
        <f t="shared" si="1"/>
        <v>(947) Self-Service Car Wash</v>
      </c>
      <c r="B59" s="63" t="s">
        <v>80</v>
      </c>
      <c r="C59" s="64"/>
      <c r="D59" s="65"/>
      <c r="E59" s="66" t="s">
        <v>81</v>
      </c>
      <c r="F59" s="67" t="s">
        <v>225</v>
      </c>
      <c r="G59" s="68" t="s">
        <v>82</v>
      </c>
      <c r="H59" s="69">
        <v>5.54</v>
      </c>
      <c r="I59" s="70">
        <v>0.4</v>
      </c>
      <c r="J59" s="71" t="s">
        <v>117</v>
      </c>
      <c r="K59" s="18">
        <v>3.32</v>
      </c>
      <c r="L59" s="18">
        <v>1.2</v>
      </c>
      <c r="M59" s="18">
        <v>1.2</v>
      </c>
      <c r="N59" s="75" t="s">
        <v>275</v>
      </c>
      <c r="O59" s="75">
        <v>1.2</v>
      </c>
      <c r="P59" s="70">
        <v>0.5</v>
      </c>
      <c r="Q59" s="75">
        <v>0.6</v>
      </c>
      <c r="R59" s="75">
        <v>0.6</v>
      </c>
      <c r="S59" s="75">
        <v>0.6</v>
      </c>
      <c r="T59" s="74">
        <v>0.6</v>
      </c>
      <c r="U59" s="106">
        <v>1.99</v>
      </c>
      <c r="V59" s="61"/>
      <c r="W59" s="78">
        <v>2417.85</v>
      </c>
      <c r="X59" s="78">
        <v>2417.85</v>
      </c>
      <c r="Y59" s="78">
        <v>2417.85</v>
      </c>
      <c r="Z59" s="78">
        <v>2417.85</v>
      </c>
      <c r="AA59" s="78">
        <v>2417.85</v>
      </c>
      <c r="AB59" s="78">
        <v>2417.85</v>
      </c>
      <c r="AC59" s="78">
        <v>2417.85</v>
      </c>
      <c r="AD59" s="78">
        <v>2417.85</v>
      </c>
      <c r="AE59" s="78">
        <v>2417.85</v>
      </c>
      <c r="AF59" s="78">
        <v>2417.85</v>
      </c>
      <c r="AG59" s="78">
        <v>2417.85</v>
      </c>
      <c r="AH59" s="78">
        <v>2417.85</v>
      </c>
      <c r="AI59" s="78">
        <v>2417.85</v>
      </c>
      <c r="AJ59" s="78">
        <v>2417.85</v>
      </c>
      <c r="AK59" s="78">
        <v>2417.85</v>
      </c>
      <c r="AL59" s="78">
        <v>2417.85</v>
      </c>
      <c r="AM59" s="78">
        <v>2417.85</v>
      </c>
      <c r="AN59" s="78">
        <v>2417.85</v>
      </c>
    </row>
    <row r="60" spans="1:40" ht="13.5" thickBot="1" x14ac:dyDescent="0.25">
      <c r="A60" t="str">
        <f t="shared" si="1"/>
        <v>(848) Tire Store</v>
      </c>
      <c r="B60" s="32" t="s">
        <v>83</v>
      </c>
      <c r="C60" s="33"/>
      <c r="D60" s="34"/>
      <c r="E60" s="35" t="s">
        <v>84</v>
      </c>
      <c r="F60" s="36" t="s">
        <v>226</v>
      </c>
      <c r="G60" s="37" t="s">
        <v>10</v>
      </c>
      <c r="H60" s="38">
        <v>3.98</v>
      </c>
      <c r="I60" s="39">
        <v>0.28000000000000003</v>
      </c>
      <c r="J60" s="40" t="s">
        <v>116</v>
      </c>
      <c r="K60" s="44">
        <v>2.87</v>
      </c>
      <c r="L60" s="44">
        <v>5.41</v>
      </c>
      <c r="M60" s="44">
        <v>5.41</v>
      </c>
      <c r="N60" s="44" t="s">
        <v>275</v>
      </c>
      <c r="O60" s="44">
        <v>6.43</v>
      </c>
      <c r="P60" s="39">
        <v>0.5</v>
      </c>
      <c r="Q60" s="44">
        <v>2.7</v>
      </c>
      <c r="R60" s="44">
        <v>2.71</v>
      </c>
      <c r="S60" s="44">
        <v>2.7</v>
      </c>
      <c r="T60" s="43">
        <v>2.71</v>
      </c>
      <c r="U60" s="45">
        <v>7.75</v>
      </c>
      <c r="V60" s="61"/>
      <c r="W60" s="104">
        <v>9452.7000000000007</v>
      </c>
      <c r="X60" s="104">
        <v>9452.7000000000007</v>
      </c>
      <c r="Y60" s="104">
        <v>9452.7000000000007</v>
      </c>
      <c r="Z60" s="104">
        <v>9452.7000000000007</v>
      </c>
      <c r="AA60" s="104">
        <v>9452.7000000000007</v>
      </c>
      <c r="AB60" s="104">
        <v>9416.25</v>
      </c>
      <c r="AC60" s="104">
        <v>9452.7000000000007</v>
      </c>
      <c r="AD60" s="104">
        <v>9452.7000000000007</v>
      </c>
      <c r="AE60" s="104">
        <v>9416.25</v>
      </c>
      <c r="AF60" s="104">
        <v>9416.25</v>
      </c>
      <c r="AG60" s="104">
        <v>9416.25</v>
      </c>
      <c r="AH60" s="104">
        <v>9452.7000000000007</v>
      </c>
      <c r="AI60" s="104">
        <v>9416.25</v>
      </c>
      <c r="AJ60" s="104">
        <v>9452.7000000000007</v>
      </c>
      <c r="AK60" s="104">
        <v>9452.7000000000007</v>
      </c>
      <c r="AL60" s="104">
        <v>9452.7000000000007</v>
      </c>
      <c r="AM60" s="104">
        <v>9452.7000000000007</v>
      </c>
      <c r="AN60" s="104">
        <v>9416.25</v>
      </c>
    </row>
    <row r="61" spans="1:40" x14ac:dyDescent="0.2">
      <c r="A61" t="str">
        <f t="shared" si="1"/>
        <v>DINING</v>
      </c>
      <c r="B61" s="132" t="s">
        <v>105</v>
      </c>
      <c r="C61" s="133"/>
      <c r="D61" s="119"/>
      <c r="E61" s="120"/>
      <c r="F61" s="134"/>
      <c r="G61" s="122"/>
      <c r="H61" s="123"/>
      <c r="I61" s="124"/>
      <c r="J61" s="125"/>
      <c r="K61" s="126"/>
      <c r="L61" s="126"/>
      <c r="M61" s="126"/>
      <c r="N61" s="126"/>
      <c r="O61" s="126"/>
      <c r="P61" s="124"/>
      <c r="Q61" s="126"/>
      <c r="R61" s="126"/>
      <c r="S61" s="126"/>
      <c r="T61" s="128"/>
      <c r="U61" s="135"/>
      <c r="V61" s="61"/>
      <c r="W61" s="105"/>
      <c r="X61" s="105"/>
      <c r="Y61" s="105"/>
      <c r="Z61" s="105"/>
      <c r="AA61" s="105"/>
      <c r="AB61" s="105"/>
      <c r="AC61" s="105"/>
      <c r="AD61" s="105"/>
      <c r="AE61" s="105"/>
      <c r="AF61" s="105"/>
      <c r="AG61" s="105"/>
      <c r="AH61" s="105"/>
      <c r="AI61" s="105"/>
      <c r="AJ61" s="105"/>
      <c r="AK61" s="105"/>
      <c r="AL61" s="105"/>
      <c r="AM61" s="105"/>
      <c r="AN61" s="105"/>
    </row>
    <row r="62" spans="1:40" x14ac:dyDescent="0.2">
      <c r="A62" t="str">
        <f t="shared" si="1"/>
        <v>(934) Fast Food Restaurant with Drive-Thru Window</v>
      </c>
      <c r="B62" s="63" t="s">
        <v>175</v>
      </c>
      <c r="C62" s="64"/>
      <c r="D62" s="65"/>
      <c r="E62" s="66" t="s">
        <v>85</v>
      </c>
      <c r="F62" s="67" t="s">
        <v>147</v>
      </c>
      <c r="G62" s="68" t="s">
        <v>10</v>
      </c>
      <c r="H62" s="69">
        <v>32.67</v>
      </c>
      <c r="I62" s="70">
        <v>0.5</v>
      </c>
      <c r="J62" s="71" t="s">
        <v>116</v>
      </c>
      <c r="K62" s="75">
        <v>16.34</v>
      </c>
      <c r="L62" s="75">
        <v>3.39</v>
      </c>
      <c r="M62" s="75">
        <v>3.39</v>
      </c>
      <c r="N62" s="75" t="s">
        <v>275</v>
      </c>
      <c r="O62" s="75">
        <v>4.79</v>
      </c>
      <c r="P62" s="70">
        <v>0.5</v>
      </c>
      <c r="Q62" s="75">
        <v>1.69</v>
      </c>
      <c r="R62" s="75">
        <v>1.7</v>
      </c>
      <c r="S62" s="75">
        <v>1.69</v>
      </c>
      <c r="T62" s="74">
        <v>1.7</v>
      </c>
      <c r="U62" s="106">
        <v>27.61</v>
      </c>
      <c r="V62" s="61"/>
      <c r="W62" s="78">
        <v>33752.700000000004</v>
      </c>
      <c r="X62" s="78">
        <v>33752.700000000004</v>
      </c>
      <c r="Y62" s="78">
        <v>33752.700000000004</v>
      </c>
      <c r="Z62" s="78">
        <v>33752.700000000004</v>
      </c>
      <c r="AA62" s="78">
        <v>33752.700000000004</v>
      </c>
      <c r="AB62" s="78">
        <v>33546.15</v>
      </c>
      <c r="AC62" s="78">
        <v>33752.700000000004</v>
      </c>
      <c r="AD62" s="78">
        <v>33752.700000000004</v>
      </c>
      <c r="AE62" s="78">
        <v>33546.15</v>
      </c>
      <c r="AF62" s="78">
        <v>33546.15</v>
      </c>
      <c r="AG62" s="78">
        <v>33546.15</v>
      </c>
      <c r="AH62" s="78">
        <v>33752.700000000004</v>
      </c>
      <c r="AI62" s="78">
        <v>33546.15</v>
      </c>
      <c r="AJ62" s="78">
        <v>33752.700000000004</v>
      </c>
      <c r="AK62" s="78">
        <v>33752.700000000004</v>
      </c>
      <c r="AL62" s="78">
        <v>33752.700000000004</v>
      </c>
      <c r="AM62" s="78">
        <v>33752.700000000004</v>
      </c>
      <c r="AN62" s="78">
        <v>33546.15</v>
      </c>
    </row>
    <row r="63" spans="1:40" x14ac:dyDescent="0.2">
      <c r="A63" t="str">
        <f t="shared" si="1"/>
        <v>(933) Fast Food Restaurant without Drive-Thru Window</v>
      </c>
      <c r="B63" s="63" t="s">
        <v>176</v>
      </c>
      <c r="C63" s="64"/>
      <c r="D63" s="65"/>
      <c r="E63" s="66" t="s">
        <v>86</v>
      </c>
      <c r="F63" s="67" t="s">
        <v>148</v>
      </c>
      <c r="G63" s="68" t="s">
        <v>10</v>
      </c>
      <c r="H63" s="69">
        <v>28.34</v>
      </c>
      <c r="I63" s="70">
        <v>0.5</v>
      </c>
      <c r="J63" s="71" t="s">
        <v>117</v>
      </c>
      <c r="K63" s="75">
        <v>14.17</v>
      </c>
      <c r="L63" s="75">
        <v>3.39</v>
      </c>
      <c r="M63" s="75">
        <v>3.39</v>
      </c>
      <c r="N63" s="75" t="s">
        <v>275</v>
      </c>
      <c r="O63" s="75">
        <v>4.79</v>
      </c>
      <c r="P63" s="70">
        <v>0.5</v>
      </c>
      <c r="Q63" s="75">
        <v>1.69</v>
      </c>
      <c r="R63" s="75">
        <v>1.7</v>
      </c>
      <c r="S63" s="75">
        <v>1.69</v>
      </c>
      <c r="T63" s="74">
        <v>1.7</v>
      </c>
      <c r="U63" s="106">
        <v>23.95</v>
      </c>
      <c r="V63" s="61"/>
      <c r="W63" s="78">
        <v>29269.35</v>
      </c>
      <c r="X63" s="78">
        <v>29269.35</v>
      </c>
      <c r="Y63" s="78">
        <v>29269.35</v>
      </c>
      <c r="Z63" s="78">
        <v>29269.35</v>
      </c>
      <c r="AA63" s="78">
        <v>29269.35</v>
      </c>
      <c r="AB63" s="78">
        <v>29099.25</v>
      </c>
      <c r="AC63" s="78">
        <v>29269.35</v>
      </c>
      <c r="AD63" s="78">
        <v>29269.35</v>
      </c>
      <c r="AE63" s="78">
        <v>29099.25</v>
      </c>
      <c r="AF63" s="78">
        <v>29099.25</v>
      </c>
      <c r="AG63" s="78">
        <v>29099.25</v>
      </c>
      <c r="AH63" s="78">
        <v>29269.35</v>
      </c>
      <c r="AI63" s="78">
        <v>29099.25</v>
      </c>
      <c r="AJ63" s="78">
        <v>29269.35</v>
      </c>
      <c r="AK63" s="78">
        <v>29269.35</v>
      </c>
      <c r="AL63" s="78">
        <v>29269.35</v>
      </c>
      <c r="AM63" s="78">
        <v>29269.35</v>
      </c>
      <c r="AN63" s="78">
        <v>29099.25</v>
      </c>
    </row>
    <row r="64" spans="1:40" x14ac:dyDescent="0.2">
      <c r="A64" t="str">
        <f t="shared" si="1"/>
        <v>(932) High Turnover (Sit-Down) Restaurant</v>
      </c>
      <c r="B64" s="63" t="s">
        <v>87</v>
      </c>
      <c r="C64" s="64"/>
      <c r="D64" s="65"/>
      <c r="E64" s="66" t="s">
        <v>88</v>
      </c>
      <c r="F64" s="67" t="s">
        <v>227</v>
      </c>
      <c r="G64" s="68" t="s">
        <v>10</v>
      </c>
      <c r="H64" s="69">
        <v>9.77</v>
      </c>
      <c r="I64" s="70">
        <v>0.43</v>
      </c>
      <c r="J64" s="71" t="s">
        <v>116</v>
      </c>
      <c r="K64" s="18">
        <v>5.57</v>
      </c>
      <c r="L64" s="18">
        <v>5.41</v>
      </c>
      <c r="M64" s="18">
        <v>5.41</v>
      </c>
      <c r="N64" s="18" t="s">
        <v>275</v>
      </c>
      <c r="O64" s="75">
        <v>4.79</v>
      </c>
      <c r="P64" s="70">
        <v>0.5</v>
      </c>
      <c r="Q64" s="75">
        <v>2.7</v>
      </c>
      <c r="R64" s="75">
        <v>2.71</v>
      </c>
      <c r="S64" s="75">
        <v>2.7</v>
      </c>
      <c r="T64" s="74">
        <v>2.71</v>
      </c>
      <c r="U64" s="106">
        <v>15.04</v>
      </c>
      <c r="V64" s="61"/>
      <c r="W64" s="78">
        <v>18334.349999999999</v>
      </c>
      <c r="X64" s="78">
        <v>18334.349999999999</v>
      </c>
      <c r="Y64" s="78">
        <v>18334.349999999999</v>
      </c>
      <c r="Z64" s="78">
        <v>18334.349999999999</v>
      </c>
      <c r="AA64" s="78">
        <v>18334.349999999999</v>
      </c>
      <c r="AB64" s="78">
        <v>18273.599999999999</v>
      </c>
      <c r="AC64" s="78">
        <v>18334.349999999999</v>
      </c>
      <c r="AD64" s="78">
        <v>18334.349999999999</v>
      </c>
      <c r="AE64" s="78">
        <v>18273.599999999999</v>
      </c>
      <c r="AF64" s="78">
        <v>18273.599999999999</v>
      </c>
      <c r="AG64" s="78">
        <v>18273.599999999999</v>
      </c>
      <c r="AH64" s="78">
        <v>18334.349999999999</v>
      </c>
      <c r="AI64" s="78">
        <v>18273.599999999999</v>
      </c>
      <c r="AJ64" s="78">
        <v>18334.349999999999</v>
      </c>
      <c r="AK64" s="78">
        <v>18334.349999999999</v>
      </c>
      <c r="AL64" s="78">
        <v>18334.349999999999</v>
      </c>
      <c r="AM64" s="78">
        <v>18334.349999999999</v>
      </c>
      <c r="AN64" s="78">
        <v>18273.599999999999</v>
      </c>
    </row>
    <row r="65" spans="1:40" x14ac:dyDescent="0.2">
      <c r="A65" t="str">
        <f t="shared" si="1"/>
        <v>(931) Quality Restaurant</v>
      </c>
      <c r="B65" s="63" t="s">
        <v>200</v>
      </c>
      <c r="C65" s="91"/>
      <c r="D65" s="65"/>
      <c r="E65" s="66" t="s">
        <v>89</v>
      </c>
      <c r="F65" s="67" t="s">
        <v>228</v>
      </c>
      <c r="G65" s="68" t="s">
        <v>10</v>
      </c>
      <c r="H65" s="69">
        <v>7.8</v>
      </c>
      <c r="I65" s="70">
        <v>0.44</v>
      </c>
      <c r="J65" s="71" t="s">
        <v>116</v>
      </c>
      <c r="K65" s="18">
        <v>4.37</v>
      </c>
      <c r="L65" s="18">
        <v>5.41</v>
      </c>
      <c r="M65" s="18">
        <v>5.41</v>
      </c>
      <c r="N65" s="18" t="s">
        <v>275</v>
      </c>
      <c r="O65" s="75">
        <v>4.79</v>
      </c>
      <c r="P65" s="70">
        <v>0.5</v>
      </c>
      <c r="Q65" s="75">
        <v>2.7</v>
      </c>
      <c r="R65" s="75">
        <v>2.71</v>
      </c>
      <c r="S65" s="75">
        <v>2.7</v>
      </c>
      <c r="T65" s="74">
        <v>2.71</v>
      </c>
      <c r="U65" s="106">
        <v>11.8</v>
      </c>
      <c r="V65" s="61"/>
      <c r="W65" s="78">
        <v>14385.6</v>
      </c>
      <c r="X65" s="78">
        <v>14385.6</v>
      </c>
      <c r="Y65" s="78">
        <v>14385.6</v>
      </c>
      <c r="Z65" s="78">
        <v>14385.6</v>
      </c>
      <c r="AA65" s="78">
        <v>14385.6</v>
      </c>
      <c r="AB65" s="78">
        <v>14337</v>
      </c>
      <c r="AC65" s="78">
        <v>14385.6</v>
      </c>
      <c r="AD65" s="78">
        <v>14385.6</v>
      </c>
      <c r="AE65" s="78">
        <v>14337</v>
      </c>
      <c r="AF65" s="78">
        <v>14337</v>
      </c>
      <c r="AG65" s="78">
        <v>14337</v>
      </c>
      <c r="AH65" s="78">
        <v>14385.6</v>
      </c>
      <c r="AI65" s="78">
        <v>14337</v>
      </c>
      <c r="AJ65" s="78">
        <v>14385.6</v>
      </c>
      <c r="AK65" s="78">
        <v>14385.6</v>
      </c>
      <c r="AL65" s="78">
        <v>14385.6</v>
      </c>
      <c r="AM65" s="78">
        <v>14385.6</v>
      </c>
      <c r="AN65" s="78">
        <v>14337</v>
      </c>
    </row>
    <row r="66" spans="1:40" ht="13.5" thickBot="1" x14ac:dyDescent="0.25">
      <c r="A66" t="str">
        <f t="shared" si="1"/>
        <v>(937) Coffee/Donut Shop with Drive-Thru Window</v>
      </c>
      <c r="B66" s="139" t="s">
        <v>177</v>
      </c>
      <c r="C66" s="33"/>
      <c r="D66" s="107"/>
      <c r="E66" s="108" t="s">
        <v>178</v>
      </c>
      <c r="F66" s="36" t="s">
        <v>229</v>
      </c>
      <c r="G66" s="136" t="s">
        <v>10</v>
      </c>
      <c r="H66" s="110">
        <v>43.38</v>
      </c>
      <c r="I66" s="111">
        <v>0.7</v>
      </c>
      <c r="J66" s="112" t="s">
        <v>116</v>
      </c>
      <c r="K66" s="23">
        <v>13.01</v>
      </c>
      <c r="L66" s="23">
        <v>1.2</v>
      </c>
      <c r="M66" s="23">
        <v>1.2</v>
      </c>
      <c r="N66" s="23" t="s">
        <v>275</v>
      </c>
      <c r="O66" s="113">
        <v>4.79</v>
      </c>
      <c r="P66" s="111">
        <v>0.5</v>
      </c>
      <c r="Q66" s="113">
        <v>0.6</v>
      </c>
      <c r="R66" s="113">
        <v>0.6</v>
      </c>
      <c r="S66" s="113">
        <v>0.6</v>
      </c>
      <c r="T66" s="115">
        <v>0.6</v>
      </c>
      <c r="U66" s="116">
        <v>7.81</v>
      </c>
      <c r="V66" s="61"/>
      <c r="W66" s="80">
        <v>9489.15</v>
      </c>
      <c r="X66" s="80">
        <v>9489.15</v>
      </c>
      <c r="Y66" s="80">
        <v>9489.15</v>
      </c>
      <c r="Z66" s="80">
        <v>9489.15</v>
      </c>
      <c r="AA66" s="80">
        <v>9489.15</v>
      </c>
      <c r="AB66" s="80">
        <v>9489.15</v>
      </c>
      <c r="AC66" s="80">
        <v>9489.15</v>
      </c>
      <c r="AD66" s="80">
        <v>9489.15</v>
      </c>
      <c r="AE66" s="80">
        <v>9489.15</v>
      </c>
      <c r="AF66" s="80">
        <v>9489.15</v>
      </c>
      <c r="AG66" s="80">
        <v>9489.15</v>
      </c>
      <c r="AH66" s="80">
        <v>9489.15</v>
      </c>
      <c r="AI66" s="80">
        <v>9489.15</v>
      </c>
      <c r="AJ66" s="80">
        <v>9489.15</v>
      </c>
      <c r="AK66" s="80">
        <v>9489.15</v>
      </c>
      <c r="AL66" s="80">
        <v>9489.15</v>
      </c>
      <c r="AM66" s="80">
        <v>9489.15</v>
      </c>
      <c r="AN66" s="80">
        <v>9489.15</v>
      </c>
    </row>
    <row r="67" spans="1:40" x14ac:dyDescent="0.2">
      <c r="A67" t="str">
        <f t="shared" si="1"/>
        <v>OTHER RETAIL</v>
      </c>
      <c r="B67" s="132" t="s">
        <v>106</v>
      </c>
      <c r="C67" s="133"/>
      <c r="D67" s="119"/>
      <c r="E67" s="120"/>
      <c r="F67" s="137"/>
      <c r="G67" s="122"/>
      <c r="H67" s="123"/>
      <c r="I67" s="124"/>
      <c r="J67" s="125"/>
      <c r="K67" s="126"/>
      <c r="L67" s="126"/>
      <c r="M67" s="126"/>
      <c r="N67" s="126"/>
      <c r="O67" s="126"/>
      <c r="P67" s="124"/>
      <c r="Q67" s="126"/>
      <c r="R67" s="126"/>
      <c r="S67" s="126"/>
      <c r="T67" s="128"/>
      <c r="U67" s="135"/>
      <c r="V67" s="61"/>
      <c r="W67" s="62"/>
      <c r="X67" s="62"/>
      <c r="Y67" s="62"/>
      <c r="Z67" s="62"/>
      <c r="AA67" s="62"/>
      <c r="AB67" s="62"/>
      <c r="AC67" s="62"/>
      <c r="AD67" s="62"/>
      <c r="AE67" s="62"/>
      <c r="AF67" s="62"/>
      <c r="AG67" s="62"/>
      <c r="AH67" s="62"/>
      <c r="AI67" s="62"/>
      <c r="AJ67" s="62"/>
      <c r="AK67" s="62"/>
      <c r="AL67" s="62"/>
      <c r="AM67" s="62"/>
      <c r="AN67" s="62"/>
    </row>
    <row r="68" spans="1:40" x14ac:dyDescent="0.2">
      <c r="A68" t="str">
        <f t="shared" ref="A68:A80" si="2">IF(ISBLANK(E68),B68,CONCATENATE("(",E68,") ",B68))</f>
        <v>(815) Free-Standing Discount Store</v>
      </c>
      <c r="B68" s="63" t="s">
        <v>179</v>
      </c>
      <c r="C68" s="64"/>
      <c r="D68" s="65"/>
      <c r="E68" s="66" t="s">
        <v>90</v>
      </c>
      <c r="F68" s="67" t="s">
        <v>230</v>
      </c>
      <c r="G68" s="68" t="s">
        <v>10</v>
      </c>
      <c r="H68" s="69">
        <v>4.83</v>
      </c>
      <c r="I68" s="70">
        <v>0.3</v>
      </c>
      <c r="J68" s="71" t="s">
        <v>118</v>
      </c>
      <c r="K68" s="75">
        <v>3.38</v>
      </c>
      <c r="L68" s="75">
        <v>5.82</v>
      </c>
      <c r="M68" s="75">
        <v>6.35</v>
      </c>
      <c r="N68" s="75" t="s">
        <v>276</v>
      </c>
      <c r="O68" s="75">
        <v>6.43</v>
      </c>
      <c r="P68" s="70">
        <v>0.5</v>
      </c>
      <c r="Q68" s="75">
        <v>2.91</v>
      </c>
      <c r="R68" s="75">
        <v>3.18</v>
      </c>
      <c r="S68" s="75">
        <v>2.91</v>
      </c>
      <c r="T68" s="74">
        <v>3.18</v>
      </c>
      <c r="U68" s="106">
        <v>9.84</v>
      </c>
      <c r="V68" s="61"/>
      <c r="W68" s="78">
        <v>13061.25</v>
      </c>
      <c r="X68" s="78">
        <v>13061.25</v>
      </c>
      <c r="Y68" s="78">
        <v>13061.25</v>
      </c>
      <c r="Z68" s="78">
        <v>13061.25</v>
      </c>
      <c r="AA68" s="78">
        <v>13061.25</v>
      </c>
      <c r="AB68" s="78">
        <v>11955.6</v>
      </c>
      <c r="AC68" s="78">
        <v>13061.25</v>
      </c>
      <c r="AD68" s="78">
        <v>13061.25</v>
      </c>
      <c r="AE68" s="78">
        <v>11955.6</v>
      </c>
      <c r="AF68" s="78">
        <v>11955.6</v>
      </c>
      <c r="AG68" s="78">
        <v>11955.6</v>
      </c>
      <c r="AH68" s="78">
        <v>13061.25</v>
      </c>
      <c r="AI68" s="78">
        <v>11955.6</v>
      </c>
      <c r="AJ68" s="78">
        <v>13061.25</v>
      </c>
      <c r="AK68" s="78">
        <v>13061.25</v>
      </c>
      <c r="AL68" s="78">
        <v>13061.25</v>
      </c>
      <c r="AM68" s="78">
        <v>13061.25</v>
      </c>
      <c r="AN68" s="78">
        <v>11955.6</v>
      </c>
    </row>
    <row r="69" spans="1:40" x14ac:dyDescent="0.2">
      <c r="A69" t="str">
        <f t="shared" si="2"/>
        <v>(817) Nursery (Garden Center)</v>
      </c>
      <c r="B69" s="63" t="s">
        <v>180</v>
      </c>
      <c r="C69" s="64"/>
      <c r="D69" s="65"/>
      <c r="E69" s="66" t="s">
        <v>91</v>
      </c>
      <c r="F69" s="67" t="s">
        <v>149</v>
      </c>
      <c r="G69" s="68" t="s">
        <v>10</v>
      </c>
      <c r="H69" s="69">
        <v>6.94</v>
      </c>
      <c r="I69" s="70">
        <v>0.3</v>
      </c>
      <c r="J69" s="71" t="s">
        <v>117</v>
      </c>
      <c r="K69" s="75">
        <v>4.8600000000000003</v>
      </c>
      <c r="L69" s="75">
        <v>5.82</v>
      </c>
      <c r="M69" s="75">
        <v>6.35</v>
      </c>
      <c r="N69" s="75" t="s">
        <v>276</v>
      </c>
      <c r="O69" s="75">
        <v>6.43</v>
      </c>
      <c r="P69" s="70">
        <v>0.5</v>
      </c>
      <c r="Q69" s="75">
        <v>2.91</v>
      </c>
      <c r="R69" s="75">
        <v>3.18</v>
      </c>
      <c r="S69" s="75">
        <v>2.91</v>
      </c>
      <c r="T69" s="74">
        <v>3.18</v>
      </c>
      <c r="U69" s="106">
        <v>14.14</v>
      </c>
      <c r="V69" s="61"/>
      <c r="W69" s="78">
        <v>18771.75</v>
      </c>
      <c r="X69" s="78">
        <v>18771.75</v>
      </c>
      <c r="Y69" s="78">
        <v>18771.75</v>
      </c>
      <c r="Z69" s="78">
        <v>18771.75</v>
      </c>
      <c r="AA69" s="78">
        <v>18771.75</v>
      </c>
      <c r="AB69" s="78">
        <v>17180.100000000002</v>
      </c>
      <c r="AC69" s="78">
        <v>18771.75</v>
      </c>
      <c r="AD69" s="78">
        <v>18771.75</v>
      </c>
      <c r="AE69" s="78">
        <v>17180.100000000002</v>
      </c>
      <c r="AF69" s="78">
        <v>17180.100000000002</v>
      </c>
      <c r="AG69" s="78">
        <v>17180.100000000002</v>
      </c>
      <c r="AH69" s="78">
        <v>18771.75</v>
      </c>
      <c r="AI69" s="78">
        <v>17180.100000000002</v>
      </c>
      <c r="AJ69" s="78">
        <v>18771.75</v>
      </c>
      <c r="AK69" s="78">
        <v>18771.75</v>
      </c>
      <c r="AL69" s="78">
        <v>18771.75</v>
      </c>
      <c r="AM69" s="78">
        <v>18771.75</v>
      </c>
      <c r="AN69" s="78">
        <v>17180.100000000002</v>
      </c>
    </row>
    <row r="70" spans="1:40" x14ac:dyDescent="0.2">
      <c r="A70" t="str">
        <f t="shared" si="2"/>
        <v>(862) Home Improvement Superstore</v>
      </c>
      <c r="B70" s="63" t="s">
        <v>92</v>
      </c>
      <c r="C70" s="64"/>
      <c r="D70" s="65"/>
      <c r="E70" s="66" t="s">
        <v>93</v>
      </c>
      <c r="F70" s="67" t="s">
        <v>231</v>
      </c>
      <c r="G70" s="68" t="s">
        <v>10</v>
      </c>
      <c r="H70" s="69">
        <v>2.33</v>
      </c>
      <c r="I70" s="70">
        <v>0.48</v>
      </c>
      <c r="J70" s="71" t="s">
        <v>116</v>
      </c>
      <c r="K70" s="75">
        <v>1.21</v>
      </c>
      <c r="L70" s="75">
        <v>5.82</v>
      </c>
      <c r="M70" s="75">
        <v>6.35</v>
      </c>
      <c r="N70" s="75" t="s">
        <v>276</v>
      </c>
      <c r="O70" s="75">
        <v>6.43</v>
      </c>
      <c r="P70" s="70">
        <v>0.5</v>
      </c>
      <c r="Q70" s="75">
        <v>2.91</v>
      </c>
      <c r="R70" s="75">
        <v>3.18</v>
      </c>
      <c r="S70" s="75">
        <v>2.91</v>
      </c>
      <c r="T70" s="74">
        <v>3.18</v>
      </c>
      <c r="U70" s="106">
        <v>3.52</v>
      </c>
      <c r="V70" s="61"/>
      <c r="W70" s="78">
        <v>4677.75</v>
      </c>
      <c r="X70" s="78">
        <v>4677.75</v>
      </c>
      <c r="Y70" s="78">
        <v>4677.75</v>
      </c>
      <c r="Z70" s="78">
        <v>4677.75</v>
      </c>
      <c r="AA70" s="78">
        <v>4677.75</v>
      </c>
      <c r="AB70" s="78">
        <v>4276.8</v>
      </c>
      <c r="AC70" s="78">
        <v>4677.75</v>
      </c>
      <c r="AD70" s="78">
        <v>4677.75</v>
      </c>
      <c r="AE70" s="78">
        <v>4276.8</v>
      </c>
      <c r="AF70" s="78">
        <v>4276.8</v>
      </c>
      <c r="AG70" s="78">
        <v>4276.8</v>
      </c>
      <c r="AH70" s="78">
        <v>4677.75</v>
      </c>
      <c r="AI70" s="78">
        <v>4276.8</v>
      </c>
      <c r="AJ70" s="78">
        <v>4677.75</v>
      </c>
      <c r="AK70" s="78">
        <v>4677.75</v>
      </c>
      <c r="AL70" s="78">
        <v>4677.75</v>
      </c>
      <c r="AM70" s="78">
        <v>4677.75</v>
      </c>
      <c r="AN70" s="78">
        <v>4276.8</v>
      </c>
    </row>
    <row r="71" spans="1:40" x14ac:dyDescent="0.2">
      <c r="A71" t="str">
        <f t="shared" si="2"/>
        <v>(880) Pharmacy/Drugstore w/o Drive-Thru Window</v>
      </c>
      <c r="B71" s="63" t="s">
        <v>181</v>
      </c>
      <c r="C71" s="64"/>
      <c r="D71" s="65"/>
      <c r="E71" s="66" t="s">
        <v>182</v>
      </c>
      <c r="F71" s="67" t="s">
        <v>232</v>
      </c>
      <c r="G71" s="68" t="s">
        <v>10</v>
      </c>
      <c r="H71" s="69">
        <v>8.51</v>
      </c>
      <c r="I71" s="70">
        <v>0.53</v>
      </c>
      <c r="J71" s="71" t="s">
        <v>116</v>
      </c>
      <c r="K71" s="75">
        <v>4</v>
      </c>
      <c r="L71" s="75">
        <v>5.82</v>
      </c>
      <c r="M71" s="75">
        <v>6.35</v>
      </c>
      <c r="N71" s="75" t="s">
        <v>276</v>
      </c>
      <c r="O71" s="75">
        <v>6.43</v>
      </c>
      <c r="P71" s="70">
        <v>0.5</v>
      </c>
      <c r="Q71" s="75">
        <v>2.91</v>
      </c>
      <c r="R71" s="75">
        <v>3.18</v>
      </c>
      <c r="S71" s="75">
        <v>2.91</v>
      </c>
      <c r="T71" s="74">
        <v>3.18</v>
      </c>
      <c r="U71" s="106">
        <v>11.64</v>
      </c>
      <c r="V71" s="61"/>
      <c r="W71" s="78">
        <v>15454.800000000001</v>
      </c>
      <c r="X71" s="78">
        <v>15454.800000000001</v>
      </c>
      <c r="Y71" s="78">
        <v>15454.800000000001</v>
      </c>
      <c r="Z71" s="78">
        <v>15454.800000000001</v>
      </c>
      <c r="AA71" s="78">
        <v>15454.800000000001</v>
      </c>
      <c r="AB71" s="78">
        <v>14142.6</v>
      </c>
      <c r="AC71" s="78">
        <v>15454.800000000001</v>
      </c>
      <c r="AD71" s="78">
        <v>15454.800000000001</v>
      </c>
      <c r="AE71" s="78">
        <v>14142.6</v>
      </c>
      <c r="AF71" s="78">
        <v>14142.6</v>
      </c>
      <c r="AG71" s="78">
        <v>14142.6</v>
      </c>
      <c r="AH71" s="78">
        <v>15454.800000000001</v>
      </c>
      <c r="AI71" s="78">
        <v>14142.6</v>
      </c>
      <c r="AJ71" s="78">
        <v>15454.800000000001</v>
      </c>
      <c r="AK71" s="78">
        <v>15454.800000000001</v>
      </c>
      <c r="AL71" s="78">
        <v>15454.800000000001</v>
      </c>
      <c r="AM71" s="78">
        <v>15454.800000000001</v>
      </c>
      <c r="AN71" s="78">
        <v>14142.6</v>
      </c>
    </row>
    <row r="72" spans="1:40" x14ac:dyDescent="0.2">
      <c r="A72" t="str">
        <f t="shared" si="2"/>
        <v>(881) Pharmacy/Drugstore w/ Drive-Thru Window</v>
      </c>
      <c r="B72" s="63" t="s">
        <v>183</v>
      </c>
      <c r="C72" s="64"/>
      <c r="D72" s="65"/>
      <c r="E72" s="66" t="s">
        <v>94</v>
      </c>
      <c r="F72" s="67" t="s">
        <v>233</v>
      </c>
      <c r="G72" s="68" t="s">
        <v>10</v>
      </c>
      <c r="H72" s="69">
        <v>10.29</v>
      </c>
      <c r="I72" s="70">
        <v>0.49</v>
      </c>
      <c r="J72" s="71" t="s">
        <v>116</v>
      </c>
      <c r="K72" s="75">
        <v>5.25</v>
      </c>
      <c r="L72" s="75">
        <v>5.82</v>
      </c>
      <c r="M72" s="75">
        <v>6.35</v>
      </c>
      <c r="N72" s="75" t="s">
        <v>276</v>
      </c>
      <c r="O72" s="75">
        <v>6.43</v>
      </c>
      <c r="P72" s="70">
        <v>0.5</v>
      </c>
      <c r="Q72" s="75">
        <v>2.91</v>
      </c>
      <c r="R72" s="75">
        <v>3.18</v>
      </c>
      <c r="S72" s="75">
        <v>2.91</v>
      </c>
      <c r="T72" s="74">
        <v>3.18</v>
      </c>
      <c r="U72" s="106">
        <v>15.28</v>
      </c>
      <c r="V72" s="61"/>
      <c r="W72" s="78">
        <v>20290.5</v>
      </c>
      <c r="X72" s="78">
        <v>20290.5</v>
      </c>
      <c r="Y72" s="78">
        <v>20290.5</v>
      </c>
      <c r="Z72" s="78">
        <v>20290.5</v>
      </c>
      <c r="AA72" s="78">
        <v>20290.5</v>
      </c>
      <c r="AB72" s="78">
        <v>18565.2</v>
      </c>
      <c r="AC72" s="78">
        <v>20290.5</v>
      </c>
      <c r="AD72" s="78">
        <v>20290.5</v>
      </c>
      <c r="AE72" s="78">
        <v>18565.2</v>
      </c>
      <c r="AF72" s="78">
        <v>18565.2</v>
      </c>
      <c r="AG72" s="78">
        <v>18565.2</v>
      </c>
      <c r="AH72" s="78">
        <v>20290.5</v>
      </c>
      <c r="AI72" s="78">
        <v>18565.2</v>
      </c>
      <c r="AJ72" s="78">
        <v>20290.5</v>
      </c>
      <c r="AK72" s="78">
        <v>20290.5</v>
      </c>
      <c r="AL72" s="78">
        <v>20290.5</v>
      </c>
      <c r="AM72" s="78">
        <v>20290.5</v>
      </c>
      <c r="AN72" s="78">
        <v>18565.2</v>
      </c>
    </row>
    <row r="73" spans="1:40" x14ac:dyDescent="0.2">
      <c r="A73" t="str">
        <f t="shared" si="2"/>
        <v>(820) Shopping Center</v>
      </c>
      <c r="B73" s="63" t="s">
        <v>95</v>
      </c>
      <c r="C73" s="64"/>
      <c r="D73" s="65"/>
      <c r="E73" s="66" t="s">
        <v>96</v>
      </c>
      <c r="F73" s="67" t="s">
        <v>234</v>
      </c>
      <c r="G73" s="68" t="s">
        <v>172</v>
      </c>
      <c r="H73" s="69">
        <v>3.81</v>
      </c>
      <c r="I73" s="70">
        <v>0.34</v>
      </c>
      <c r="J73" s="71" t="s">
        <v>116</v>
      </c>
      <c r="K73" s="75">
        <v>2.5099999999999998</v>
      </c>
      <c r="L73" s="75">
        <v>5.82</v>
      </c>
      <c r="M73" s="75">
        <v>6.35</v>
      </c>
      <c r="N73" s="75" t="s">
        <v>276</v>
      </c>
      <c r="O73" s="75">
        <v>6.43</v>
      </c>
      <c r="P73" s="70">
        <v>0.5</v>
      </c>
      <c r="Q73" s="75">
        <v>2.91</v>
      </c>
      <c r="R73" s="75">
        <v>3.18</v>
      </c>
      <c r="S73" s="75">
        <v>2.91</v>
      </c>
      <c r="T73" s="74">
        <v>3.18</v>
      </c>
      <c r="U73" s="106">
        <v>7.3</v>
      </c>
      <c r="V73" s="61"/>
      <c r="W73" s="78">
        <v>9695.7000000000007</v>
      </c>
      <c r="X73" s="78">
        <v>9695.7000000000007</v>
      </c>
      <c r="Y73" s="78">
        <v>9695.7000000000007</v>
      </c>
      <c r="Z73" s="78">
        <v>9695.7000000000007</v>
      </c>
      <c r="AA73" s="78">
        <v>9695.7000000000007</v>
      </c>
      <c r="AB73" s="78">
        <v>8869.5</v>
      </c>
      <c r="AC73" s="78">
        <v>9695.7000000000007</v>
      </c>
      <c r="AD73" s="78">
        <v>9695.7000000000007</v>
      </c>
      <c r="AE73" s="78">
        <v>8869.5</v>
      </c>
      <c r="AF73" s="78">
        <v>8869.5</v>
      </c>
      <c r="AG73" s="78">
        <v>8869.5</v>
      </c>
      <c r="AH73" s="78">
        <v>9695.7000000000007</v>
      </c>
      <c r="AI73" s="78">
        <v>8869.5</v>
      </c>
      <c r="AJ73" s="78">
        <v>9695.7000000000007</v>
      </c>
      <c r="AK73" s="78">
        <v>9695.7000000000007</v>
      </c>
      <c r="AL73" s="78">
        <v>9695.7000000000007</v>
      </c>
      <c r="AM73" s="78">
        <v>9695.7000000000007</v>
      </c>
      <c r="AN73" s="78">
        <v>8869.5</v>
      </c>
    </row>
    <row r="74" spans="1:40" x14ac:dyDescent="0.2">
      <c r="A74" t="str">
        <f t="shared" si="2"/>
        <v>(850) Supermarket</v>
      </c>
      <c r="B74" s="63" t="s">
        <v>97</v>
      </c>
      <c r="C74" s="64"/>
      <c r="D74" s="65"/>
      <c r="E74" s="66" t="s">
        <v>98</v>
      </c>
      <c r="F74" s="67" t="s">
        <v>235</v>
      </c>
      <c r="G74" s="68" t="s">
        <v>10</v>
      </c>
      <c r="H74" s="69">
        <v>9.24</v>
      </c>
      <c r="I74" s="70">
        <v>0.36</v>
      </c>
      <c r="J74" s="71" t="s">
        <v>116</v>
      </c>
      <c r="K74" s="75">
        <v>5.91</v>
      </c>
      <c r="L74" s="75">
        <v>5.82</v>
      </c>
      <c r="M74" s="75">
        <v>6.35</v>
      </c>
      <c r="N74" s="75" t="s">
        <v>276</v>
      </c>
      <c r="O74" s="75">
        <v>6.43</v>
      </c>
      <c r="P74" s="70">
        <v>0.5</v>
      </c>
      <c r="Q74" s="75">
        <v>2.91</v>
      </c>
      <c r="R74" s="75">
        <v>3.18</v>
      </c>
      <c r="S74" s="75">
        <v>2.91</v>
      </c>
      <c r="T74" s="74">
        <v>3.18</v>
      </c>
      <c r="U74" s="106">
        <v>17.2</v>
      </c>
      <c r="V74" s="61"/>
      <c r="W74" s="78">
        <v>22829.85</v>
      </c>
      <c r="X74" s="78">
        <v>22829.85</v>
      </c>
      <c r="Y74" s="78">
        <v>22829.85</v>
      </c>
      <c r="Z74" s="78">
        <v>0</v>
      </c>
      <c r="AA74" s="78">
        <v>22829.85</v>
      </c>
      <c r="AB74" s="78">
        <v>20898</v>
      </c>
      <c r="AC74" s="78">
        <v>0</v>
      </c>
      <c r="AD74" s="78">
        <v>22829.85</v>
      </c>
      <c r="AE74" s="78">
        <v>20898</v>
      </c>
      <c r="AF74" s="78">
        <v>20898</v>
      </c>
      <c r="AG74" s="78">
        <v>20898</v>
      </c>
      <c r="AH74" s="78">
        <v>22829.85</v>
      </c>
      <c r="AI74" s="78">
        <v>20898</v>
      </c>
      <c r="AJ74" s="78">
        <v>22829.85</v>
      </c>
      <c r="AK74" s="78">
        <v>22829.85</v>
      </c>
      <c r="AL74" s="78">
        <v>0</v>
      </c>
      <c r="AM74" s="78">
        <v>0</v>
      </c>
      <c r="AN74" s="78">
        <v>20898</v>
      </c>
    </row>
    <row r="75" spans="1:40" x14ac:dyDescent="0.2">
      <c r="A75" t="str">
        <f t="shared" si="2"/>
        <v>(864) Toy/Children's Superstore</v>
      </c>
      <c r="B75" s="87" t="s">
        <v>99</v>
      </c>
      <c r="C75" s="82"/>
      <c r="D75" s="83"/>
      <c r="E75" s="84" t="s">
        <v>100</v>
      </c>
      <c r="F75" s="94" t="s">
        <v>236</v>
      </c>
      <c r="G75" s="51" t="s">
        <v>10</v>
      </c>
      <c r="H75" s="52">
        <v>5</v>
      </c>
      <c r="I75" s="53">
        <v>0.3</v>
      </c>
      <c r="J75" s="54" t="s">
        <v>117</v>
      </c>
      <c r="K75" s="55">
        <v>3.5</v>
      </c>
      <c r="L75" s="55">
        <v>5.82</v>
      </c>
      <c r="M75" s="55">
        <v>6.35</v>
      </c>
      <c r="N75" s="55" t="s">
        <v>276</v>
      </c>
      <c r="O75" s="55">
        <v>6.43</v>
      </c>
      <c r="P75" s="53">
        <v>0.5</v>
      </c>
      <c r="Q75" s="55">
        <v>2.91</v>
      </c>
      <c r="R75" s="55">
        <v>3.18</v>
      </c>
      <c r="S75" s="55">
        <v>2.91</v>
      </c>
      <c r="T75" s="58">
        <v>3.18</v>
      </c>
      <c r="U75" s="138">
        <v>10.19</v>
      </c>
      <c r="V75" s="61"/>
      <c r="W75" s="78">
        <v>13522.95</v>
      </c>
      <c r="X75" s="78">
        <v>13522.95</v>
      </c>
      <c r="Y75" s="78">
        <v>13522.95</v>
      </c>
      <c r="Z75" s="78">
        <v>13522.95</v>
      </c>
      <c r="AA75" s="78">
        <v>13522.95</v>
      </c>
      <c r="AB75" s="78">
        <v>12380.849999999999</v>
      </c>
      <c r="AC75" s="78">
        <v>13522.95</v>
      </c>
      <c r="AD75" s="78">
        <v>13522.95</v>
      </c>
      <c r="AE75" s="78">
        <v>12380.849999999999</v>
      </c>
      <c r="AF75" s="78">
        <v>12380.849999999999</v>
      </c>
      <c r="AG75" s="78">
        <v>12380.849999999999</v>
      </c>
      <c r="AH75" s="78">
        <v>13522.95</v>
      </c>
      <c r="AI75" s="78">
        <v>12380.849999999999</v>
      </c>
      <c r="AJ75" s="78">
        <v>13522.95</v>
      </c>
      <c r="AK75" s="78">
        <v>13522.95</v>
      </c>
      <c r="AL75" s="78">
        <v>13522.95</v>
      </c>
      <c r="AM75" s="78">
        <v>13522.95</v>
      </c>
      <c r="AN75" s="78">
        <v>12380.849999999999</v>
      </c>
    </row>
    <row r="76" spans="1:40" ht="13.5" thickBot="1" x14ac:dyDescent="0.25">
      <c r="A76" t="str">
        <f t="shared" si="2"/>
        <v>(875) Department Store</v>
      </c>
      <c r="B76" s="139" t="s">
        <v>184</v>
      </c>
      <c r="C76" s="140"/>
      <c r="D76" s="107"/>
      <c r="E76" s="108" t="s">
        <v>185</v>
      </c>
      <c r="F76" s="36" t="s">
        <v>237</v>
      </c>
      <c r="G76" s="136" t="s">
        <v>10</v>
      </c>
      <c r="H76" s="110">
        <v>1.95</v>
      </c>
      <c r="I76" s="111">
        <v>0.3</v>
      </c>
      <c r="J76" s="112" t="s">
        <v>117</v>
      </c>
      <c r="K76" s="113">
        <v>1.37</v>
      </c>
      <c r="L76" s="113">
        <v>5.82</v>
      </c>
      <c r="M76" s="113">
        <v>6.35</v>
      </c>
      <c r="N76" s="113" t="s">
        <v>276</v>
      </c>
      <c r="O76" s="113">
        <v>6.43</v>
      </c>
      <c r="P76" s="111">
        <v>0.5</v>
      </c>
      <c r="Q76" s="113">
        <v>2.91</v>
      </c>
      <c r="R76" s="113">
        <v>3.18</v>
      </c>
      <c r="S76" s="113">
        <v>2.91</v>
      </c>
      <c r="T76" s="115">
        <v>3.18</v>
      </c>
      <c r="U76" s="116">
        <v>3.99</v>
      </c>
      <c r="V76" s="61"/>
      <c r="W76" s="104">
        <v>5297.4000000000005</v>
      </c>
      <c r="X76" s="104">
        <v>5297.4000000000005</v>
      </c>
      <c r="Y76" s="104">
        <v>5297.4000000000005</v>
      </c>
      <c r="Z76" s="104">
        <v>5297.4000000000005</v>
      </c>
      <c r="AA76" s="104">
        <v>5297.4000000000005</v>
      </c>
      <c r="AB76" s="104">
        <v>4847.8500000000004</v>
      </c>
      <c r="AC76" s="104">
        <v>5297.4000000000005</v>
      </c>
      <c r="AD76" s="104">
        <v>5297.4000000000005</v>
      </c>
      <c r="AE76" s="104">
        <v>4847.8500000000004</v>
      </c>
      <c r="AF76" s="104">
        <v>4847.8500000000004</v>
      </c>
      <c r="AG76" s="104">
        <v>4847.8500000000004</v>
      </c>
      <c r="AH76" s="104">
        <v>5297.4000000000005</v>
      </c>
      <c r="AI76" s="104">
        <v>4847.8500000000004</v>
      </c>
      <c r="AJ76" s="104">
        <v>5297.4000000000005</v>
      </c>
      <c r="AK76" s="104">
        <v>5297.4000000000005</v>
      </c>
      <c r="AL76" s="104">
        <v>5297.4000000000005</v>
      </c>
      <c r="AM76" s="104">
        <v>5297.4000000000005</v>
      </c>
      <c r="AN76" s="104">
        <v>4847.8500000000004</v>
      </c>
    </row>
    <row r="77" spans="1:40" x14ac:dyDescent="0.2">
      <c r="A77" t="str">
        <f t="shared" si="2"/>
        <v>SERVICES</v>
      </c>
      <c r="B77" s="81" t="s">
        <v>101</v>
      </c>
      <c r="C77" s="82"/>
      <c r="D77" s="83"/>
      <c r="E77" s="84"/>
      <c r="F77" s="141"/>
      <c r="G77" s="51"/>
      <c r="H77" s="52"/>
      <c r="I77" s="53"/>
      <c r="J77" s="54"/>
      <c r="K77" s="55"/>
      <c r="L77" s="55"/>
      <c r="M77" s="55"/>
      <c r="N77" s="55"/>
      <c r="O77" s="55"/>
      <c r="P77" s="53"/>
      <c r="Q77" s="55"/>
      <c r="R77" s="55"/>
      <c r="S77" s="55"/>
      <c r="T77" s="58"/>
      <c r="U77" s="138"/>
      <c r="V77" s="61"/>
      <c r="W77" s="105"/>
      <c r="X77" s="105"/>
      <c r="Y77" s="105"/>
      <c r="Z77" s="105"/>
      <c r="AA77" s="105"/>
      <c r="AB77" s="105"/>
      <c r="AC77" s="105"/>
      <c r="AD77" s="105"/>
      <c r="AE77" s="105"/>
      <c r="AF77" s="105"/>
      <c r="AG77" s="105"/>
      <c r="AH77" s="105"/>
      <c r="AI77" s="105"/>
      <c r="AJ77" s="105"/>
      <c r="AK77" s="105"/>
      <c r="AL77" s="105"/>
      <c r="AM77" s="105"/>
      <c r="AN77" s="105"/>
    </row>
    <row r="78" spans="1:40" x14ac:dyDescent="0.2">
      <c r="A78" t="str">
        <f t="shared" si="2"/>
        <v>(911) Walk-In Bank</v>
      </c>
      <c r="B78" s="63" t="s">
        <v>186</v>
      </c>
      <c r="C78" s="64"/>
      <c r="D78" s="65"/>
      <c r="E78" s="66" t="s">
        <v>102</v>
      </c>
      <c r="F78" s="67" t="s">
        <v>238</v>
      </c>
      <c r="G78" s="68" t="s">
        <v>10</v>
      </c>
      <c r="H78" s="69">
        <v>12.13</v>
      </c>
      <c r="I78" s="70">
        <v>0.4</v>
      </c>
      <c r="J78" s="71" t="s">
        <v>117</v>
      </c>
      <c r="K78" s="75">
        <v>7.28</v>
      </c>
      <c r="L78" s="75">
        <v>3.39</v>
      </c>
      <c r="M78" s="75">
        <v>3.39</v>
      </c>
      <c r="N78" s="75" t="s">
        <v>275</v>
      </c>
      <c r="O78" s="75">
        <v>3.39</v>
      </c>
      <c r="P78" s="70">
        <v>0.5</v>
      </c>
      <c r="Q78" s="75">
        <v>1.69</v>
      </c>
      <c r="R78" s="75">
        <v>1.7</v>
      </c>
      <c r="S78" s="75">
        <v>1.69</v>
      </c>
      <c r="T78" s="74">
        <v>1.7</v>
      </c>
      <c r="U78" s="106">
        <v>12.3</v>
      </c>
      <c r="V78" s="61"/>
      <c r="W78" s="78">
        <v>15041.7</v>
      </c>
      <c r="X78" s="78">
        <v>15041.7</v>
      </c>
      <c r="Y78" s="78">
        <v>15041.7</v>
      </c>
      <c r="Z78" s="78">
        <v>0</v>
      </c>
      <c r="AA78" s="78">
        <v>15041.7</v>
      </c>
      <c r="AB78" s="78">
        <v>14944.5</v>
      </c>
      <c r="AC78" s="78">
        <v>0</v>
      </c>
      <c r="AD78" s="78">
        <v>15041.7</v>
      </c>
      <c r="AE78" s="78">
        <v>14944.5</v>
      </c>
      <c r="AF78" s="78">
        <v>14944.5</v>
      </c>
      <c r="AG78" s="78">
        <v>14944.5</v>
      </c>
      <c r="AH78" s="78">
        <v>15041.7</v>
      </c>
      <c r="AI78" s="78">
        <v>14944.5</v>
      </c>
      <c r="AJ78" s="78">
        <v>15041.7</v>
      </c>
      <c r="AK78" s="78">
        <v>15041.7</v>
      </c>
      <c r="AL78" s="78">
        <v>0</v>
      </c>
      <c r="AM78" s="78">
        <v>0</v>
      </c>
      <c r="AN78" s="78">
        <v>14944.5</v>
      </c>
    </row>
    <row r="79" spans="1:40" x14ac:dyDescent="0.2">
      <c r="A79" t="str">
        <f t="shared" si="2"/>
        <v>(912) Drive-In Bank</v>
      </c>
      <c r="B79" s="63" t="s">
        <v>187</v>
      </c>
      <c r="C79" s="91"/>
      <c r="D79" s="65"/>
      <c r="E79" s="99" t="s">
        <v>103</v>
      </c>
      <c r="F79" s="2" t="s">
        <v>239</v>
      </c>
      <c r="G79" s="95" t="s">
        <v>188</v>
      </c>
      <c r="H79" s="96">
        <v>27.15</v>
      </c>
      <c r="I79" s="97">
        <v>0.35</v>
      </c>
      <c r="J79" s="98" t="s">
        <v>116</v>
      </c>
      <c r="K79" s="142">
        <v>17.649999999999999</v>
      </c>
      <c r="L79" s="142">
        <v>3.39</v>
      </c>
      <c r="M79" s="142">
        <v>3.39</v>
      </c>
      <c r="N79" s="142" t="s">
        <v>275</v>
      </c>
      <c r="O79" s="142">
        <v>3.39</v>
      </c>
      <c r="P79" s="97">
        <v>0.5</v>
      </c>
      <c r="Q79" s="142">
        <v>1.69</v>
      </c>
      <c r="R79" s="142">
        <v>1.7</v>
      </c>
      <c r="S79" s="142">
        <v>1.69</v>
      </c>
      <c r="T79" s="76">
        <v>1.7</v>
      </c>
      <c r="U79" s="77">
        <v>29.83</v>
      </c>
      <c r="V79" s="61"/>
      <c r="W79" s="78">
        <v>36462.15</v>
      </c>
      <c r="X79" s="78">
        <v>36462.15</v>
      </c>
      <c r="Y79" s="78">
        <v>36462.15</v>
      </c>
      <c r="Z79" s="78">
        <v>0</v>
      </c>
      <c r="AA79" s="78">
        <v>36462.15</v>
      </c>
      <c r="AB79" s="78">
        <v>36243.449999999997</v>
      </c>
      <c r="AC79" s="78">
        <v>0</v>
      </c>
      <c r="AD79" s="78">
        <v>36462.15</v>
      </c>
      <c r="AE79" s="78">
        <v>36243.449999999997</v>
      </c>
      <c r="AF79" s="78">
        <v>36243.449999999997</v>
      </c>
      <c r="AG79" s="78">
        <v>36243.449999999997</v>
      </c>
      <c r="AH79" s="78">
        <v>36462.15</v>
      </c>
      <c r="AI79" s="78">
        <v>36243.449999999997</v>
      </c>
      <c r="AJ79" s="78">
        <v>36462.15</v>
      </c>
      <c r="AK79" s="78">
        <v>36462.15</v>
      </c>
      <c r="AL79" s="78">
        <v>0</v>
      </c>
      <c r="AM79" s="78">
        <v>0</v>
      </c>
      <c r="AN79" s="78">
        <v>36243.449999999997</v>
      </c>
    </row>
    <row r="80" spans="1:40" ht="13.5" thickBot="1" x14ac:dyDescent="0.25">
      <c r="A80" t="str">
        <f t="shared" si="2"/>
        <v>(918) Hair Salon</v>
      </c>
      <c r="B80" s="32" t="s">
        <v>189</v>
      </c>
      <c r="C80" s="33"/>
      <c r="D80" s="34"/>
      <c r="E80" s="35" t="s">
        <v>190</v>
      </c>
      <c r="F80" s="1" t="s">
        <v>240</v>
      </c>
      <c r="G80" s="37" t="s">
        <v>172</v>
      </c>
      <c r="H80" s="38">
        <v>1.45</v>
      </c>
      <c r="I80" s="39">
        <v>0.3</v>
      </c>
      <c r="J80" s="40" t="s">
        <v>117</v>
      </c>
      <c r="K80" s="17">
        <v>1.02</v>
      </c>
      <c r="L80" s="17">
        <v>3.39</v>
      </c>
      <c r="M80" s="17">
        <v>3.39</v>
      </c>
      <c r="N80" s="17" t="s">
        <v>275</v>
      </c>
      <c r="O80" s="44">
        <v>3.39</v>
      </c>
      <c r="P80" s="39">
        <v>0.5</v>
      </c>
      <c r="Q80" s="44">
        <v>1.69</v>
      </c>
      <c r="R80" s="44">
        <v>1.7</v>
      </c>
      <c r="S80" s="44">
        <v>1.69</v>
      </c>
      <c r="T80" s="43">
        <v>1.7</v>
      </c>
      <c r="U80" s="45">
        <v>1.72</v>
      </c>
      <c r="V80" s="61"/>
      <c r="W80" s="80">
        <v>2101.9499999999998</v>
      </c>
      <c r="X80" s="80">
        <v>2101.9499999999998</v>
      </c>
      <c r="Y80" s="80">
        <v>2101.9499999999998</v>
      </c>
      <c r="Z80" s="80">
        <v>2101.9499999999998</v>
      </c>
      <c r="AA80" s="80">
        <v>2101.9499999999998</v>
      </c>
      <c r="AB80" s="80">
        <v>2089.8000000000002</v>
      </c>
      <c r="AC80" s="80">
        <v>2101.9499999999998</v>
      </c>
      <c r="AD80" s="80">
        <v>2101.9499999999998</v>
      </c>
      <c r="AE80" s="80">
        <v>2089.8000000000002</v>
      </c>
      <c r="AF80" s="80">
        <v>2089.8000000000002</v>
      </c>
      <c r="AG80" s="80">
        <v>2089.8000000000002</v>
      </c>
      <c r="AH80" s="80">
        <v>2101.9499999999998</v>
      </c>
      <c r="AI80" s="80">
        <v>2089.8000000000002</v>
      </c>
      <c r="AJ80" s="80">
        <v>2101.9499999999998</v>
      </c>
      <c r="AK80" s="80">
        <v>2101.9499999999998</v>
      </c>
      <c r="AL80" s="80">
        <v>2101.9499999999998</v>
      </c>
      <c r="AM80" s="80">
        <v>2101.9499999999998</v>
      </c>
      <c r="AN80" s="80">
        <v>2089.8000000000002</v>
      </c>
    </row>
    <row r="81" spans="2:41" x14ac:dyDescent="0.2">
      <c r="B81" s="31"/>
      <c r="C81" s="31"/>
      <c r="E81" s="31"/>
      <c r="F81" s="31"/>
      <c r="H81" s="31"/>
      <c r="I81" s="31"/>
      <c r="K81" s="31"/>
      <c r="L81" s="31"/>
      <c r="N81" s="31"/>
      <c r="O81" s="31"/>
      <c r="Q81" s="31"/>
      <c r="R81" s="31"/>
      <c r="T81" s="31"/>
      <c r="U81" s="31"/>
      <c r="W81" s="31"/>
      <c r="Y81" s="31"/>
      <c r="Z81" s="31"/>
      <c r="AB81" s="31"/>
      <c r="AC81" s="31"/>
      <c r="AE81" s="31"/>
      <c r="AF81" s="31"/>
      <c r="AH81" s="31"/>
      <c r="AI81" s="167"/>
      <c r="AJ81" s="167"/>
      <c r="AK81" s="167"/>
      <c r="AL81" s="167"/>
      <c r="AM81" s="167"/>
      <c r="AN81" s="167"/>
    </row>
    <row r="82" spans="2:41" s="146" customFormat="1" hidden="1" x14ac:dyDescent="0.2">
      <c r="B82" s="146">
        <v>1</v>
      </c>
      <c r="C82" s="146">
        <v>2</v>
      </c>
      <c r="D82" s="146">
        <v>3</v>
      </c>
      <c r="E82" s="146">
        <v>4</v>
      </c>
      <c r="F82" s="146">
        <v>5</v>
      </c>
      <c r="G82" s="146">
        <v>6</v>
      </c>
      <c r="H82" s="147">
        <v>7</v>
      </c>
      <c r="I82" s="148">
        <v>8</v>
      </c>
      <c r="J82" s="146">
        <v>9</v>
      </c>
      <c r="K82" s="148">
        <v>10</v>
      </c>
      <c r="L82" s="148">
        <v>11</v>
      </c>
      <c r="M82" s="148">
        <v>12</v>
      </c>
      <c r="N82" s="148">
        <v>13</v>
      </c>
      <c r="O82" s="148">
        <v>14</v>
      </c>
      <c r="P82" s="148">
        <v>15</v>
      </c>
      <c r="Q82" s="148">
        <v>16</v>
      </c>
      <c r="R82" s="148">
        <v>17</v>
      </c>
      <c r="S82" s="148">
        <v>18</v>
      </c>
      <c r="T82" s="149">
        <v>19</v>
      </c>
      <c r="U82" s="150">
        <v>20</v>
      </c>
      <c r="V82" s="149">
        <v>21</v>
      </c>
      <c r="W82" s="149">
        <v>22</v>
      </c>
      <c r="X82" s="149">
        <v>23</v>
      </c>
      <c r="Y82" s="149">
        <v>24</v>
      </c>
      <c r="Z82" s="149">
        <v>25</v>
      </c>
      <c r="AA82" s="149">
        <v>26</v>
      </c>
      <c r="AB82" s="149">
        <v>27</v>
      </c>
      <c r="AC82" s="149">
        <v>28</v>
      </c>
      <c r="AD82" s="149">
        <v>29</v>
      </c>
      <c r="AE82" s="149">
        <v>30</v>
      </c>
      <c r="AF82" s="149">
        <v>31</v>
      </c>
      <c r="AG82" s="149">
        <v>32</v>
      </c>
      <c r="AH82" s="149">
        <v>33</v>
      </c>
      <c r="AI82" s="149">
        <v>34</v>
      </c>
      <c r="AJ82" s="149">
        <v>35</v>
      </c>
      <c r="AK82" s="149">
        <v>36</v>
      </c>
      <c r="AL82" s="149">
        <v>37</v>
      </c>
      <c r="AM82" s="149">
        <v>38</v>
      </c>
      <c r="AN82" s="149">
        <v>39</v>
      </c>
      <c r="AO82" s="149">
        <v>40</v>
      </c>
    </row>
    <row r="83" spans="2:41" x14ac:dyDescent="0.2"/>
  </sheetData>
  <mergeCells count="1">
    <mergeCell ref="B2:D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9"/>
  </sheetPr>
  <dimension ref="B2:O31"/>
  <sheetViews>
    <sheetView showGridLines="0" showRowColHeaders="0" topLeftCell="A12" zoomScaleNormal="100" workbookViewId="0">
      <selection activeCell="C30" sqref="C30"/>
    </sheetView>
  </sheetViews>
  <sheetFormatPr defaultColWidth="9.140625" defaultRowHeight="15" x14ac:dyDescent="0.25"/>
  <cols>
    <col min="1" max="16384" width="9.140625" style="332"/>
  </cols>
  <sheetData>
    <row r="2" spans="2:15" ht="131.25" customHeight="1" x14ac:dyDescent="0.25">
      <c r="B2" s="819" t="s">
        <v>624</v>
      </c>
      <c r="C2" s="819"/>
      <c r="D2" s="819"/>
      <c r="E2" s="819"/>
      <c r="F2" s="819"/>
      <c r="G2" s="819"/>
      <c r="H2" s="819"/>
      <c r="I2" s="819"/>
      <c r="J2" s="819"/>
      <c r="K2" s="819"/>
      <c r="L2" s="819"/>
      <c r="M2" s="819"/>
      <c r="N2" s="819"/>
      <c r="O2" s="819"/>
    </row>
    <row r="3" spans="2:15" ht="30" customHeight="1" x14ac:dyDescent="0.25">
      <c r="B3" s="820" t="s">
        <v>625</v>
      </c>
      <c r="C3" s="820"/>
      <c r="D3" s="820"/>
      <c r="E3" s="820"/>
      <c r="F3" s="820"/>
      <c r="G3" s="820"/>
      <c r="H3" s="820"/>
      <c r="I3" s="820"/>
      <c r="J3" s="820"/>
      <c r="K3" s="820"/>
      <c r="L3" s="820"/>
      <c r="M3" s="820"/>
      <c r="N3" s="820"/>
      <c r="O3" s="820"/>
    </row>
    <row r="4" spans="2:15" x14ac:dyDescent="0.25">
      <c r="B4" s="820"/>
      <c r="C4" s="820"/>
      <c r="D4" s="820"/>
      <c r="E4" s="820"/>
      <c r="F4" s="820"/>
      <c r="G4" s="820"/>
      <c r="H4" s="820"/>
      <c r="I4" s="820"/>
      <c r="J4" s="820"/>
      <c r="K4" s="820"/>
      <c r="L4" s="820"/>
      <c r="M4" s="820"/>
      <c r="N4" s="820"/>
      <c r="O4" s="820"/>
    </row>
    <row r="5" spans="2:15" x14ac:dyDescent="0.25">
      <c r="B5" s="820"/>
      <c r="C5" s="820"/>
      <c r="D5" s="820"/>
      <c r="E5" s="820"/>
      <c r="F5" s="820"/>
      <c r="G5" s="820"/>
      <c r="H5" s="820"/>
      <c r="I5" s="820"/>
      <c r="J5" s="820"/>
      <c r="K5" s="820"/>
      <c r="L5" s="820"/>
      <c r="M5" s="820"/>
      <c r="N5" s="820"/>
      <c r="O5" s="820"/>
    </row>
    <row r="6" spans="2:15" x14ac:dyDescent="0.25">
      <c r="B6" s="820"/>
      <c r="C6" s="820"/>
      <c r="D6" s="820"/>
      <c r="E6" s="820"/>
      <c r="F6" s="820"/>
      <c r="G6" s="820"/>
      <c r="H6" s="820"/>
      <c r="I6" s="820"/>
      <c r="J6" s="820"/>
      <c r="K6" s="820"/>
      <c r="L6" s="820"/>
      <c r="M6" s="820"/>
      <c r="N6" s="820"/>
      <c r="O6" s="820"/>
    </row>
    <row r="7" spans="2:15" x14ac:dyDescent="0.25">
      <c r="B7" s="820"/>
      <c r="C7" s="820"/>
      <c r="D7" s="820"/>
      <c r="E7" s="820"/>
      <c r="F7" s="820"/>
      <c r="G7" s="820"/>
      <c r="H7" s="820"/>
      <c r="I7" s="820"/>
      <c r="J7" s="820"/>
      <c r="K7" s="820"/>
      <c r="L7" s="820"/>
      <c r="M7" s="820"/>
      <c r="N7" s="820"/>
      <c r="O7" s="820"/>
    </row>
    <row r="8" spans="2:15" x14ac:dyDescent="0.25">
      <c r="B8" s="820"/>
      <c r="C8" s="820"/>
      <c r="D8" s="820"/>
      <c r="E8" s="820"/>
      <c r="F8" s="820"/>
      <c r="G8" s="820"/>
      <c r="H8" s="820"/>
      <c r="I8" s="820"/>
      <c r="J8" s="820"/>
      <c r="K8" s="820"/>
      <c r="L8" s="820"/>
      <c r="M8" s="820"/>
      <c r="N8" s="820"/>
      <c r="O8" s="820"/>
    </row>
    <row r="9" spans="2:15" x14ac:dyDescent="0.25">
      <c r="B9" s="820"/>
      <c r="C9" s="820"/>
      <c r="D9" s="820"/>
      <c r="E9" s="820"/>
      <c r="F9" s="820"/>
      <c r="G9" s="820"/>
      <c r="H9" s="820"/>
      <c r="I9" s="820"/>
      <c r="J9" s="820"/>
      <c r="K9" s="820"/>
      <c r="L9" s="820"/>
      <c r="M9" s="820"/>
      <c r="N9" s="820"/>
      <c r="O9" s="820"/>
    </row>
    <row r="10" spans="2:15" x14ac:dyDescent="0.25">
      <c r="B10" s="820"/>
      <c r="C10" s="820"/>
      <c r="D10" s="820"/>
      <c r="E10" s="820"/>
      <c r="F10" s="820"/>
      <c r="G10" s="820"/>
      <c r="H10" s="820"/>
      <c r="I10" s="820"/>
      <c r="J10" s="820"/>
      <c r="K10" s="820"/>
      <c r="L10" s="820"/>
      <c r="M10" s="820"/>
      <c r="N10" s="820"/>
      <c r="O10" s="820"/>
    </row>
    <row r="11" spans="2:15" x14ac:dyDescent="0.25">
      <c r="B11" s="820"/>
      <c r="C11" s="820"/>
      <c r="D11" s="820"/>
      <c r="E11" s="820"/>
      <c r="F11" s="820"/>
      <c r="G11" s="820"/>
      <c r="H11" s="820"/>
      <c r="I11" s="820"/>
      <c r="J11" s="820"/>
      <c r="K11" s="820"/>
      <c r="L11" s="820"/>
      <c r="M11" s="820"/>
      <c r="N11" s="820"/>
      <c r="O11" s="820"/>
    </row>
    <row r="12" spans="2:15" x14ac:dyDescent="0.25">
      <c r="B12" s="820"/>
      <c r="C12" s="820"/>
      <c r="D12" s="820"/>
      <c r="E12" s="820"/>
      <c r="F12" s="820"/>
      <c r="G12" s="820"/>
      <c r="H12" s="820"/>
      <c r="I12" s="820"/>
      <c r="J12" s="820"/>
      <c r="K12" s="820"/>
      <c r="L12" s="820"/>
      <c r="M12" s="820"/>
      <c r="N12" s="820"/>
      <c r="O12" s="820"/>
    </row>
    <row r="13" spans="2:15" x14ac:dyDescent="0.25">
      <c r="B13" s="820"/>
      <c r="C13" s="820"/>
      <c r="D13" s="820"/>
      <c r="E13" s="820"/>
      <c r="F13" s="820"/>
      <c r="G13" s="820"/>
      <c r="H13" s="820"/>
      <c r="I13" s="820"/>
      <c r="J13" s="820"/>
      <c r="K13" s="820"/>
      <c r="L13" s="820"/>
      <c r="M13" s="820"/>
      <c r="N13" s="820"/>
      <c r="O13" s="820"/>
    </row>
    <row r="14" spans="2:15" x14ac:dyDescent="0.25">
      <c r="B14" s="820"/>
      <c r="C14" s="820"/>
      <c r="D14" s="820"/>
      <c r="E14" s="820"/>
      <c r="F14" s="820"/>
      <c r="G14" s="820"/>
      <c r="H14" s="820"/>
      <c r="I14" s="820"/>
      <c r="J14" s="820"/>
      <c r="K14" s="820"/>
      <c r="L14" s="820"/>
      <c r="M14" s="820"/>
      <c r="N14" s="820"/>
      <c r="O14" s="820"/>
    </row>
    <row r="15" spans="2:15" x14ac:dyDescent="0.25">
      <c r="B15" s="820"/>
      <c r="C15" s="820"/>
      <c r="D15" s="820"/>
      <c r="E15" s="820"/>
      <c r="F15" s="820"/>
      <c r="G15" s="820"/>
      <c r="H15" s="820"/>
      <c r="I15" s="820"/>
      <c r="J15" s="820"/>
      <c r="K15" s="820"/>
      <c r="L15" s="820"/>
      <c r="M15" s="820"/>
      <c r="N15" s="820"/>
      <c r="O15" s="820"/>
    </row>
    <row r="16" spans="2:15" x14ac:dyDescent="0.25">
      <c r="B16" s="820"/>
      <c r="C16" s="820"/>
      <c r="D16" s="820"/>
      <c r="E16" s="820"/>
      <c r="F16" s="820"/>
      <c r="G16" s="820"/>
      <c r="H16" s="820"/>
      <c r="I16" s="820"/>
      <c r="J16" s="820"/>
      <c r="K16" s="820"/>
      <c r="L16" s="820"/>
      <c r="M16" s="820"/>
      <c r="N16" s="820"/>
      <c r="O16" s="820"/>
    </row>
    <row r="17" spans="2:15" x14ac:dyDescent="0.25">
      <c r="B17" s="820"/>
      <c r="C17" s="820"/>
      <c r="D17" s="820"/>
      <c r="E17" s="820"/>
      <c r="F17" s="820"/>
      <c r="G17" s="820"/>
      <c r="H17" s="820"/>
      <c r="I17" s="820"/>
      <c r="J17" s="820"/>
      <c r="K17" s="820"/>
      <c r="L17" s="820"/>
      <c r="M17" s="820"/>
      <c r="N17" s="820"/>
      <c r="O17" s="820"/>
    </row>
    <row r="18" spans="2:15" x14ac:dyDescent="0.25">
      <c r="B18" s="820"/>
      <c r="C18" s="820"/>
      <c r="D18" s="820"/>
      <c r="E18" s="820"/>
      <c r="F18" s="820"/>
      <c r="G18" s="820"/>
      <c r="H18" s="820"/>
      <c r="I18" s="820"/>
      <c r="J18" s="820"/>
      <c r="K18" s="820"/>
      <c r="L18" s="820"/>
      <c r="M18" s="820"/>
      <c r="N18" s="820"/>
      <c r="O18" s="820"/>
    </row>
    <row r="19" spans="2:15" x14ac:dyDescent="0.25">
      <c r="B19" s="820"/>
      <c r="C19" s="820"/>
      <c r="D19" s="820"/>
      <c r="E19" s="820"/>
      <c r="F19" s="820"/>
      <c r="G19" s="820"/>
      <c r="H19" s="820"/>
      <c r="I19" s="820"/>
      <c r="J19" s="820"/>
      <c r="K19" s="820"/>
      <c r="L19" s="820"/>
      <c r="M19" s="820"/>
      <c r="N19" s="820"/>
      <c r="O19" s="820"/>
    </row>
    <row r="20" spans="2:15" x14ac:dyDescent="0.25">
      <c r="B20" s="820"/>
      <c r="C20" s="820"/>
      <c r="D20" s="820"/>
      <c r="E20" s="820"/>
      <c r="F20" s="820"/>
      <c r="G20" s="820"/>
      <c r="H20" s="820"/>
      <c r="I20" s="820"/>
      <c r="J20" s="820"/>
      <c r="K20" s="820"/>
      <c r="L20" s="820"/>
      <c r="M20" s="820"/>
      <c r="N20" s="820"/>
      <c r="O20" s="820"/>
    </row>
    <row r="21" spans="2:15" x14ac:dyDescent="0.25">
      <c r="B21" s="820"/>
      <c r="C21" s="820"/>
      <c r="D21" s="820"/>
      <c r="E21" s="820"/>
      <c r="F21" s="820"/>
      <c r="G21" s="820"/>
      <c r="H21" s="820"/>
      <c r="I21" s="820"/>
      <c r="J21" s="820"/>
      <c r="K21" s="820"/>
      <c r="L21" s="820"/>
      <c r="M21" s="820"/>
      <c r="N21" s="820"/>
      <c r="O21" s="820"/>
    </row>
    <row r="22" spans="2:15" x14ac:dyDescent="0.25">
      <c r="B22" s="820"/>
      <c r="C22" s="820"/>
      <c r="D22" s="820"/>
      <c r="E22" s="820"/>
      <c r="F22" s="820"/>
      <c r="G22" s="820"/>
      <c r="H22" s="820"/>
      <c r="I22" s="820"/>
      <c r="J22" s="820"/>
      <c r="K22" s="820"/>
      <c r="L22" s="820"/>
      <c r="M22" s="820"/>
      <c r="N22" s="820"/>
      <c r="O22" s="820"/>
    </row>
    <row r="23" spans="2:15" x14ac:dyDescent="0.25">
      <c r="B23" s="820"/>
      <c r="C23" s="820"/>
      <c r="D23" s="820"/>
      <c r="E23" s="820"/>
      <c r="F23" s="820"/>
      <c r="G23" s="820"/>
      <c r="H23" s="820"/>
      <c r="I23" s="820"/>
      <c r="J23" s="820"/>
      <c r="K23" s="820"/>
      <c r="L23" s="820"/>
      <c r="M23" s="820"/>
      <c r="N23" s="820"/>
      <c r="O23" s="820"/>
    </row>
    <row r="24" spans="2:15" x14ac:dyDescent="0.25">
      <c r="B24" s="820"/>
      <c r="C24" s="820"/>
      <c r="D24" s="820"/>
      <c r="E24" s="820"/>
      <c r="F24" s="820"/>
      <c r="G24" s="820"/>
      <c r="H24" s="820"/>
      <c r="I24" s="820"/>
      <c r="J24" s="820"/>
      <c r="K24" s="820"/>
      <c r="L24" s="820"/>
      <c r="M24" s="820"/>
      <c r="N24" s="820"/>
      <c r="O24" s="820"/>
    </row>
    <row r="25" spans="2:15" x14ac:dyDescent="0.25">
      <c r="B25" s="820"/>
      <c r="C25" s="820"/>
      <c r="D25" s="820"/>
      <c r="E25" s="820"/>
      <c r="F25" s="820"/>
      <c r="G25" s="820"/>
      <c r="H25" s="820"/>
      <c r="I25" s="820"/>
      <c r="J25" s="820"/>
      <c r="K25" s="820"/>
      <c r="L25" s="820"/>
      <c r="M25" s="820"/>
      <c r="N25" s="820"/>
      <c r="O25" s="820"/>
    </row>
    <row r="26" spans="2:15" x14ac:dyDescent="0.25">
      <c r="B26" s="820"/>
      <c r="C26" s="820"/>
      <c r="D26" s="820"/>
      <c r="E26" s="820"/>
      <c r="F26" s="820"/>
      <c r="G26" s="820"/>
      <c r="H26" s="820"/>
      <c r="I26" s="820"/>
      <c r="J26" s="820"/>
      <c r="K26" s="820"/>
      <c r="L26" s="820"/>
      <c r="M26" s="820"/>
      <c r="N26" s="820"/>
      <c r="O26" s="820"/>
    </row>
    <row r="27" spans="2:15" ht="38.25" customHeight="1" x14ac:dyDescent="0.25">
      <c r="B27" s="820"/>
      <c r="C27" s="820"/>
      <c r="D27" s="820"/>
      <c r="E27" s="820"/>
      <c r="F27" s="820"/>
      <c r="G27" s="820"/>
      <c r="H27" s="820"/>
      <c r="I27" s="820"/>
      <c r="J27" s="820"/>
      <c r="K27" s="820"/>
      <c r="L27" s="820"/>
      <c r="M27" s="820"/>
      <c r="N27" s="820"/>
      <c r="O27" s="820"/>
    </row>
    <row r="29" spans="2:15" ht="23.25" x14ac:dyDescent="0.35">
      <c r="C29" s="340" t="s">
        <v>417</v>
      </c>
    </row>
    <row r="30" spans="2:15" ht="20.25" x14ac:dyDescent="0.3">
      <c r="C30" s="494" t="s">
        <v>622</v>
      </c>
    </row>
    <row r="31" spans="2:15" ht="20.25" x14ac:dyDescent="0.3">
      <c r="C31" s="494" t="s">
        <v>623</v>
      </c>
    </row>
  </sheetData>
  <sheetProtection password="FFAE" sheet="1" selectLockedCells="1"/>
  <mergeCells count="2">
    <mergeCell ref="B2:O2"/>
    <mergeCell ref="B3:O27"/>
  </mergeCells>
  <hyperlinks>
    <hyperlink ref="C30" r:id="rId1" xr:uid="{00000000-0004-0000-0800-000000000000}"/>
    <hyperlink ref="C31" r:id="rId2" xr:uid="{00000000-0004-0000-0800-000001000000}"/>
  </hyperlinks>
  <pageMargins left="0.7" right="0.7" top="0.75" bottom="0.75" header="0.3" footer="0.3"/>
  <pageSetup orientation="portrait" verticalDpi="1200"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B050"/>
  </sheetPr>
  <dimension ref="A1:W67"/>
  <sheetViews>
    <sheetView showGridLines="0" topLeftCell="A44" zoomScale="90" zoomScaleNormal="90" workbookViewId="0">
      <selection activeCell="A3" sqref="A3:B3"/>
    </sheetView>
  </sheetViews>
  <sheetFormatPr defaultColWidth="8.85546875" defaultRowHeight="15" x14ac:dyDescent="0.25"/>
  <cols>
    <col min="1" max="1" width="48.7109375" style="370" customWidth="1"/>
    <col min="2" max="2" width="44.28515625" style="370" bestFit="1" customWidth="1"/>
    <col min="3" max="3" width="65" style="371" customWidth="1"/>
    <col min="4" max="4" width="62.85546875" style="371" customWidth="1"/>
    <col min="5" max="7" width="8.85546875" style="332"/>
    <col min="8" max="23" width="8.85546875" style="332" hidden="1" customWidth="1"/>
    <col min="24" max="16384" width="8.85546875" style="332"/>
  </cols>
  <sheetData>
    <row r="1" spans="1:12" ht="150" customHeight="1" thickBot="1" x14ac:dyDescent="0.3">
      <c r="A1" s="821" t="s">
        <v>447</v>
      </c>
      <c r="B1" s="821"/>
      <c r="C1" s="821"/>
      <c r="D1" s="821"/>
    </row>
    <row r="2" spans="1:12" ht="21" thickTop="1" x14ac:dyDescent="0.3">
      <c r="A2" s="822" t="s">
        <v>448</v>
      </c>
      <c r="B2" s="822"/>
      <c r="C2" s="342" t="s">
        <v>449</v>
      </c>
      <c r="D2" s="342" t="s">
        <v>450</v>
      </c>
    </row>
    <row r="3" spans="1:12" ht="36.75" customHeight="1" x14ac:dyDescent="0.3">
      <c r="A3" s="823" t="str">
        <f>IF(E38="", "Enter Project Name Here")</f>
        <v>Enter Project Name Here</v>
      </c>
      <c r="B3" s="823"/>
      <c r="C3" s="489" t="str">
        <f>IF(E38="", "Enter Legal Desc. Here")</f>
        <v>Enter Legal Desc. Here</v>
      </c>
      <c r="D3" s="489" t="str">
        <f>IF(E38="", "Enter Project Number Here")</f>
        <v>Enter Project Number Here</v>
      </c>
    </row>
    <row r="4" spans="1:12" ht="22.5" customHeight="1" x14ac:dyDescent="0.3">
      <c r="A4" s="824" t="s">
        <v>451</v>
      </c>
      <c r="B4" s="824"/>
      <c r="C4" s="343" t="s">
        <v>452</v>
      </c>
      <c r="D4" s="343" t="s">
        <v>453</v>
      </c>
    </row>
    <row r="5" spans="1:12" ht="21" customHeight="1" x14ac:dyDescent="0.25">
      <c r="A5" s="823" t="str">
        <f>IF(E38="", "Enter Project Description Here")</f>
        <v>Enter Project Description Here</v>
      </c>
      <c r="B5" s="823"/>
      <c r="C5" s="823" t="str">
        <f>IF(E38="", "Enter Applicant Name Here")</f>
        <v>Enter Applicant Name Here</v>
      </c>
      <c r="D5" s="823" t="str">
        <f>IF(E38="", "Enter Contact Info Here")</f>
        <v>Enter Contact Info Here</v>
      </c>
    </row>
    <row r="6" spans="1:12" ht="15.75" customHeight="1" thickBot="1" x14ac:dyDescent="0.3">
      <c r="A6" s="825"/>
      <c r="B6" s="825"/>
      <c r="C6" s="825"/>
      <c r="D6" s="825"/>
    </row>
    <row r="7" spans="1:12" ht="21.75" thickTop="1" thickBot="1" x14ac:dyDescent="0.35">
      <c r="A7" s="344" t="s">
        <v>454</v>
      </c>
      <c r="B7" s="344" t="s">
        <v>455</v>
      </c>
      <c r="C7" s="345" t="s">
        <v>456</v>
      </c>
      <c r="D7" s="346" t="s">
        <v>457</v>
      </c>
    </row>
    <row r="8" spans="1:12" ht="54.75" customHeight="1" thickTop="1" thickBot="1" x14ac:dyDescent="0.3">
      <c r="A8" s="347" t="s">
        <v>458</v>
      </c>
      <c r="B8" s="348" t="s">
        <v>459</v>
      </c>
      <c r="C8" s="490"/>
      <c r="D8" s="349"/>
      <c r="I8" s="332" t="str">
        <f>'Point &amp; Trip Red. Look-up Table'!G2</f>
        <v>Downtown</v>
      </c>
      <c r="J8" s="332" t="str">
        <f>'Point &amp; Trip Red. Look-up Table'!H2</f>
        <v>Urban</v>
      </c>
      <c r="K8" s="332" t="str">
        <f>'Point &amp; Trip Red. Look-up Table'!I2</f>
        <v>Urban Transition</v>
      </c>
    </row>
    <row r="9" spans="1:12" ht="28.9" customHeight="1" thickTop="1" thickBot="1" x14ac:dyDescent="0.3">
      <c r="A9" s="350" t="s">
        <v>460</v>
      </c>
      <c r="B9" s="496"/>
      <c r="C9" s="497" t="str">
        <f>'Proposed TDM Plan Point Credits'!D8</f>
        <v>Amount falls within proper range</v>
      </c>
      <c r="D9" s="498" t="str">
        <f>'Proposed TDM Plan Trip Red. %'!E8</f>
        <v>Does Not Exceed Maximum</v>
      </c>
    </row>
    <row r="10" spans="1:12" ht="168" thickTop="1" thickBot="1" x14ac:dyDescent="0.3">
      <c r="A10" s="351" t="s">
        <v>461</v>
      </c>
      <c r="B10" s="348" t="s">
        <v>462</v>
      </c>
      <c r="C10" s="352">
        <f>'Proposed TDM Plan Point Credits'!B5</f>
        <v>0</v>
      </c>
      <c r="D10" s="491"/>
    </row>
    <row r="11" spans="1:12" ht="129.75" thickTop="1" thickBot="1" x14ac:dyDescent="0.3">
      <c r="A11" s="353" t="s">
        <v>463</v>
      </c>
      <c r="B11" s="354" t="s">
        <v>464</v>
      </c>
      <c r="C11" s="490"/>
      <c r="D11" s="726">
        <f>'Proposed TDM Plan Trip Red. %'!B7</f>
        <v>0</v>
      </c>
      <c r="I11" s="425" t="s">
        <v>606</v>
      </c>
      <c r="J11" s="536" t="s">
        <v>727</v>
      </c>
      <c r="K11" s="536" t="s">
        <v>726</v>
      </c>
    </row>
    <row r="12" spans="1:12" ht="16.5" thickTop="1" thickBot="1" x14ac:dyDescent="0.3">
      <c r="A12" s="355" t="s">
        <v>465</v>
      </c>
      <c r="B12" s="356"/>
      <c r="C12" s="357">
        <f>'Proposed TDM Plan Point Credits'!C5</f>
        <v>20</v>
      </c>
      <c r="D12" s="727">
        <f>'Proposed TDM Plan Trip Red. %'!B49</f>
        <v>0</v>
      </c>
    </row>
    <row r="13" spans="1:12" ht="16.5" thickTop="1" thickBot="1" x14ac:dyDescent="0.3">
      <c r="A13" s="358" t="s">
        <v>466</v>
      </c>
      <c r="B13" s="356"/>
      <c r="C13" s="359">
        <f>'Proposed TDM Plan Point Credits'!B8</f>
        <v>0</v>
      </c>
      <c r="D13" s="728">
        <f>'Proposed TDM Plan Trip Red. %'!B56</f>
        <v>0</v>
      </c>
    </row>
    <row r="14" spans="1:12" ht="20.65" customHeight="1" thickTop="1" thickBot="1" x14ac:dyDescent="0.3">
      <c r="A14" s="360" t="s">
        <v>467</v>
      </c>
      <c r="B14" s="356"/>
      <c r="C14" s="497" t="str">
        <f>'Proposed TDM Plan Point Credits'!D16</f>
        <v>Amount falls within proper range</v>
      </c>
      <c r="D14" s="498" t="str">
        <f>'Proposed TDM Plan Trip Red. %'!E15</f>
        <v>Does Not Exceed Maximum</v>
      </c>
    </row>
    <row r="15" spans="1:12" ht="43.15" customHeight="1" thickTop="1" thickBot="1" x14ac:dyDescent="0.3">
      <c r="A15" s="353" t="s">
        <v>468</v>
      </c>
      <c r="B15" s="354" t="s">
        <v>469</v>
      </c>
      <c r="C15" s="490"/>
      <c r="D15" s="729">
        <f>'Proposed TDM Plan Trip Red. %'!B11</f>
        <v>0</v>
      </c>
      <c r="I15" s="332" t="s">
        <v>602</v>
      </c>
      <c r="J15" s="332" t="s">
        <v>601</v>
      </c>
      <c r="K15" s="332" t="s">
        <v>600</v>
      </c>
      <c r="L15" s="332" t="s">
        <v>599</v>
      </c>
    </row>
    <row r="16" spans="1:12" ht="54.75" customHeight="1" thickTop="1" thickBot="1" x14ac:dyDescent="0.3">
      <c r="A16" s="353" t="s">
        <v>470</v>
      </c>
      <c r="B16" s="361" t="s">
        <v>471</v>
      </c>
      <c r="C16" s="490"/>
      <c r="D16" s="729">
        <f>'Proposed TDM Plan Trip Red. %'!B12</f>
        <v>0</v>
      </c>
      <c r="I16" s="332" t="s">
        <v>596</v>
      </c>
      <c r="J16" s="332" t="s">
        <v>594</v>
      </c>
      <c r="K16" s="332" t="s">
        <v>592</v>
      </c>
    </row>
    <row r="17" spans="1:12" ht="48" customHeight="1" thickTop="1" thickBot="1" x14ac:dyDescent="0.3">
      <c r="A17" s="353" t="s">
        <v>472</v>
      </c>
      <c r="B17" s="361" t="s">
        <v>473</v>
      </c>
      <c r="C17" s="490"/>
      <c r="D17" s="729">
        <f>'Proposed TDM Plan Trip Red. %'!B13</f>
        <v>0</v>
      </c>
      <c r="I17" s="332" t="s">
        <v>589</v>
      </c>
      <c r="J17" s="332" t="s">
        <v>588</v>
      </c>
    </row>
    <row r="18" spans="1:12" ht="39" customHeight="1" thickTop="1" thickBot="1" x14ac:dyDescent="0.3">
      <c r="A18" s="353" t="s">
        <v>474</v>
      </c>
      <c r="B18" s="361" t="s">
        <v>475</v>
      </c>
      <c r="C18" s="490"/>
      <c r="D18" s="729">
        <f>'Proposed TDM Plan Trip Red. %'!B14</f>
        <v>0</v>
      </c>
      <c r="I18" s="332" t="s">
        <v>585</v>
      </c>
      <c r="J18" s="332" t="s">
        <v>584</v>
      </c>
      <c r="K18" s="332" t="s">
        <v>583</v>
      </c>
    </row>
    <row r="19" spans="1:12" ht="28.9" customHeight="1" thickTop="1" thickBot="1" x14ac:dyDescent="0.3">
      <c r="A19" s="355" t="s">
        <v>465</v>
      </c>
      <c r="B19" s="356"/>
      <c r="C19" s="357">
        <f>'Proposed TDM Plan Point Credits'!C11</f>
        <v>15</v>
      </c>
      <c r="D19" s="730">
        <f>'Proposed TDM Plan Trip Red. %'!B50</f>
        <v>0</v>
      </c>
    </row>
    <row r="20" spans="1:12" ht="16.5" thickTop="1" thickBot="1" x14ac:dyDescent="0.3">
      <c r="A20" s="358" t="s">
        <v>466</v>
      </c>
      <c r="B20" s="362"/>
      <c r="C20" s="359">
        <f>'Proposed TDM Plan Point Credits'!B16</f>
        <v>0</v>
      </c>
      <c r="D20" s="729">
        <f>'Proposed TDM Plan Trip Red. %'!B57</f>
        <v>0</v>
      </c>
    </row>
    <row r="21" spans="1:12" ht="37.15" customHeight="1" thickTop="1" thickBot="1" x14ac:dyDescent="0.3">
      <c r="A21" s="360" t="s">
        <v>476</v>
      </c>
      <c r="B21" s="499"/>
      <c r="C21" s="497" t="str">
        <f>'Proposed TDM Plan Point Credits'!D31</f>
        <v>Amount falls within proper range</v>
      </c>
      <c r="D21" s="332" t="str">
        <f>'Proposed TDM Plan Trip Red. %'!E29</f>
        <v>Does Not Exceed Maximum</v>
      </c>
    </row>
    <row r="22" spans="1:12" ht="75" customHeight="1" thickTop="1" thickBot="1" x14ac:dyDescent="0.3">
      <c r="A22" s="353" t="s">
        <v>477</v>
      </c>
      <c r="B22" s="361" t="s">
        <v>478</v>
      </c>
      <c r="C22" s="490"/>
      <c r="D22" s="729">
        <f>'Proposed TDM Plan Trip Red. %'!B18</f>
        <v>0</v>
      </c>
      <c r="I22" s="332" t="s">
        <v>413</v>
      </c>
      <c r="J22" s="332" t="s">
        <v>414</v>
      </c>
    </row>
    <row r="23" spans="1:12" ht="63" customHeight="1" thickTop="1" thickBot="1" x14ac:dyDescent="0.3">
      <c r="A23" s="353" t="s">
        <v>479</v>
      </c>
      <c r="B23" s="361" t="s">
        <v>480</v>
      </c>
      <c r="C23" s="490"/>
      <c r="D23" s="729">
        <f>'Proposed TDM Plan Trip Red. %'!B19</f>
        <v>0</v>
      </c>
    </row>
    <row r="24" spans="1:12" ht="60.75" customHeight="1" thickTop="1" thickBot="1" x14ac:dyDescent="0.3">
      <c r="A24" s="353" t="s">
        <v>481</v>
      </c>
      <c r="B24" s="361" t="s">
        <v>480</v>
      </c>
      <c r="C24" s="490"/>
      <c r="D24" s="729">
        <f>'Proposed TDM Plan Trip Red. %'!B20</f>
        <v>0</v>
      </c>
    </row>
    <row r="25" spans="1:12" ht="79.150000000000006" customHeight="1" thickTop="1" thickBot="1" x14ac:dyDescent="0.3">
      <c r="A25" s="363" t="s">
        <v>482</v>
      </c>
      <c r="B25" s="361" t="s">
        <v>483</v>
      </c>
      <c r="C25" s="490"/>
      <c r="D25" s="729">
        <f>'Proposed TDM Plan Trip Red. %'!B21</f>
        <v>0</v>
      </c>
      <c r="I25" s="332" t="s">
        <v>576</v>
      </c>
      <c r="J25" s="332" t="s">
        <v>575</v>
      </c>
    </row>
    <row r="26" spans="1:12" ht="16.5" thickTop="1" thickBot="1" x14ac:dyDescent="0.3">
      <c r="A26" s="827" t="s">
        <v>484</v>
      </c>
      <c r="B26" s="361" t="s">
        <v>485</v>
      </c>
      <c r="C26" s="490"/>
      <c r="D26" s="835">
        <f>'Proposed TDM Plan Trip Red. %'!B22</f>
        <v>0</v>
      </c>
    </row>
    <row r="27" spans="1:12" ht="16.5" thickTop="1" thickBot="1" x14ac:dyDescent="0.3">
      <c r="A27" s="828"/>
      <c r="B27" s="361" t="s">
        <v>486</v>
      </c>
      <c r="C27" s="490"/>
      <c r="D27" s="835"/>
    </row>
    <row r="28" spans="1:12" ht="27.75" thickTop="1" thickBot="1" x14ac:dyDescent="0.3">
      <c r="A28" s="829"/>
      <c r="B28" s="361" t="s">
        <v>487</v>
      </c>
      <c r="C28" s="492"/>
      <c r="D28" s="835"/>
      <c r="I28" s="495">
        <v>0.25</v>
      </c>
      <c r="J28" s="495">
        <v>0.5</v>
      </c>
      <c r="K28" s="495">
        <v>0.75</v>
      </c>
      <c r="L28" s="495">
        <v>1</v>
      </c>
    </row>
    <row r="29" spans="1:12" ht="16.5" thickTop="1" thickBot="1" x14ac:dyDescent="0.3">
      <c r="A29" s="830" t="s">
        <v>488</v>
      </c>
      <c r="B29" s="361" t="s">
        <v>485</v>
      </c>
      <c r="C29" s="490"/>
      <c r="D29" s="835">
        <f>'Proposed TDM Plan Trip Red. %'!B23</f>
        <v>0</v>
      </c>
    </row>
    <row r="30" spans="1:12" ht="16.5" thickTop="1" thickBot="1" x14ac:dyDescent="0.3">
      <c r="A30" s="831"/>
      <c r="B30" s="361" t="s">
        <v>486</v>
      </c>
      <c r="C30" s="490"/>
      <c r="D30" s="835"/>
    </row>
    <row r="31" spans="1:12" ht="18" customHeight="1" thickTop="1" thickBot="1" x14ac:dyDescent="0.3">
      <c r="A31" s="832"/>
      <c r="B31" s="361" t="s">
        <v>489</v>
      </c>
      <c r="C31" s="492"/>
      <c r="D31" s="835"/>
    </row>
    <row r="32" spans="1:12" ht="80.650000000000006" customHeight="1" thickTop="1" thickBot="1" x14ac:dyDescent="0.3">
      <c r="A32" s="353" t="s">
        <v>490</v>
      </c>
      <c r="B32" s="361" t="s">
        <v>491</v>
      </c>
      <c r="C32" s="490"/>
      <c r="D32" s="729">
        <f>'Proposed TDM Plan Trip Red. %'!B24</f>
        <v>0</v>
      </c>
      <c r="I32" s="332" t="s">
        <v>567</v>
      </c>
      <c r="J32" s="332" t="s">
        <v>566</v>
      </c>
    </row>
    <row r="33" spans="1:23" ht="73.150000000000006" customHeight="1" thickTop="1" thickBot="1" x14ac:dyDescent="0.3">
      <c r="A33" s="353" t="s">
        <v>492</v>
      </c>
      <c r="B33" s="361" t="s">
        <v>493</v>
      </c>
      <c r="C33" s="490"/>
      <c r="D33" s="729">
        <f>'Proposed TDM Plan Trip Red. %'!B25</f>
        <v>0</v>
      </c>
      <c r="I33" s="332" t="s">
        <v>564</v>
      </c>
      <c r="J33" s="332" t="s">
        <v>563</v>
      </c>
    </row>
    <row r="34" spans="1:23" ht="73.150000000000006" customHeight="1" thickTop="1" thickBot="1" x14ac:dyDescent="0.3">
      <c r="A34" s="353" t="s">
        <v>494</v>
      </c>
      <c r="B34" s="361" t="s">
        <v>495</v>
      </c>
      <c r="C34" s="490"/>
      <c r="D34" s="729">
        <f>'Proposed TDM Plan Trip Red. %'!B26</f>
        <v>0</v>
      </c>
    </row>
    <row r="35" spans="1:23" ht="70.150000000000006" customHeight="1" thickTop="1" thickBot="1" x14ac:dyDescent="0.3">
      <c r="A35" s="353" t="s">
        <v>496</v>
      </c>
      <c r="B35" s="361" t="s">
        <v>497</v>
      </c>
      <c r="C35" s="490"/>
      <c r="D35" s="729">
        <f>'Proposed TDM Plan Trip Red. %'!B27</f>
        <v>0</v>
      </c>
    </row>
    <row r="36" spans="1:23" ht="61.15" customHeight="1" thickTop="1" thickBot="1" x14ac:dyDescent="0.3">
      <c r="A36" s="353" t="s">
        <v>498</v>
      </c>
      <c r="B36" s="361" t="s">
        <v>499</v>
      </c>
      <c r="C36" s="490"/>
      <c r="D36" s="729">
        <f>'Proposed TDM Plan Trip Red. %'!B28</f>
        <v>0</v>
      </c>
    </row>
    <row r="37" spans="1:23" ht="16.5" thickTop="1" thickBot="1" x14ac:dyDescent="0.3">
      <c r="A37" s="355" t="s">
        <v>465</v>
      </c>
      <c r="B37" s="356"/>
      <c r="C37" s="357">
        <f>'Proposed TDM Plan Point Credits'!C19</f>
        <v>10</v>
      </c>
      <c r="D37" s="730">
        <f>'Proposed TDM Plan Trip Red. %'!B51</f>
        <v>0</v>
      </c>
    </row>
    <row r="38" spans="1:23" ht="16.5" thickTop="1" thickBot="1" x14ac:dyDescent="0.3">
      <c r="A38" s="358" t="s">
        <v>466</v>
      </c>
      <c r="B38" s="356"/>
      <c r="C38" s="359">
        <f>'Proposed TDM Plan Point Credits'!B31</f>
        <v>0</v>
      </c>
      <c r="D38" s="729">
        <f>'Proposed TDM Plan Trip Red. %'!B58</f>
        <v>0</v>
      </c>
      <c r="E38" s="364"/>
    </row>
    <row r="39" spans="1:23" ht="17.25" thickTop="1" thickBot="1" x14ac:dyDescent="0.3">
      <c r="A39" s="360" t="s">
        <v>500</v>
      </c>
      <c r="B39" s="499"/>
      <c r="C39" s="497" t="str">
        <f>'Proposed TDM Plan Point Credits'!D41</f>
        <v>Amount falls within proper range</v>
      </c>
      <c r="D39" s="498" t="str">
        <f>'Proposed TDM Plan Trip Red. %'!E38</f>
        <v>Does Not Exceed Maximum</v>
      </c>
      <c r="E39" s="364"/>
    </row>
    <row r="40" spans="1:23" ht="50.65" customHeight="1" thickTop="1" thickBot="1" x14ac:dyDescent="0.3">
      <c r="A40" s="353" t="s">
        <v>501</v>
      </c>
      <c r="B40" s="361" t="s">
        <v>502</v>
      </c>
      <c r="C40" s="490"/>
      <c r="D40" s="729">
        <f>'Proposed TDM Plan Trip Red. %'!B32</f>
        <v>0</v>
      </c>
      <c r="E40" s="364"/>
      <c r="I40" s="332">
        <v>1</v>
      </c>
      <c r="J40" s="332">
        <v>2</v>
      </c>
      <c r="K40" s="332">
        <v>3</v>
      </c>
      <c r="L40" s="332">
        <v>4</v>
      </c>
      <c r="M40" s="332">
        <v>5</v>
      </c>
      <c r="N40" s="332">
        <v>6</v>
      </c>
      <c r="O40" s="332">
        <v>7</v>
      </c>
      <c r="P40" s="332">
        <v>8</v>
      </c>
      <c r="Q40" s="332">
        <v>9</v>
      </c>
      <c r="R40" s="332">
        <v>10</v>
      </c>
    </row>
    <row r="41" spans="1:23" ht="76.900000000000006" customHeight="1" thickTop="1" thickBot="1" x14ac:dyDescent="0.3">
      <c r="A41" s="353" t="s">
        <v>503</v>
      </c>
      <c r="B41" s="361" t="s">
        <v>504</v>
      </c>
      <c r="C41" s="490"/>
      <c r="D41" s="729">
        <f>'Proposed TDM Plan Trip Red. %'!B33</f>
        <v>0</v>
      </c>
      <c r="E41" s="364"/>
      <c r="I41" s="332">
        <v>1</v>
      </c>
      <c r="J41" s="332">
        <v>2</v>
      </c>
      <c r="K41" s="332">
        <v>3</v>
      </c>
      <c r="L41" s="332">
        <v>4</v>
      </c>
      <c r="M41" s="332">
        <v>5</v>
      </c>
      <c r="N41" s="332">
        <v>6</v>
      </c>
      <c r="O41" s="332">
        <v>7</v>
      </c>
      <c r="P41" s="332">
        <v>8</v>
      </c>
      <c r="Q41" s="332">
        <v>9</v>
      </c>
      <c r="R41" s="332">
        <v>10</v>
      </c>
    </row>
    <row r="42" spans="1:23" ht="89.65" customHeight="1" thickTop="1" thickBot="1" x14ac:dyDescent="0.3">
      <c r="A42" s="353" t="s">
        <v>505</v>
      </c>
      <c r="B42" s="361" t="s">
        <v>506</v>
      </c>
      <c r="C42" s="490"/>
      <c r="D42" s="729">
        <f>'Proposed TDM Plan Trip Red. %'!B34</f>
        <v>0</v>
      </c>
      <c r="E42" s="364"/>
      <c r="I42" s="332">
        <v>1</v>
      </c>
      <c r="J42" s="332">
        <v>2</v>
      </c>
      <c r="K42" s="332">
        <v>3</v>
      </c>
      <c r="L42" s="332">
        <v>4</v>
      </c>
      <c r="M42" s="332">
        <v>5</v>
      </c>
      <c r="N42" s="332">
        <v>6</v>
      </c>
      <c r="O42" s="332">
        <v>7</v>
      </c>
      <c r="P42" s="332">
        <v>8</v>
      </c>
      <c r="Q42" s="332">
        <v>9</v>
      </c>
      <c r="R42" s="332">
        <v>10</v>
      </c>
      <c r="S42" s="332">
        <v>11</v>
      </c>
      <c r="T42" s="332">
        <v>12</v>
      </c>
      <c r="U42" s="332">
        <v>13</v>
      </c>
      <c r="V42" s="332">
        <v>14</v>
      </c>
      <c r="W42" s="332">
        <v>15</v>
      </c>
    </row>
    <row r="43" spans="1:23" ht="58.9" customHeight="1" thickTop="1" thickBot="1" x14ac:dyDescent="0.3">
      <c r="A43" s="353" t="s">
        <v>507</v>
      </c>
      <c r="B43" s="361" t="s">
        <v>508</v>
      </c>
      <c r="C43" s="490"/>
      <c r="D43" s="729">
        <f>'Proposed TDM Plan Trip Red. %'!B35</f>
        <v>0</v>
      </c>
      <c r="I43" s="332">
        <v>1</v>
      </c>
      <c r="J43" s="332">
        <v>2</v>
      </c>
      <c r="K43" s="332">
        <v>3</v>
      </c>
      <c r="L43" s="332">
        <v>4</v>
      </c>
      <c r="M43" s="332">
        <v>5</v>
      </c>
      <c r="N43" s="332">
        <v>6</v>
      </c>
      <c r="O43" s="332">
        <v>7</v>
      </c>
      <c r="P43" s="332">
        <v>8</v>
      </c>
      <c r="Q43" s="332">
        <v>9</v>
      </c>
      <c r="R43" s="332">
        <v>10</v>
      </c>
    </row>
    <row r="44" spans="1:23" ht="73.150000000000006" customHeight="1" thickTop="1" thickBot="1" x14ac:dyDescent="0.3">
      <c r="A44" s="353" t="s">
        <v>509</v>
      </c>
      <c r="B44" s="361" t="s">
        <v>510</v>
      </c>
      <c r="C44" s="490"/>
      <c r="D44" s="729">
        <f>'Proposed TDM Plan Trip Red. %'!B36</f>
        <v>0</v>
      </c>
      <c r="I44" s="332">
        <v>1</v>
      </c>
      <c r="J44" s="332">
        <v>2</v>
      </c>
      <c r="K44" s="332">
        <v>3</v>
      </c>
      <c r="L44" s="332">
        <v>4</v>
      </c>
      <c r="M44" s="332">
        <v>5</v>
      </c>
    </row>
    <row r="45" spans="1:23" ht="60" customHeight="1" thickTop="1" thickBot="1" x14ac:dyDescent="0.3">
      <c r="A45" s="353" t="s">
        <v>511</v>
      </c>
      <c r="B45" s="361" t="s">
        <v>512</v>
      </c>
      <c r="C45" s="490"/>
      <c r="D45" s="729">
        <f>'Proposed TDM Plan Trip Red. %'!B37</f>
        <v>0</v>
      </c>
      <c r="I45" s="332">
        <v>1</v>
      </c>
      <c r="J45" s="332">
        <v>2</v>
      </c>
      <c r="K45" s="332">
        <v>3</v>
      </c>
      <c r="L45" s="332">
        <v>4</v>
      </c>
      <c r="M45" s="332">
        <v>5</v>
      </c>
    </row>
    <row r="46" spans="1:23" ht="16.5" thickTop="1" thickBot="1" x14ac:dyDescent="0.3">
      <c r="A46" s="355" t="s">
        <v>465</v>
      </c>
      <c r="B46" s="356"/>
      <c r="C46" s="357">
        <f>'Proposed TDM Plan Point Credits'!C34</f>
        <v>40</v>
      </c>
      <c r="D46" s="730">
        <f>'Proposed TDM Plan Trip Red. %'!B52</f>
        <v>0</v>
      </c>
    </row>
    <row r="47" spans="1:23" ht="31.9" customHeight="1" thickTop="1" thickBot="1" x14ac:dyDescent="0.3">
      <c r="A47" s="358" t="s">
        <v>466</v>
      </c>
      <c r="B47" s="356"/>
      <c r="C47" s="359">
        <f>'Proposed TDM Plan Point Credits'!B41</f>
        <v>0</v>
      </c>
      <c r="D47" s="729">
        <f>'Proposed TDM Plan Trip Red. %'!B59</f>
        <v>0</v>
      </c>
    </row>
    <row r="48" spans="1:23" ht="25.15" customHeight="1" thickTop="1" thickBot="1" x14ac:dyDescent="0.3">
      <c r="A48" s="365" t="s">
        <v>513</v>
      </c>
      <c r="B48" s="356"/>
      <c r="C48" s="357">
        <f>'Proposed TDM Plan Point Credits'!C43</f>
        <v>85</v>
      </c>
      <c r="D48" s="729">
        <f>'Proposed TDM Plan Trip Red. %'!B53</f>
        <v>0</v>
      </c>
    </row>
    <row r="49" spans="1:4" ht="19.5" thickTop="1" thickBot="1" x14ac:dyDescent="0.3">
      <c r="A49" s="366" t="s">
        <v>514</v>
      </c>
      <c r="B49" s="366"/>
      <c r="C49" s="367" t="s">
        <v>515</v>
      </c>
      <c r="D49" s="500" t="s">
        <v>516</v>
      </c>
    </row>
    <row r="50" spans="1:4" ht="33" thickTop="1" thickBot="1" x14ac:dyDescent="0.3">
      <c r="A50" s="368" t="s">
        <v>517</v>
      </c>
      <c r="B50" s="368"/>
      <c r="C50" s="369">
        <f>'Proposed TDM Plan Point Credits'!B43</f>
        <v>0</v>
      </c>
      <c r="D50" s="501">
        <f>'Proposed TDM Plan Trip Red. %'!B61</f>
        <v>0</v>
      </c>
    </row>
    <row r="51" spans="1:4" ht="15.75" thickTop="1" x14ac:dyDescent="0.25"/>
    <row r="54" spans="1:4" x14ac:dyDescent="0.25">
      <c r="A54" s="493" t="s">
        <v>518</v>
      </c>
      <c r="B54" s="373"/>
      <c r="C54" s="332"/>
    </row>
    <row r="55" spans="1:4" x14ac:dyDescent="0.25">
      <c r="A55" s="374" t="s">
        <v>519</v>
      </c>
      <c r="B55" s="373"/>
      <c r="C55" s="332"/>
    </row>
    <row r="56" spans="1:4" x14ac:dyDescent="0.25">
      <c r="A56" s="374" t="s">
        <v>520</v>
      </c>
      <c r="B56" s="373"/>
      <c r="C56" s="332"/>
    </row>
    <row r="57" spans="1:4" x14ac:dyDescent="0.25">
      <c r="A57" s="374"/>
      <c r="B57" s="375"/>
      <c r="C57" s="332"/>
    </row>
    <row r="58" spans="1:4" x14ac:dyDescent="0.25">
      <c r="A58" s="833" t="s">
        <v>521</v>
      </c>
      <c r="B58" s="834"/>
      <c r="C58" s="332"/>
    </row>
    <row r="59" spans="1:4" ht="28.9" customHeight="1" x14ac:dyDescent="0.25">
      <c r="A59" s="332" t="s">
        <v>522</v>
      </c>
      <c r="B59" s="826" t="s">
        <v>523</v>
      </c>
      <c r="C59" s="826"/>
      <c r="D59" s="826"/>
    </row>
    <row r="60" spans="1:4" x14ac:dyDescent="0.25">
      <c r="A60" s="376" t="s">
        <v>458</v>
      </c>
      <c r="B60" s="377" t="s">
        <v>524</v>
      </c>
      <c r="C60" s="378" t="s">
        <v>525</v>
      </c>
      <c r="D60" s="378" t="s">
        <v>526</v>
      </c>
    </row>
    <row r="61" spans="1:4" x14ac:dyDescent="0.25">
      <c r="A61" s="332" t="s">
        <v>527</v>
      </c>
      <c r="B61" s="379">
        <v>3</v>
      </c>
      <c r="C61" s="380">
        <v>2</v>
      </c>
      <c r="D61" s="379">
        <v>1</v>
      </c>
    </row>
    <row r="62" spans="1:4" x14ac:dyDescent="0.25">
      <c r="A62" s="332" t="s">
        <v>528</v>
      </c>
      <c r="B62" s="379">
        <v>5</v>
      </c>
      <c r="C62" s="380">
        <v>4</v>
      </c>
      <c r="D62" s="379">
        <v>3</v>
      </c>
    </row>
    <row r="63" spans="1:4" x14ac:dyDescent="0.25">
      <c r="A63" s="332" t="s">
        <v>529</v>
      </c>
      <c r="B63" s="379">
        <v>7</v>
      </c>
      <c r="C63" s="380">
        <v>6</v>
      </c>
      <c r="D63" s="379">
        <v>5</v>
      </c>
    </row>
    <row r="64" spans="1:4" x14ac:dyDescent="0.25">
      <c r="A64" s="332" t="s">
        <v>530</v>
      </c>
      <c r="B64" s="379">
        <v>10</v>
      </c>
      <c r="C64" s="380">
        <v>8</v>
      </c>
      <c r="D64" s="379">
        <v>7</v>
      </c>
    </row>
    <row r="65" spans="1:3" x14ac:dyDescent="0.25">
      <c r="B65" s="373"/>
      <c r="C65" s="332"/>
    </row>
    <row r="66" spans="1:3" x14ac:dyDescent="0.25">
      <c r="A66" s="374" t="s">
        <v>531</v>
      </c>
      <c r="B66" s="332"/>
      <c r="C66" s="332"/>
    </row>
    <row r="67" spans="1:3" x14ac:dyDescent="0.25">
      <c r="A67" s="332" t="s">
        <v>532</v>
      </c>
    </row>
  </sheetData>
  <sheetProtection algorithmName="SHA-512" hashValue="U/HrxLMFtcGoEx8OMk624jXBCXTItGUf4rh7cFFFCaPkFQFH22rDKoZ4yYD8/ueVol/ISWoPmdv42JhuYD+Nzw==" saltValue="O6T1Q9PEZ4iIT28taSk9nw==" spinCount="100000" sheet="1" selectLockedCells="1"/>
  <dataConsolidate/>
  <mergeCells count="13">
    <mergeCell ref="B59:D59"/>
    <mergeCell ref="A26:A28"/>
    <mergeCell ref="A29:A31"/>
    <mergeCell ref="A58:B58"/>
    <mergeCell ref="D26:D28"/>
    <mergeCell ref="D29:D31"/>
    <mergeCell ref="A1:D1"/>
    <mergeCell ref="A2:B2"/>
    <mergeCell ref="A3:B3"/>
    <mergeCell ref="A4:B4"/>
    <mergeCell ref="A5:B6"/>
    <mergeCell ref="C5:C6"/>
    <mergeCell ref="D5:D6"/>
  </mergeCells>
  <conditionalFormatting sqref="C9">
    <cfRule type="containsText" dxfId="27" priority="15" stopIfTrue="1" operator="containsText" text="does not">
      <formula>NOT(ISERROR(SEARCH("does not",C9)))</formula>
    </cfRule>
    <cfRule type="containsText" dxfId="26" priority="16" stopIfTrue="1" operator="containsText" text="Proper">
      <formula>NOT(ISERROR(SEARCH("Proper",C9)))</formula>
    </cfRule>
  </conditionalFormatting>
  <conditionalFormatting sqref="D9">
    <cfRule type="containsText" dxfId="25" priority="13" stopIfTrue="1" operator="containsText" text="Does not">
      <formula>NOT(ISERROR(SEARCH("Does not",D9)))</formula>
    </cfRule>
    <cfRule type="containsText" dxfId="24" priority="14" stopIfTrue="1" operator="containsText" text="Amount">
      <formula>NOT(ISERROR(SEARCH("Amount",D9)))</formula>
    </cfRule>
  </conditionalFormatting>
  <conditionalFormatting sqref="C14">
    <cfRule type="containsText" dxfId="23" priority="11" stopIfTrue="1" operator="containsText" text="does not">
      <formula>NOT(ISERROR(SEARCH("does not",C14)))</formula>
    </cfRule>
    <cfRule type="containsText" dxfId="22" priority="12" stopIfTrue="1" operator="containsText" text="Proper">
      <formula>NOT(ISERROR(SEARCH("Proper",C14)))</formula>
    </cfRule>
  </conditionalFormatting>
  <conditionalFormatting sqref="D14">
    <cfRule type="containsText" dxfId="21" priority="9" stopIfTrue="1" operator="containsText" text="Does not">
      <formula>NOT(ISERROR(SEARCH("Does not",D14)))</formula>
    </cfRule>
    <cfRule type="containsText" dxfId="20" priority="10" stopIfTrue="1" operator="containsText" text="Amount">
      <formula>NOT(ISERROR(SEARCH("Amount",D14)))</formula>
    </cfRule>
  </conditionalFormatting>
  <conditionalFormatting sqref="C21">
    <cfRule type="containsText" dxfId="19" priority="7" stopIfTrue="1" operator="containsText" text="does not">
      <formula>NOT(ISERROR(SEARCH("does not",C21)))</formula>
    </cfRule>
    <cfRule type="containsText" dxfId="18" priority="8" stopIfTrue="1" operator="containsText" text="Proper">
      <formula>NOT(ISERROR(SEARCH("Proper",C21)))</formula>
    </cfRule>
  </conditionalFormatting>
  <conditionalFormatting sqref="C39">
    <cfRule type="containsText" dxfId="17" priority="5" stopIfTrue="1" operator="containsText" text="does not">
      <formula>NOT(ISERROR(SEARCH("does not",C39)))</formula>
    </cfRule>
    <cfRule type="containsText" dxfId="16" priority="6" stopIfTrue="1" operator="containsText" text="Proper">
      <formula>NOT(ISERROR(SEARCH("Proper",C39)))</formula>
    </cfRule>
  </conditionalFormatting>
  <conditionalFormatting sqref="D39">
    <cfRule type="containsText" dxfId="15" priority="3" stopIfTrue="1" operator="containsText" text="Does not">
      <formula>NOT(ISERROR(SEARCH("Does not",D39)))</formula>
    </cfRule>
    <cfRule type="containsText" dxfId="14" priority="4" stopIfTrue="1" operator="containsText" text="Amount">
      <formula>NOT(ISERROR(SEARCH("Amount",D39)))</formula>
    </cfRule>
  </conditionalFormatting>
  <conditionalFormatting sqref="D21">
    <cfRule type="containsText" dxfId="13" priority="1" stopIfTrue="1" operator="containsText" text="Does not">
      <formula>NOT(ISERROR(SEARCH("Does not",D21)))</formula>
    </cfRule>
    <cfRule type="containsText" dxfId="12" priority="2" stopIfTrue="1" operator="containsText" text="Amount">
      <formula>NOT(ISERROR(SEARCH("Amount",D21)))</formula>
    </cfRule>
  </conditionalFormatting>
  <dataValidations count="17">
    <dataValidation type="list" allowBlank="1" showInputMessage="1" showErrorMessage="1" sqref="C28 C31" xr:uid="{00000000-0002-0000-0900-000000000000}">
      <formula1>$H$28:$L$28</formula1>
    </dataValidation>
    <dataValidation type="list" allowBlank="1" showInputMessage="1" showErrorMessage="1" sqref="C8" xr:uid="{00000000-0002-0000-0900-000001000000}">
      <formula1>$H$8:$K$8</formula1>
    </dataValidation>
    <dataValidation type="list" allowBlank="1" showInputMessage="1" showErrorMessage="1" sqref="C11" xr:uid="{00000000-0002-0000-0900-000002000000}">
      <formula1>$H$11:$K$11</formula1>
    </dataValidation>
    <dataValidation type="list" allowBlank="1" showInputMessage="1" showErrorMessage="1" sqref="C15" xr:uid="{00000000-0002-0000-0900-000003000000}">
      <formula1>$H$15:$L$15</formula1>
    </dataValidation>
    <dataValidation type="list" allowBlank="1" showInputMessage="1" showErrorMessage="1" sqref="C16" xr:uid="{00000000-0002-0000-0900-000004000000}">
      <formula1>$H$16:$K$16</formula1>
    </dataValidation>
    <dataValidation type="list" allowBlank="1" showInputMessage="1" showErrorMessage="1" sqref="C17" xr:uid="{00000000-0002-0000-0900-000005000000}">
      <formula1>$H$17:$J$17</formula1>
    </dataValidation>
    <dataValidation type="list" allowBlank="1" showInputMessage="1" showErrorMessage="1" sqref="C18" xr:uid="{00000000-0002-0000-0900-000006000000}">
      <formula1>$H$18:$K$18</formula1>
    </dataValidation>
    <dataValidation type="list" allowBlank="1" showInputMessage="1" showErrorMessage="1" sqref="C29:C30 C22:C24 C26:C27 C34:C36" xr:uid="{00000000-0002-0000-0900-000007000000}">
      <formula1>$H$22:$J$22</formula1>
    </dataValidation>
    <dataValidation type="list" allowBlank="1" showInputMessage="1" showErrorMessage="1" sqref="C25" xr:uid="{00000000-0002-0000-0900-000008000000}">
      <formula1>$H$25:$J$25</formula1>
    </dataValidation>
    <dataValidation type="list" allowBlank="1" showInputMessage="1" showErrorMessage="1" sqref="C32" xr:uid="{00000000-0002-0000-0900-000009000000}">
      <formula1>$H$32:$J$32</formula1>
    </dataValidation>
    <dataValidation type="list" allowBlank="1" showInputMessage="1" showErrorMessage="1" sqref="C33" xr:uid="{00000000-0002-0000-0900-00000A000000}">
      <formula1>$H$33:$J$33</formula1>
    </dataValidation>
    <dataValidation type="list" allowBlank="1" showInputMessage="1" showErrorMessage="1" sqref="C40" xr:uid="{00000000-0002-0000-0900-00000B000000}">
      <formula1>$H$40:$R$40</formula1>
    </dataValidation>
    <dataValidation type="list" allowBlank="1" showInputMessage="1" showErrorMessage="1" sqref="C41" xr:uid="{00000000-0002-0000-0900-00000C000000}">
      <formula1>$H$41:$R$41</formula1>
    </dataValidation>
    <dataValidation type="list" allowBlank="1" showInputMessage="1" showErrorMessage="1" sqref="C42" xr:uid="{00000000-0002-0000-0900-00000D000000}">
      <formula1>$H$42:$W$42</formula1>
    </dataValidation>
    <dataValidation type="list" allowBlank="1" showInputMessage="1" showErrorMessage="1" sqref="C43" xr:uid="{00000000-0002-0000-0900-00000E000000}">
      <formula1>$H$43:$R$43</formula1>
    </dataValidation>
    <dataValidation type="list" allowBlank="1" showInputMessage="1" showErrorMessage="1" sqref="C44" xr:uid="{00000000-0002-0000-0900-00000F000000}">
      <formula1>$H$44:$M$44</formula1>
    </dataValidation>
    <dataValidation type="list" allowBlank="1" showInputMessage="1" showErrorMessage="1" sqref="C45" xr:uid="{00000000-0002-0000-0900-000010000000}">
      <formula1>$H$45:$M$45</formula1>
    </dataValidation>
  </dataValidations>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FFC000"/>
  </sheetPr>
  <dimension ref="A1:N136"/>
  <sheetViews>
    <sheetView showGridLines="0" zoomScale="60" zoomScaleNormal="60" workbookViewId="0">
      <pane xSplit="1" ySplit="2" topLeftCell="B3" activePane="bottomRight" state="frozen"/>
      <selection activeCell="T9" sqref="T9"/>
      <selection pane="topRight" activeCell="T9" sqref="T9"/>
      <selection pane="bottomLeft" activeCell="T9" sqref="T9"/>
      <selection pane="bottomRight" activeCell="K10" sqref="K10"/>
    </sheetView>
  </sheetViews>
  <sheetFormatPr defaultColWidth="8.85546875" defaultRowHeight="15" x14ac:dyDescent="0.25"/>
  <cols>
    <col min="1" max="1" width="61" style="414" bestFit="1" customWidth="1"/>
    <col min="2" max="2" width="50.7109375" style="414" customWidth="1"/>
    <col min="3" max="3" width="48.140625" style="414" customWidth="1"/>
    <col min="4" max="4" width="50.7109375" style="414" customWidth="1"/>
    <col min="5" max="6" width="30.140625" style="414" customWidth="1"/>
    <col min="7" max="7" width="25.85546875" style="415" customWidth="1"/>
    <col min="8" max="8" width="21.28515625" style="414" customWidth="1"/>
    <col min="9" max="10" width="27.5703125" style="414" customWidth="1"/>
    <col min="11" max="11" width="36.7109375" style="415" customWidth="1"/>
    <col min="12" max="12" width="27.28515625" style="414" customWidth="1"/>
    <col min="13" max="13" width="28.42578125" style="414" customWidth="1"/>
    <col min="14" max="16384" width="8.85546875" style="414"/>
  </cols>
  <sheetData>
    <row r="1" spans="1:13" ht="28.9" customHeight="1" x14ac:dyDescent="0.25">
      <c r="A1" s="487"/>
      <c r="B1" s="854" t="s">
        <v>621</v>
      </c>
      <c r="C1" s="854" t="s">
        <v>620</v>
      </c>
      <c r="D1" s="854" t="s">
        <v>619</v>
      </c>
      <c r="E1" s="854" t="s">
        <v>618</v>
      </c>
      <c r="F1" s="488" t="s">
        <v>616</v>
      </c>
      <c r="G1" s="843" t="s">
        <v>617</v>
      </c>
      <c r="H1" s="844"/>
      <c r="I1" s="845"/>
      <c r="J1" s="488" t="s">
        <v>616</v>
      </c>
      <c r="K1" s="843" t="s">
        <v>615</v>
      </c>
      <c r="L1" s="844"/>
      <c r="M1" s="845"/>
    </row>
    <row r="2" spans="1:13" ht="59.65" customHeight="1" thickBot="1" x14ac:dyDescent="0.35">
      <c r="A2" s="487"/>
      <c r="B2" s="855"/>
      <c r="C2" s="855"/>
      <c r="D2" s="855"/>
      <c r="E2" s="855"/>
      <c r="F2" s="486"/>
      <c r="G2" s="485" t="s">
        <v>524</v>
      </c>
      <c r="H2" s="483" t="s">
        <v>525</v>
      </c>
      <c r="I2" s="484" t="s">
        <v>526</v>
      </c>
      <c r="J2" s="483"/>
      <c r="K2" s="846"/>
      <c r="L2" s="847"/>
      <c r="M2" s="848"/>
    </row>
    <row r="3" spans="1:13" ht="57.75" customHeight="1" x14ac:dyDescent="0.25">
      <c r="A3" s="856" t="s">
        <v>460</v>
      </c>
      <c r="B3" s="841" t="s">
        <v>461</v>
      </c>
      <c r="C3" s="836" t="s">
        <v>614</v>
      </c>
      <c r="D3" s="836" t="s">
        <v>613</v>
      </c>
      <c r="E3" s="441">
        <v>5</v>
      </c>
      <c r="F3" s="431"/>
      <c r="G3" s="481" t="s">
        <v>612</v>
      </c>
      <c r="H3" s="481" t="s">
        <v>612</v>
      </c>
      <c r="I3" s="481" t="s">
        <v>612</v>
      </c>
      <c r="J3" s="481"/>
      <c r="K3" s="452">
        <v>0.04</v>
      </c>
      <c r="L3" s="452">
        <v>0.1</v>
      </c>
      <c r="M3" s="482"/>
    </row>
    <row r="4" spans="1:13" ht="57" customHeight="1" x14ac:dyDescent="0.25">
      <c r="A4" s="857"/>
      <c r="B4" s="842"/>
      <c r="C4" s="837"/>
      <c r="D4" s="837"/>
      <c r="E4" s="431">
        <v>10</v>
      </c>
      <c r="F4" s="431"/>
      <c r="G4" s="481" t="s">
        <v>611</v>
      </c>
      <c r="H4" s="481" t="s">
        <v>611</v>
      </c>
      <c r="I4" s="481" t="s">
        <v>611</v>
      </c>
      <c r="J4" s="481"/>
      <c r="K4" s="458">
        <v>0.09</v>
      </c>
      <c r="L4" s="458">
        <v>0.15</v>
      </c>
      <c r="M4" s="480"/>
    </row>
    <row r="5" spans="1:13" ht="54.75" customHeight="1" x14ac:dyDescent="0.25">
      <c r="A5" s="857"/>
      <c r="B5" s="842"/>
      <c r="C5" s="837"/>
      <c r="D5" s="837"/>
      <c r="E5" s="431">
        <v>15</v>
      </c>
      <c r="F5" s="431"/>
      <c r="G5" s="481" t="s">
        <v>610</v>
      </c>
      <c r="H5" s="481" t="s">
        <v>610</v>
      </c>
      <c r="I5" s="481" t="s">
        <v>610</v>
      </c>
      <c r="J5" s="481"/>
      <c r="K5" s="458">
        <v>0.14000000000000001</v>
      </c>
      <c r="L5" s="458">
        <v>0.2</v>
      </c>
      <c r="M5" s="480"/>
    </row>
    <row r="6" spans="1:13" ht="31.9" customHeight="1" x14ac:dyDescent="0.25">
      <c r="A6" s="857"/>
      <c r="B6" s="842"/>
      <c r="C6" s="837"/>
      <c r="D6" s="837"/>
      <c r="E6" s="431">
        <v>20</v>
      </c>
      <c r="F6" s="431"/>
      <c r="G6" s="481" t="s">
        <v>609</v>
      </c>
      <c r="H6" s="481" t="s">
        <v>609</v>
      </c>
      <c r="I6" s="481" t="s">
        <v>609</v>
      </c>
      <c r="J6" s="481"/>
      <c r="K6" s="458">
        <v>0.19</v>
      </c>
      <c r="L6" s="458">
        <v>1</v>
      </c>
      <c r="M6" s="480"/>
    </row>
    <row r="7" spans="1:13" ht="31.9" customHeight="1" x14ac:dyDescent="0.25">
      <c r="A7" s="857"/>
      <c r="B7" s="838" t="s">
        <v>463</v>
      </c>
      <c r="C7" s="425"/>
      <c r="D7" s="425"/>
      <c r="E7" s="425"/>
      <c r="F7" s="425"/>
      <c r="G7" s="425"/>
      <c r="H7" s="425"/>
      <c r="I7" s="425"/>
      <c r="J7" s="425"/>
      <c r="K7" s="425"/>
      <c r="L7" s="425"/>
      <c r="M7" s="425"/>
    </row>
    <row r="8" spans="1:13" ht="105" x14ac:dyDescent="0.25">
      <c r="A8" s="858"/>
      <c r="B8" s="838"/>
      <c r="C8" s="840" t="s">
        <v>608</v>
      </c>
      <c r="D8" s="840" t="s">
        <v>607</v>
      </c>
      <c r="E8" s="444">
        <v>1</v>
      </c>
      <c r="F8" s="444"/>
      <c r="G8" s="426">
        <v>0.05</v>
      </c>
      <c r="H8" s="426">
        <v>2.5000000000000001E-2</v>
      </c>
      <c r="I8" s="426">
        <v>0.01</v>
      </c>
      <c r="J8" s="425"/>
      <c r="K8" s="444" t="s">
        <v>606</v>
      </c>
      <c r="L8" s="444"/>
      <c r="M8" s="443"/>
    </row>
    <row r="9" spans="1:13" ht="135" x14ac:dyDescent="0.25">
      <c r="A9" s="858"/>
      <c r="B9" s="838"/>
      <c r="C9" s="840"/>
      <c r="D9" s="840"/>
      <c r="E9" s="444">
        <v>2</v>
      </c>
      <c r="F9" s="444"/>
      <c r="G9" s="426">
        <v>0.1</v>
      </c>
      <c r="H9" s="426">
        <v>0.05</v>
      </c>
      <c r="I9" s="426">
        <v>2.5000000000000001E-2</v>
      </c>
      <c r="J9" s="425"/>
      <c r="K9" s="725" t="s">
        <v>727</v>
      </c>
      <c r="L9" s="444"/>
      <c r="M9" s="443"/>
    </row>
    <row r="10" spans="1:13" ht="150.75" thickBot="1" x14ac:dyDescent="0.3">
      <c r="A10" s="859"/>
      <c r="B10" s="839"/>
      <c r="C10" s="840"/>
      <c r="D10" s="840"/>
      <c r="E10" s="444">
        <v>3</v>
      </c>
      <c r="F10" s="444"/>
      <c r="G10" s="426">
        <v>0.2</v>
      </c>
      <c r="H10" s="426">
        <v>0.1</v>
      </c>
      <c r="I10" s="426">
        <v>0.05</v>
      </c>
      <c r="J10" s="425"/>
      <c r="K10" s="444" t="s">
        <v>605</v>
      </c>
      <c r="L10" s="444"/>
      <c r="M10" s="443"/>
    </row>
    <row r="11" spans="1:13" ht="67.900000000000006" customHeight="1" x14ac:dyDescent="0.25">
      <c r="A11" s="479"/>
      <c r="B11" s="841" t="s">
        <v>468</v>
      </c>
      <c r="C11" s="441"/>
      <c r="D11" s="441"/>
      <c r="E11" s="441"/>
      <c r="F11" s="441"/>
      <c r="G11" s="442"/>
      <c r="H11" s="442"/>
      <c r="I11" s="442"/>
      <c r="J11" s="441"/>
      <c r="K11" s="441"/>
      <c r="L11" s="441"/>
      <c r="M11" s="441"/>
    </row>
    <row r="12" spans="1:13" ht="30" x14ac:dyDescent="0.25">
      <c r="A12" s="850" t="s">
        <v>604</v>
      </c>
      <c r="B12" s="842"/>
      <c r="C12" s="860" t="s">
        <v>469</v>
      </c>
      <c r="D12" s="860" t="s">
        <v>603</v>
      </c>
      <c r="E12" s="431">
        <v>2</v>
      </c>
      <c r="F12" s="431"/>
      <c r="G12" s="432">
        <f>2*H12</f>
        <v>0.04</v>
      </c>
      <c r="H12" s="432">
        <v>0.02</v>
      </c>
      <c r="I12" s="432">
        <f>0.5*H12</f>
        <v>0.01</v>
      </c>
      <c r="J12" s="431"/>
      <c r="K12" s="458" t="s">
        <v>602</v>
      </c>
      <c r="L12" s="458"/>
      <c r="M12" s="457"/>
    </row>
    <row r="13" spans="1:13" ht="30" x14ac:dyDescent="0.25">
      <c r="A13" s="850"/>
      <c r="B13" s="842"/>
      <c r="C13" s="860"/>
      <c r="D13" s="860"/>
      <c r="E13" s="431">
        <v>5</v>
      </c>
      <c r="F13" s="431"/>
      <c r="G13" s="432">
        <f>2*H13</f>
        <v>0.1</v>
      </c>
      <c r="H13" s="432">
        <v>0.05</v>
      </c>
      <c r="I13" s="432">
        <f>0.5*H13</f>
        <v>2.5000000000000001E-2</v>
      </c>
      <c r="J13" s="431"/>
      <c r="K13" s="458" t="s">
        <v>601</v>
      </c>
      <c r="L13" s="458"/>
      <c r="M13" s="457"/>
    </row>
    <row r="14" spans="1:13" ht="26.65" customHeight="1" x14ac:dyDescent="0.25">
      <c r="A14" s="850"/>
      <c r="B14" s="842"/>
      <c r="C14" s="860"/>
      <c r="D14" s="860"/>
      <c r="E14" s="431">
        <v>8</v>
      </c>
      <c r="F14" s="431"/>
      <c r="G14" s="432">
        <f>2*H14</f>
        <v>0.16</v>
      </c>
      <c r="H14" s="432">
        <v>0.08</v>
      </c>
      <c r="I14" s="432">
        <f>0.5*H14</f>
        <v>0.04</v>
      </c>
      <c r="J14" s="431"/>
      <c r="K14" s="458" t="s">
        <v>600</v>
      </c>
      <c r="L14" s="458"/>
      <c r="M14" s="457"/>
    </row>
    <row r="15" spans="1:13" ht="86.65" customHeight="1" x14ac:dyDescent="0.25">
      <c r="A15" s="850"/>
      <c r="B15" s="842"/>
      <c r="C15" s="860"/>
      <c r="D15" s="860"/>
      <c r="E15" s="431">
        <v>10</v>
      </c>
      <c r="F15" s="431"/>
      <c r="G15" s="432">
        <f>2*H15</f>
        <v>0.2</v>
      </c>
      <c r="H15" s="432">
        <v>0.1</v>
      </c>
      <c r="I15" s="432">
        <f>0.5*H15</f>
        <v>0.05</v>
      </c>
      <c r="J15" s="431"/>
      <c r="K15" s="458" t="s">
        <v>599</v>
      </c>
      <c r="L15" s="458"/>
      <c r="M15" s="457"/>
    </row>
    <row r="16" spans="1:13" ht="86.65" customHeight="1" x14ac:dyDescent="0.25">
      <c r="A16" s="850"/>
      <c r="B16" s="478"/>
      <c r="C16" s="863" t="s">
        <v>598</v>
      </c>
      <c r="D16" s="863" t="s">
        <v>597</v>
      </c>
      <c r="E16" s="444"/>
      <c r="F16" s="444"/>
      <c r="G16" s="446"/>
      <c r="H16" s="446"/>
      <c r="I16" s="446"/>
      <c r="J16" s="444"/>
      <c r="K16" s="444"/>
      <c r="L16" s="444"/>
      <c r="M16" s="444"/>
    </row>
    <row r="17" spans="1:13" ht="34.15" customHeight="1" x14ac:dyDescent="0.25">
      <c r="A17" s="850"/>
      <c r="B17" s="476" t="s">
        <v>470</v>
      </c>
      <c r="C17" s="863"/>
      <c r="D17" s="863"/>
      <c r="E17" s="444">
        <v>2</v>
      </c>
      <c r="F17" s="444"/>
      <c r="G17" s="446">
        <f>2*H17</f>
        <v>0.04</v>
      </c>
      <c r="H17" s="472">
        <v>0.02</v>
      </c>
      <c r="I17" s="472">
        <f>0.5*H17</f>
        <v>0.01</v>
      </c>
      <c r="J17" s="471"/>
      <c r="K17" s="444" t="s">
        <v>596</v>
      </c>
      <c r="L17" s="477" t="s">
        <v>595</v>
      </c>
      <c r="M17" s="459"/>
    </row>
    <row r="18" spans="1:13" ht="57.75" customHeight="1" x14ac:dyDescent="0.25">
      <c r="A18" s="850"/>
      <c r="B18" s="476"/>
      <c r="C18" s="863"/>
      <c r="D18" s="863"/>
      <c r="E18" s="444">
        <v>4</v>
      </c>
      <c r="F18" s="444"/>
      <c r="G18" s="446">
        <f>2*H18</f>
        <v>0.08</v>
      </c>
      <c r="H18" s="472">
        <v>0.04</v>
      </c>
      <c r="I18" s="472">
        <f>0.5*H18</f>
        <v>0.02</v>
      </c>
      <c r="J18" s="471"/>
      <c r="K18" s="444" t="s">
        <v>594</v>
      </c>
      <c r="L18" s="470" t="s">
        <v>593</v>
      </c>
      <c r="M18" s="459"/>
    </row>
    <row r="19" spans="1:13" ht="29.65" customHeight="1" x14ac:dyDescent="0.25">
      <c r="A19" s="850"/>
      <c r="B19" s="476"/>
      <c r="C19" s="863"/>
      <c r="D19" s="863"/>
      <c r="E19" s="444">
        <v>6</v>
      </c>
      <c r="F19" s="444"/>
      <c r="G19" s="446">
        <f>2*H19</f>
        <v>0.12</v>
      </c>
      <c r="H19" s="472">
        <v>0.06</v>
      </c>
      <c r="I19" s="472">
        <f>0.5*H19</f>
        <v>0.03</v>
      </c>
      <c r="J19" s="471"/>
      <c r="K19" s="444" t="s">
        <v>592</v>
      </c>
      <c r="L19" s="425"/>
      <c r="M19" s="459"/>
    </row>
    <row r="20" spans="1:13" ht="29.65" customHeight="1" x14ac:dyDescent="0.25">
      <c r="A20" s="850"/>
      <c r="B20" s="475"/>
      <c r="C20" s="860" t="s">
        <v>591</v>
      </c>
      <c r="D20" s="860" t="s">
        <v>590</v>
      </c>
      <c r="E20" s="458"/>
      <c r="F20" s="458"/>
      <c r="G20" s="469"/>
      <c r="H20" s="469"/>
      <c r="I20" s="469"/>
      <c r="J20" s="458"/>
      <c r="K20" s="458"/>
      <c r="L20" s="458"/>
      <c r="M20" s="458"/>
    </row>
    <row r="21" spans="1:13" ht="26.65" customHeight="1" x14ac:dyDescent="0.25">
      <c r="A21" s="850"/>
      <c r="B21" s="474" t="s">
        <v>472</v>
      </c>
      <c r="C21" s="860"/>
      <c r="D21" s="860"/>
      <c r="E21" s="458">
        <v>1</v>
      </c>
      <c r="F21" s="458"/>
      <c r="G21" s="469">
        <f>H21*2</f>
        <v>0.02</v>
      </c>
      <c r="H21" s="468">
        <v>0.01</v>
      </c>
      <c r="I21" s="468">
        <f>H21*0.5</f>
        <v>5.0000000000000001E-3</v>
      </c>
      <c r="J21" s="473"/>
      <c r="K21" s="458" t="s">
        <v>589</v>
      </c>
      <c r="L21" s="458"/>
      <c r="M21" s="457"/>
    </row>
    <row r="22" spans="1:13" ht="33.75" customHeight="1" x14ac:dyDescent="0.25">
      <c r="A22" s="850"/>
      <c r="B22" s="474"/>
      <c r="C22" s="860"/>
      <c r="D22" s="860"/>
      <c r="E22" s="458">
        <v>2</v>
      </c>
      <c r="F22" s="458"/>
      <c r="G22" s="469">
        <f>H22*2</f>
        <v>0.04</v>
      </c>
      <c r="H22" s="468">
        <v>0.02</v>
      </c>
      <c r="I22" s="468">
        <f>H22*0.5</f>
        <v>0.01</v>
      </c>
      <c r="J22" s="473"/>
      <c r="K22" s="458" t="s">
        <v>588</v>
      </c>
      <c r="L22" s="458"/>
      <c r="M22" s="457"/>
    </row>
    <row r="23" spans="1:13" ht="33.75" customHeight="1" x14ac:dyDescent="0.25">
      <c r="A23" s="850"/>
      <c r="B23" s="861" t="s">
        <v>474</v>
      </c>
      <c r="C23" s="444"/>
      <c r="D23" s="444"/>
      <c r="E23" s="444"/>
      <c r="F23" s="444"/>
      <c r="G23" s="446"/>
      <c r="H23" s="446"/>
      <c r="I23" s="446"/>
      <c r="J23" s="444"/>
      <c r="K23" s="444"/>
      <c r="L23" s="444"/>
      <c r="M23" s="444"/>
    </row>
    <row r="24" spans="1:13" ht="45" x14ac:dyDescent="0.25">
      <c r="A24" s="850"/>
      <c r="B24" s="861"/>
      <c r="C24" s="863" t="s">
        <v>587</v>
      </c>
      <c r="D24" s="863" t="s">
        <v>586</v>
      </c>
      <c r="E24" s="444">
        <v>1</v>
      </c>
      <c r="F24" s="444"/>
      <c r="G24" s="446">
        <f>H24*2</f>
        <v>0.02</v>
      </c>
      <c r="H24" s="472">
        <f>0.01</f>
        <v>0.01</v>
      </c>
      <c r="I24" s="472">
        <f>H24/2</f>
        <v>5.0000000000000001E-3</v>
      </c>
      <c r="J24" s="471"/>
      <c r="K24" s="444" t="s">
        <v>585</v>
      </c>
      <c r="L24" s="444"/>
      <c r="M24" s="443"/>
    </row>
    <row r="25" spans="1:13" ht="103.15" customHeight="1" x14ac:dyDescent="0.25">
      <c r="A25" s="850"/>
      <c r="B25" s="861"/>
      <c r="C25" s="863"/>
      <c r="D25" s="863"/>
      <c r="E25" s="444">
        <v>2</v>
      </c>
      <c r="F25" s="444"/>
      <c r="G25" s="446">
        <f>H25*2</f>
        <v>0.04</v>
      </c>
      <c r="H25" s="472">
        <f>0.02</f>
        <v>0.02</v>
      </c>
      <c r="I25" s="472">
        <f>H25/2</f>
        <v>0.01</v>
      </c>
      <c r="J25" s="471"/>
      <c r="K25" s="444" t="s">
        <v>584</v>
      </c>
      <c r="L25" s="444"/>
      <c r="M25" s="443"/>
    </row>
    <row r="26" spans="1:13" ht="103.15" customHeight="1" thickBot="1" x14ac:dyDescent="0.3">
      <c r="A26" s="851"/>
      <c r="B26" s="862"/>
      <c r="C26" s="864"/>
      <c r="D26" s="864"/>
      <c r="E26" s="456">
        <v>4</v>
      </c>
      <c r="F26" s="444"/>
      <c r="G26" s="446">
        <f>H26*2</f>
        <v>0.08</v>
      </c>
      <c r="H26" s="472">
        <f>0.04</f>
        <v>0.04</v>
      </c>
      <c r="I26" s="472">
        <f>H26/2</f>
        <v>0.02</v>
      </c>
      <c r="J26" s="471"/>
      <c r="K26" s="456" t="s">
        <v>583</v>
      </c>
      <c r="L26" s="456"/>
      <c r="M26" s="443"/>
    </row>
    <row r="27" spans="1:13" ht="35.25" customHeight="1" x14ac:dyDescent="0.25">
      <c r="A27" s="849" t="s">
        <v>476</v>
      </c>
      <c r="B27" s="841" t="s">
        <v>477</v>
      </c>
      <c r="C27" s="452"/>
      <c r="D27" s="452"/>
      <c r="E27" s="452"/>
      <c r="F27" s="452"/>
      <c r="G27" s="454"/>
      <c r="H27" s="454"/>
      <c r="I27" s="454"/>
      <c r="J27" s="452"/>
      <c r="K27" s="452"/>
      <c r="L27" s="452"/>
      <c r="M27" s="452"/>
    </row>
    <row r="28" spans="1:13" ht="75" x14ac:dyDescent="0.25">
      <c r="A28" s="850"/>
      <c r="B28" s="842"/>
      <c r="C28" s="452" t="s">
        <v>478</v>
      </c>
      <c r="D28" s="452" t="s">
        <v>582</v>
      </c>
      <c r="E28" s="452">
        <v>1</v>
      </c>
      <c r="F28" s="452"/>
      <c r="G28" s="454">
        <v>0</v>
      </c>
      <c r="H28" s="454">
        <v>0</v>
      </c>
      <c r="I28" s="454">
        <v>0</v>
      </c>
      <c r="J28" s="453"/>
      <c r="K28" s="452" t="s">
        <v>413</v>
      </c>
      <c r="L28" s="452" t="s">
        <v>414</v>
      </c>
      <c r="M28" s="451"/>
    </row>
    <row r="29" spans="1:13" ht="35.25" customHeight="1" x14ac:dyDescent="0.25">
      <c r="A29" s="850"/>
      <c r="B29" s="865" t="s">
        <v>479</v>
      </c>
      <c r="C29" s="448"/>
      <c r="D29" s="448"/>
      <c r="E29" s="448"/>
      <c r="F29" s="448"/>
      <c r="G29" s="450"/>
      <c r="H29" s="450"/>
      <c r="I29" s="450"/>
      <c r="J29" s="448"/>
      <c r="K29" s="448"/>
      <c r="L29" s="448"/>
      <c r="M29" s="448"/>
    </row>
    <row r="30" spans="1:13" ht="75" x14ac:dyDescent="0.25">
      <c r="A30" s="850"/>
      <c r="B30" s="861"/>
      <c r="C30" s="448" t="s">
        <v>581</v>
      </c>
      <c r="D30" s="448" t="s">
        <v>580</v>
      </c>
      <c r="E30" s="448">
        <v>1</v>
      </c>
      <c r="F30" s="448"/>
      <c r="G30" s="450">
        <v>0</v>
      </c>
      <c r="H30" s="450">
        <v>0</v>
      </c>
      <c r="I30" s="450">
        <v>0</v>
      </c>
      <c r="J30" s="449"/>
      <c r="K30" s="448" t="s">
        <v>413</v>
      </c>
      <c r="L30" s="448" t="s">
        <v>414</v>
      </c>
      <c r="M30" s="447"/>
    </row>
    <row r="31" spans="1:13" ht="115.15" customHeight="1" x14ac:dyDescent="0.25">
      <c r="A31" s="850"/>
      <c r="B31" s="866" t="s">
        <v>481</v>
      </c>
      <c r="C31" s="458"/>
      <c r="D31" s="458"/>
      <c r="E31" s="458"/>
      <c r="F31" s="458"/>
      <c r="G31" s="469"/>
      <c r="H31" s="469"/>
      <c r="I31" s="469"/>
      <c r="J31" s="458"/>
      <c r="K31" s="458"/>
      <c r="L31" s="458"/>
      <c r="M31" s="458"/>
    </row>
    <row r="32" spans="1:13" ht="105" x14ac:dyDescent="0.25">
      <c r="A32" s="850"/>
      <c r="B32" s="866"/>
      <c r="C32" s="458" t="s">
        <v>579</v>
      </c>
      <c r="D32" s="458" t="s">
        <v>578</v>
      </c>
      <c r="E32" s="458">
        <v>1</v>
      </c>
      <c r="F32" s="458"/>
      <c r="G32" s="469">
        <v>0.04</v>
      </c>
      <c r="H32" s="469">
        <v>0.02</v>
      </c>
      <c r="I32" s="469">
        <v>0.01</v>
      </c>
      <c r="J32" s="458"/>
      <c r="K32" s="458" t="s">
        <v>413</v>
      </c>
      <c r="L32" s="458" t="s">
        <v>414</v>
      </c>
      <c r="M32" s="457"/>
    </row>
    <row r="33" spans="1:14" ht="15" customHeight="1" x14ac:dyDescent="0.25">
      <c r="A33" s="850"/>
      <c r="B33" s="861" t="s">
        <v>482</v>
      </c>
      <c r="C33" s="444"/>
      <c r="D33" s="444"/>
      <c r="E33" s="444"/>
      <c r="F33" s="444"/>
      <c r="G33" s="446"/>
      <c r="H33" s="446"/>
      <c r="I33" s="446"/>
      <c r="J33" s="444"/>
      <c r="K33" s="444"/>
      <c r="L33" s="444"/>
      <c r="M33" s="444"/>
    </row>
    <row r="34" spans="1:14" ht="66.75" customHeight="1" x14ac:dyDescent="0.25">
      <c r="A34" s="850"/>
      <c r="B34" s="861"/>
      <c r="C34" s="840" t="s">
        <v>483</v>
      </c>
      <c r="D34" s="840" t="s">
        <v>577</v>
      </c>
      <c r="E34" s="444">
        <v>1</v>
      </c>
      <c r="F34" s="444"/>
      <c r="G34" s="446">
        <f>2*H34</f>
        <v>0.02</v>
      </c>
      <c r="H34" s="472">
        <v>0.01</v>
      </c>
      <c r="I34" s="472">
        <f>H34*0.5</f>
        <v>5.0000000000000001E-3</v>
      </c>
      <c r="J34" s="471"/>
      <c r="K34" s="444" t="s">
        <v>576</v>
      </c>
      <c r="L34" s="470"/>
      <c r="M34" s="443"/>
    </row>
    <row r="35" spans="1:14" ht="74.650000000000006" customHeight="1" x14ac:dyDescent="0.25">
      <c r="A35" s="850"/>
      <c r="B35" s="861"/>
      <c r="C35" s="840"/>
      <c r="D35" s="840"/>
      <c r="E35" s="444">
        <v>2</v>
      </c>
      <c r="F35" s="444"/>
      <c r="G35" s="446">
        <f>2*H35</f>
        <v>0.04</v>
      </c>
      <c r="H35" s="472">
        <v>0.02</v>
      </c>
      <c r="I35" s="472">
        <f>H35*0.5</f>
        <v>0.01</v>
      </c>
      <c r="J35" s="471"/>
      <c r="K35" s="444" t="s">
        <v>575</v>
      </c>
      <c r="L35" s="470"/>
      <c r="M35" s="443"/>
    </row>
    <row r="36" spans="1:14" ht="36.75" customHeight="1" x14ac:dyDescent="0.25">
      <c r="A36" s="850"/>
      <c r="B36" s="866" t="s">
        <v>484</v>
      </c>
      <c r="C36" s="458"/>
      <c r="D36" s="458"/>
      <c r="E36" s="458"/>
      <c r="F36" s="458"/>
      <c r="G36" s="469"/>
      <c r="H36" s="468"/>
      <c r="I36" s="468"/>
      <c r="J36" s="467"/>
      <c r="K36" s="466" t="s">
        <v>574</v>
      </c>
      <c r="L36" s="466" t="s">
        <v>485</v>
      </c>
      <c r="M36" s="465" t="s">
        <v>486</v>
      </c>
    </row>
    <row r="37" spans="1:14" ht="36.75" customHeight="1" x14ac:dyDescent="0.25">
      <c r="A37" s="850"/>
      <c r="B37" s="866"/>
      <c r="C37" s="458"/>
      <c r="D37" s="458"/>
      <c r="E37" s="458"/>
      <c r="F37" s="458"/>
      <c r="G37" s="469"/>
      <c r="H37" s="468"/>
      <c r="I37" s="468"/>
      <c r="J37" s="467"/>
      <c r="K37" s="466"/>
      <c r="L37" s="466"/>
      <c r="M37" s="465"/>
    </row>
    <row r="38" spans="1:14" ht="14.65" customHeight="1" x14ac:dyDescent="0.25">
      <c r="A38" s="850"/>
      <c r="B38" s="866"/>
      <c r="C38" s="837" t="s">
        <v>573</v>
      </c>
      <c r="D38" s="837" t="s">
        <v>572</v>
      </c>
      <c r="E38" s="431">
        <v>1</v>
      </c>
      <c r="F38" s="431"/>
      <c r="G38" s="430">
        <f t="shared" ref="G38:G49" si="0">H38*2</f>
        <v>0.02</v>
      </c>
      <c r="H38" s="430">
        <f>0.01</f>
        <v>0.01</v>
      </c>
      <c r="I38" s="430">
        <f t="shared" ref="I38:I49" si="1">H38/2</f>
        <v>5.0000000000000001E-3</v>
      </c>
      <c r="J38" s="429"/>
      <c r="K38" s="460">
        <v>0.25</v>
      </c>
      <c r="L38" s="431" t="s">
        <v>413</v>
      </c>
      <c r="M38" s="464" t="s">
        <v>414</v>
      </c>
      <c r="N38" s="460">
        <v>0.25</v>
      </c>
    </row>
    <row r="39" spans="1:14" ht="14.65" customHeight="1" x14ac:dyDescent="0.25">
      <c r="A39" s="850"/>
      <c r="B39" s="866"/>
      <c r="C39" s="837"/>
      <c r="D39" s="837"/>
      <c r="E39" s="431">
        <v>1</v>
      </c>
      <c r="F39" s="431"/>
      <c r="G39" s="430">
        <f t="shared" si="0"/>
        <v>0.02</v>
      </c>
      <c r="H39" s="430">
        <f>0.01</f>
        <v>0.01</v>
      </c>
      <c r="I39" s="430">
        <f t="shared" si="1"/>
        <v>5.0000000000000001E-3</v>
      </c>
      <c r="J39" s="429"/>
      <c r="K39" s="460">
        <v>0.25</v>
      </c>
      <c r="L39" s="431" t="s">
        <v>414</v>
      </c>
      <c r="M39" s="464" t="s">
        <v>413</v>
      </c>
      <c r="N39" s="460">
        <v>0.5</v>
      </c>
    </row>
    <row r="40" spans="1:14" ht="14.65" customHeight="1" x14ac:dyDescent="0.25">
      <c r="A40" s="850"/>
      <c r="B40" s="866"/>
      <c r="C40" s="837"/>
      <c r="D40" s="837"/>
      <c r="E40" s="431">
        <v>2</v>
      </c>
      <c r="F40" s="431"/>
      <c r="G40" s="430">
        <f t="shared" si="0"/>
        <v>0.04</v>
      </c>
      <c r="H40" s="430">
        <v>0.02</v>
      </c>
      <c r="I40" s="430">
        <f t="shared" si="1"/>
        <v>0.01</v>
      </c>
      <c r="J40" s="429"/>
      <c r="K40" s="460">
        <v>0.25</v>
      </c>
      <c r="L40" s="431" t="s">
        <v>413</v>
      </c>
      <c r="M40" s="464" t="s">
        <v>413</v>
      </c>
      <c r="N40" s="460">
        <v>0.75</v>
      </c>
    </row>
    <row r="41" spans="1:14" ht="14.65" customHeight="1" x14ac:dyDescent="0.25">
      <c r="A41" s="850"/>
      <c r="B41" s="866"/>
      <c r="C41" s="837"/>
      <c r="D41" s="837"/>
      <c r="E41" s="431">
        <v>2</v>
      </c>
      <c r="F41" s="431"/>
      <c r="G41" s="430">
        <f t="shared" si="0"/>
        <v>0.04</v>
      </c>
      <c r="H41" s="430">
        <v>0.02</v>
      </c>
      <c r="I41" s="430">
        <f t="shared" si="1"/>
        <v>0.01</v>
      </c>
      <c r="J41" s="429"/>
      <c r="K41" s="460">
        <v>0.5</v>
      </c>
      <c r="L41" s="431" t="s">
        <v>413</v>
      </c>
      <c r="M41" s="464" t="s">
        <v>414</v>
      </c>
      <c r="N41" s="460">
        <v>1</v>
      </c>
    </row>
    <row r="42" spans="1:14" ht="14.65" customHeight="1" x14ac:dyDescent="0.25">
      <c r="A42" s="850"/>
      <c r="B42" s="866"/>
      <c r="C42" s="837"/>
      <c r="D42" s="837"/>
      <c r="E42" s="431">
        <v>2</v>
      </c>
      <c r="F42" s="431"/>
      <c r="G42" s="430">
        <f t="shared" si="0"/>
        <v>0.04</v>
      </c>
      <c r="H42" s="430">
        <v>0.02</v>
      </c>
      <c r="I42" s="430">
        <f t="shared" si="1"/>
        <v>0.01</v>
      </c>
      <c r="J42" s="429"/>
      <c r="K42" s="460">
        <v>0.5</v>
      </c>
      <c r="L42" s="431" t="s">
        <v>414</v>
      </c>
      <c r="M42" s="464" t="s">
        <v>413</v>
      </c>
    </row>
    <row r="43" spans="1:14" ht="14.65" customHeight="1" x14ac:dyDescent="0.25">
      <c r="A43" s="850"/>
      <c r="B43" s="866"/>
      <c r="C43" s="837"/>
      <c r="D43" s="837"/>
      <c r="E43" s="431">
        <v>4</v>
      </c>
      <c r="F43" s="431"/>
      <c r="G43" s="430">
        <f t="shared" si="0"/>
        <v>0.08</v>
      </c>
      <c r="H43" s="430">
        <v>0.04</v>
      </c>
      <c r="I43" s="430">
        <f t="shared" si="1"/>
        <v>0.02</v>
      </c>
      <c r="J43" s="429"/>
      <c r="K43" s="460">
        <v>0.5</v>
      </c>
      <c r="L43" s="431" t="s">
        <v>413</v>
      </c>
      <c r="M43" s="464" t="s">
        <v>413</v>
      </c>
    </row>
    <row r="44" spans="1:14" ht="14.65" customHeight="1" x14ac:dyDescent="0.25">
      <c r="A44" s="850"/>
      <c r="B44" s="866"/>
      <c r="C44" s="837"/>
      <c r="D44" s="837"/>
      <c r="E44" s="431">
        <v>3</v>
      </c>
      <c r="F44" s="431"/>
      <c r="G44" s="430">
        <f t="shared" si="0"/>
        <v>0.06</v>
      </c>
      <c r="H44" s="430">
        <v>0.03</v>
      </c>
      <c r="I44" s="430">
        <f t="shared" si="1"/>
        <v>1.4999999999999999E-2</v>
      </c>
      <c r="J44" s="429"/>
      <c r="K44" s="460">
        <v>0.75</v>
      </c>
      <c r="L44" s="431" t="s">
        <v>413</v>
      </c>
      <c r="M44" s="464" t="s">
        <v>414</v>
      </c>
    </row>
    <row r="45" spans="1:14" ht="14.65" customHeight="1" x14ac:dyDescent="0.25">
      <c r="A45" s="850"/>
      <c r="B45" s="866"/>
      <c r="C45" s="837"/>
      <c r="D45" s="837"/>
      <c r="E45" s="431">
        <v>3</v>
      </c>
      <c r="F45" s="431"/>
      <c r="G45" s="430">
        <f t="shared" si="0"/>
        <v>0.06</v>
      </c>
      <c r="H45" s="430">
        <v>0.03</v>
      </c>
      <c r="I45" s="430">
        <f t="shared" si="1"/>
        <v>1.4999999999999999E-2</v>
      </c>
      <c r="J45" s="429"/>
      <c r="K45" s="460">
        <v>0.75</v>
      </c>
      <c r="L45" s="431" t="s">
        <v>414</v>
      </c>
      <c r="M45" s="464" t="s">
        <v>413</v>
      </c>
    </row>
    <row r="46" spans="1:14" ht="15" customHeight="1" x14ac:dyDescent="0.25">
      <c r="A46" s="850"/>
      <c r="B46" s="866"/>
      <c r="C46" s="837"/>
      <c r="D46" s="837"/>
      <c r="E46" s="431">
        <v>6</v>
      </c>
      <c r="F46" s="431"/>
      <c r="G46" s="430">
        <f t="shared" si="0"/>
        <v>0.12</v>
      </c>
      <c r="H46" s="430">
        <v>0.06</v>
      </c>
      <c r="I46" s="430">
        <f t="shared" si="1"/>
        <v>0.03</v>
      </c>
      <c r="J46" s="429"/>
      <c r="K46" s="460">
        <v>0.75</v>
      </c>
      <c r="L46" s="431" t="s">
        <v>413</v>
      </c>
      <c r="M46" s="464" t="s">
        <v>413</v>
      </c>
    </row>
    <row r="47" spans="1:14" ht="14.65" customHeight="1" x14ac:dyDescent="0.25">
      <c r="A47" s="850"/>
      <c r="B47" s="866"/>
      <c r="C47" s="837"/>
      <c r="D47" s="837"/>
      <c r="E47" s="431">
        <v>4</v>
      </c>
      <c r="F47" s="431"/>
      <c r="G47" s="430">
        <f t="shared" si="0"/>
        <v>0.08</v>
      </c>
      <c r="H47" s="430">
        <v>0.04</v>
      </c>
      <c r="I47" s="430">
        <f t="shared" si="1"/>
        <v>0.02</v>
      </c>
      <c r="J47" s="429"/>
      <c r="K47" s="460">
        <v>1</v>
      </c>
      <c r="L47" s="431" t="s">
        <v>413</v>
      </c>
      <c r="M47" s="464" t="s">
        <v>414</v>
      </c>
    </row>
    <row r="48" spans="1:14" ht="14.65" customHeight="1" x14ac:dyDescent="0.25">
      <c r="A48" s="850"/>
      <c r="B48" s="866"/>
      <c r="C48" s="837"/>
      <c r="D48" s="837"/>
      <c r="E48" s="431">
        <v>4</v>
      </c>
      <c r="F48" s="431"/>
      <c r="G48" s="430">
        <f t="shared" si="0"/>
        <v>0.08</v>
      </c>
      <c r="H48" s="430">
        <v>0.04</v>
      </c>
      <c r="I48" s="430">
        <f t="shared" si="1"/>
        <v>0.02</v>
      </c>
      <c r="J48" s="429"/>
      <c r="K48" s="460">
        <v>1</v>
      </c>
      <c r="L48" s="431" t="s">
        <v>414</v>
      </c>
      <c r="M48" s="464" t="s">
        <v>413</v>
      </c>
    </row>
    <row r="49" spans="1:14" ht="14.65" customHeight="1" x14ac:dyDescent="0.25">
      <c r="A49" s="850"/>
      <c r="B49" s="866"/>
      <c r="C49" s="837"/>
      <c r="D49" s="837"/>
      <c r="E49" s="431">
        <v>8</v>
      </c>
      <c r="F49" s="431"/>
      <c r="G49" s="430">
        <f t="shared" si="0"/>
        <v>0.16</v>
      </c>
      <c r="H49" s="430">
        <v>0.08</v>
      </c>
      <c r="I49" s="430">
        <f t="shared" si="1"/>
        <v>0.04</v>
      </c>
      <c r="J49" s="429"/>
      <c r="K49" s="460">
        <v>1</v>
      </c>
      <c r="L49" s="431" t="s">
        <v>413</v>
      </c>
      <c r="M49" s="464" t="s">
        <v>413</v>
      </c>
    </row>
    <row r="50" spans="1:14" ht="28.9" customHeight="1" x14ac:dyDescent="0.25">
      <c r="A50" s="850"/>
      <c r="B50" s="861" t="s">
        <v>488</v>
      </c>
      <c r="C50" s="444"/>
      <c r="D50" s="444"/>
      <c r="E50" s="462"/>
      <c r="F50" s="462"/>
      <c r="G50" s="424"/>
      <c r="H50" s="424"/>
      <c r="I50" s="424"/>
      <c r="J50" s="423"/>
      <c r="K50" s="463" t="s">
        <v>571</v>
      </c>
      <c r="L50" s="462" t="s">
        <v>485</v>
      </c>
      <c r="M50" s="461" t="s">
        <v>486</v>
      </c>
    </row>
    <row r="51" spans="1:14" ht="28.9" customHeight="1" x14ac:dyDescent="0.25">
      <c r="A51" s="850"/>
      <c r="B51" s="861"/>
      <c r="C51" s="444"/>
      <c r="D51" s="444"/>
      <c r="E51" s="462"/>
      <c r="F51" s="462"/>
      <c r="G51" s="424"/>
      <c r="H51" s="424"/>
      <c r="I51" s="424"/>
      <c r="J51" s="423"/>
      <c r="K51" s="463"/>
      <c r="L51" s="462"/>
      <c r="M51" s="461"/>
    </row>
    <row r="52" spans="1:14" ht="14.65" customHeight="1" x14ac:dyDescent="0.25">
      <c r="A52" s="850"/>
      <c r="B52" s="861"/>
      <c r="C52" s="840" t="s">
        <v>570</v>
      </c>
      <c r="D52" s="840" t="s">
        <v>569</v>
      </c>
      <c r="E52" s="425">
        <v>1</v>
      </c>
      <c r="F52" s="425"/>
      <c r="G52" s="424">
        <f t="shared" ref="G52:G63" si="2">H52*2</f>
        <v>0.02</v>
      </c>
      <c r="H52" s="424">
        <f>0.01</f>
        <v>0.01</v>
      </c>
      <c r="I52" s="424">
        <f t="shared" ref="I52:I63" si="3">H52/2</f>
        <v>5.0000000000000001E-3</v>
      </c>
      <c r="J52" s="423"/>
      <c r="K52" s="445">
        <v>0.25</v>
      </c>
      <c r="L52" s="425" t="s">
        <v>413</v>
      </c>
      <c r="M52" s="459" t="s">
        <v>414</v>
      </c>
      <c r="N52" s="460">
        <v>0.25</v>
      </c>
    </row>
    <row r="53" spans="1:14" ht="14.65" customHeight="1" x14ac:dyDescent="0.25">
      <c r="A53" s="850"/>
      <c r="B53" s="861"/>
      <c r="C53" s="840"/>
      <c r="D53" s="840"/>
      <c r="E53" s="425">
        <v>1</v>
      </c>
      <c r="F53" s="425"/>
      <c r="G53" s="424">
        <f t="shared" si="2"/>
        <v>0.02</v>
      </c>
      <c r="H53" s="424">
        <f>0.01</f>
        <v>0.01</v>
      </c>
      <c r="I53" s="424">
        <f t="shared" si="3"/>
        <v>5.0000000000000001E-3</v>
      </c>
      <c r="J53" s="423"/>
      <c r="K53" s="445">
        <v>0.25</v>
      </c>
      <c r="L53" s="425" t="s">
        <v>414</v>
      </c>
      <c r="M53" s="459" t="s">
        <v>413</v>
      </c>
      <c r="N53" s="460">
        <v>0.5</v>
      </c>
    </row>
    <row r="54" spans="1:14" ht="14.65" customHeight="1" x14ac:dyDescent="0.25">
      <c r="A54" s="850"/>
      <c r="B54" s="861"/>
      <c r="C54" s="840"/>
      <c r="D54" s="840"/>
      <c r="E54" s="425">
        <v>2</v>
      </c>
      <c r="F54" s="425"/>
      <c r="G54" s="424">
        <f t="shared" si="2"/>
        <v>0.04</v>
      </c>
      <c r="H54" s="424">
        <v>0.02</v>
      </c>
      <c r="I54" s="424">
        <f t="shared" si="3"/>
        <v>0.01</v>
      </c>
      <c r="J54" s="423"/>
      <c r="K54" s="445">
        <v>0.25</v>
      </c>
      <c r="L54" s="425" t="s">
        <v>413</v>
      </c>
      <c r="M54" s="459" t="s">
        <v>413</v>
      </c>
      <c r="N54" s="460">
        <v>0.75</v>
      </c>
    </row>
    <row r="55" spans="1:14" ht="14.65" customHeight="1" x14ac:dyDescent="0.25">
      <c r="A55" s="850"/>
      <c r="B55" s="861"/>
      <c r="C55" s="840"/>
      <c r="D55" s="840"/>
      <c r="E55" s="425">
        <v>2</v>
      </c>
      <c r="F55" s="425"/>
      <c r="G55" s="424">
        <f t="shared" si="2"/>
        <v>0.04</v>
      </c>
      <c r="H55" s="424">
        <v>0.02</v>
      </c>
      <c r="I55" s="424">
        <f t="shared" si="3"/>
        <v>0.01</v>
      </c>
      <c r="J55" s="423"/>
      <c r="K55" s="445">
        <v>0.5</v>
      </c>
      <c r="L55" s="425" t="s">
        <v>413</v>
      </c>
      <c r="M55" s="459" t="s">
        <v>414</v>
      </c>
      <c r="N55" s="460">
        <v>1</v>
      </c>
    </row>
    <row r="56" spans="1:14" ht="14.65" customHeight="1" x14ac:dyDescent="0.25">
      <c r="A56" s="850"/>
      <c r="B56" s="861"/>
      <c r="C56" s="840"/>
      <c r="D56" s="840"/>
      <c r="E56" s="425">
        <v>2</v>
      </c>
      <c r="F56" s="425"/>
      <c r="G56" s="424">
        <f t="shared" si="2"/>
        <v>0.04</v>
      </c>
      <c r="H56" s="424">
        <v>0.02</v>
      </c>
      <c r="I56" s="424">
        <f t="shared" si="3"/>
        <v>0.01</v>
      </c>
      <c r="J56" s="423"/>
      <c r="K56" s="445">
        <v>0.5</v>
      </c>
      <c r="L56" s="425" t="s">
        <v>414</v>
      </c>
      <c r="M56" s="459" t="s">
        <v>413</v>
      </c>
    </row>
    <row r="57" spans="1:14" ht="14.65" customHeight="1" x14ac:dyDescent="0.25">
      <c r="A57" s="850"/>
      <c r="B57" s="861"/>
      <c r="C57" s="840"/>
      <c r="D57" s="840"/>
      <c r="E57" s="425">
        <v>4</v>
      </c>
      <c r="F57" s="425"/>
      <c r="G57" s="424">
        <f t="shared" si="2"/>
        <v>0.08</v>
      </c>
      <c r="H57" s="424">
        <v>0.04</v>
      </c>
      <c r="I57" s="424">
        <f t="shared" si="3"/>
        <v>0.02</v>
      </c>
      <c r="J57" s="423"/>
      <c r="K57" s="445">
        <v>0.5</v>
      </c>
      <c r="L57" s="425" t="s">
        <v>413</v>
      </c>
      <c r="M57" s="459" t="s">
        <v>413</v>
      </c>
    </row>
    <row r="58" spans="1:14" ht="14.65" customHeight="1" x14ac:dyDescent="0.25">
      <c r="A58" s="850"/>
      <c r="B58" s="861"/>
      <c r="C58" s="840"/>
      <c r="D58" s="840"/>
      <c r="E58" s="425">
        <v>3</v>
      </c>
      <c r="F58" s="425"/>
      <c r="G58" s="424">
        <f t="shared" si="2"/>
        <v>0.06</v>
      </c>
      <c r="H58" s="424">
        <v>0.03</v>
      </c>
      <c r="I58" s="424">
        <f t="shared" si="3"/>
        <v>1.4999999999999999E-2</v>
      </c>
      <c r="J58" s="423"/>
      <c r="K58" s="445">
        <v>0.75</v>
      </c>
      <c r="L58" s="425" t="s">
        <v>413</v>
      </c>
      <c r="M58" s="459" t="s">
        <v>414</v>
      </c>
    </row>
    <row r="59" spans="1:14" ht="19.899999999999999" customHeight="1" x14ac:dyDescent="0.25">
      <c r="A59" s="850"/>
      <c r="B59" s="861"/>
      <c r="C59" s="840"/>
      <c r="D59" s="840"/>
      <c r="E59" s="425">
        <v>3</v>
      </c>
      <c r="F59" s="425"/>
      <c r="G59" s="424">
        <f t="shared" si="2"/>
        <v>0.06</v>
      </c>
      <c r="H59" s="424">
        <v>0.03</v>
      </c>
      <c r="I59" s="424">
        <f t="shared" si="3"/>
        <v>1.4999999999999999E-2</v>
      </c>
      <c r="J59" s="423"/>
      <c r="K59" s="445">
        <v>0.75</v>
      </c>
      <c r="L59" s="425" t="s">
        <v>414</v>
      </c>
      <c r="M59" s="459" t="s">
        <v>413</v>
      </c>
    </row>
    <row r="60" spans="1:14" ht="16.149999999999999" customHeight="1" x14ac:dyDescent="0.25">
      <c r="A60" s="850"/>
      <c r="B60" s="861"/>
      <c r="C60" s="840"/>
      <c r="D60" s="840"/>
      <c r="E60" s="425">
        <v>6</v>
      </c>
      <c r="F60" s="425"/>
      <c r="G60" s="424">
        <f t="shared" si="2"/>
        <v>0.12</v>
      </c>
      <c r="H60" s="424">
        <v>0.06</v>
      </c>
      <c r="I60" s="424">
        <f t="shared" si="3"/>
        <v>0.03</v>
      </c>
      <c r="J60" s="423"/>
      <c r="K60" s="445">
        <v>0.75</v>
      </c>
      <c r="L60" s="425" t="s">
        <v>413</v>
      </c>
      <c r="M60" s="459" t="s">
        <v>413</v>
      </c>
    </row>
    <row r="61" spans="1:14" ht="15" customHeight="1" x14ac:dyDescent="0.25">
      <c r="A61" s="850"/>
      <c r="B61" s="861"/>
      <c r="C61" s="840"/>
      <c r="D61" s="840"/>
      <c r="E61" s="425">
        <v>4</v>
      </c>
      <c r="F61" s="425"/>
      <c r="G61" s="424">
        <f t="shared" si="2"/>
        <v>0.08</v>
      </c>
      <c r="H61" s="424">
        <v>0.04</v>
      </c>
      <c r="I61" s="424">
        <f t="shared" si="3"/>
        <v>0.02</v>
      </c>
      <c r="J61" s="423"/>
      <c r="K61" s="445">
        <v>1</v>
      </c>
      <c r="L61" s="425" t="s">
        <v>413</v>
      </c>
      <c r="M61" s="459" t="s">
        <v>414</v>
      </c>
    </row>
    <row r="62" spans="1:14" ht="15" customHeight="1" x14ac:dyDescent="0.25">
      <c r="A62" s="850"/>
      <c r="B62" s="861"/>
      <c r="C62" s="840"/>
      <c r="D62" s="840"/>
      <c r="E62" s="425">
        <v>4</v>
      </c>
      <c r="F62" s="425"/>
      <c r="G62" s="424">
        <f t="shared" si="2"/>
        <v>0.08</v>
      </c>
      <c r="H62" s="424">
        <v>0.04</v>
      </c>
      <c r="I62" s="424">
        <f t="shared" si="3"/>
        <v>0.02</v>
      </c>
      <c r="J62" s="423"/>
      <c r="K62" s="445">
        <v>1</v>
      </c>
      <c r="L62" s="425" t="s">
        <v>414</v>
      </c>
      <c r="M62" s="459" t="s">
        <v>413</v>
      </c>
    </row>
    <row r="63" spans="1:14" ht="14.65" customHeight="1" x14ac:dyDescent="0.25">
      <c r="A63" s="850"/>
      <c r="B63" s="861"/>
      <c r="C63" s="840"/>
      <c r="D63" s="840"/>
      <c r="E63" s="425">
        <v>8</v>
      </c>
      <c r="F63" s="425"/>
      <c r="G63" s="424">
        <f t="shared" si="2"/>
        <v>0.16</v>
      </c>
      <c r="H63" s="424">
        <v>0.08</v>
      </c>
      <c r="I63" s="424">
        <f t="shared" si="3"/>
        <v>0.04</v>
      </c>
      <c r="J63" s="423"/>
      <c r="K63" s="445">
        <v>1</v>
      </c>
      <c r="L63" s="425" t="s">
        <v>413</v>
      </c>
      <c r="M63" s="459" t="s">
        <v>413</v>
      </c>
    </row>
    <row r="64" spans="1:14" ht="14.65" customHeight="1" x14ac:dyDescent="0.25">
      <c r="A64" s="850"/>
      <c r="B64" s="866" t="s">
        <v>490</v>
      </c>
      <c r="C64" s="431"/>
      <c r="D64" s="431"/>
      <c r="E64" s="431"/>
      <c r="F64" s="431"/>
      <c r="G64" s="432"/>
      <c r="H64" s="432"/>
      <c r="I64" s="432"/>
      <c r="J64" s="431"/>
      <c r="K64" s="431"/>
      <c r="L64" s="431"/>
      <c r="M64" s="431"/>
    </row>
    <row r="65" spans="1:13" ht="40.15" customHeight="1" x14ac:dyDescent="0.25">
      <c r="A65" s="850"/>
      <c r="B65" s="866"/>
      <c r="C65" s="837" t="s">
        <v>491</v>
      </c>
      <c r="D65" s="837" t="s">
        <v>568</v>
      </c>
      <c r="E65" s="431">
        <v>1</v>
      </c>
      <c r="F65" s="431"/>
      <c r="G65" s="432">
        <f>H65*2</f>
        <v>0.01</v>
      </c>
      <c r="H65" s="430">
        <f>0.005</f>
        <v>5.0000000000000001E-3</v>
      </c>
      <c r="I65" s="435">
        <f>H65/2</f>
        <v>2.5000000000000001E-3</v>
      </c>
      <c r="J65" s="429"/>
      <c r="K65" s="458" t="s">
        <v>567</v>
      </c>
      <c r="L65" s="458"/>
      <c r="M65" s="457"/>
    </row>
    <row r="66" spans="1:13" ht="46.15" customHeight="1" x14ac:dyDescent="0.25">
      <c r="A66" s="850"/>
      <c r="B66" s="866"/>
      <c r="C66" s="837"/>
      <c r="D66" s="837"/>
      <c r="E66" s="431">
        <v>2</v>
      </c>
      <c r="F66" s="431"/>
      <c r="G66" s="432">
        <f>H66*2</f>
        <v>0.02</v>
      </c>
      <c r="H66" s="430">
        <v>0.01</v>
      </c>
      <c r="I66" s="430">
        <f>H66/2</f>
        <v>5.0000000000000001E-3</v>
      </c>
      <c r="J66" s="429"/>
      <c r="K66" s="458" t="s">
        <v>566</v>
      </c>
      <c r="L66" s="458"/>
      <c r="M66" s="457"/>
    </row>
    <row r="67" spans="1:13" ht="46.15" customHeight="1" x14ac:dyDescent="0.25">
      <c r="A67" s="850"/>
      <c r="B67" s="861" t="s">
        <v>539</v>
      </c>
      <c r="C67" s="425"/>
      <c r="D67" s="425"/>
      <c r="E67" s="425"/>
      <c r="F67" s="425"/>
      <c r="G67" s="426"/>
      <c r="H67" s="426"/>
      <c r="I67" s="426"/>
      <c r="J67" s="425"/>
      <c r="K67" s="425"/>
      <c r="L67" s="425"/>
      <c r="M67" s="425"/>
    </row>
    <row r="68" spans="1:13" ht="49.9" customHeight="1" x14ac:dyDescent="0.25">
      <c r="A68" s="850"/>
      <c r="B68" s="861"/>
      <c r="C68" s="840" t="s">
        <v>493</v>
      </c>
      <c r="D68" s="840" t="s">
        <v>565</v>
      </c>
      <c r="E68" s="425">
        <v>1</v>
      </c>
      <c r="F68" s="425"/>
      <c r="G68" s="426">
        <v>0</v>
      </c>
      <c r="H68" s="426">
        <v>0</v>
      </c>
      <c r="I68" s="426">
        <v>0</v>
      </c>
      <c r="J68" s="425"/>
      <c r="K68" s="444" t="s">
        <v>564</v>
      </c>
      <c r="L68" s="444"/>
      <c r="M68" s="443"/>
    </row>
    <row r="69" spans="1:13" ht="52.9" customHeight="1" x14ac:dyDescent="0.25">
      <c r="A69" s="850"/>
      <c r="B69" s="862"/>
      <c r="C69" s="867"/>
      <c r="D69" s="867"/>
      <c r="E69" s="420">
        <v>2</v>
      </c>
      <c r="F69" s="425"/>
      <c r="G69" s="426">
        <v>0</v>
      </c>
      <c r="H69" s="426">
        <v>0</v>
      </c>
      <c r="I69" s="426">
        <v>0</v>
      </c>
      <c r="J69" s="425"/>
      <c r="K69" s="456" t="s">
        <v>563</v>
      </c>
      <c r="L69" s="456"/>
      <c r="M69" s="455"/>
    </row>
    <row r="70" spans="1:13" ht="35.25" customHeight="1" x14ac:dyDescent="0.25">
      <c r="A70" s="850"/>
      <c r="B70" s="868" t="s">
        <v>494</v>
      </c>
      <c r="C70" s="452"/>
      <c r="D70" s="452"/>
      <c r="E70" s="452"/>
      <c r="F70" s="452"/>
      <c r="G70" s="454"/>
      <c r="H70" s="454"/>
      <c r="I70" s="454"/>
      <c r="J70" s="452"/>
      <c r="K70" s="452"/>
      <c r="L70" s="452"/>
      <c r="M70" s="452"/>
    </row>
    <row r="71" spans="1:13" ht="150" x14ac:dyDescent="0.25">
      <c r="A71" s="850"/>
      <c r="B71" s="866"/>
      <c r="C71" s="452" t="s">
        <v>495</v>
      </c>
      <c r="D71" s="452" t="s">
        <v>562</v>
      </c>
      <c r="E71" s="452">
        <v>2</v>
      </c>
      <c r="F71" s="452"/>
      <c r="G71" s="454">
        <v>0.05</v>
      </c>
      <c r="H71" s="454">
        <v>0.05</v>
      </c>
      <c r="I71" s="454">
        <v>0.05</v>
      </c>
      <c r="J71" s="453"/>
      <c r="K71" s="452" t="s">
        <v>413</v>
      </c>
      <c r="L71" s="452" t="s">
        <v>414</v>
      </c>
      <c r="M71" s="451"/>
    </row>
    <row r="72" spans="1:13" ht="35.25" customHeight="1" x14ac:dyDescent="0.25">
      <c r="A72" s="850"/>
      <c r="B72" s="865" t="s">
        <v>496</v>
      </c>
      <c r="C72" s="448"/>
      <c r="D72" s="448"/>
      <c r="E72" s="448"/>
      <c r="F72" s="448"/>
      <c r="G72" s="450"/>
      <c r="H72" s="450"/>
      <c r="I72" s="450"/>
      <c r="J72" s="448"/>
      <c r="K72" s="448"/>
      <c r="L72" s="448"/>
      <c r="M72" s="448"/>
    </row>
    <row r="73" spans="1:13" ht="150" x14ac:dyDescent="0.25">
      <c r="A73" s="850"/>
      <c r="B73" s="861"/>
      <c r="C73" s="448" t="s">
        <v>497</v>
      </c>
      <c r="D73" s="448" t="s">
        <v>562</v>
      </c>
      <c r="E73" s="448">
        <v>2</v>
      </c>
      <c r="F73" s="448"/>
      <c r="G73" s="450">
        <v>0</v>
      </c>
      <c r="H73" s="450">
        <v>0</v>
      </c>
      <c r="I73" s="450">
        <v>0</v>
      </c>
      <c r="J73" s="449"/>
      <c r="K73" s="448" t="s">
        <v>413</v>
      </c>
      <c r="L73" s="448" t="s">
        <v>414</v>
      </c>
      <c r="M73" s="447"/>
    </row>
    <row r="74" spans="1:13" ht="15" customHeight="1" x14ac:dyDescent="0.25">
      <c r="A74" s="850"/>
      <c r="B74" s="861" t="s">
        <v>498</v>
      </c>
      <c r="C74" s="444"/>
      <c r="D74" s="444"/>
      <c r="E74" s="444"/>
      <c r="F74" s="444"/>
      <c r="G74" s="446"/>
      <c r="H74" s="446"/>
      <c r="I74" s="446"/>
      <c r="J74" s="444"/>
      <c r="K74" s="444"/>
      <c r="L74" s="444"/>
      <c r="M74" s="444"/>
    </row>
    <row r="75" spans="1:13" ht="115.15" customHeight="1" thickBot="1" x14ac:dyDescent="0.3">
      <c r="A75" s="851"/>
      <c r="B75" s="861"/>
      <c r="C75" s="444" t="s">
        <v>499</v>
      </c>
      <c r="D75" s="444" t="s">
        <v>561</v>
      </c>
      <c r="E75" s="444">
        <v>1</v>
      </c>
      <c r="F75" s="444"/>
      <c r="G75" s="446">
        <v>0</v>
      </c>
      <c r="H75" s="446">
        <v>0</v>
      </c>
      <c r="I75" s="446">
        <v>0</v>
      </c>
      <c r="J75" s="445"/>
      <c r="K75" s="444" t="s">
        <v>413</v>
      </c>
      <c r="L75" s="444" t="s">
        <v>414</v>
      </c>
      <c r="M75" s="443"/>
    </row>
    <row r="76" spans="1:13" ht="52.9" customHeight="1" x14ac:dyDescent="0.25">
      <c r="A76" s="852" t="s">
        <v>500</v>
      </c>
      <c r="B76" s="869" t="s">
        <v>501</v>
      </c>
      <c r="C76" s="441"/>
      <c r="D76" s="441"/>
      <c r="E76" s="441"/>
      <c r="F76" s="441"/>
      <c r="G76" s="442"/>
      <c r="H76" s="442"/>
      <c r="I76" s="442"/>
      <c r="J76" s="441"/>
      <c r="K76" s="441"/>
      <c r="L76" s="441"/>
      <c r="M76" s="441"/>
    </row>
    <row r="77" spans="1:13" ht="14.65" customHeight="1" x14ac:dyDescent="0.25">
      <c r="A77" s="853"/>
      <c r="B77" s="870"/>
      <c r="C77" s="836" t="s">
        <v>502</v>
      </c>
      <c r="D77" s="836" t="s">
        <v>560</v>
      </c>
      <c r="E77" s="441">
        <v>1</v>
      </c>
      <c r="F77" s="441"/>
      <c r="G77" s="440">
        <f t="shared" ref="G77:G86" si="4">H77*2</f>
        <v>0.02</v>
      </c>
      <c r="H77" s="440">
        <v>0.01</v>
      </c>
      <c r="I77" s="439">
        <f t="shared" ref="I77:I86" si="5">H77/2</f>
        <v>5.0000000000000001E-3</v>
      </c>
      <c r="J77" s="438"/>
      <c r="K77" s="437">
        <v>1</v>
      </c>
      <c r="L77" s="437"/>
      <c r="M77" s="436"/>
    </row>
    <row r="78" spans="1:13" ht="14.65" customHeight="1" x14ac:dyDescent="0.25">
      <c r="A78" s="853"/>
      <c r="B78" s="870"/>
      <c r="C78" s="837"/>
      <c r="D78" s="837"/>
      <c r="E78" s="431">
        <v>2</v>
      </c>
      <c r="F78" s="431"/>
      <c r="G78" s="430">
        <f t="shared" si="4"/>
        <v>2.1999999999999999E-2</v>
      </c>
      <c r="H78" s="430">
        <v>1.0999999999999999E-2</v>
      </c>
      <c r="I78" s="435">
        <f t="shared" si="5"/>
        <v>5.4999999999999997E-3</v>
      </c>
      <c r="J78" s="429"/>
      <c r="K78" s="428">
        <v>2</v>
      </c>
      <c r="L78" s="428"/>
      <c r="M78" s="427"/>
    </row>
    <row r="79" spans="1:13" ht="14.65" customHeight="1" x14ac:dyDescent="0.25">
      <c r="A79" s="853"/>
      <c r="B79" s="870"/>
      <c r="C79" s="837"/>
      <c r="D79" s="837"/>
      <c r="E79" s="431">
        <v>3</v>
      </c>
      <c r="F79" s="431"/>
      <c r="G79" s="430">
        <f t="shared" si="4"/>
        <v>2.4E-2</v>
      </c>
      <c r="H79" s="430">
        <v>1.2E-2</v>
      </c>
      <c r="I79" s="435">
        <f t="shared" si="5"/>
        <v>6.0000000000000001E-3</v>
      </c>
      <c r="J79" s="429"/>
      <c r="K79" s="428">
        <v>3</v>
      </c>
      <c r="L79" s="428"/>
      <c r="M79" s="427"/>
    </row>
    <row r="80" spans="1:13" ht="14.65" customHeight="1" x14ac:dyDescent="0.25">
      <c r="A80" s="853"/>
      <c r="B80" s="870"/>
      <c r="C80" s="837"/>
      <c r="D80" s="837"/>
      <c r="E80" s="431">
        <v>4</v>
      </c>
      <c r="F80" s="431"/>
      <c r="G80" s="430">
        <f t="shared" si="4"/>
        <v>2.5999999999999999E-2</v>
      </c>
      <c r="H80" s="430">
        <v>1.2999999999999999E-2</v>
      </c>
      <c r="I80" s="435">
        <f t="shared" si="5"/>
        <v>6.4999999999999997E-3</v>
      </c>
      <c r="J80" s="429"/>
      <c r="K80" s="428">
        <v>4</v>
      </c>
      <c r="L80" s="428"/>
      <c r="M80" s="427"/>
    </row>
    <row r="81" spans="1:13" ht="14.65" customHeight="1" x14ac:dyDescent="0.25">
      <c r="A81" s="853"/>
      <c r="B81" s="870"/>
      <c r="C81" s="837"/>
      <c r="D81" s="837"/>
      <c r="E81" s="431">
        <v>5</v>
      </c>
      <c r="F81" s="431"/>
      <c r="G81" s="430">
        <f t="shared" si="4"/>
        <v>2.8000000000000001E-2</v>
      </c>
      <c r="H81" s="430">
        <v>1.4E-2</v>
      </c>
      <c r="I81" s="435">
        <f t="shared" si="5"/>
        <v>7.0000000000000001E-3</v>
      </c>
      <c r="J81" s="429"/>
      <c r="K81" s="428">
        <v>5</v>
      </c>
      <c r="L81" s="428"/>
      <c r="M81" s="427"/>
    </row>
    <row r="82" spans="1:13" ht="14.65" customHeight="1" x14ac:dyDescent="0.25">
      <c r="A82" s="853"/>
      <c r="B82" s="870"/>
      <c r="C82" s="837"/>
      <c r="D82" s="837"/>
      <c r="E82" s="431">
        <v>6</v>
      </c>
      <c r="F82" s="431"/>
      <c r="G82" s="430">
        <f t="shared" si="4"/>
        <v>0.03</v>
      </c>
      <c r="H82" s="430">
        <v>1.4999999999999999E-2</v>
      </c>
      <c r="I82" s="435">
        <f t="shared" si="5"/>
        <v>7.4999999999999997E-3</v>
      </c>
      <c r="J82" s="429"/>
      <c r="K82" s="428">
        <v>6</v>
      </c>
      <c r="L82" s="428"/>
      <c r="M82" s="427"/>
    </row>
    <row r="83" spans="1:13" ht="14.65" customHeight="1" x14ac:dyDescent="0.25">
      <c r="A83" s="853"/>
      <c r="B83" s="870"/>
      <c r="C83" s="837"/>
      <c r="D83" s="837"/>
      <c r="E83" s="431">
        <v>7</v>
      </c>
      <c r="F83" s="431"/>
      <c r="G83" s="430">
        <f t="shared" si="4"/>
        <v>3.2000000000000001E-2</v>
      </c>
      <c r="H83" s="430">
        <v>1.6E-2</v>
      </c>
      <c r="I83" s="435">
        <f t="shared" si="5"/>
        <v>8.0000000000000002E-3</v>
      </c>
      <c r="J83" s="429"/>
      <c r="K83" s="428">
        <v>7</v>
      </c>
      <c r="L83" s="428"/>
      <c r="M83" s="427"/>
    </row>
    <row r="84" spans="1:13" ht="14.65" customHeight="1" x14ac:dyDescent="0.25">
      <c r="A84" s="853"/>
      <c r="B84" s="870"/>
      <c r="C84" s="837"/>
      <c r="D84" s="837"/>
      <c r="E84" s="431">
        <v>8</v>
      </c>
      <c r="F84" s="431"/>
      <c r="G84" s="430">
        <f t="shared" si="4"/>
        <v>3.4000000000000002E-2</v>
      </c>
      <c r="H84" s="430">
        <v>1.7000000000000001E-2</v>
      </c>
      <c r="I84" s="435">
        <f t="shared" si="5"/>
        <v>8.5000000000000006E-3</v>
      </c>
      <c r="J84" s="429"/>
      <c r="K84" s="428">
        <v>8</v>
      </c>
      <c r="L84" s="428"/>
      <c r="M84" s="427"/>
    </row>
    <row r="85" spans="1:13" ht="14.65" customHeight="1" x14ac:dyDescent="0.25">
      <c r="A85" s="853"/>
      <c r="B85" s="870"/>
      <c r="C85" s="837"/>
      <c r="D85" s="837"/>
      <c r="E85" s="431">
        <v>9</v>
      </c>
      <c r="F85" s="431"/>
      <c r="G85" s="430">
        <f t="shared" si="4"/>
        <v>3.5999999999999997E-2</v>
      </c>
      <c r="H85" s="430">
        <v>1.7999999999999999E-2</v>
      </c>
      <c r="I85" s="435">
        <f t="shared" si="5"/>
        <v>8.9999999999999993E-3</v>
      </c>
      <c r="J85" s="429"/>
      <c r="K85" s="428">
        <v>9</v>
      </c>
      <c r="L85" s="428"/>
      <c r="M85" s="427"/>
    </row>
    <row r="86" spans="1:13" ht="14.65" customHeight="1" x14ac:dyDescent="0.25">
      <c r="A86" s="853"/>
      <c r="B86" s="870"/>
      <c r="C86" s="837"/>
      <c r="D86" s="837"/>
      <c r="E86" s="431">
        <v>10</v>
      </c>
      <c r="F86" s="431"/>
      <c r="G86" s="430">
        <f t="shared" si="4"/>
        <v>0.04</v>
      </c>
      <c r="H86" s="430">
        <v>0.02</v>
      </c>
      <c r="I86" s="435">
        <f t="shared" si="5"/>
        <v>0.01</v>
      </c>
      <c r="J86" s="429"/>
      <c r="K86" s="428">
        <v>10</v>
      </c>
      <c r="L86" s="428"/>
      <c r="M86" s="427"/>
    </row>
    <row r="87" spans="1:13" ht="14.65" customHeight="1" x14ac:dyDescent="0.25">
      <c r="A87" s="853"/>
      <c r="B87" s="871" t="s">
        <v>503</v>
      </c>
      <c r="C87" s="425"/>
      <c r="D87" s="425"/>
      <c r="E87" s="425"/>
      <c r="F87" s="425"/>
      <c r="G87" s="426"/>
      <c r="H87" s="426"/>
      <c r="I87" s="426"/>
      <c r="J87" s="425"/>
      <c r="K87" s="425"/>
      <c r="L87" s="425"/>
      <c r="M87" s="425"/>
    </row>
    <row r="88" spans="1:13" ht="14.65" customHeight="1" x14ac:dyDescent="0.25">
      <c r="A88" s="853"/>
      <c r="B88" s="871"/>
      <c r="C88" s="840" t="s">
        <v>504</v>
      </c>
      <c r="D88" s="840" t="s">
        <v>559</v>
      </c>
      <c r="E88" s="425">
        <v>1</v>
      </c>
      <c r="F88" s="425"/>
      <c r="G88" s="424">
        <f t="shared" ref="G88:G97" si="6">H88*2</f>
        <v>0.02</v>
      </c>
      <c r="H88" s="424">
        <v>0.01</v>
      </c>
      <c r="I88" s="424">
        <f t="shared" ref="I88:I97" si="7">0.5*H88</f>
        <v>5.0000000000000001E-3</v>
      </c>
      <c r="J88" s="423"/>
      <c r="K88" s="422">
        <v>1</v>
      </c>
      <c r="L88" s="422"/>
      <c r="M88" s="421"/>
    </row>
    <row r="89" spans="1:13" ht="14.65" customHeight="1" x14ac:dyDescent="0.25">
      <c r="A89" s="853"/>
      <c r="B89" s="871"/>
      <c r="C89" s="840"/>
      <c r="D89" s="840"/>
      <c r="E89" s="425">
        <v>2</v>
      </c>
      <c r="F89" s="425"/>
      <c r="G89" s="424">
        <f t="shared" si="6"/>
        <v>0.02</v>
      </c>
      <c r="H89" s="424">
        <v>0.01</v>
      </c>
      <c r="I89" s="424">
        <f t="shared" si="7"/>
        <v>5.0000000000000001E-3</v>
      </c>
      <c r="J89" s="423"/>
      <c r="K89" s="422">
        <v>2</v>
      </c>
      <c r="L89" s="422"/>
      <c r="M89" s="421"/>
    </row>
    <row r="90" spans="1:13" ht="14.65" customHeight="1" x14ac:dyDescent="0.25">
      <c r="A90" s="853"/>
      <c r="B90" s="871"/>
      <c r="C90" s="840"/>
      <c r="D90" s="840"/>
      <c r="E90" s="425">
        <v>3</v>
      </c>
      <c r="F90" s="425"/>
      <c r="G90" s="424">
        <f t="shared" si="6"/>
        <v>0.03</v>
      </c>
      <c r="H90" s="424">
        <v>1.4999999999999999E-2</v>
      </c>
      <c r="I90" s="433">
        <f t="shared" si="7"/>
        <v>7.4999999999999997E-3</v>
      </c>
      <c r="J90" s="423"/>
      <c r="K90" s="422">
        <v>3</v>
      </c>
      <c r="L90" s="422"/>
      <c r="M90" s="421"/>
    </row>
    <row r="91" spans="1:13" ht="14.65" customHeight="1" x14ac:dyDescent="0.25">
      <c r="A91" s="853"/>
      <c r="B91" s="871"/>
      <c r="C91" s="840"/>
      <c r="D91" s="840"/>
      <c r="E91" s="425">
        <v>4</v>
      </c>
      <c r="F91" s="425"/>
      <c r="G91" s="424">
        <f t="shared" si="6"/>
        <v>0.04</v>
      </c>
      <c r="H91" s="424">
        <v>0.02</v>
      </c>
      <c r="I91" s="424">
        <f t="shared" si="7"/>
        <v>0.01</v>
      </c>
      <c r="J91" s="423"/>
      <c r="K91" s="422">
        <v>4</v>
      </c>
      <c r="L91" s="422"/>
      <c r="M91" s="421"/>
    </row>
    <row r="92" spans="1:13" ht="14.65" customHeight="1" x14ac:dyDescent="0.25">
      <c r="A92" s="853"/>
      <c r="B92" s="871"/>
      <c r="C92" s="840"/>
      <c r="D92" s="840"/>
      <c r="E92" s="425">
        <v>5</v>
      </c>
      <c r="F92" s="425"/>
      <c r="G92" s="424">
        <f t="shared" si="6"/>
        <v>0.05</v>
      </c>
      <c r="H92" s="424">
        <v>2.5000000000000001E-2</v>
      </c>
      <c r="I92" s="433">
        <f t="shared" si="7"/>
        <v>1.2500000000000001E-2</v>
      </c>
      <c r="J92" s="423"/>
      <c r="K92" s="422">
        <v>5</v>
      </c>
      <c r="L92" s="422"/>
      <c r="M92" s="421"/>
    </row>
    <row r="93" spans="1:13" ht="14.65" customHeight="1" x14ac:dyDescent="0.25">
      <c r="A93" s="853"/>
      <c r="B93" s="871"/>
      <c r="C93" s="840"/>
      <c r="D93" s="840"/>
      <c r="E93" s="425">
        <v>6</v>
      </c>
      <c r="F93" s="425"/>
      <c r="G93" s="424">
        <f t="shared" si="6"/>
        <v>0.06</v>
      </c>
      <c r="H93" s="424">
        <v>0.03</v>
      </c>
      <c r="I93" s="424">
        <f t="shared" si="7"/>
        <v>1.4999999999999999E-2</v>
      </c>
      <c r="J93" s="423"/>
      <c r="K93" s="422">
        <v>6</v>
      </c>
      <c r="L93" s="422"/>
      <c r="M93" s="421"/>
    </row>
    <row r="94" spans="1:13" ht="14.65" customHeight="1" x14ac:dyDescent="0.25">
      <c r="A94" s="853"/>
      <c r="B94" s="871"/>
      <c r="C94" s="840"/>
      <c r="D94" s="840"/>
      <c r="E94" s="425">
        <v>7</v>
      </c>
      <c r="F94" s="425"/>
      <c r="G94" s="424">
        <f t="shared" si="6"/>
        <v>7.0000000000000007E-2</v>
      </c>
      <c r="H94" s="424">
        <v>3.5000000000000003E-2</v>
      </c>
      <c r="I94" s="433">
        <f t="shared" si="7"/>
        <v>1.7500000000000002E-2</v>
      </c>
      <c r="J94" s="423"/>
      <c r="K94" s="422">
        <v>7</v>
      </c>
      <c r="L94" s="422"/>
      <c r="M94" s="421"/>
    </row>
    <row r="95" spans="1:13" ht="14.65" customHeight="1" x14ac:dyDescent="0.25">
      <c r="A95" s="853"/>
      <c r="B95" s="871"/>
      <c r="C95" s="840"/>
      <c r="D95" s="840"/>
      <c r="E95" s="425">
        <v>8</v>
      </c>
      <c r="F95" s="425"/>
      <c r="G95" s="424">
        <f t="shared" si="6"/>
        <v>0.08</v>
      </c>
      <c r="H95" s="424">
        <v>0.04</v>
      </c>
      <c r="I95" s="424">
        <f t="shared" si="7"/>
        <v>0.02</v>
      </c>
      <c r="J95" s="423"/>
      <c r="K95" s="422">
        <v>8</v>
      </c>
      <c r="L95" s="422"/>
      <c r="M95" s="421"/>
    </row>
    <row r="96" spans="1:13" ht="14.65" customHeight="1" x14ac:dyDescent="0.25">
      <c r="A96" s="853"/>
      <c r="B96" s="871"/>
      <c r="C96" s="840"/>
      <c r="D96" s="840"/>
      <c r="E96" s="425">
        <v>9</v>
      </c>
      <c r="F96" s="425"/>
      <c r="G96" s="424">
        <f t="shared" si="6"/>
        <v>0.09</v>
      </c>
      <c r="H96" s="424">
        <v>4.4999999999999998E-2</v>
      </c>
      <c r="I96" s="433">
        <f t="shared" si="7"/>
        <v>2.2499999999999999E-2</v>
      </c>
      <c r="J96" s="423"/>
      <c r="K96" s="422">
        <v>9</v>
      </c>
      <c r="L96" s="422"/>
      <c r="M96" s="421"/>
    </row>
    <row r="97" spans="1:13" ht="14.65" customHeight="1" x14ac:dyDescent="0.25">
      <c r="A97" s="853"/>
      <c r="B97" s="871"/>
      <c r="C97" s="840"/>
      <c r="D97" s="840"/>
      <c r="E97" s="425">
        <v>10</v>
      </c>
      <c r="F97" s="425"/>
      <c r="G97" s="424">
        <f t="shared" si="6"/>
        <v>0.1</v>
      </c>
      <c r="H97" s="424">
        <v>0.05</v>
      </c>
      <c r="I97" s="424">
        <f t="shared" si="7"/>
        <v>2.5000000000000001E-2</v>
      </c>
      <c r="J97" s="423"/>
      <c r="K97" s="422">
        <v>10</v>
      </c>
      <c r="L97" s="422"/>
      <c r="M97" s="421"/>
    </row>
    <row r="98" spans="1:13" ht="14.65" customHeight="1" x14ac:dyDescent="0.25">
      <c r="A98" s="853"/>
      <c r="B98" s="873" t="s">
        <v>505</v>
      </c>
      <c r="C98" s="431"/>
      <c r="D98" s="431"/>
      <c r="E98" s="431"/>
      <c r="F98" s="431"/>
      <c r="G98" s="432"/>
      <c r="H98" s="432"/>
      <c r="I98" s="432"/>
      <c r="J98" s="431"/>
      <c r="K98" s="431"/>
      <c r="L98" s="431"/>
      <c r="M98" s="431"/>
    </row>
    <row r="99" spans="1:13" ht="14.65" customHeight="1" x14ac:dyDescent="0.25">
      <c r="A99" s="853"/>
      <c r="B99" s="873"/>
      <c r="C99" s="837" t="s">
        <v>506</v>
      </c>
      <c r="D99" s="837" t="s">
        <v>558</v>
      </c>
      <c r="E99" s="431">
        <v>1</v>
      </c>
      <c r="F99" s="431"/>
      <c r="G99" s="432">
        <f t="shared" ref="G99:G113" si="8">H99*2</f>
        <v>0.02</v>
      </c>
      <c r="H99" s="432">
        <v>0.01</v>
      </c>
      <c r="I99" s="432">
        <f t="shared" ref="I99:I113" si="9">0.5*H99</f>
        <v>5.0000000000000001E-3</v>
      </c>
      <c r="J99" s="434"/>
      <c r="K99" s="428">
        <v>1</v>
      </c>
      <c r="L99" s="428"/>
      <c r="M99" s="427"/>
    </row>
    <row r="100" spans="1:13" ht="14.65" customHeight="1" x14ac:dyDescent="0.25">
      <c r="A100" s="853"/>
      <c r="B100" s="873"/>
      <c r="C100" s="837"/>
      <c r="D100" s="837"/>
      <c r="E100" s="431">
        <v>2</v>
      </c>
      <c r="F100" s="431"/>
      <c r="G100" s="432">
        <f t="shared" si="8"/>
        <v>0.04</v>
      </c>
      <c r="H100" s="432">
        <v>0.02</v>
      </c>
      <c r="I100" s="432">
        <f t="shared" si="9"/>
        <v>0.01</v>
      </c>
      <c r="J100" s="434"/>
      <c r="K100" s="428">
        <v>2</v>
      </c>
      <c r="L100" s="428"/>
      <c r="M100" s="427"/>
    </row>
    <row r="101" spans="1:13" ht="14.65" customHeight="1" x14ac:dyDescent="0.25">
      <c r="A101" s="853"/>
      <c r="B101" s="873"/>
      <c r="C101" s="837"/>
      <c r="D101" s="837"/>
      <c r="E101" s="431">
        <v>3</v>
      </c>
      <c r="F101" s="431"/>
      <c r="G101" s="432">
        <f t="shared" si="8"/>
        <v>0.06</v>
      </c>
      <c r="H101" s="432">
        <v>0.03</v>
      </c>
      <c r="I101" s="432">
        <f t="shared" si="9"/>
        <v>1.4999999999999999E-2</v>
      </c>
      <c r="J101" s="434"/>
      <c r="K101" s="428">
        <v>3</v>
      </c>
      <c r="L101" s="428"/>
      <c r="M101" s="427"/>
    </row>
    <row r="102" spans="1:13" ht="14.65" customHeight="1" x14ac:dyDescent="0.25">
      <c r="A102" s="853"/>
      <c r="B102" s="873"/>
      <c r="C102" s="837"/>
      <c r="D102" s="837"/>
      <c r="E102" s="431">
        <v>4</v>
      </c>
      <c r="F102" s="431"/>
      <c r="G102" s="432">
        <f t="shared" si="8"/>
        <v>0.08</v>
      </c>
      <c r="H102" s="432">
        <v>0.04</v>
      </c>
      <c r="I102" s="432">
        <f t="shared" si="9"/>
        <v>0.02</v>
      </c>
      <c r="J102" s="434"/>
      <c r="K102" s="428">
        <v>4</v>
      </c>
      <c r="L102" s="428"/>
      <c r="M102" s="427"/>
    </row>
    <row r="103" spans="1:13" ht="14.65" customHeight="1" x14ac:dyDescent="0.25">
      <c r="A103" s="853"/>
      <c r="B103" s="873"/>
      <c r="C103" s="837"/>
      <c r="D103" s="837"/>
      <c r="E103" s="431">
        <v>5</v>
      </c>
      <c r="F103" s="431"/>
      <c r="G103" s="432">
        <f t="shared" si="8"/>
        <v>0.1</v>
      </c>
      <c r="H103" s="432">
        <v>0.05</v>
      </c>
      <c r="I103" s="432">
        <f t="shared" si="9"/>
        <v>2.5000000000000001E-2</v>
      </c>
      <c r="J103" s="434"/>
      <c r="K103" s="428">
        <v>5</v>
      </c>
      <c r="L103" s="428"/>
      <c r="M103" s="427"/>
    </row>
    <row r="104" spans="1:13" ht="14.65" customHeight="1" x14ac:dyDescent="0.25">
      <c r="A104" s="853"/>
      <c r="B104" s="873"/>
      <c r="C104" s="837"/>
      <c r="D104" s="837"/>
      <c r="E104" s="431">
        <v>6</v>
      </c>
      <c r="F104" s="431"/>
      <c r="G104" s="432">
        <f t="shared" si="8"/>
        <v>0.12</v>
      </c>
      <c r="H104" s="432">
        <v>0.06</v>
      </c>
      <c r="I104" s="432">
        <f t="shared" si="9"/>
        <v>0.03</v>
      </c>
      <c r="J104" s="434"/>
      <c r="K104" s="428">
        <v>6</v>
      </c>
      <c r="L104" s="428"/>
      <c r="M104" s="427"/>
    </row>
    <row r="105" spans="1:13" ht="14.65" customHeight="1" x14ac:dyDescent="0.25">
      <c r="A105" s="853"/>
      <c r="B105" s="873"/>
      <c r="C105" s="837"/>
      <c r="D105" s="837"/>
      <c r="E105" s="431">
        <v>7</v>
      </c>
      <c r="F105" s="431"/>
      <c r="G105" s="432">
        <f t="shared" si="8"/>
        <v>0.14000000000000001</v>
      </c>
      <c r="H105" s="432">
        <v>7.0000000000000007E-2</v>
      </c>
      <c r="I105" s="432">
        <f t="shared" si="9"/>
        <v>3.5000000000000003E-2</v>
      </c>
      <c r="J105" s="434"/>
      <c r="K105" s="428">
        <v>7</v>
      </c>
      <c r="L105" s="428"/>
      <c r="M105" s="427"/>
    </row>
    <row r="106" spans="1:13" ht="14.65" customHeight="1" x14ac:dyDescent="0.25">
      <c r="A106" s="853"/>
      <c r="B106" s="873"/>
      <c r="C106" s="837"/>
      <c r="D106" s="837"/>
      <c r="E106" s="431">
        <v>8</v>
      </c>
      <c r="F106" s="431"/>
      <c r="G106" s="432">
        <f t="shared" si="8"/>
        <v>0.16</v>
      </c>
      <c r="H106" s="432">
        <v>0.08</v>
      </c>
      <c r="I106" s="432">
        <f t="shared" si="9"/>
        <v>0.04</v>
      </c>
      <c r="J106" s="434"/>
      <c r="K106" s="428">
        <v>8</v>
      </c>
      <c r="L106" s="428"/>
      <c r="M106" s="427"/>
    </row>
    <row r="107" spans="1:13" ht="14.65" customHeight="1" x14ac:dyDescent="0.25">
      <c r="A107" s="853"/>
      <c r="B107" s="873"/>
      <c r="C107" s="837"/>
      <c r="D107" s="837"/>
      <c r="E107" s="431">
        <v>9</v>
      </c>
      <c r="F107" s="431"/>
      <c r="G107" s="432">
        <f t="shared" si="8"/>
        <v>0.18</v>
      </c>
      <c r="H107" s="432">
        <v>0.09</v>
      </c>
      <c r="I107" s="432">
        <f t="shared" si="9"/>
        <v>4.4999999999999998E-2</v>
      </c>
      <c r="J107" s="434"/>
      <c r="K107" s="428">
        <v>9</v>
      </c>
      <c r="L107" s="428"/>
      <c r="M107" s="427"/>
    </row>
    <row r="108" spans="1:13" ht="14.65" customHeight="1" x14ac:dyDescent="0.25">
      <c r="A108" s="853"/>
      <c r="B108" s="873"/>
      <c r="C108" s="837"/>
      <c r="D108" s="837"/>
      <c r="E108" s="431">
        <v>10</v>
      </c>
      <c r="F108" s="431"/>
      <c r="G108" s="432">
        <f t="shared" si="8"/>
        <v>0.2</v>
      </c>
      <c r="H108" s="432">
        <v>0.1</v>
      </c>
      <c r="I108" s="432">
        <f t="shared" si="9"/>
        <v>0.05</v>
      </c>
      <c r="J108" s="434"/>
      <c r="K108" s="428">
        <v>10</v>
      </c>
      <c r="L108" s="428"/>
      <c r="M108" s="427"/>
    </row>
    <row r="109" spans="1:13" ht="14.65" customHeight="1" x14ac:dyDescent="0.25">
      <c r="A109" s="853"/>
      <c r="B109" s="873"/>
      <c r="C109" s="837"/>
      <c r="D109" s="837"/>
      <c r="E109" s="431">
        <v>11</v>
      </c>
      <c r="F109" s="431"/>
      <c r="G109" s="432">
        <f t="shared" si="8"/>
        <v>0.22</v>
      </c>
      <c r="H109" s="432">
        <v>0.11</v>
      </c>
      <c r="I109" s="432">
        <f t="shared" si="9"/>
        <v>5.5E-2</v>
      </c>
      <c r="J109" s="434"/>
      <c r="K109" s="428">
        <v>11</v>
      </c>
      <c r="L109" s="428"/>
      <c r="M109" s="427"/>
    </row>
    <row r="110" spans="1:13" ht="14.65" customHeight="1" x14ac:dyDescent="0.25">
      <c r="A110" s="853"/>
      <c r="B110" s="873"/>
      <c r="C110" s="837"/>
      <c r="D110" s="837"/>
      <c r="E110" s="431">
        <v>12</v>
      </c>
      <c r="F110" s="431"/>
      <c r="G110" s="432">
        <f t="shared" si="8"/>
        <v>0.24</v>
      </c>
      <c r="H110" s="432">
        <v>0.12</v>
      </c>
      <c r="I110" s="432">
        <f t="shared" si="9"/>
        <v>0.06</v>
      </c>
      <c r="J110" s="434"/>
      <c r="K110" s="428">
        <v>12</v>
      </c>
      <c r="L110" s="428"/>
      <c r="M110" s="427"/>
    </row>
    <row r="111" spans="1:13" ht="14.65" customHeight="1" x14ac:dyDescent="0.25">
      <c r="A111" s="853"/>
      <c r="B111" s="873"/>
      <c r="C111" s="837"/>
      <c r="D111" s="837"/>
      <c r="E111" s="431">
        <v>13</v>
      </c>
      <c r="F111" s="431"/>
      <c r="G111" s="432">
        <f t="shared" si="8"/>
        <v>0.26</v>
      </c>
      <c r="H111" s="432">
        <v>0.13</v>
      </c>
      <c r="I111" s="432">
        <f t="shared" si="9"/>
        <v>6.5000000000000002E-2</v>
      </c>
      <c r="J111" s="434"/>
      <c r="K111" s="428">
        <v>13</v>
      </c>
      <c r="L111" s="428"/>
      <c r="M111" s="427"/>
    </row>
    <row r="112" spans="1:13" ht="14.65" customHeight="1" x14ac:dyDescent="0.25">
      <c r="A112" s="853"/>
      <c r="B112" s="873"/>
      <c r="C112" s="837"/>
      <c r="D112" s="837"/>
      <c r="E112" s="431">
        <v>14</v>
      </c>
      <c r="F112" s="431"/>
      <c r="G112" s="432">
        <f t="shared" si="8"/>
        <v>0.28000000000000003</v>
      </c>
      <c r="H112" s="432">
        <v>0.14000000000000001</v>
      </c>
      <c r="I112" s="432">
        <f t="shared" si="9"/>
        <v>7.0000000000000007E-2</v>
      </c>
      <c r="J112" s="434"/>
      <c r="K112" s="428">
        <v>14</v>
      </c>
      <c r="L112" s="428"/>
      <c r="M112" s="427"/>
    </row>
    <row r="113" spans="1:13" ht="14.65" customHeight="1" x14ac:dyDescent="0.25">
      <c r="A113" s="853"/>
      <c r="B113" s="873"/>
      <c r="C113" s="837"/>
      <c r="D113" s="837"/>
      <c r="E113" s="431">
        <v>15</v>
      </c>
      <c r="F113" s="431"/>
      <c r="G113" s="432">
        <f t="shared" si="8"/>
        <v>0.3</v>
      </c>
      <c r="H113" s="432">
        <v>0.15</v>
      </c>
      <c r="I113" s="432">
        <f t="shared" si="9"/>
        <v>7.4999999999999997E-2</v>
      </c>
      <c r="J113" s="434"/>
      <c r="K113" s="428">
        <v>15</v>
      </c>
      <c r="L113" s="428"/>
      <c r="M113" s="427"/>
    </row>
    <row r="114" spans="1:13" ht="14.65" customHeight="1" x14ac:dyDescent="0.25">
      <c r="A114" s="853"/>
      <c r="B114" s="871" t="s">
        <v>507</v>
      </c>
      <c r="C114" s="425"/>
      <c r="D114" s="425"/>
      <c r="E114" s="425"/>
      <c r="F114" s="425"/>
      <c r="G114" s="426"/>
      <c r="H114" s="426"/>
      <c r="I114" s="426"/>
      <c r="J114" s="425"/>
      <c r="K114" s="425"/>
      <c r="L114" s="425"/>
      <c r="M114" s="425"/>
    </row>
    <row r="115" spans="1:13" ht="14.65" customHeight="1" x14ac:dyDescent="0.25">
      <c r="A115" s="853"/>
      <c r="B115" s="871"/>
      <c r="C115" s="840" t="s">
        <v>508</v>
      </c>
      <c r="D115" s="840" t="s">
        <v>557</v>
      </c>
      <c r="E115" s="425">
        <v>1</v>
      </c>
      <c r="F115" s="425"/>
      <c r="G115" s="424">
        <f t="shared" ref="G115:G124" si="10">H115*2</f>
        <v>0.02</v>
      </c>
      <c r="H115" s="424">
        <v>0.01</v>
      </c>
      <c r="I115" s="433">
        <f t="shared" ref="I115:I124" si="11">H115/2</f>
        <v>5.0000000000000001E-3</v>
      </c>
      <c r="J115" s="423"/>
      <c r="K115" s="422">
        <v>1</v>
      </c>
      <c r="L115" s="422"/>
      <c r="M115" s="421"/>
    </row>
    <row r="116" spans="1:13" ht="14.65" customHeight="1" x14ac:dyDescent="0.25">
      <c r="A116" s="853"/>
      <c r="B116" s="871"/>
      <c r="C116" s="840"/>
      <c r="D116" s="840"/>
      <c r="E116" s="425">
        <v>2</v>
      </c>
      <c r="F116" s="425"/>
      <c r="G116" s="424">
        <f t="shared" si="10"/>
        <v>2.1999999999999999E-2</v>
      </c>
      <c r="H116" s="424">
        <v>1.0999999999999999E-2</v>
      </c>
      <c r="I116" s="433">
        <f t="shared" si="11"/>
        <v>5.4999999999999997E-3</v>
      </c>
      <c r="J116" s="423"/>
      <c r="K116" s="422">
        <v>2</v>
      </c>
      <c r="L116" s="422"/>
      <c r="M116" s="421"/>
    </row>
    <row r="117" spans="1:13" ht="14.65" customHeight="1" x14ac:dyDescent="0.25">
      <c r="A117" s="853"/>
      <c r="B117" s="871"/>
      <c r="C117" s="840"/>
      <c r="D117" s="840"/>
      <c r="E117" s="425">
        <v>3</v>
      </c>
      <c r="F117" s="425"/>
      <c r="G117" s="424">
        <f t="shared" si="10"/>
        <v>2.4E-2</v>
      </c>
      <c r="H117" s="424">
        <v>1.2E-2</v>
      </c>
      <c r="I117" s="433">
        <f t="shared" si="11"/>
        <v>6.0000000000000001E-3</v>
      </c>
      <c r="J117" s="423"/>
      <c r="K117" s="422">
        <v>3</v>
      </c>
      <c r="L117" s="422"/>
      <c r="M117" s="421"/>
    </row>
    <row r="118" spans="1:13" ht="14.65" customHeight="1" x14ac:dyDescent="0.25">
      <c r="A118" s="853"/>
      <c r="B118" s="871"/>
      <c r="C118" s="840"/>
      <c r="D118" s="840"/>
      <c r="E118" s="425">
        <v>4</v>
      </c>
      <c r="F118" s="425"/>
      <c r="G118" s="424">
        <f t="shared" si="10"/>
        <v>2.5999999999999999E-2</v>
      </c>
      <c r="H118" s="424">
        <v>1.2999999999999999E-2</v>
      </c>
      <c r="I118" s="433">
        <f t="shared" si="11"/>
        <v>6.4999999999999997E-3</v>
      </c>
      <c r="J118" s="423"/>
      <c r="K118" s="422">
        <v>4</v>
      </c>
      <c r="L118" s="422"/>
      <c r="M118" s="421"/>
    </row>
    <row r="119" spans="1:13" ht="14.65" customHeight="1" x14ac:dyDescent="0.25">
      <c r="A119" s="853"/>
      <c r="B119" s="871"/>
      <c r="C119" s="840"/>
      <c r="D119" s="840"/>
      <c r="E119" s="425">
        <v>5</v>
      </c>
      <c r="F119" s="425"/>
      <c r="G119" s="424">
        <f t="shared" si="10"/>
        <v>2.8000000000000001E-2</v>
      </c>
      <c r="H119" s="424">
        <v>1.4E-2</v>
      </c>
      <c r="I119" s="433">
        <f t="shared" si="11"/>
        <v>7.0000000000000001E-3</v>
      </c>
      <c r="J119" s="423"/>
      <c r="K119" s="422">
        <v>5</v>
      </c>
      <c r="L119" s="422"/>
      <c r="M119" s="421"/>
    </row>
    <row r="120" spans="1:13" ht="14.65" customHeight="1" x14ac:dyDescent="0.25">
      <c r="A120" s="853"/>
      <c r="B120" s="871"/>
      <c r="C120" s="840"/>
      <c r="D120" s="840"/>
      <c r="E120" s="425">
        <v>6</v>
      </c>
      <c r="F120" s="425"/>
      <c r="G120" s="424">
        <f t="shared" si="10"/>
        <v>0.03</v>
      </c>
      <c r="H120" s="424">
        <v>1.4999999999999999E-2</v>
      </c>
      <c r="I120" s="433">
        <f t="shared" si="11"/>
        <v>7.4999999999999997E-3</v>
      </c>
      <c r="J120" s="423"/>
      <c r="K120" s="422">
        <v>6</v>
      </c>
      <c r="L120" s="422"/>
      <c r="M120" s="421"/>
    </row>
    <row r="121" spans="1:13" ht="14.65" customHeight="1" x14ac:dyDescent="0.25">
      <c r="A121" s="853"/>
      <c r="B121" s="871"/>
      <c r="C121" s="840"/>
      <c r="D121" s="840"/>
      <c r="E121" s="425">
        <v>7</v>
      </c>
      <c r="F121" s="425"/>
      <c r="G121" s="424">
        <f t="shared" si="10"/>
        <v>3.2000000000000001E-2</v>
      </c>
      <c r="H121" s="424">
        <v>1.6E-2</v>
      </c>
      <c r="I121" s="433">
        <f t="shared" si="11"/>
        <v>8.0000000000000002E-3</v>
      </c>
      <c r="J121" s="423"/>
      <c r="K121" s="422">
        <v>7</v>
      </c>
      <c r="L121" s="422"/>
      <c r="M121" s="421"/>
    </row>
    <row r="122" spans="1:13" ht="14.65" customHeight="1" x14ac:dyDescent="0.25">
      <c r="A122" s="853"/>
      <c r="B122" s="871"/>
      <c r="C122" s="840"/>
      <c r="D122" s="840"/>
      <c r="E122" s="425">
        <v>8</v>
      </c>
      <c r="F122" s="425"/>
      <c r="G122" s="424">
        <f t="shared" si="10"/>
        <v>3.4000000000000002E-2</v>
      </c>
      <c r="H122" s="424">
        <v>1.7000000000000001E-2</v>
      </c>
      <c r="I122" s="433">
        <f t="shared" si="11"/>
        <v>8.5000000000000006E-3</v>
      </c>
      <c r="J122" s="423"/>
      <c r="K122" s="422">
        <v>8</v>
      </c>
      <c r="L122" s="422"/>
      <c r="M122" s="421"/>
    </row>
    <row r="123" spans="1:13" ht="14.65" customHeight="1" x14ac:dyDescent="0.25">
      <c r="A123" s="853"/>
      <c r="B123" s="871"/>
      <c r="C123" s="840"/>
      <c r="D123" s="840"/>
      <c r="E123" s="425">
        <v>9</v>
      </c>
      <c r="F123" s="425"/>
      <c r="G123" s="424">
        <f t="shared" si="10"/>
        <v>3.5999999999999997E-2</v>
      </c>
      <c r="H123" s="424">
        <v>1.7999999999999999E-2</v>
      </c>
      <c r="I123" s="433">
        <f t="shared" si="11"/>
        <v>8.9999999999999993E-3</v>
      </c>
      <c r="J123" s="423"/>
      <c r="K123" s="422">
        <v>9</v>
      </c>
      <c r="L123" s="422"/>
      <c r="M123" s="421"/>
    </row>
    <row r="124" spans="1:13" ht="14.65" customHeight="1" x14ac:dyDescent="0.25">
      <c r="A124" s="853"/>
      <c r="B124" s="871"/>
      <c r="C124" s="840"/>
      <c r="D124" s="840"/>
      <c r="E124" s="425">
        <v>10</v>
      </c>
      <c r="F124" s="425"/>
      <c r="G124" s="424">
        <f t="shared" si="10"/>
        <v>0.04</v>
      </c>
      <c r="H124" s="424">
        <v>0.02</v>
      </c>
      <c r="I124" s="433">
        <f t="shared" si="11"/>
        <v>0.01</v>
      </c>
      <c r="J124" s="423"/>
      <c r="K124" s="422">
        <v>10</v>
      </c>
      <c r="L124" s="422"/>
      <c r="M124" s="421"/>
    </row>
    <row r="125" spans="1:13" ht="14.65" customHeight="1" x14ac:dyDescent="0.25">
      <c r="A125" s="853"/>
      <c r="B125" s="873" t="s">
        <v>509</v>
      </c>
      <c r="C125" s="431"/>
      <c r="D125" s="431"/>
      <c r="E125" s="431"/>
      <c r="F125" s="431"/>
      <c r="G125" s="432"/>
      <c r="H125" s="432"/>
      <c r="I125" s="432"/>
      <c r="J125" s="431"/>
      <c r="K125" s="431"/>
      <c r="L125" s="431"/>
      <c r="M125" s="431"/>
    </row>
    <row r="126" spans="1:13" ht="14.65" customHeight="1" x14ac:dyDescent="0.25">
      <c r="A126" s="853"/>
      <c r="B126" s="873"/>
      <c r="C126" s="837" t="s">
        <v>510</v>
      </c>
      <c r="D126" s="837" t="s">
        <v>556</v>
      </c>
      <c r="E126" s="431">
        <v>1</v>
      </c>
      <c r="F126" s="431"/>
      <c r="G126" s="430">
        <f>2*H126</f>
        <v>0.02</v>
      </c>
      <c r="H126" s="430">
        <v>0.01</v>
      </c>
      <c r="I126" s="430">
        <f>0.5*H126</f>
        <v>5.0000000000000001E-3</v>
      </c>
      <c r="J126" s="429"/>
      <c r="K126" s="428">
        <v>1</v>
      </c>
      <c r="L126" s="428"/>
      <c r="M126" s="427"/>
    </row>
    <row r="127" spans="1:13" ht="14.65" customHeight="1" x14ac:dyDescent="0.25">
      <c r="A127" s="853"/>
      <c r="B127" s="873"/>
      <c r="C127" s="837"/>
      <c r="D127" s="837"/>
      <c r="E127" s="431">
        <v>2</v>
      </c>
      <c r="F127" s="431"/>
      <c r="G127" s="430">
        <f>2*H127</f>
        <v>2.4E-2</v>
      </c>
      <c r="H127" s="430">
        <v>1.2E-2</v>
      </c>
      <c r="I127" s="430">
        <f>0.5*H127</f>
        <v>6.0000000000000001E-3</v>
      </c>
      <c r="J127" s="429"/>
      <c r="K127" s="428">
        <v>2</v>
      </c>
      <c r="L127" s="428"/>
      <c r="M127" s="427"/>
    </row>
    <row r="128" spans="1:13" ht="14.65" customHeight="1" x14ac:dyDescent="0.25">
      <c r="A128" s="853"/>
      <c r="B128" s="873"/>
      <c r="C128" s="837"/>
      <c r="D128" s="837"/>
      <c r="E128" s="431">
        <v>3</v>
      </c>
      <c r="F128" s="431"/>
      <c r="G128" s="430">
        <f>2*H128</f>
        <v>2.8000000000000001E-2</v>
      </c>
      <c r="H128" s="430">
        <v>1.4E-2</v>
      </c>
      <c r="I128" s="430">
        <f>0.5*H128</f>
        <v>7.0000000000000001E-3</v>
      </c>
      <c r="J128" s="429"/>
      <c r="K128" s="428">
        <v>3</v>
      </c>
      <c r="L128" s="428"/>
      <c r="M128" s="427"/>
    </row>
    <row r="129" spans="1:13" ht="14.65" customHeight="1" x14ac:dyDescent="0.25">
      <c r="A129" s="853"/>
      <c r="B129" s="873"/>
      <c r="C129" s="837"/>
      <c r="D129" s="837"/>
      <c r="E129" s="431">
        <v>4</v>
      </c>
      <c r="F129" s="431"/>
      <c r="G129" s="430">
        <f>2*H129</f>
        <v>3.2000000000000001E-2</v>
      </c>
      <c r="H129" s="430">
        <v>1.6E-2</v>
      </c>
      <c r="I129" s="430">
        <f>0.5*H129</f>
        <v>8.0000000000000002E-3</v>
      </c>
      <c r="J129" s="429"/>
      <c r="K129" s="428">
        <v>4</v>
      </c>
      <c r="L129" s="428"/>
      <c r="M129" s="427"/>
    </row>
    <row r="130" spans="1:13" ht="14.65" customHeight="1" x14ac:dyDescent="0.25">
      <c r="A130" s="853"/>
      <c r="B130" s="873"/>
      <c r="C130" s="837"/>
      <c r="D130" s="837"/>
      <c r="E130" s="431">
        <v>5</v>
      </c>
      <c r="F130" s="431"/>
      <c r="G130" s="430">
        <f>2*H130</f>
        <v>0.04</v>
      </c>
      <c r="H130" s="430">
        <v>0.02</v>
      </c>
      <c r="I130" s="430">
        <f>0.5*H130</f>
        <v>0.01</v>
      </c>
      <c r="J130" s="429"/>
      <c r="K130" s="428">
        <v>5</v>
      </c>
      <c r="L130" s="428"/>
      <c r="M130" s="427"/>
    </row>
    <row r="131" spans="1:13" ht="14.65" customHeight="1" x14ac:dyDescent="0.25">
      <c r="A131" s="853"/>
      <c r="B131" s="871" t="s">
        <v>511</v>
      </c>
      <c r="C131" s="425"/>
      <c r="D131" s="425"/>
      <c r="E131" s="425"/>
      <c r="F131" s="425"/>
      <c r="G131" s="426"/>
      <c r="H131" s="426"/>
      <c r="I131" s="426"/>
      <c r="J131" s="425"/>
      <c r="K131" s="425"/>
      <c r="L131" s="425"/>
      <c r="M131" s="425"/>
    </row>
    <row r="132" spans="1:13" ht="14.65" customHeight="1" x14ac:dyDescent="0.25">
      <c r="A132" s="853"/>
      <c r="B132" s="871"/>
      <c r="C132" s="867" t="s">
        <v>555</v>
      </c>
      <c r="D132" s="867" t="s">
        <v>554</v>
      </c>
      <c r="E132" s="425">
        <v>1</v>
      </c>
      <c r="F132" s="425"/>
      <c r="G132" s="424">
        <f>2*H132</f>
        <v>0.02</v>
      </c>
      <c r="H132" s="424">
        <v>0.01</v>
      </c>
      <c r="I132" s="424">
        <f>0.5*H132</f>
        <v>5.0000000000000001E-3</v>
      </c>
      <c r="J132" s="423"/>
      <c r="K132" s="422">
        <v>1</v>
      </c>
      <c r="L132" s="422"/>
      <c r="M132" s="421"/>
    </row>
    <row r="133" spans="1:13" ht="14.65" customHeight="1" x14ac:dyDescent="0.25">
      <c r="A133" s="853"/>
      <c r="B133" s="871"/>
      <c r="C133" s="867"/>
      <c r="D133" s="867"/>
      <c r="E133" s="425">
        <v>2</v>
      </c>
      <c r="F133" s="425"/>
      <c r="G133" s="424">
        <f>2*H133</f>
        <v>0.04</v>
      </c>
      <c r="H133" s="424">
        <v>0.02</v>
      </c>
      <c r="I133" s="424">
        <f>0.5*H133</f>
        <v>0.01</v>
      </c>
      <c r="J133" s="423"/>
      <c r="K133" s="422">
        <v>2</v>
      </c>
      <c r="L133" s="422"/>
      <c r="M133" s="421"/>
    </row>
    <row r="134" spans="1:13" ht="14.65" customHeight="1" x14ac:dyDescent="0.25">
      <c r="A134" s="853"/>
      <c r="B134" s="871"/>
      <c r="C134" s="867"/>
      <c r="D134" s="867"/>
      <c r="E134" s="425">
        <v>3</v>
      </c>
      <c r="F134" s="425"/>
      <c r="G134" s="424">
        <f>2*H134</f>
        <v>0.06</v>
      </c>
      <c r="H134" s="424">
        <v>0.03</v>
      </c>
      <c r="I134" s="424">
        <f>0.5*H134</f>
        <v>1.4999999999999999E-2</v>
      </c>
      <c r="J134" s="423"/>
      <c r="K134" s="422">
        <v>3</v>
      </c>
      <c r="L134" s="422"/>
      <c r="M134" s="421"/>
    </row>
    <row r="135" spans="1:13" ht="14.65" customHeight="1" x14ac:dyDescent="0.25">
      <c r="A135" s="853"/>
      <c r="B135" s="871"/>
      <c r="C135" s="867"/>
      <c r="D135" s="867"/>
      <c r="E135" s="425">
        <v>4</v>
      </c>
      <c r="F135" s="425"/>
      <c r="G135" s="424">
        <f>2*H135</f>
        <v>0.08</v>
      </c>
      <c r="H135" s="424">
        <v>0.04</v>
      </c>
      <c r="I135" s="424">
        <f>0.5*H135</f>
        <v>0.02</v>
      </c>
      <c r="J135" s="423"/>
      <c r="K135" s="422">
        <v>4</v>
      </c>
      <c r="L135" s="422"/>
      <c r="M135" s="421"/>
    </row>
    <row r="136" spans="1:13" ht="14.65" customHeight="1" x14ac:dyDescent="0.25">
      <c r="A136" s="853"/>
      <c r="B136" s="872"/>
      <c r="C136" s="867"/>
      <c r="D136" s="867"/>
      <c r="E136" s="420">
        <v>5</v>
      </c>
      <c r="F136" s="420"/>
      <c r="G136" s="419">
        <f>2*H136</f>
        <v>0.1</v>
      </c>
      <c r="H136" s="419">
        <v>0.05</v>
      </c>
      <c r="I136" s="419">
        <f>0.5*H136</f>
        <v>2.5000000000000001E-2</v>
      </c>
      <c r="J136" s="418"/>
      <c r="K136" s="417">
        <v>5</v>
      </c>
      <c r="L136" s="417"/>
      <c r="M136" s="416"/>
    </row>
  </sheetData>
  <sheetProtection algorithmName="SHA-512" hashValue="lJdu+RXXB7402T84z+CCWNDv6hyxY00501R3aqFVzpIldu+4/fOXvc9DGJl2cvn4xkrNKWGehEQ+0Ikp7d3QrQ==" saltValue="OLPCr2Rk0cbBIKcFvn/KHQ==" spinCount="100000" sheet="1"/>
  <mergeCells count="65">
    <mergeCell ref="B131:B136"/>
    <mergeCell ref="C132:C136"/>
    <mergeCell ref="D132:D136"/>
    <mergeCell ref="D99:D113"/>
    <mergeCell ref="B114:B124"/>
    <mergeCell ref="C115:C124"/>
    <mergeCell ref="D115:D124"/>
    <mergeCell ref="B98:B113"/>
    <mergeCell ref="C99:C113"/>
    <mergeCell ref="B125:B130"/>
    <mergeCell ref="C126:C130"/>
    <mergeCell ref="D77:D86"/>
    <mergeCell ref="B87:B97"/>
    <mergeCell ref="C88:C97"/>
    <mergeCell ref="D88:D97"/>
    <mergeCell ref="D126:D130"/>
    <mergeCell ref="B70:B71"/>
    <mergeCell ref="B72:B73"/>
    <mergeCell ref="B74:B75"/>
    <mergeCell ref="B76:B86"/>
    <mergeCell ref="C77:C86"/>
    <mergeCell ref="D65:D66"/>
    <mergeCell ref="B67:B69"/>
    <mergeCell ref="C68:C69"/>
    <mergeCell ref="D68:D69"/>
    <mergeCell ref="D34:D35"/>
    <mergeCell ref="B36:B49"/>
    <mergeCell ref="C38:C49"/>
    <mergeCell ref="D38:D49"/>
    <mergeCell ref="B50:B63"/>
    <mergeCell ref="C52:C63"/>
    <mergeCell ref="B64:B66"/>
    <mergeCell ref="C65:C66"/>
    <mergeCell ref="D52:D63"/>
    <mergeCell ref="B27:B28"/>
    <mergeCell ref="B29:B30"/>
    <mergeCell ref="B31:B32"/>
    <mergeCell ref="B33:B35"/>
    <mergeCell ref="C34:C35"/>
    <mergeCell ref="D24:D26"/>
    <mergeCell ref="D16:D19"/>
    <mergeCell ref="C16:C19"/>
    <mergeCell ref="C20:C22"/>
    <mergeCell ref="D20:D22"/>
    <mergeCell ref="B11:B15"/>
    <mergeCell ref="K1:M2"/>
    <mergeCell ref="A27:A75"/>
    <mergeCell ref="A76:A136"/>
    <mergeCell ref="B1:B2"/>
    <mergeCell ref="C1:C2"/>
    <mergeCell ref="D1:D2"/>
    <mergeCell ref="E1:E2"/>
    <mergeCell ref="G1:I1"/>
    <mergeCell ref="A3:A10"/>
    <mergeCell ref="B3:B6"/>
    <mergeCell ref="A12:A26"/>
    <mergeCell ref="C12:C15"/>
    <mergeCell ref="D12:D15"/>
    <mergeCell ref="B23:B26"/>
    <mergeCell ref="C24:C26"/>
    <mergeCell ref="C3:C6"/>
    <mergeCell ref="D3:D6"/>
    <mergeCell ref="B7:B10"/>
    <mergeCell ref="C8:C10"/>
    <mergeCell ref="D8:D10"/>
  </mergeCells>
  <hyperlinks>
    <hyperlink ref="L17" r:id="rId1" location="!" xr:uid="{00000000-0004-0000-0A00-000000000000}"/>
    <hyperlink ref="L18" r:id="rId2" location="en_US_2020_publink1000193745" xr:uid="{00000000-0004-0000-0A00-000001000000}"/>
  </hyperlinks>
  <pageMargins left="0.7" right="0.7" top="0.75" bottom="0.75" header="0.3" footer="0.3"/>
  <pageSetup orientation="portrait"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theme="3" tint="0.79998168889431442"/>
  </sheetPr>
  <dimension ref="A1:I59"/>
  <sheetViews>
    <sheetView topLeftCell="A7" zoomScaleNormal="100" workbookViewId="0">
      <selection activeCell="A27" sqref="A27"/>
    </sheetView>
  </sheetViews>
  <sheetFormatPr defaultColWidth="9.140625" defaultRowHeight="15" x14ac:dyDescent="0.25"/>
  <cols>
    <col min="1" max="1" width="55.7109375" style="332" customWidth="1"/>
    <col min="2" max="2" width="25.42578125" style="332" customWidth="1"/>
    <col min="3" max="3" width="14.28515625" style="332" bestFit="1" customWidth="1"/>
    <col min="4" max="4" width="48.7109375" style="332" bestFit="1" customWidth="1"/>
    <col min="5" max="5" width="9.140625" style="332"/>
    <col min="6" max="6" width="24.5703125" style="332" customWidth="1"/>
    <col min="7" max="7" width="35.5703125" style="370" customWidth="1"/>
    <col min="8" max="8" width="47.7109375" style="370" customWidth="1"/>
    <col min="9" max="9" width="50.42578125" style="370" customWidth="1"/>
    <col min="10" max="10" width="21.5703125" style="332" customWidth="1"/>
    <col min="11" max="16384" width="9.140625" style="332"/>
  </cols>
  <sheetData>
    <row r="1" spans="1:4" ht="76.900000000000006" customHeight="1" x14ac:dyDescent="0.25">
      <c r="A1" s="876" t="s">
        <v>533</v>
      </c>
      <c r="B1" s="876"/>
      <c r="C1" s="876"/>
    </row>
    <row r="2" spans="1:4" ht="27.75" customHeight="1" thickBot="1" x14ac:dyDescent="0.3">
      <c r="A2" s="877" t="s">
        <v>454</v>
      </c>
      <c r="B2" s="879" t="s">
        <v>534</v>
      </c>
      <c r="C2" s="881" t="s">
        <v>535</v>
      </c>
    </row>
    <row r="3" spans="1:4" ht="15.75" customHeight="1" thickTop="1" thickBot="1" x14ac:dyDescent="0.3">
      <c r="A3" s="878"/>
      <c r="B3" s="880"/>
      <c r="C3" s="882"/>
    </row>
    <row r="4" spans="1:4" ht="21" customHeight="1" thickTop="1" thickBot="1" x14ac:dyDescent="0.3">
      <c r="A4" s="875" t="s">
        <v>460</v>
      </c>
      <c r="B4" s="875"/>
      <c r="C4" s="875"/>
    </row>
    <row r="5" spans="1:4" ht="16.5" thickTop="1" thickBot="1" x14ac:dyDescent="0.3">
      <c r="A5" s="382" t="s">
        <v>461</v>
      </c>
      <c r="B5" s="383">
        <f>IF(AND('TDM Calculator Input'!D10&lt;'Point &amp; Trip Red. Look-up Table'!L3, 'TDM Calculator Input'!D10&gt;'Point &amp; Trip Red. Look-up Table'!K3), 'Point &amp; Trip Red. Look-up Table'!E3, IF(AND('TDM Calculator Input'!D10&lt;'Point &amp; Trip Red. Look-up Table'!L4, 'TDM Calculator Input'!D10&gt;'Point &amp; Trip Red. Look-up Table'!K4), 'Point &amp; Trip Red. Look-up Table'!E4, IF(AND('TDM Calculator Input'!D10&lt;'Point &amp; Trip Red. Look-up Table'!L5, 'TDM Calculator Input'!D10&gt;'Point &amp; Trip Red. Look-up Table'!K5), 'Point &amp; Trip Red. Look-up Table'!E5,  IF(AND('TDM Calculator Input'!D10&lt;'Point &amp; Trip Red. Look-up Table'!L6, 'TDM Calculator Input'!D10&gt;'Point &amp; Trip Red. Look-up Table'!K6), 'Point &amp; Trip Red. Look-up Table'!E6, 0))))</f>
        <v>0</v>
      </c>
      <c r="C5" s="883">
        <v>20</v>
      </c>
    </row>
    <row r="6" spans="1:4" ht="16.5" thickTop="1" thickBot="1" x14ac:dyDescent="0.3">
      <c r="A6" s="382" t="s">
        <v>463</v>
      </c>
      <c r="B6" s="383" t="b">
        <f>IF('TDM Calculator Input'!C11='Point &amp; Trip Red. Look-up Table'!K8,'Point &amp; Trip Red. Look-up Table'!E8, IF('TDM Calculator Input'!C11='Point &amp; Trip Red. Look-up Table'!K9,'Point &amp; Trip Red. Look-up Table'!E9, IF('TDM Calculator Input'!C11='Point &amp; Trip Red. Look-up Table'!K10,'Point &amp; Trip Red. Look-up Table'!E10)))</f>
        <v>0</v>
      </c>
      <c r="C6" s="883"/>
    </row>
    <row r="7" spans="1:4" ht="16.5" thickTop="1" thickBot="1" x14ac:dyDescent="0.3">
      <c r="A7" s="384" t="s">
        <v>536</v>
      </c>
      <c r="B7" s="385">
        <f>SUM(B5:B6)</f>
        <v>0</v>
      </c>
      <c r="C7" s="883"/>
    </row>
    <row r="8" spans="1:4" ht="16.5" thickTop="1" thickBot="1" x14ac:dyDescent="0.3">
      <c r="A8" s="386" t="s">
        <v>537</v>
      </c>
      <c r="B8" s="387">
        <f>IF(SUM('Proposed TDM Plan Point Credits'!B5:B6)&lt;'TDM Calculator Input'!C12, SUM(B5:B6), C5)</f>
        <v>0</v>
      </c>
      <c r="C8" s="884"/>
      <c r="D8" s="388" t="str">
        <f>IF(OR(B8&lt;B43*0.1,B8&gt;B43*0.5), "Amount does not fall within successful range of points", "Amount falls within proper range")</f>
        <v>Amount falls within proper range</v>
      </c>
    </row>
    <row r="9" spans="1:4" ht="16.5" thickTop="1" thickBot="1" x14ac:dyDescent="0.3">
      <c r="A9" s="874"/>
      <c r="B9" s="874"/>
      <c r="C9" s="874"/>
    </row>
    <row r="10" spans="1:4" ht="16.5" thickTop="1" thickBot="1" x14ac:dyDescent="0.3">
      <c r="A10" s="875" t="s">
        <v>467</v>
      </c>
      <c r="B10" s="875"/>
      <c r="C10" s="875"/>
    </row>
    <row r="11" spans="1:4" ht="16.5" thickTop="1" thickBot="1" x14ac:dyDescent="0.3">
      <c r="A11" s="389" t="s">
        <v>468</v>
      </c>
      <c r="B11" s="390">
        <f>IF('TDM Calculator Input'!C15='Point &amp; Trip Red. Look-up Table'!K12,'Point &amp; Trip Red. Look-up Table'!E12,IF('TDM Calculator Input'!C15='Point &amp; Trip Red. Look-up Table'!K13,'Point &amp; Trip Red. Look-up Table'!E13,IF('TDM Calculator Input'!C15='Point &amp; Trip Red. Look-up Table'!K14,'Point &amp; Trip Red. Look-up Table'!E14,IF('TDM Calculator Input'!C15='Point &amp; Trip Red. Look-up Table'!K15,'Point &amp; Trip Red. Look-up Table'!E15,0))))</f>
        <v>0</v>
      </c>
      <c r="C11" s="888">
        <v>15</v>
      </c>
    </row>
    <row r="12" spans="1:4" ht="16.5" thickTop="1" thickBot="1" x14ac:dyDescent="0.3">
      <c r="A12" s="389" t="s">
        <v>470</v>
      </c>
      <c r="B12" s="390">
        <f>IF('TDM Calculator Input'!C16='Point &amp; Trip Red. Look-up Table'!K17,'Point &amp; Trip Red. Look-up Table'!E17, IF('TDM Calculator Input'!C16='Point &amp; Trip Red. Look-up Table'!K18,'Point &amp; Trip Red. Look-up Table'!E18, IF('TDM Calculator Input'!C16='Point &amp; Trip Red. Look-up Table'!K19,'Point &amp; Trip Red. Look-up Table'!E19, 0)))</f>
        <v>0</v>
      </c>
      <c r="C12" s="888"/>
    </row>
    <row r="13" spans="1:4" ht="16.5" thickTop="1" thickBot="1" x14ac:dyDescent="0.3">
      <c r="A13" s="389" t="s">
        <v>472</v>
      </c>
      <c r="B13" s="390">
        <f>IF('TDM Calculator Input'!C17='Point &amp; Trip Red. Look-up Table'!K21,'Point &amp; Trip Red. Look-up Table'!E21,IF('TDM Calculator Input'!C17='Point &amp; Trip Red. Look-up Table'!K22,'Point &amp; Trip Red. Look-up Table'!E22,0))</f>
        <v>0</v>
      </c>
      <c r="C13" s="888"/>
    </row>
    <row r="14" spans="1:4" ht="16.5" thickTop="1" thickBot="1" x14ac:dyDescent="0.3">
      <c r="A14" s="389" t="s">
        <v>474</v>
      </c>
      <c r="B14" s="390">
        <f>IF('TDM Calculator Input'!C18='Point &amp; Trip Red. Look-up Table'!K24, 'Point &amp; Trip Red. Look-up Table'!E24, IF('TDM Calculator Input'!C18='Point &amp; Trip Red. Look-up Table'!K25, 'Point &amp; Trip Red. Look-up Table'!E25, IF('TDM Calculator Input'!C18='Point &amp; Trip Red. Look-up Table'!K26, 'Point &amp; Trip Red. Look-up Table'!E26,0)))</f>
        <v>0</v>
      </c>
      <c r="C14" s="888"/>
    </row>
    <row r="15" spans="1:4" ht="16.5" thickTop="1" thickBot="1" x14ac:dyDescent="0.3">
      <c r="A15" s="384" t="s">
        <v>536</v>
      </c>
      <c r="B15" s="391">
        <f>SUM(B11:B14)</f>
        <v>0</v>
      </c>
      <c r="C15" s="888"/>
    </row>
    <row r="16" spans="1:4" ht="16.5" thickTop="1" thickBot="1" x14ac:dyDescent="0.3">
      <c r="A16" s="386" t="s">
        <v>537</v>
      </c>
      <c r="B16" s="392">
        <f>IF(SUM('Proposed TDM Plan Point Credits'!B11:B14)&lt;'TDM Calculator Input'!C19, SUM('Proposed TDM Plan Point Credits'!B11:B14), C11)</f>
        <v>0</v>
      </c>
      <c r="C16" s="889"/>
      <c r="D16" s="388" t="str">
        <f>IF(OR(B16&lt;B43*0.1,B16&gt;B43*0.5), "Amount does not fall within successful range of points", "Amount falls within proper range")</f>
        <v>Amount falls within proper range</v>
      </c>
    </row>
    <row r="17" spans="1:4" ht="16.5" thickTop="1" thickBot="1" x14ac:dyDescent="0.3">
      <c r="A17" s="887"/>
      <c r="B17" s="887"/>
      <c r="C17" s="887"/>
    </row>
    <row r="18" spans="1:4" ht="16.5" thickTop="1" thickBot="1" x14ac:dyDescent="0.3">
      <c r="A18" s="875" t="s">
        <v>476</v>
      </c>
      <c r="B18" s="875"/>
      <c r="C18" s="875"/>
    </row>
    <row r="19" spans="1:4" ht="16.5" thickTop="1" thickBot="1" x14ac:dyDescent="0.3">
      <c r="A19" s="389" t="s">
        <v>477</v>
      </c>
      <c r="B19" s="390">
        <f>IF('TDM Calculator Input'!C22='Point &amp; Trip Red. Look-up Table'!K28, 'Point &amp; Trip Red. Look-up Table'!E28, 0)</f>
        <v>0</v>
      </c>
      <c r="C19" s="885">
        <v>10</v>
      </c>
    </row>
    <row r="20" spans="1:4" ht="16.5" thickTop="1" thickBot="1" x14ac:dyDescent="0.3">
      <c r="A20" s="389" t="s">
        <v>479</v>
      </c>
      <c r="B20" s="390">
        <f>IF('TDM Calculator Input'!C23='Point &amp; Trip Red. Look-up Table'!K30, 'Point &amp; Trip Red. Look-up Table'!E30, 0)</f>
        <v>0</v>
      </c>
      <c r="C20" s="885"/>
    </row>
    <row r="21" spans="1:4" ht="16.5" thickTop="1" thickBot="1" x14ac:dyDescent="0.3">
      <c r="A21" s="389" t="s">
        <v>481</v>
      </c>
      <c r="B21" s="390">
        <f>IF('TDM Calculator Input'!C24='Point &amp; Trip Red. Look-up Table'!K32, 'Point &amp; Trip Red. Look-up Table'!E32, 0)</f>
        <v>0</v>
      </c>
      <c r="C21" s="885"/>
    </row>
    <row r="22" spans="1:4" ht="16.5" thickTop="1" thickBot="1" x14ac:dyDescent="0.3">
      <c r="A22" s="393" t="s">
        <v>482</v>
      </c>
      <c r="B22" s="390">
        <f>IF('TDM Calculator Input'!C25='Point &amp; Trip Red. Look-up Table'!K34,'Point &amp; Trip Red. Look-up Table'!E34, IF('TDM Calculator Input'!C25='Point &amp; Trip Red. Look-up Table'!K35,'Point &amp; Trip Red. Look-up Table'!E35,0))</f>
        <v>0</v>
      </c>
      <c r="C22" s="885"/>
    </row>
    <row r="23" spans="1:4" ht="16.5" thickTop="1" thickBot="1" x14ac:dyDescent="0.3">
      <c r="A23" s="389" t="s">
        <v>484</v>
      </c>
      <c r="B23" s="390">
        <f>IF($D$23&lt;&gt;"",$D$23,IF(AND('TDM Calculator Input'!C26='Point &amp; Trip Red. Look-up Table'!L44,'TDM Calculator Input'!C27='Point &amp; Trip Red. Look-up Table'!M44,'TDM Calculator Input'!C28='Point &amp; Trip Red. Look-up Table'!K44), 'Point &amp; Trip Red. Look-up Table'!E44,IF(AND('TDM Calculator Input'!C26='Point &amp; Trip Red. Look-up Table'!L45,'TDM Calculator Input'!C27='Point &amp; Trip Red. Look-up Table'!M45,'TDM Calculator Input'!C28='Point &amp; Trip Red. Look-up Table'!K45), 'Point &amp; Trip Red. Look-up Table'!E45, IF(AND('TDM Calculator Input'!C26='Point &amp; Trip Red. Look-up Table'!L46,'TDM Calculator Input'!C27='Point &amp; Trip Red. Look-up Table'!M46,'TDM Calculator Input'!C28='Point &amp; Trip Red. Look-up Table'!K46), 'Point &amp; Trip Red. Look-up Table'!E46,IF(AND('TDM Calculator Input'!C26='Point &amp; Trip Red. Look-up Table'!L47,'TDM Calculator Input'!C27='Point &amp; Trip Red. Look-up Table'!M47,'TDM Calculator Input'!C28='Point &amp; Trip Red. Look-up Table'!K47), 'Point &amp; Trip Red. Look-up Table'!E47,IF(AND('TDM Calculator Input'!C26='Point &amp; Trip Red. Look-up Table'!L48,'TDM Calculator Input'!C27='Point &amp; Trip Red. Look-up Table'!M48,'TDM Calculator Input'!C28='Point &amp; Trip Red. Look-up Table'!K48), 'Point &amp; Trip Red. Look-up Table'!E48,IF(AND('TDM Calculator Input'!C26='Point &amp; Trip Red. Look-up Table'!L49,'TDM Calculator Input'!C27='Point &amp; Trip Red. Look-up Table'!M49,'TDM Calculator Input'!C28='Point &amp; Trip Red. Look-up Table'!K49), 'Point &amp; Trip Red. Look-up Table'!E49,0)))))))</f>
        <v>0</v>
      </c>
      <c r="C23" s="885"/>
      <c r="D23" s="332" t="str">
        <f>IF(AND('TDM Calculator Input'!C26='Point &amp; Trip Red. Look-up Table'!L38,'TDM Calculator Input'!C27='Point &amp; Trip Red. Look-up Table'!M38,'TDM Calculator Input'!C28='Point &amp; Trip Red. Look-up Table'!K38), 'Point &amp; Trip Red. Look-up Table'!E38,IF(AND('TDM Calculator Input'!C26='Point &amp; Trip Red. Look-up Table'!L39,'TDM Calculator Input'!C27='Point &amp; Trip Red. Look-up Table'!M39,'TDM Calculator Input'!C28='Point &amp; Trip Red. Look-up Table'!K39), 'Point &amp; Trip Red. Look-up Table'!E39,IF(AND('TDM Calculator Input'!C26='Point &amp; Trip Red. Look-up Table'!L40,'TDM Calculator Input'!C27='Point &amp; Trip Red. Look-up Table'!M40,'TDM Calculator Input'!C28='Point &amp; Trip Red. Look-up Table'!K40), 'Point &amp; Trip Red. Look-up Table'!E40,IF(AND('TDM Calculator Input'!C26='Point &amp; Trip Red. Look-up Table'!L41,'TDM Calculator Input'!C27='Point &amp; Trip Red. Look-up Table'!M41,'TDM Calculator Input'!C28='Point &amp; Trip Red. Look-up Table'!K41), 'Point &amp; Trip Red. Look-up Table'!E41, IF(AND('TDM Calculator Input'!C26='Point &amp; Trip Red. Look-up Table'!L42,'TDM Calculator Input'!C27='Point &amp; Trip Red. Look-up Table'!M42,'TDM Calculator Input'!C28='Point &amp; Trip Red. Look-up Table'!K42), 'Point &amp; Trip Red. Look-up Table'!E42,IF(AND('TDM Calculator Input'!C26='Point &amp; Trip Red. Look-up Table'!L43,'TDM Calculator Input'!C27='Point &amp; Trip Red. Look-up Table'!M43,'TDM Calculator Input'!C28='Point &amp; Trip Red. Look-up Table'!K43), 'Point &amp; Trip Red. Look-up Table'!E43,""))))))</f>
        <v/>
      </c>
    </row>
    <row r="24" spans="1:4" ht="16.5" thickTop="1" thickBot="1" x14ac:dyDescent="0.3">
      <c r="A24" s="389" t="s">
        <v>488</v>
      </c>
      <c r="B24" s="390">
        <f>IF($D$24&lt;&gt;"",$D$24,IF(AND('TDM Calculator Input'!C29='Point &amp; Trip Red. Look-up Table'!L58,'TDM Calculator Input'!C30='Point &amp; Trip Red. Look-up Table'!M58,'TDM Calculator Input'!C31='Point &amp; Trip Red. Look-up Table'!K58),'Point &amp; Trip Red. Look-up Table'!E58,IF(AND('TDM Calculator Input'!C29='Point &amp; Trip Red. Look-up Table'!L59,'TDM Calculator Input'!C30='Point &amp; Trip Red. Look-up Table'!M59,'TDM Calculator Input'!C31='Point &amp; Trip Red. Look-up Table'!K59),'Point &amp; Trip Red. Look-up Table'!E59,IF(AND('TDM Calculator Input'!C29='Point &amp; Trip Red. Look-up Table'!L60,'TDM Calculator Input'!C30='Point &amp; Trip Red. Look-up Table'!M60,'TDM Calculator Input'!C31='Point &amp; Trip Red. Look-up Table'!K60),'Point &amp; Trip Red. Look-up Table'!E60,IF(AND('TDM Calculator Input'!C29='Point &amp; Trip Red. Look-up Table'!L61,'TDM Calculator Input'!C30='Point &amp; Trip Red. Look-up Table'!M61,'TDM Calculator Input'!C31='Point &amp; Trip Red. Look-up Table'!K61),'Point &amp; Trip Red. Look-up Table'!E61,IF(AND('TDM Calculator Input'!C29='Point &amp; Trip Red. Look-up Table'!L62,'TDM Calculator Input'!C30='Point &amp; Trip Red. Look-up Table'!M62,'TDM Calculator Input'!C31='Point &amp; Trip Red. Look-up Table'!K62),'Point &amp; Trip Red. Look-up Table'!E62,IF(AND('TDM Calculator Input'!C29='Point &amp; Trip Red. Look-up Table'!L63,'TDM Calculator Input'!C30='Point &amp; Trip Red. Look-up Table'!M63,'TDM Calculator Input'!C31='Point &amp; Trip Red. Look-up Table'!K63),'Point &amp; Trip Red. Look-up Table'!E63,0)))))))</f>
        <v>0</v>
      </c>
      <c r="C24" s="885"/>
      <c r="D24" s="332" t="str">
        <f>IF(AND('TDM Calculator Input'!C29='Point &amp; Trip Red. Look-up Table'!L52,'TDM Calculator Input'!C30='Point &amp; Trip Red. Look-up Table'!M52,'TDM Calculator Input'!C31='Point &amp; Trip Red. Look-up Table'!K52),'Point &amp; Trip Red. Look-up Table'!E52,IF(AND('TDM Calculator Input'!C29='Point &amp; Trip Red. Look-up Table'!L53,'TDM Calculator Input'!C30='Point &amp; Trip Red. Look-up Table'!M53,'TDM Calculator Input'!C31='Point &amp; Trip Red. Look-up Table'!K53),'Point &amp; Trip Red. Look-up Table'!E53,IF(AND('TDM Calculator Input'!C29='Point &amp; Trip Red. Look-up Table'!L54,'TDM Calculator Input'!C30='Point &amp; Trip Red. Look-up Table'!M54,'TDM Calculator Input'!C31='Point &amp; Trip Red. Look-up Table'!K54),'Point &amp; Trip Red. Look-up Table'!E54, IF(AND('TDM Calculator Input'!C29='Point &amp; Trip Red. Look-up Table'!L55,'TDM Calculator Input'!C30='Point &amp; Trip Red. Look-up Table'!M55,'TDM Calculator Input'!C31='Point &amp; Trip Red. Look-up Table'!K55),'Point &amp; Trip Red. Look-up Table'!E55,IF(AND('TDM Calculator Input'!C29='Point &amp; Trip Red. Look-up Table'!L56,'TDM Calculator Input'!C30='Point &amp; Trip Red. Look-up Table'!M56,'TDM Calculator Input'!C31='Point &amp; Trip Red. Look-up Table'!K56),'Point &amp; Trip Red. Look-up Table'!E56, IF(AND('TDM Calculator Input'!C29='Point &amp; Trip Red. Look-up Table'!L57,'TDM Calculator Input'!C30='Point &amp; Trip Red. Look-up Table'!M57,'TDM Calculator Input'!C31='Point &amp; Trip Red. Look-up Table'!K57),'Point &amp; Trip Red. Look-up Table'!E57,""))))))</f>
        <v/>
      </c>
    </row>
    <row r="25" spans="1:4" ht="16.5" thickTop="1" thickBot="1" x14ac:dyDescent="0.3">
      <c r="A25" s="389" t="s">
        <v>538</v>
      </c>
      <c r="B25" s="390">
        <f>IF('TDM Calculator Input'!C32='Point &amp; Trip Red. Look-up Table'!K65,'Point &amp; Trip Red. Look-up Table'!E65, IF('TDM Calculator Input'!C32='Point &amp; Trip Red. Look-up Table'!K66,'Point &amp; Trip Red. Look-up Table'!E66,))</f>
        <v>0</v>
      </c>
      <c r="C25" s="885"/>
    </row>
    <row r="26" spans="1:4" ht="16.5" thickTop="1" thickBot="1" x14ac:dyDescent="0.3">
      <c r="A26" s="389" t="s">
        <v>539</v>
      </c>
      <c r="B26" s="390">
        <f>IF('TDM Calculator Input'!C33='Point &amp; Trip Red. Look-up Table'!K68,'Point &amp; Trip Red. Look-up Table'!E68, IF('TDM Calculator Input'!C33='Point &amp; Trip Red. Look-up Table'!K69,'Point &amp; Trip Red. Look-up Table'!E69,0))</f>
        <v>0</v>
      </c>
      <c r="C26" s="885"/>
    </row>
    <row r="27" spans="1:4" ht="16.5" thickTop="1" thickBot="1" x14ac:dyDescent="0.3">
      <c r="A27" s="389" t="s">
        <v>494</v>
      </c>
      <c r="B27" s="390">
        <f>IF('TDM Calculator Input'!C34='Point &amp; Trip Red. Look-up Table'!K71, 'Point &amp; Trip Red. Look-up Table'!E71, 0)</f>
        <v>0</v>
      </c>
      <c r="C27" s="885"/>
    </row>
    <row r="28" spans="1:4" ht="16.5" thickTop="1" thickBot="1" x14ac:dyDescent="0.3">
      <c r="A28" s="389" t="s">
        <v>496</v>
      </c>
      <c r="B28" s="390">
        <f>IF('TDM Calculator Input'!C35='Point &amp; Trip Red. Look-up Table'!K73, 'Point &amp; Trip Red. Look-up Table'!E73, 0)</f>
        <v>0</v>
      </c>
      <c r="C28" s="885"/>
    </row>
    <row r="29" spans="1:4" ht="16.5" thickTop="1" thickBot="1" x14ac:dyDescent="0.3">
      <c r="A29" s="389" t="s">
        <v>498</v>
      </c>
      <c r="B29" s="390">
        <f>IF('TDM Calculator Input'!C36='Point &amp; Trip Red. Look-up Table'!K75, 'Point &amp; Trip Red. Look-up Table'!E75, 0)</f>
        <v>0</v>
      </c>
      <c r="C29" s="885"/>
    </row>
    <row r="30" spans="1:4" ht="16.5" thickTop="1" thickBot="1" x14ac:dyDescent="0.3">
      <c r="A30" s="384" t="s">
        <v>536</v>
      </c>
      <c r="B30" s="391">
        <f>SUM(B19:B29)</f>
        <v>0</v>
      </c>
      <c r="C30" s="885"/>
    </row>
    <row r="31" spans="1:4" ht="16.5" thickTop="1" thickBot="1" x14ac:dyDescent="0.3">
      <c r="A31" s="386" t="s">
        <v>537</v>
      </c>
      <c r="B31" s="392">
        <f>IF(SUM(B19:B29)&lt;'TDM Calculator Input'!C37, SUM('Proposed TDM Plan Point Credits'!B19:B29), C19)</f>
        <v>0</v>
      </c>
      <c r="C31" s="886"/>
      <c r="D31" s="388" t="str">
        <f>IF(OR(B31&lt;B43*0.1,B31&gt;B43*0.5), "Amount does not fall within successful range of points", "Amount falls within proper range")</f>
        <v>Amount falls within proper range</v>
      </c>
    </row>
    <row r="32" spans="1:4" ht="16.5" thickTop="1" thickBot="1" x14ac:dyDescent="0.3">
      <c r="A32" s="887"/>
      <c r="B32" s="887"/>
      <c r="C32" s="890"/>
    </row>
    <row r="33" spans="1:4" ht="16.5" thickTop="1" thickBot="1" x14ac:dyDescent="0.3">
      <c r="A33" s="875" t="s">
        <v>500</v>
      </c>
      <c r="B33" s="875"/>
      <c r="C33" s="891"/>
    </row>
    <row r="34" spans="1:4" ht="16.5" thickTop="1" thickBot="1" x14ac:dyDescent="0.3">
      <c r="A34" s="389" t="s">
        <v>501</v>
      </c>
      <c r="B34" s="390">
        <f>IF('TDM Calculator Input'!C40="Select from Drop-Down Menu",0,'TDM Calculator Input'!C40)</f>
        <v>0</v>
      </c>
      <c r="C34" s="888">
        <v>40</v>
      </c>
    </row>
    <row r="35" spans="1:4" ht="16.5" thickTop="1" thickBot="1" x14ac:dyDescent="0.3">
      <c r="A35" s="389" t="s">
        <v>503</v>
      </c>
      <c r="B35" s="390">
        <f>IF('TDM Calculator Input'!C41="Select from Drop-Down Menu",0,'TDM Calculator Input'!C41)</f>
        <v>0</v>
      </c>
      <c r="C35" s="888"/>
    </row>
    <row r="36" spans="1:4" ht="16.5" thickTop="1" thickBot="1" x14ac:dyDescent="0.3">
      <c r="A36" s="389" t="s">
        <v>505</v>
      </c>
      <c r="B36" s="390">
        <f>IF('TDM Calculator Input'!C42="Select from Drop-Down Menu",0,'TDM Calculator Input'!C42)</f>
        <v>0</v>
      </c>
      <c r="C36" s="888"/>
    </row>
    <row r="37" spans="1:4" ht="16.5" thickTop="1" thickBot="1" x14ac:dyDescent="0.3">
      <c r="A37" s="389" t="s">
        <v>507</v>
      </c>
      <c r="B37" s="390">
        <f>IF('TDM Calculator Input'!C43="Select from Drop-Down Menu",0,'TDM Calculator Input'!C43)</f>
        <v>0</v>
      </c>
      <c r="C37" s="888"/>
    </row>
    <row r="38" spans="1:4" ht="16.5" thickTop="1" thickBot="1" x14ac:dyDescent="0.3">
      <c r="A38" s="389" t="s">
        <v>509</v>
      </c>
      <c r="B38" s="390">
        <f>IF('TDM Calculator Input'!C44="Select from Drop-Down Menu",0,'TDM Calculator Input'!C44)</f>
        <v>0</v>
      </c>
      <c r="C38" s="888"/>
    </row>
    <row r="39" spans="1:4" ht="16.5" thickTop="1" thickBot="1" x14ac:dyDescent="0.3">
      <c r="A39" s="389" t="s">
        <v>511</v>
      </c>
      <c r="B39" s="390">
        <f>IF('TDM Calculator Input'!C45="Select from Drop-Down Menu",0,'TDM Calculator Input'!C45)</f>
        <v>0</v>
      </c>
      <c r="C39" s="888"/>
    </row>
    <row r="40" spans="1:4" ht="16.5" thickTop="1" thickBot="1" x14ac:dyDescent="0.3">
      <c r="A40" s="384" t="s">
        <v>536</v>
      </c>
      <c r="B40" s="391">
        <f>SUM(B34:B39)</f>
        <v>0</v>
      </c>
      <c r="C40" s="888"/>
    </row>
    <row r="41" spans="1:4" ht="16.5" thickTop="1" thickBot="1" x14ac:dyDescent="0.3">
      <c r="A41" s="386" t="s">
        <v>537</v>
      </c>
      <c r="B41" s="392">
        <f>IF(SUM(B34:B39)&lt;'TDM Calculator Input'!C46, SUM(B34:B39), C34)</f>
        <v>0</v>
      </c>
      <c r="C41" s="888"/>
      <c r="D41" s="388" t="str">
        <f>IF(OR(B41&lt;B43*0.1,B41&gt;B43*0.5), "Amount does not fall within successful range of points", "Amount falls within proper range")</f>
        <v>Amount falls within proper range</v>
      </c>
    </row>
    <row r="42" spans="1:4" ht="16.5" thickTop="1" thickBot="1" x14ac:dyDescent="0.3">
      <c r="A42" s="394"/>
      <c r="B42" s="395"/>
    </row>
    <row r="43" spans="1:4" ht="24" customHeight="1" thickTop="1" thickBot="1" x14ac:dyDescent="0.3">
      <c r="A43" s="396" t="s">
        <v>540</v>
      </c>
      <c r="B43" s="397">
        <f>SUM(B8,B16,B31,B41)</f>
        <v>0</v>
      </c>
      <c r="C43" s="398">
        <f>SUM(C5,C11,C19,C34)</f>
        <v>85</v>
      </c>
    </row>
    <row r="44" spans="1:4" ht="15.75" thickTop="1" x14ac:dyDescent="0.25">
      <c r="A44" s="373"/>
      <c r="B44" s="373"/>
    </row>
    <row r="45" spans="1:4" x14ac:dyDescent="0.25">
      <c r="B45" s="373"/>
    </row>
    <row r="46" spans="1:4" x14ac:dyDescent="0.25">
      <c r="A46" s="372" t="s">
        <v>518</v>
      </c>
      <c r="B46" s="373"/>
    </row>
    <row r="47" spans="1:4" x14ac:dyDescent="0.25">
      <c r="A47" s="374" t="s">
        <v>519</v>
      </c>
      <c r="B47" s="373"/>
    </row>
    <row r="48" spans="1:4" x14ac:dyDescent="0.25">
      <c r="A48" s="374" t="s">
        <v>520</v>
      </c>
      <c r="B48" s="373"/>
    </row>
    <row r="49" spans="1:7" x14ac:dyDescent="0.25">
      <c r="A49" s="374"/>
      <c r="B49" s="375"/>
    </row>
    <row r="50" spans="1:7" x14ac:dyDescent="0.25">
      <c r="A50" s="833" t="s">
        <v>521</v>
      </c>
      <c r="B50" s="834"/>
    </row>
    <row r="51" spans="1:7" x14ac:dyDescent="0.25">
      <c r="A51" s="332" t="s">
        <v>522</v>
      </c>
      <c r="B51" s="826" t="s">
        <v>523</v>
      </c>
      <c r="C51" s="826"/>
      <c r="D51" s="826"/>
    </row>
    <row r="52" spans="1:7" x14ac:dyDescent="0.25">
      <c r="A52" s="376" t="s">
        <v>458</v>
      </c>
      <c r="B52" s="377" t="s">
        <v>524</v>
      </c>
      <c r="C52" s="378" t="s">
        <v>525</v>
      </c>
      <c r="D52" s="378" t="s">
        <v>526</v>
      </c>
      <c r="G52" s="399"/>
    </row>
    <row r="53" spans="1:7" x14ac:dyDescent="0.25">
      <c r="A53" s="332" t="s">
        <v>527</v>
      </c>
      <c r="B53" s="379">
        <v>3</v>
      </c>
      <c r="C53" s="379">
        <v>2</v>
      </c>
      <c r="D53" s="379">
        <v>1</v>
      </c>
      <c r="G53" s="399"/>
    </row>
    <row r="54" spans="1:7" x14ac:dyDescent="0.25">
      <c r="A54" s="332" t="s">
        <v>528</v>
      </c>
      <c r="B54" s="379">
        <v>5</v>
      </c>
      <c r="C54" s="379">
        <v>4</v>
      </c>
      <c r="D54" s="379">
        <v>3</v>
      </c>
      <c r="G54" s="399"/>
    </row>
    <row r="55" spans="1:7" x14ac:dyDescent="0.25">
      <c r="A55" s="332" t="s">
        <v>529</v>
      </c>
      <c r="B55" s="379">
        <v>7</v>
      </c>
      <c r="C55" s="379">
        <v>6</v>
      </c>
      <c r="D55" s="379">
        <v>5</v>
      </c>
      <c r="G55" s="399"/>
    </row>
    <row r="56" spans="1:7" x14ac:dyDescent="0.25">
      <c r="A56" s="332" t="s">
        <v>530</v>
      </c>
      <c r="B56" s="379">
        <v>10</v>
      </c>
      <c r="C56" s="379">
        <v>8</v>
      </c>
      <c r="D56" s="379">
        <v>7</v>
      </c>
    </row>
    <row r="58" spans="1:7" x14ac:dyDescent="0.25">
      <c r="A58" s="374" t="s">
        <v>531</v>
      </c>
      <c r="B58" s="373"/>
    </row>
    <row r="59" spans="1:7" x14ac:dyDescent="0.25">
      <c r="A59" s="381" t="s">
        <v>532</v>
      </c>
    </row>
  </sheetData>
  <sheetProtection password="FFAE" sheet="1" selectLockedCells="1"/>
  <mergeCells count="17">
    <mergeCell ref="B51:D51"/>
    <mergeCell ref="C19:C31"/>
    <mergeCell ref="A17:C17"/>
    <mergeCell ref="A18:C18"/>
    <mergeCell ref="C11:C16"/>
    <mergeCell ref="A32:C32"/>
    <mergeCell ref="A33:C33"/>
    <mergeCell ref="C34:C41"/>
    <mergeCell ref="A50:B50"/>
    <mergeCell ref="A9:C9"/>
    <mergeCell ref="A10:C10"/>
    <mergeCell ref="A1:C1"/>
    <mergeCell ref="A2:A3"/>
    <mergeCell ref="B2:B3"/>
    <mergeCell ref="C2:C3"/>
    <mergeCell ref="A4:C4"/>
    <mergeCell ref="C5:C8"/>
  </mergeCells>
  <conditionalFormatting sqref="D8">
    <cfRule type="containsText" dxfId="11" priority="7" stopIfTrue="1" operator="containsText" text="does not">
      <formula>NOT(ISERROR(SEARCH("does not",D8)))</formula>
    </cfRule>
    <cfRule type="containsText" dxfId="10" priority="8" stopIfTrue="1" operator="containsText" text="Proper">
      <formula>NOT(ISERROR(SEARCH("Proper",D8)))</formula>
    </cfRule>
  </conditionalFormatting>
  <conditionalFormatting sqref="D16">
    <cfRule type="containsText" dxfId="9" priority="3" stopIfTrue="1" operator="containsText" text="proper">
      <formula>NOT(ISERROR(SEARCH("proper",D16)))</formula>
    </cfRule>
    <cfRule type="containsText" dxfId="8" priority="6" stopIfTrue="1" operator="containsText" text="does not">
      <formula>NOT(ISERROR(SEARCH("does not",D16)))</formula>
    </cfRule>
  </conditionalFormatting>
  <conditionalFormatting sqref="D31">
    <cfRule type="containsText" dxfId="7" priority="2" stopIfTrue="1" operator="containsText" text="proper">
      <formula>NOT(ISERROR(SEARCH("proper",D31)))</formula>
    </cfRule>
    <cfRule type="containsText" dxfId="6" priority="5" stopIfTrue="1" operator="containsText" text="does not">
      <formula>NOT(ISERROR(SEARCH("does not",D31)))</formula>
    </cfRule>
  </conditionalFormatting>
  <conditionalFormatting sqref="D41">
    <cfRule type="containsText" dxfId="5" priority="1" stopIfTrue="1" operator="containsText" text="proper">
      <formula>NOT(ISERROR(SEARCH("proper",D41)))</formula>
    </cfRule>
    <cfRule type="containsText" dxfId="4" priority="4" stopIfTrue="1" operator="containsText" text="does not">
      <formula>NOT(ISERROR(SEARCH("does not",D41)))</formula>
    </cfRule>
  </conditionalFormatting>
  <dataValidations count="3">
    <dataValidation type="decimal" errorStyle="warning" allowBlank="1" showInputMessage="1" showErrorMessage="1" error="At least 10% of a TDM Plan’s point requirement must be met via measures from within each category. No more than 50% of a TDM Plan’s point requirement may be met via measures within a single category." sqref="B16 B41 B31" xr:uid="{00000000-0002-0000-0B00-000000000000}">
      <formula1>7.5</formula1>
      <formula2>37.5</formula2>
    </dataValidation>
    <dataValidation errorStyle="warning" allowBlank="1" showInputMessage="1" showErrorMessage="1" sqref="B43" xr:uid="{00000000-0002-0000-0B00-000001000000}"/>
    <dataValidation type="decimal" errorStyle="information" allowBlank="1" showInputMessage="1" showErrorMessage="1" error="At least 10% of a TDM Plan’s point requirement must be met via measures from within each category. No more than 50% of a TDM Plan’s point requirement may be met via measures within a single category." sqref="B8" xr:uid="{00000000-0002-0000-0B00-000002000000}">
      <formula1>7.5</formula1>
      <formula2>37.5</formula2>
    </dataValidation>
  </dataValidation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theme="3" tint="0.79998168889431442"/>
  </sheetPr>
  <dimension ref="A1:F61"/>
  <sheetViews>
    <sheetView topLeftCell="A25" workbookViewId="0">
      <selection activeCell="B38" sqref="B38"/>
    </sheetView>
  </sheetViews>
  <sheetFormatPr defaultColWidth="9.140625" defaultRowHeight="15" x14ac:dyDescent="0.25"/>
  <cols>
    <col min="1" max="1" width="57.42578125" style="332" bestFit="1" customWidth="1"/>
    <col min="2" max="2" width="34.5703125" style="332" customWidth="1"/>
    <col min="3" max="3" width="16.5703125" style="332" hidden="1" customWidth="1"/>
    <col min="4" max="4" width="17.85546875" style="332" customWidth="1"/>
    <col min="5" max="5" width="25" style="332" bestFit="1" customWidth="1"/>
    <col min="6" max="16384" width="9.140625" style="332"/>
  </cols>
  <sheetData>
    <row r="1" spans="1:6" ht="55.9" customHeight="1" thickBot="1" x14ac:dyDescent="0.3">
      <c r="A1" s="895" t="s">
        <v>553</v>
      </c>
      <c r="B1" s="895"/>
      <c r="C1" s="895"/>
      <c r="D1" s="895"/>
    </row>
    <row r="2" spans="1:6" ht="15.75" thickBot="1" x14ac:dyDescent="0.3">
      <c r="A2" s="896" t="s">
        <v>454</v>
      </c>
      <c r="B2" s="898" t="s">
        <v>457</v>
      </c>
      <c r="C2" s="413"/>
      <c r="D2" s="900" t="s">
        <v>552</v>
      </c>
    </row>
    <row r="3" spans="1:6" ht="16.5" thickTop="1" thickBot="1" x14ac:dyDescent="0.3">
      <c r="A3" s="897"/>
      <c r="B3" s="899"/>
      <c r="C3" s="412"/>
      <c r="D3" s="901"/>
    </row>
    <row r="4" spans="1:6" x14ac:dyDescent="0.25">
      <c r="A4" s="892" t="s">
        <v>545</v>
      </c>
      <c r="B4" s="892"/>
      <c r="C4" s="892"/>
      <c r="D4" s="892"/>
    </row>
    <row r="5" spans="1:6" ht="15.75" thickBot="1" x14ac:dyDescent="0.3">
      <c r="A5" s="892"/>
      <c r="B5" s="892"/>
      <c r="C5" s="892"/>
      <c r="D5" s="892"/>
    </row>
    <row r="6" spans="1:6" ht="19.5" thickTop="1" thickBot="1" x14ac:dyDescent="0.3">
      <c r="A6" s="389" t="s">
        <v>461</v>
      </c>
      <c r="B6" s="410">
        <f>IF('TDM Calculator Input'!D10="Manually enter agreed-to trip reduction % here", 0%,'TDM Calculator Input'!D10)</f>
        <v>0</v>
      </c>
      <c r="C6" s="404"/>
      <c r="D6" s="902">
        <f>IF('TDM Calculator Input'!$C$8="Downtown", 40%, IF('TDM Calculator Input'!$C$8="Urban", 30%, IF('TDM Calculator Input'!$C$8="Urban Transition", 25%, 0)))</f>
        <v>0</v>
      </c>
    </row>
    <row r="7" spans="1:6" ht="19.5" thickTop="1" thickBot="1" x14ac:dyDescent="0.3">
      <c r="A7" s="411" t="s">
        <v>463</v>
      </c>
      <c r="B7" s="410">
        <f>IF($E$7&lt;&gt;"",$E$7,IF(AND('TDM Calculator Input'!C8="Urban",'TDM Calculator Input'!C11='Point &amp; Trip Red. Look-up Table'!K8), 'Point &amp; Trip Red. Look-up Table'!H8, IF(AND('TDM Calculator Input'!C8="Urban",'TDM Calculator Input'!C11='Point &amp; Trip Red. Look-up Table'!K9), 'Point &amp; Trip Red. Look-up Table'!H9, IF(AND('TDM Calculator Input'!C8="Urban",'TDM Calculator Input'!C11='Point &amp; Trip Red. Look-up Table'!K10), 'Point &amp; Trip Red. Look-up Table'!H10,IF(AND('TDM Calculator Input'!C8="Urban Transition",'TDM Calculator Input'!C11='Point &amp; Trip Red. Look-up Table'!K8), 'Point &amp; Trip Red. Look-up Table'!I8, IF(AND('TDM Calculator Input'!C8="Urban Transition",'TDM Calculator Input'!C11='Point &amp; Trip Red. Look-up Table'!K9), 'Point &amp; Trip Red. Look-up Table'!I9, IF(AND('TDM Calculator Input'!C8="Urban Transition",'TDM Calculator Input'!C11='Point &amp; Trip Red. Look-up Table'!K10), 'Point &amp; Trip Red. Look-up Table'!I10,0)))))))</f>
        <v>0</v>
      </c>
      <c r="C7" s="404"/>
      <c r="D7" s="903"/>
      <c r="E7" s="332" t="str">
        <f>IF(AND('TDM Calculator Input'!C8="Downtown",'TDM Calculator Input'!C11='Point &amp; Trip Red. Look-up Table'!K8), 'Point &amp; Trip Red. Look-up Table'!G8, IF(AND('TDM Calculator Input'!C8="Downtown",'TDM Calculator Input'!C11='Point &amp; Trip Red. Look-up Table'!K9), 'Point &amp; Trip Red. Look-up Table'!G9, IF(AND('TDM Calculator Input'!C8="Downtown",'TDM Calculator Input'!C11='Point &amp; Trip Red. Look-up Table'!K10), 'Point &amp; Trip Red. Look-up Table'!G10,"")))</f>
        <v/>
      </c>
    </row>
    <row r="8" spans="1:6" ht="19.5" thickTop="1" thickBot="1" x14ac:dyDescent="0.3">
      <c r="A8" s="386" t="s">
        <v>466</v>
      </c>
      <c r="B8" s="409">
        <f>1-((1-B6))*((1-B7))</f>
        <v>0</v>
      </c>
      <c r="C8" s="404"/>
      <c r="D8" s="903"/>
      <c r="E8" s="332" t="str">
        <f>IF(B8&gt;D6,"Amount Exceeds Maximum", "Does Not Exceed Maximum")</f>
        <v>Does Not Exceed Maximum</v>
      </c>
    </row>
    <row r="9" spans="1:6" ht="15" customHeight="1" thickTop="1" x14ac:dyDescent="0.25">
      <c r="A9" s="892" t="s">
        <v>467</v>
      </c>
      <c r="B9" s="892"/>
      <c r="C9" s="892"/>
      <c r="D9" s="892"/>
    </row>
    <row r="10" spans="1:6" ht="15" customHeight="1" thickBot="1" x14ac:dyDescent="0.3">
      <c r="A10" s="892"/>
      <c r="B10" s="892"/>
      <c r="C10" s="892"/>
      <c r="D10" s="892"/>
    </row>
    <row r="11" spans="1:6" ht="16.5" thickTop="1" thickBot="1" x14ac:dyDescent="0.3">
      <c r="A11" s="389" t="s">
        <v>468</v>
      </c>
      <c r="B11" s="408">
        <f>IF(ISERROR(INDEX('Point &amp; Trip Red. Look-up Table'!$B:$M,MATCH('TDM Calculator Input'!C15,'Point &amp; Trip Red. Look-up Table'!$K:$K,0),MATCH('TDM Calculator Input'!$C$8,'Point &amp; Trip Red. Look-up Table'!$B$2:$M$2,0))),0,INDEX('Point &amp; Trip Red. Look-up Table'!$B:$M,MATCH('TDM Calculator Input'!C15,'Point &amp; Trip Red. Look-up Table'!$K:$K,0),MATCH('TDM Calculator Input'!$C$8,'Point &amp; Trip Red. Look-up Table'!$B$2:$M$2,0)))</f>
        <v>0</v>
      </c>
      <c r="C11" s="332">
        <v>1</v>
      </c>
      <c r="D11" s="893">
        <f>IF('TDM Calculator Input'!$C$8="Downtown", 20%, IF('TDM Calculator Input'!$C$8="Urban", 10%, IF('TDM Calculator Input'!$C$8="Urban Transition", 5%, 0)))</f>
        <v>0</v>
      </c>
      <c r="F11" s="332" t="str">
        <f>IF(AND('TDM Calculator Input'!C8="Downtown",'TDM Calculator Input'!C15='Point &amp; Trip Red. Look-up Table'!K12), 'Point &amp; Trip Red. Look-up Table'!G12, IF(AND('TDM Calculator Input'!C8="Downtown",'TDM Calculator Input'!C15='Point &amp; Trip Red. Look-up Table'!K13), 'Point &amp; Trip Red. Look-up Table'!G13, IF(AND('TDM Calculator Input'!C8="Downtown",'TDM Calculator Input'!C15='Point &amp; Trip Red. Look-up Table'!K14), 'Point &amp; Trip Red. Look-up Table'!G14,IF(AND('TDM Calculator Input'!C8="Downtown",'TDM Calculator Input'!C15='Point &amp; Trip Red. Look-up Table'!K15), 'Point &amp; Trip Red. Look-up Table'!G15,IF(AND('TDM Calculator Input'!C8="Urban",'TDM Calculator Input'!C15='Point &amp; Trip Red. Look-up Table'!K12), 'Point &amp; Trip Red. Look-up Table'!H12, IF(AND('TDM Calculator Input'!C8="Urban",'TDM Calculator Input'!C15='Point &amp; Trip Red. Look-up Table'!K13), 'Point &amp; Trip Red. Look-up Table'!H13,""))))))</f>
        <v/>
      </c>
    </row>
    <row r="12" spans="1:6" ht="16.5" thickTop="1" thickBot="1" x14ac:dyDescent="0.3">
      <c r="A12" s="389" t="s">
        <v>470</v>
      </c>
      <c r="B12" s="408">
        <f>IF(ISERROR(INDEX('Point &amp; Trip Red. Look-up Table'!$B:$M,MATCH('TDM Calculator Input'!C16,'Point &amp; Trip Red. Look-up Table'!$K:$K,0),MATCH('TDM Calculator Input'!$C$8,'Point &amp; Trip Red. Look-up Table'!$B$2:$M$2,0))),0,INDEX('Point &amp; Trip Red. Look-up Table'!$B:$M,MATCH('TDM Calculator Input'!C16,'Point &amp; Trip Red. Look-up Table'!$K:$K,0),MATCH('TDM Calculator Input'!$C$8,'Point &amp; Trip Red. Look-up Table'!$B$2:$M$2,0)))</f>
        <v>0</v>
      </c>
      <c r="C12" s="332">
        <v>1</v>
      </c>
      <c r="D12" s="894"/>
    </row>
    <row r="13" spans="1:6" ht="16.5" thickTop="1" thickBot="1" x14ac:dyDescent="0.3">
      <c r="A13" s="389" t="s">
        <v>472</v>
      </c>
      <c r="B13" s="408">
        <f>IF(ISERROR(INDEX('Point &amp; Trip Red. Look-up Table'!$B:$M,MATCH('TDM Calculator Input'!C17,'Point &amp; Trip Red. Look-up Table'!$K:$K,0),MATCH('TDM Calculator Input'!$C$8,'Point &amp; Trip Red. Look-up Table'!$B$2:$M$2,0))),0,INDEX('Point &amp; Trip Red. Look-up Table'!$B:$M,MATCH('TDM Calculator Input'!C17,'Point &amp; Trip Red. Look-up Table'!$K:$K,0),MATCH('TDM Calculator Input'!$C$8,'Point &amp; Trip Red. Look-up Table'!$B$2:$M$2,0)))</f>
        <v>0</v>
      </c>
      <c r="C13" s="332">
        <v>1</v>
      </c>
      <c r="D13" s="894"/>
    </row>
    <row r="14" spans="1:6" ht="16.5" thickTop="1" thickBot="1" x14ac:dyDescent="0.3">
      <c r="A14" s="389" t="s">
        <v>474</v>
      </c>
      <c r="B14" s="408">
        <f>IF(ISERROR(INDEX('Point &amp; Trip Red. Look-up Table'!$B:$M,MATCH('TDM Calculator Input'!C18,'Point &amp; Trip Red. Look-up Table'!$K:$K,0),MATCH('TDM Calculator Input'!$C$8,'Point &amp; Trip Red. Look-up Table'!$B$2:$M$2,0))),0,INDEX('Point &amp; Trip Red. Look-up Table'!$B:$M,MATCH('TDM Calculator Input'!C18,'Point &amp; Trip Red. Look-up Table'!$K:$K,0),MATCH('TDM Calculator Input'!$C$8,'Point &amp; Trip Red. Look-up Table'!$B$2:$M$2,0)))</f>
        <v>0</v>
      </c>
      <c r="C14" s="332">
        <v>1</v>
      </c>
      <c r="D14" s="894"/>
    </row>
    <row r="15" spans="1:6" ht="16.5" thickTop="1" thickBot="1" x14ac:dyDescent="0.3">
      <c r="A15" s="386" t="s">
        <v>466</v>
      </c>
      <c r="B15" s="409">
        <f>1-((1-B11))*((1-B12))*((1-B13))*((1-B14))</f>
        <v>0</v>
      </c>
      <c r="D15" s="894"/>
      <c r="E15" s="332" t="str">
        <f>IF(B15&gt;D11,"Amount Exceeds Maximum", "Does Not Exceed Maximum")</f>
        <v>Does Not Exceed Maximum</v>
      </c>
    </row>
    <row r="16" spans="1:6" ht="15.75" thickTop="1" x14ac:dyDescent="0.25">
      <c r="A16" s="892" t="s">
        <v>551</v>
      </c>
      <c r="B16" s="892"/>
      <c r="C16" s="892"/>
      <c r="D16" s="892"/>
    </row>
    <row r="17" spans="1:5" ht="15.75" thickBot="1" x14ac:dyDescent="0.3">
      <c r="A17" s="892"/>
      <c r="B17" s="892"/>
      <c r="C17" s="892"/>
      <c r="D17" s="892"/>
    </row>
    <row r="18" spans="1:5" ht="19.5" thickTop="1" thickBot="1" x14ac:dyDescent="0.3">
      <c r="A18" s="389" t="s">
        <v>477</v>
      </c>
      <c r="B18" s="408">
        <f>IF('TDM Calculator Input'!C22="Yes",INDEX('Point &amp; Trip Red. Look-up Table'!$B:$M,MATCH(A18,'Point &amp; Trip Red. Look-up Table'!$B:$B,0)+1,MATCH('TDM Calculator Input'!$C$8,'Point &amp; Trip Red. Look-up Table'!$B$2:$M$2,0)),0)</f>
        <v>0</v>
      </c>
      <c r="C18" s="404"/>
      <c r="D18" s="903">
        <f>IF('TDM Calculator Input'!$C$8="Downtown", 20%, IF('TDM Calculator Input'!$C$8="Urban", 10%, IF('TDM Calculator Input'!$C$8="Urban Transition", 5%, 0)))</f>
        <v>0</v>
      </c>
    </row>
    <row r="19" spans="1:5" ht="19.5" thickTop="1" thickBot="1" x14ac:dyDescent="0.3">
      <c r="A19" s="389" t="s">
        <v>479</v>
      </c>
      <c r="B19" s="408">
        <f>IF('TDM Calculator Input'!C23="Yes",INDEX('Point &amp; Trip Red. Look-up Table'!$B:$M,MATCH(A19,'Point &amp; Trip Red. Look-up Table'!$B:$B,0)+1,MATCH('TDM Calculator Input'!$C$8,'Point &amp; Trip Red. Look-up Table'!$B$2:$M$2,0)),0)</f>
        <v>0</v>
      </c>
      <c r="C19" s="404"/>
      <c r="D19" s="903"/>
    </row>
    <row r="20" spans="1:5" ht="16.5" thickTop="1" thickBot="1" x14ac:dyDescent="0.3">
      <c r="A20" s="389" t="s">
        <v>481</v>
      </c>
      <c r="B20" s="408">
        <f>IF('TDM Calculator Input'!C24="Yes",INDEX('Point &amp; Trip Red. Look-up Table'!$B:$M,MATCH(A20,'Point &amp; Trip Red. Look-up Table'!$B:$B,0)+1,MATCH('TDM Calculator Input'!$C$8,'Point &amp; Trip Red. Look-up Table'!$B$2:$M$2,0)),0)</f>
        <v>0</v>
      </c>
      <c r="C20" s="332">
        <v>1</v>
      </c>
      <c r="D20" s="903"/>
    </row>
    <row r="21" spans="1:5" ht="16.5" thickTop="1" thickBot="1" x14ac:dyDescent="0.3">
      <c r="A21" s="393" t="s">
        <v>482</v>
      </c>
      <c r="B21" s="408">
        <f>IF(ISERROR(INDEX('Point &amp; Trip Red. Look-up Table'!$B:$M,MATCH('TDM Calculator Input'!C25,'Point &amp; Trip Red. Look-up Table'!$K:$K,0),MATCH('TDM Calculator Input'!$C$8,'Point &amp; Trip Red. Look-up Table'!$B$2:$M$2,0))),0,INDEX('Point &amp; Trip Red. Look-up Table'!$B:$M,MATCH('TDM Calculator Input'!C25,'Point &amp; Trip Red. Look-up Table'!$K:$K,0),MATCH('TDM Calculator Input'!$C$8,'Point &amp; Trip Red. Look-up Table'!$B$2:$M$2,0)))</f>
        <v>0</v>
      </c>
      <c r="C21" s="332">
        <v>1</v>
      </c>
      <c r="D21" s="903"/>
    </row>
    <row r="22" spans="1:5" ht="16.5" thickTop="1" thickBot="1" x14ac:dyDescent="0.3">
      <c r="A22" s="389" t="s">
        <v>484</v>
      </c>
      <c r="B22" s="408">
        <f t="array" ref="B22">_xlfn.IFNA(INDEX('Point &amp; Trip Red. Look-up Table'!G38:I49,MATCH('TDM Calculator Input'!C26&amp;'TDM Calculator Input'!C27&amp;'TDM Calculator Input'!C28,'Point &amp; Trip Red. Look-up Table'!L38:L49&amp;'Point &amp; Trip Red. Look-up Table'!M38:M49&amp;'Point &amp; Trip Red. Look-up Table'!K38:K49,0),IF('TDM Calculator Input'!C8='Point &amp; Trip Red. Look-up Table'!G2,1,IF('TDM Calculator Input'!C8='Point &amp; Trip Red. Look-up Table'!H2,2,3))),0)</f>
        <v>0</v>
      </c>
      <c r="C22" s="332">
        <v>1</v>
      </c>
      <c r="D22" s="903"/>
    </row>
    <row r="23" spans="1:5" ht="16.5" thickTop="1" thickBot="1" x14ac:dyDescent="0.3">
      <c r="A23" s="389" t="s">
        <v>488</v>
      </c>
      <c r="B23" s="408">
        <f t="array" ref="B23">_xlfn.IFNA(INDEX('Point &amp; Trip Red. Look-up Table'!G52:I63,MATCH('TDM Calculator Input'!C29&amp;'TDM Calculator Input'!C30&amp;'TDM Calculator Input'!C31,'Point &amp; Trip Red. Look-up Table'!L52:L63&amp;'Point &amp; Trip Red. Look-up Table'!M52:M63&amp;'Point &amp; Trip Red. Look-up Table'!K52:K63,0),IF('TDM Calculator Input'!C8='Point &amp; Trip Red. Look-up Table'!G2,1,IF('TDM Calculator Input'!C8='Point &amp; Trip Red. Look-up Table'!H2,2,3))),0)</f>
        <v>0</v>
      </c>
      <c r="C23" s="332">
        <v>1</v>
      </c>
      <c r="D23" s="903"/>
    </row>
    <row r="24" spans="1:5" ht="16.5" thickTop="1" thickBot="1" x14ac:dyDescent="0.3">
      <c r="A24" s="389" t="s">
        <v>538</v>
      </c>
      <c r="B24" s="408">
        <f>IF(ISERROR(INDEX('Point &amp; Trip Red. Look-up Table'!$B:$M,MATCH('TDM Calculator Input'!C32,'Point &amp; Trip Red. Look-up Table'!$K:$K,0),MATCH('TDM Calculator Input'!$C$8,'Point &amp; Trip Red. Look-up Table'!$B$2:$M$2,0))),0,INDEX('Point &amp; Trip Red. Look-up Table'!$B:$M,MATCH('TDM Calculator Input'!C32,'Point &amp; Trip Red. Look-up Table'!$K:$K,0),MATCH('TDM Calculator Input'!$C$8,'Point &amp; Trip Red. Look-up Table'!$B$2:$M$2,0)))</f>
        <v>0</v>
      </c>
      <c r="C24" s="332">
        <v>1</v>
      </c>
      <c r="D24" s="903"/>
    </row>
    <row r="25" spans="1:5" ht="16.5" thickTop="1" thickBot="1" x14ac:dyDescent="0.3">
      <c r="A25" s="389" t="s">
        <v>539</v>
      </c>
      <c r="B25" s="408">
        <f>IF(ISERROR(INDEX('Point &amp; Trip Red. Look-up Table'!$B:$M,MATCH('TDM Calculator Input'!C33,'Point &amp; Trip Red. Look-up Table'!$K:$K,0),MATCH('TDM Calculator Input'!$C$8,'Point &amp; Trip Red. Look-up Table'!$B$2:$M$2,0))),0,INDEX('Point &amp; Trip Red. Look-up Table'!$B:$M,MATCH('TDM Calculator Input'!C33,'Point &amp; Trip Red. Look-up Table'!$K:$K,0),MATCH('TDM Calculator Input'!$C$8,'Point &amp; Trip Red. Look-up Table'!$B$2:$M$2,0)))</f>
        <v>0</v>
      </c>
      <c r="C25" s="332">
        <v>1</v>
      </c>
      <c r="D25" s="903"/>
    </row>
    <row r="26" spans="1:5" ht="16.5" thickTop="1" thickBot="1" x14ac:dyDescent="0.3">
      <c r="A26" s="389" t="s">
        <v>494</v>
      </c>
      <c r="B26" s="408">
        <f>IF('TDM Calculator Input'!C34="Yes",INDEX('Point &amp; Trip Red. Look-up Table'!$B:$M,MATCH(A26,'Point &amp; Trip Red. Look-up Table'!$B:$B,0)+1,MATCH('TDM Calculator Input'!$C$8,'Point &amp; Trip Red. Look-up Table'!$B$2:$M$2,0)),0)</f>
        <v>0</v>
      </c>
      <c r="D26" s="903"/>
    </row>
    <row r="27" spans="1:5" ht="16.5" thickTop="1" thickBot="1" x14ac:dyDescent="0.3">
      <c r="A27" s="389" t="s">
        <v>496</v>
      </c>
      <c r="B27" s="408">
        <f>IF('TDM Calculator Input'!C35="Yes",INDEX('Point &amp; Trip Red. Look-up Table'!$B:$M,MATCH(A27,'Point &amp; Trip Red. Look-up Table'!$B:$B,0)+1,MATCH('TDM Calculator Input'!$C$8,'Point &amp; Trip Red. Look-up Table'!$B$2:$M$2,0)),0)</f>
        <v>0</v>
      </c>
      <c r="C27" s="332">
        <v>1</v>
      </c>
      <c r="D27" s="903"/>
    </row>
    <row r="28" spans="1:5" ht="16.5" thickTop="1" thickBot="1" x14ac:dyDescent="0.3">
      <c r="A28" s="389" t="s">
        <v>498</v>
      </c>
      <c r="B28" s="408">
        <f>IF('TDM Calculator Input'!C36="Yes",INDEX('Point &amp; Trip Red. Look-up Table'!$B:$M,MATCH(A28,'Point &amp; Trip Red. Look-up Table'!$B:$B,0)+1,MATCH('TDM Calculator Input'!$C$8,'Point &amp; Trip Red. Look-up Table'!$B$2:$M$2,0)),0)</f>
        <v>0</v>
      </c>
      <c r="C28" s="332">
        <v>1</v>
      </c>
      <c r="D28" s="903"/>
    </row>
    <row r="29" spans="1:5" ht="16.5" thickTop="1" thickBot="1" x14ac:dyDescent="0.3">
      <c r="A29" s="386" t="s">
        <v>466</v>
      </c>
      <c r="B29" s="409">
        <f>1-((1-B27))*((1-B28))*((1-B20))*((1-B21))*((1-B22))*((1-B23))*((1-B24))*((1-B25)*(1-B18)*(1-B19)*(1-B26))</f>
        <v>0</v>
      </c>
      <c r="D29" s="903"/>
      <c r="E29" s="332" t="str">
        <f>IF(B29&gt;D18,"Amount Exceeds Maximum", "Does Not Exceed Maximum")</f>
        <v>Does Not Exceed Maximum</v>
      </c>
    </row>
    <row r="30" spans="1:5" ht="15" customHeight="1" thickTop="1" x14ac:dyDescent="0.25">
      <c r="A30" s="892" t="s">
        <v>500</v>
      </c>
      <c r="B30" s="892"/>
      <c r="C30" s="892"/>
      <c r="D30" s="892"/>
    </row>
    <row r="31" spans="1:5" ht="15" customHeight="1" thickBot="1" x14ac:dyDescent="0.3">
      <c r="A31" s="892"/>
      <c r="B31" s="892"/>
      <c r="C31" s="892"/>
      <c r="D31" s="892"/>
    </row>
    <row r="32" spans="1:5" ht="16.5" thickTop="1" thickBot="1" x14ac:dyDescent="0.3">
      <c r="A32" s="389" t="s">
        <v>501</v>
      </c>
      <c r="B32" s="408">
        <f>IF(ISERROR(INDEX('Point &amp; Trip Red. Look-up Table'!$B77:$M86,MATCH('TDM Calculator Input'!C40,'Point &amp; Trip Red. Look-up Table'!$K77:$K86,0),MATCH('TDM Calculator Input'!$C$8,'Point &amp; Trip Red. Look-up Table'!$B$2:$M$2,0))),0,INDEX('Point &amp; Trip Red. Look-up Table'!$B77:$M86,MATCH('TDM Calculator Input'!C40,'Point &amp; Trip Red. Look-up Table'!$K77:$K86,0),MATCH('TDM Calculator Input'!$C$8,'Point &amp; Trip Red. Look-up Table'!$B$2:$M$2,0)))</f>
        <v>0</v>
      </c>
      <c r="C32" s="332">
        <v>1</v>
      </c>
      <c r="D32" s="916">
        <f>IF('TDM Calculator Input'!$C$8="Downtown", 60%, IF('TDM Calculator Input'!$C$8="Urban", 40%, IF('TDM Calculator Input'!$C$8="Urban Transition", 20%, 0)))</f>
        <v>0</v>
      </c>
    </row>
    <row r="33" spans="1:5" ht="16.5" thickTop="1" thickBot="1" x14ac:dyDescent="0.3">
      <c r="A33" s="389" t="s">
        <v>503</v>
      </c>
      <c r="B33" s="408">
        <f>IF(ISERROR(INDEX('Point &amp; Trip Red. Look-up Table'!$B88:$M97,MATCH('TDM Calculator Input'!C41,'Point &amp; Trip Red. Look-up Table'!$K88:$K97,0),MATCH('TDM Calculator Input'!$C$8,'Point &amp; Trip Red. Look-up Table'!$B$2:$M$2,0))),0,INDEX('Point &amp; Trip Red. Look-up Table'!$B88:$M97,MATCH('TDM Calculator Input'!C41,'Point &amp; Trip Red. Look-up Table'!$K88:$K97,0),MATCH('TDM Calculator Input'!$C$8,'Point &amp; Trip Red. Look-up Table'!$B$2:$M$2,0)))</f>
        <v>0</v>
      </c>
      <c r="C33" s="332">
        <v>1</v>
      </c>
      <c r="D33" s="903"/>
    </row>
    <row r="34" spans="1:5" ht="16.5" thickTop="1" thickBot="1" x14ac:dyDescent="0.3">
      <c r="A34" s="389" t="s">
        <v>505</v>
      </c>
      <c r="B34" s="408">
        <f>IF(ISERROR(INDEX('Point &amp; Trip Red. Look-up Table'!$B99:$M113,MATCH('TDM Calculator Input'!C42,'Point &amp; Trip Red. Look-up Table'!$K99:$K113,0),MATCH('TDM Calculator Input'!$C$8,'Point &amp; Trip Red. Look-up Table'!$B$2:$M$2,0))),0,INDEX('Point &amp; Trip Red. Look-up Table'!$B99:$M113,MATCH('TDM Calculator Input'!C42,'Point &amp; Trip Red. Look-up Table'!$K99:$K113,0),MATCH('TDM Calculator Input'!$C$8,'Point &amp; Trip Red. Look-up Table'!$B$2:$M$2,0)))</f>
        <v>0</v>
      </c>
      <c r="C34" s="332">
        <v>1</v>
      </c>
      <c r="D34" s="903"/>
    </row>
    <row r="35" spans="1:5" ht="16.5" thickTop="1" thickBot="1" x14ac:dyDescent="0.3">
      <c r="A35" s="389" t="s">
        <v>507</v>
      </c>
      <c r="B35" s="408">
        <f>IF(ISERROR(INDEX('Point &amp; Trip Red. Look-up Table'!$B115:$M124,MATCH('TDM Calculator Input'!C43,'Point &amp; Trip Red. Look-up Table'!$K115:$K124,0),MATCH('TDM Calculator Input'!$C$8,'Point &amp; Trip Red. Look-up Table'!$B$2:$M$2,0))),0,INDEX('Point &amp; Trip Red. Look-up Table'!$B115:$M124,MATCH('TDM Calculator Input'!C43,'Point &amp; Trip Red. Look-up Table'!$K115:$K124,0),MATCH('TDM Calculator Input'!$C$8,'Point &amp; Trip Red. Look-up Table'!$B$2:$M$2,0)))</f>
        <v>0</v>
      </c>
      <c r="C35" s="332">
        <v>1</v>
      </c>
      <c r="D35" s="903"/>
    </row>
    <row r="36" spans="1:5" ht="16.5" thickTop="1" thickBot="1" x14ac:dyDescent="0.3">
      <c r="A36" s="389" t="s">
        <v>509</v>
      </c>
      <c r="B36" s="408">
        <f>IF(ISERROR(INDEX('Point &amp; Trip Red. Look-up Table'!$B126:$M130,MATCH('TDM Calculator Input'!C44,'Point &amp; Trip Red. Look-up Table'!$K126:$K130,0),MATCH('TDM Calculator Input'!$C$8,'Point &amp; Trip Red. Look-up Table'!$B$2:$M$2,0))),0,INDEX('Point &amp; Trip Red. Look-up Table'!$B126:$M130,MATCH('TDM Calculator Input'!C44,'Point &amp; Trip Red. Look-up Table'!$K126:$K130,0),MATCH('TDM Calculator Input'!$C$8,'Point &amp; Trip Red. Look-up Table'!$B$2:$M$2,0)))</f>
        <v>0</v>
      </c>
      <c r="C36" s="332">
        <v>1</v>
      </c>
      <c r="D36" s="903"/>
    </row>
    <row r="37" spans="1:5" ht="16.5" thickTop="1" thickBot="1" x14ac:dyDescent="0.3">
      <c r="A37" s="389" t="s">
        <v>511</v>
      </c>
      <c r="B37" s="408">
        <f>IF(ISERROR(INDEX('Point &amp; Trip Red. Look-up Table'!$B132:$M136,MATCH('TDM Calculator Input'!C45,'Point &amp; Trip Red. Look-up Table'!$K132:$K136,0),MATCH('TDM Calculator Input'!$C$8,'Point &amp; Trip Red. Look-up Table'!$B$2:$M$2,0))),0,INDEX('Point &amp; Trip Red. Look-up Table'!$B132:$M136,MATCH('TDM Calculator Input'!C45,'Point &amp; Trip Red. Look-up Table'!$K132:$K136,0),MATCH('TDM Calculator Input'!$C$8,'Point &amp; Trip Red. Look-up Table'!$B$2:$M$2,0)))</f>
        <v>0</v>
      </c>
      <c r="C37" s="332">
        <v>1</v>
      </c>
      <c r="D37" s="903"/>
    </row>
    <row r="38" spans="1:5" ht="16.5" thickTop="1" thickBot="1" x14ac:dyDescent="0.3">
      <c r="A38" s="407" t="s">
        <v>466</v>
      </c>
      <c r="B38" s="406">
        <f>1-((1-B32))*((1-B33))*((1-B34))*((1-B35))*((1-B36))*((1-B37))</f>
        <v>0</v>
      </c>
      <c r="D38" s="903"/>
      <c r="E38" s="332" t="str">
        <f>IF(B38&gt;D32,"Amount Exceeds Maximum", "Does Not Exceed Maximum")</f>
        <v>Does Not Exceed Maximum</v>
      </c>
    </row>
    <row r="39" spans="1:5" ht="15.75" thickBot="1" x14ac:dyDescent="0.3">
      <c r="A39" s="906"/>
      <c r="B39" s="907"/>
      <c r="C39" s="907"/>
      <c r="D39" s="908"/>
    </row>
    <row r="40" spans="1:5" ht="15" customHeight="1" x14ac:dyDescent="0.25">
      <c r="A40" s="909" t="s">
        <v>550</v>
      </c>
      <c r="B40" s="910"/>
      <c r="C40" s="910"/>
      <c r="D40" s="911"/>
    </row>
    <row r="41" spans="1:5" ht="15" customHeight="1" thickBot="1" x14ac:dyDescent="0.3">
      <c r="A41" s="912"/>
      <c r="B41" s="913"/>
      <c r="C41" s="913"/>
      <c r="D41" s="914"/>
    </row>
    <row r="42" spans="1:5" ht="15" customHeight="1" thickTop="1" thickBot="1" x14ac:dyDescent="0.3">
      <c r="A42" s="389" t="s">
        <v>545</v>
      </c>
      <c r="B42" s="405">
        <f>B8</f>
        <v>0</v>
      </c>
      <c r="C42" s="404"/>
      <c r="D42" s="904"/>
    </row>
    <row r="43" spans="1:5" ht="16.5" thickTop="1" thickBot="1" x14ac:dyDescent="0.3">
      <c r="A43" s="389" t="s">
        <v>467</v>
      </c>
      <c r="B43" s="403">
        <f>B15</f>
        <v>0</v>
      </c>
      <c r="D43" s="905"/>
    </row>
    <row r="44" spans="1:5" ht="16.5" thickTop="1" thickBot="1" x14ac:dyDescent="0.3">
      <c r="A44" s="389" t="s">
        <v>544</v>
      </c>
      <c r="B44" s="403">
        <f>B29</f>
        <v>0</v>
      </c>
      <c r="D44" s="905"/>
    </row>
    <row r="45" spans="1:5" ht="16.5" thickTop="1" thickBot="1" x14ac:dyDescent="0.3">
      <c r="A45" s="389" t="s">
        <v>543</v>
      </c>
      <c r="B45" s="400">
        <f>B38</f>
        <v>0</v>
      </c>
      <c r="D45" s="905"/>
    </row>
    <row r="46" spans="1:5" ht="16.5" thickTop="1" thickBot="1" x14ac:dyDescent="0.3">
      <c r="A46" s="401" t="s">
        <v>549</v>
      </c>
      <c r="B46" s="400">
        <f>1-((1-B42))*((1-B43))*((1-B44))*((1-B45))</f>
        <v>0</v>
      </c>
      <c r="D46" s="915"/>
    </row>
    <row r="47" spans="1:5" x14ac:dyDescent="0.25">
      <c r="A47" s="909" t="s">
        <v>548</v>
      </c>
      <c r="B47" s="910"/>
      <c r="C47" s="910"/>
      <c r="D47" s="911"/>
    </row>
    <row r="48" spans="1:5" ht="15.75" thickBot="1" x14ac:dyDescent="0.3">
      <c r="A48" s="912"/>
      <c r="B48" s="913"/>
      <c r="C48" s="913"/>
      <c r="D48" s="914"/>
    </row>
    <row r="49" spans="1:4" ht="19.5" thickTop="1" thickBot="1" x14ac:dyDescent="0.3">
      <c r="A49" s="389" t="s">
        <v>545</v>
      </c>
      <c r="B49" s="405">
        <f>IF('TDM Calculator Input'!$C$8='Point &amp; Trip Red. Look-up Table'!G2, 40%, IF('TDM Calculator Input'!$C$8='Point &amp; Trip Red. Look-up Table'!H2, 30%, IF('TDM Calculator Input'!$C$8='Point &amp; Trip Red. Look-up Table'!I2, 25%, 0)))</f>
        <v>0</v>
      </c>
      <c r="C49" s="404"/>
      <c r="D49" s="904"/>
    </row>
    <row r="50" spans="1:4" ht="15.75" customHeight="1" thickTop="1" thickBot="1" x14ac:dyDescent="0.3">
      <c r="A50" s="389" t="s">
        <v>467</v>
      </c>
      <c r="B50" s="403">
        <f>IF('TDM Calculator Input'!$C$8='Point &amp; Trip Red. Look-up Table'!G2, 20%, IF('TDM Calculator Input'!$C$8='Point &amp; Trip Red. Look-up Table'!H2, 10%, IF('TDM Calculator Input'!$C$8='Point &amp; Trip Red. Look-up Table'!I2, 5%, 0)))</f>
        <v>0</v>
      </c>
      <c r="D50" s="905"/>
    </row>
    <row r="51" spans="1:4" ht="15.75" customHeight="1" thickTop="1" thickBot="1" x14ac:dyDescent="0.3">
      <c r="A51" s="389" t="s">
        <v>544</v>
      </c>
      <c r="B51" s="403">
        <f>IF('TDM Calculator Input'!$C$8='Point &amp; Trip Red. Look-up Table'!G2, 20%, IF('TDM Calculator Input'!$C$8='Point &amp; Trip Red. Look-up Table'!H2, 10%, IF('TDM Calculator Input'!$C$8='Point &amp; Trip Red. Look-up Table'!I2, 5%, 0)))</f>
        <v>0</v>
      </c>
      <c r="D51" s="905"/>
    </row>
    <row r="52" spans="1:4" ht="15.75" customHeight="1" thickTop="1" thickBot="1" x14ac:dyDescent="0.3">
      <c r="A52" s="389" t="s">
        <v>543</v>
      </c>
      <c r="B52" s="403">
        <f>IF('TDM Calculator Input'!$C$8='Point &amp; Trip Red. Look-up Table'!G2, 60%, IF('TDM Calculator Input'!$C$8='Point &amp; Trip Red. Look-up Table'!H2, 40%, IF('TDM Calculator Input'!$C$8='Point &amp; Trip Red. Look-up Table'!I2, 20%, 0)))</f>
        <v>0</v>
      </c>
      <c r="D52" s="905"/>
    </row>
    <row r="53" spans="1:4" ht="15.75" customHeight="1" thickTop="1" thickBot="1" x14ac:dyDescent="0.3">
      <c r="A53" s="401" t="s">
        <v>547</v>
      </c>
      <c r="B53" s="403">
        <f>IF('TDM Calculator Input'!$C$8="Downtown",100%, IF('TDM Calculator Input'!$C$8="Urban", 60%, IF('TDM Calculator Input'!$C$8="Urban Transition", 30%, 0)))</f>
        <v>0</v>
      </c>
      <c r="D53" s="915"/>
    </row>
    <row r="54" spans="1:4" x14ac:dyDescent="0.25">
      <c r="A54" s="909" t="s">
        <v>546</v>
      </c>
      <c r="B54" s="910"/>
      <c r="C54" s="910"/>
      <c r="D54" s="911"/>
    </row>
    <row r="55" spans="1:4" ht="15.75" thickBot="1" x14ac:dyDescent="0.3">
      <c r="A55" s="912"/>
      <c r="B55" s="913"/>
      <c r="C55" s="913"/>
      <c r="D55" s="914"/>
    </row>
    <row r="56" spans="1:4" ht="19.5" thickTop="1" thickBot="1" x14ac:dyDescent="0.3">
      <c r="A56" s="389" t="s">
        <v>545</v>
      </c>
      <c r="B56" s="403">
        <f>IF(B42&lt;B49,B42,B49)</f>
        <v>0</v>
      </c>
      <c r="C56" s="404"/>
      <c r="D56" s="904"/>
    </row>
    <row r="57" spans="1:4" ht="16.5" thickTop="1" thickBot="1" x14ac:dyDescent="0.3">
      <c r="A57" s="389" t="s">
        <v>467</v>
      </c>
      <c r="B57" s="403">
        <f>IF(B43&lt;B50,B43,B50)</f>
        <v>0</v>
      </c>
      <c r="D57" s="905"/>
    </row>
    <row r="58" spans="1:4" ht="16.5" thickTop="1" thickBot="1" x14ac:dyDescent="0.3">
      <c r="A58" s="389" t="s">
        <v>544</v>
      </c>
      <c r="B58" s="403">
        <f>IF(B44&lt;B51,B44,B51)</f>
        <v>0</v>
      </c>
      <c r="D58" s="905"/>
    </row>
    <row r="59" spans="1:4" ht="16.5" thickTop="1" thickBot="1" x14ac:dyDescent="0.3">
      <c r="A59" s="389" t="s">
        <v>543</v>
      </c>
      <c r="B59" s="400">
        <f>IF(B45&lt;B52,B45,B52)</f>
        <v>0</v>
      </c>
      <c r="D59" s="905"/>
    </row>
    <row r="60" spans="1:4" ht="16.5" thickTop="1" thickBot="1" x14ac:dyDescent="0.3">
      <c r="A60" s="402" t="s">
        <v>542</v>
      </c>
      <c r="B60" s="400">
        <f>1-((1-B56))*((1-B57))*((1-B58))*((1-B59))</f>
        <v>0</v>
      </c>
      <c r="D60" s="905"/>
    </row>
    <row r="61" spans="1:4" ht="15.75" thickTop="1" x14ac:dyDescent="0.25">
      <c r="A61" s="401" t="s">
        <v>541</v>
      </c>
      <c r="B61" s="400">
        <f>IF(B60&lt;B53,B60,B53)</f>
        <v>0</v>
      </c>
      <c r="D61" s="905"/>
    </row>
  </sheetData>
  <sheetProtection algorithmName="SHA-512" hashValue="HgoAtiCKHLGHm1DNjgWamU4ZHCoNE5H2oJMUO1vOvvuAojgRM6LlUjG5x8i8mSHW75MWP8IA6hBHfzYSpo/MUw==" saltValue="paamH/EEPrNpSBlOdUT+Ug==" spinCount="100000" sheet="1" selectLockedCells="1"/>
  <mergeCells count="19">
    <mergeCell ref="D18:D29"/>
    <mergeCell ref="A30:D31"/>
    <mergeCell ref="D56:D61"/>
    <mergeCell ref="A39:D39"/>
    <mergeCell ref="A40:D41"/>
    <mergeCell ref="D42:D46"/>
    <mergeCell ref="A47:D48"/>
    <mergeCell ref="D49:D53"/>
    <mergeCell ref="A54:D55"/>
    <mergeCell ref="D32:D38"/>
    <mergeCell ref="A9:D10"/>
    <mergeCell ref="D11:D15"/>
    <mergeCell ref="A16:D17"/>
    <mergeCell ref="A1:D1"/>
    <mergeCell ref="A2:A3"/>
    <mergeCell ref="B2:B3"/>
    <mergeCell ref="D2:D3"/>
    <mergeCell ref="A4:D5"/>
    <mergeCell ref="D6:D8"/>
  </mergeCells>
  <conditionalFormatting sqref="E7:E8 E15:E29">
    <cfRule type="containsText" dxfId="3" priority="3" stopIfTrue="1" operator="containsText" text="Does not">
      <formula>NOT(ISERROR(SEARCH("Does not",E7)))</formula>
    </cfRule>
    <cfRule type="containsText" dxfId="2" priority="4" stopIfTrue="1" operator="containsText" text="Amount">
      <formula>NOT(ISERROR(SEARCH("Amount",E7)))</formula>
    </cfRule>
  </conditionalFormatting>
  <conditionalFormatting sqref="E38">
    <cfRule type="containsText" dxfId="1" priority="1" stopIfTrue="1" operator="containsText" text="Does not">
      <formula>NOT(ISERROR(SEARCH("Does not",E38)))</formula>
    </cfRule>
    <cfRule type="containsText" dxfId="0" priority="2" stopIfTrue="1" operator="containsText" text="Amount">
      <formula>NOT(ISERROR(SEARCH("Amount",E38)))</formula>
    </cfRule>
  </conditionalFormatting>
  <dataValidations count="3">
    <dataValidation type="custom" errorStyle="warning" allowBlank="1" showInputMessage="1" error="Amount Exceeds Maximum" sqref="B38" xr:uid="{00000000-0002-0000-0C00-000000000000}">
      <formula1>B38&gt;D32</formula1>
    </dataValidation>
    <dataValidation type="custom" errorStyle="warning" allowBlank="1" error="Amount Exceeds Maximum" sqref="B15 B8" xr:uid="{00000000-0002-0000-0C00-000001000000}">
      <formula1>B8&gt;D4</formula1>
    </dataValidation>
    <dataValidation type="custom" errorStyle="warning" allowBlank="1" error="Amount Exceeds Maximum" sqref="B29" xr:uid="{00000000-0002-0000-0C00-000002000000}">
      <formula1>B29&gt;D22</formula1>
    </dataValidation>
  </dataValidation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B1:AN82"/>
  <sheetViews>
    <sheetView workbookViewId="0">
      <selection activeCell="E83" sqref="E83"/>
    </sheetView>
  </sheetViews>
  <sheetFormatPr defaultRowHeight="12.75" x14ac:dyDescent="0.2"/>
  <cols>
    <col min="2" max="3" width="1.140625" customWidth="1"/>
    <col min="4" max="4" width="43.7109375" customWidth="1"/>
    <col min="5" max="5" width="6.140625" customWidth="1"/>
    <col min="6" max="6" width="114" hidden="1" customWidth="1"/>
    <col min="7" max="7" width="19.85546875" customWidth="1"/>
    <col min="8" max="20" width="8.7109375" hidden="1" customWidth="1"/>
    <col min="21" max="22" width="8.7109375" customWidth="1"/>
    <col min="23" max="39" width="12.7109375" customWidth="1"/>
  </cols>
  <sheetData>
    <row r="1" spans="2:39" ht="13.5" thickBot="1" x14ac:dyDescent="0.25"/>
    <row r="2" spans="2:39" ht="64.5" thickBot="1" x14ac:dyDescent="0.25">
      <c r="B2" s="817" t="s">
        <v>0</v>
      </c>
      <c r="C2" s="818"/>
      <c r="D2" s="818"/>
      <c r="E2" s="24" t="s">
        <v>1</v>
      </c>
      <c r="F2" s="25" t="s">
        <v>129</v>
      </c>
      <c r="G2" s="25" t="s">
        <v>2</v>
      </c>
      <c r="H2" s="26" t="s">
        <v>153</v>
      </c>
      <c r="I2" s="27" t="s">
        <v>154</v>
      </c>
      <c r="J2" s="25" t="s">
        <v>155</v>
      </c>
      <c r="K2" s="26" t="s">
        <v>156</v>
      </c>
      <c r="L2" s="26" t="s">
        <v>249</v>
      </c>
      <c r="M2" s="26" t="s">
        <v>250</v>
      </c>
      <c r="N2" s="26" t="s">
        <v>251</v>
      </c>
      <c r="O2" s="26" t="s">
        <v>252</v>
      </c>
      <c r="P2" s="27" t="s">
        <v>157</v>
      </c>
      <c r="Q2" s="26" t="s">
        <v>253</v>
      </c>
      <c r="R2" s="26" t="s">
        <v>254</v>
      </c>
      <c r="S2" s="25" t="s">
        <v>255</v>
      </c>
      <c r="T2" s="25" t="s">
        <v>256</v>
      </c>
      <c r="U2" s="28" t="s">
        <v>257</v>
      </c>
      <c r="V2" s="29"/>
      <c r="W2" s="30" t="s">
        <v>258</v>
      </c>
      <c r="X2" s="30" t="s">
        <v>259</v>
      </c>
      <c r="Y2" s="30" t="s">
        <v>260</v>
      </c>
      <c r="Z2" s="30" t="s">
        <v>261</v>
      </c>
      <c r="AA2" s="30" t="s">
        <v>262</v>
      </c>
      <c r="AB2" s="30" t="s">
        <v>263</v>
      </c>
      <c r="AC2" s="30" t="s">
        <v>264</v>
      </c>
      <c r="AD2" s="30" t="s">
        <v>265</v>
      </c>
      <c r="AE2" s="30" t="s">
        <v>266</v>
      </c>
      <c r="AF2" s="30" t="s">
        <v>267</v>
      </c>
      <c r="AG2" s="30" t="s">
        <v>268</v>
      </c>
      <c r="AH2" s="30" t="s">
        <v>269</v>
      </c>
      <c r="AI2" s="30" t="s">
        <v>270</v>
      </c>
      <c r="AJ2" s="30" t="s">
        <v>271</v>
      </c>
      <c r="AK2" s="30" t="s">
        <v>272</v>
      </c>
      <c r="AL2" s="30" t="s">
        <v>273</v>
      </c>
      <c r="AM2" s="30" t="s">
        <v>274</v>
      </c>
    </row>
    <row r="3" spans="2:39" ht="13.5" thickBot="1" x14ac:dyDescent="0.25">
      <c r="B3" s="161"/>
      <c r="C3" s="153"/>
      <c r="D3" s="152"/>
      <c r="E3" s="154"/>
      <c r="F3" s="155"/>
      <c r="G3" s="155"/>
      <c r="H3" s="156"/>
      <c r="I3" s="157"/>
      <c r="J3" s="155"/>
      <c r="K3" s="156"/>
      <c r="L3" s="156"/>
      <c r="M3" s="156"/>
      <c r="N3" s="156"/>
      <c r="O3" s="156"/>
      <c r="P3" s="157"/>
      <c r="Q3" s="158"/>
      <c r="R3" s="158"/>
      <c r="S3" s="155"/>
      <c r="T3" s="159"/>
      <c r="U3" s="160"/>
      <c r="V3" s="29"/>
      <c r="W3" s="30"/>
      <c r="X3" s="30"/>
      <c r="Y3" s="30"/>
      <c r="Z3" s="30"/>
      <c r="AA3" s="30"/>
      <c r="AB3" s="30"/>
      <c r="AC3" s="30"/>
      <c r="AD3" s="30"/>
      <c r="AE3" s="30"/>
      <c r="AF3" s="30"/>
      <c r="AG3" s="30"/>
      <c r="AH3" s="30"/>
      <c r="AI3" s="30"/>
      <c r="AJ3" s="30"/>
      <c r="AK3" s="30"/>
      <c r="AL3" s="30"/>
      <c r="AM3" s="30"/>
    </row>
    <row r="4" spans="2:39" x14ac:dyDescent="0.2">
      <c r="B4" s="81" t="s">
        <v>3</v>
      </c>
      <c r="C4" s="31"/>
      <c r="D4" s="151"/>
      <c r="E4" s="5"/>
      <c r="F4" s="5"/>
      <c r="G4" s="5"/>
      <c r="H4" s="6"/>
      <c r="I4" s="7"/>
      <c r="J4" s="8"/>
      <c r="K4" s="9"/>
      <c r="L4" s="9"/>
      <c r="M4" s="9"/>
      <c r="N4" s="9"/>
      <c r="O4" s="10"/>
      <c r="P4" s="7"/>
      <c r="Q4" s="11"/>
      <c r="R4" s="12"/>
      <c r="S4" s="8"/>
      <c r="T4" s="13"/>
      <c r="U4" s="14"/>
      <c r="V4" s="15"/>
      <c r="W4" s="16"/>
      <c r="X4" s="16"/>
      <c r="Y4" s="16"/>
      <c r="Z4" s="16"/>
      <c r="AA4" s="16"/>
      <c r="AB4" s="16"/>
      <c r="AC4" s="16"/>
      <c r="AD4" s="16"/>
      <c r="AE4" s="16"/>
      <c r="AF4" s="16"/>
      <c r="AG4" s="16"/>
      <c r="AH4" s="16"/>
      <c r="AI4" s="16"/>
      <c r="AJ4" s="16"/>
      <c r="AK4" s="16"/>
      <c r="AL4" s="16"/>
      <c r="AM4" s="16"/>
    </row>
    <row r="5" spans="2:39" ht="13.5" thickBot="1" x14ac:dyDescent="0.25">
      <c r="B5" s="220" t="s">
        <v>4</v>
      </c>
      <c r="C5" s="221"/>
      <c r="D5" s="222"/>
      <c r="E5" s="223" t="s">
        <v>5</v>
      </c>
      <c r="F5" s="224" t="s">
        <v>201</v>
      </c>
      <c r="G5" s="225" t="s">
        <v>10</v>
      </c>
      <c r="H5" s="226">
        <v>1.87</v>
      </c>
      <c r="I5" s="227"/>
      <c r="J5" s="228"/>
      <c r="K5" s="229">
        <v>1.87</v>
      </c>
      <c r="L5" s="229">
        <v>10.7</v>
      </c>
      <c r="M5" s="229">
        <v>10.7</v>
      </c>
      <c r="N5" s="230" t="s">
        <v>275</v>
      </c>
      <c r="O5" s="231">
        <v>10.02</v>
      </c>
      <c r="P5" s="227">
        <v>0.5</v>
      </c>
      <c r="Q5" s="232">
        <v>5.35</v>
      </c>
      <c r="R5" s="232">
        <v>5.35</v>
      </c>
      <c r="S5" s="230">
        <v>5.35</v>
      </c>
      <c r="T5" s="232">
        <v>5.35</v>
      </c>
      <c r="U5" s="232">
        <v>10</v>
      </c>
      <c r="V5" s="46"/>
      <c r="W5" s="47">
        <v>7360</v>
      </c>
      <c r="X5" s="47">
        <v>22395</v>
      </c>
      <c r="Y5" s="47">
        <v>18210</v>
      </c>
      <c r="Z5" s="47">
        <v>11090</v>
      </c>
      <c r="AA5" s="47">
        <v>10215</v>
      </c>
      <c r="AB5" s="47">
        <v>8020</v>
      </c>
      <c r="AC5" s="47">
        <v>15355</v>
      </c>
      <c r="AD5" s="47">
        <v>7715</v>
      </c>
      <c r="AE5" s="47">
        <v>8560</v>
      </c>
      <c r="AF5" s="47">
        <v>18620</v>
      </c>
      <c r="AG5" s="47">
        <v>28760</v>
      </c>
      <c r="AH5" s="47">
        <v>12600</v>
      </c>
      <c r="AI5" s="47">
        <v>12075</v>
      </c>
      <c r="AJ5" s="47">
        <v>7535</v>
      </c>
      <c r="AK5" s="47">
        <v>19605</v>
      </c>
      <c r="AL5" s="47">
        <v>15055</v>
      </c>
      <c r="AM5" s="47">
        <v>6805</v>
      </c>
    </row>
    <row r="6" spans="2:39" x14ac:dyDescent="0.2">
      <c r="B6" s="81" t="s">
        <v>7</v>
      </c>
      <c r="C6" s="83"/>
      <c r="D6" s="48"/>
      <c r="E6" s="49"/>
      <c r="F6" s="50"/>
      <c r="G6" s="51"/>
      <c r="H6" s="52"/>
      <c r="I6" s="53"/>
      <c r="J6" s="54"/>
      <c r="K6" s="55"/>
      <c r="L6" s="55"/>
      <c r="M6" s="55"/>
      <c r="N6" s="55"/>
      <c r="O6" s="56"/>
      <c r="P6" s="53"/>
      <c r="Q6" s="57"/>
      <c r="R6" s="58"/>
      <c r="S6" s="54"/>
      <c r="T6" s="59"/>
      <c r="U6" s="60"/>
      <c r="V6" s="61"/>
      <c r="W6" s="62"/>
      <c r="X6" s="62"/>
      <c r="Y6" s="62"/>
      <c r="Z6" s="62"/>
      <c r="AA6" s="62"/>
      <c r="AB6" s="62"/>
      <c r="AC6" s="62"/>
      <c r="AD6" s="62"/>
      <c r="AE6" s="62"/>
      <c r="AF6" s="62"/>
      <c r="AG6" s="62"/>
      <c r="AH6" s="62"/>
      <c r="AI6" s="62"/>
      <c r="AJ6" s="62"/>
      <c r="AK6" s="62"/>
      <c r="AL6" s="62"/>
      <c r="AM6" s="62"/>
    </row>
    <row r="7" spans="2:39" x14ac:dyDescent="0.2">
      <c r="B7" s="63" t="s">
        <v>8</v>
      </c>
      <c r="C7" s="64"/>
      <c r="D7" s="65"/>
      <c r="E7" s="66" t="s">
        <v>9</v>
      </c>
      <c r="F7" s="67" t="s">
        <v>130</v>
      </c>
      <c r="G7" s="68" t="s">
        <v>10</v>
      </c>
      <c r="H7" s="69">
        <v>0.63</v>
      </c>
      <c r="I7" s="70"/>
      <c r="J7" s="71"/>
      <c r="K7" s="18">
        <v>0.63</v>
      </c>
      <c r="L7" s="18">
        <v>6.15</v>
      </c>
      <c r="M7" s="18">
        <v>12.89</v>
      </c>
      <c r="N7" s="72" t="s">
        <v>276</v>
      </c>
      <c r="O7" s="73">
        <v>10.02</v>
      </c>
      <c r="P7" s="70">
        <v>0.5</v>
      </c>
      <c r="Q7" s="74">
        <v>3.07</v>
      </c>
      <c r="R7" s="74">
        <v>6.45</v>
      </c>
      <c r="S7" s="75">
        <v>3.07</v>
      </c>
      <c r="T7" s="76">
        <v>6</v>
      </c>
      <c r="U7" s="77">
        <v>1.93</v>
      </c>
      <c r="V7" s="61"/>
      <c r="W7" s="78">
        <v>2782.08</v>
      </c>
      <c r="X7" s="78">
        <v>8465.31</v>
      </c>
      <c r="Y7" s="78">
        <v>6883.38</v>
      </c>
      <c r="Z7" s="78">
        <v>4192.0200000000004</v>
      </c>
      <c r="AA7" s="78">
        <v>3861.27</v>
      </c>
      <c r="AB7" s="78">
        <v>1547.86</v>
      </c>
      <c r="AC7" s="78">
        <v>5804.19</v>
      </c>
      <c r="AD7" s="78">
        <v>2916.27</v>
      </c>
      <c r="AE7" s="78">
        <v>1652.08</v>
      </c>
      <c r="AF7" s="78">
        <v>3593.66</v>
      </c>
      <c r="AG7" s="78">
        <v>10871.28</v>
      </c>
      <c r="AH7" s="78">
        <v>2431.8000000000002</v>
      </c>
      <c r="AI7" s="78">
        <v>4564.3500000000004</v>
      </c>
      <c r="AJ7" s="78">
        <v>2848.23</v>
      </c>
      <c r="AK7" s="78">
        <v>7410.69</v>
      </c>
      <c r="AL7" s="78">
        <v>5690.79</v>
      </c>
      <c r="AM7" s="78">
        <v>1313.37</v>
      </c>
    </row>
    <row r="8" spans="2:39" x14ac:dyDescent="0.2">
      <c r="B8" s="233" t="s">
        <v>277</v>
      </c>
      <c r="C8" s="234"/>
      <c r="D8" s="235"/>
      <c r="E8" s="236">
        <v>130</v>
      </c>
      <c r="F8" s="237"/>
      <c r="G8" s="238" t="s">
        <v>10</v>
      </c>
      <c r="H8" s="239">
        <v>0.4</v>
      </c>
      <c r="I8" s="240"/>
      <c r="J8" s="241"/>
      <c r="K8" s="242">
        <v>0.4</v>
      </c>
      <c r="L8" s="242">
        <v>6.15</v>
      </c>
      <c r="M8" s="242">
        <v>12.89</v>
      </c>
      <c r="N8" s="243" t="s">
        <v>276</v>
      </c>
      <c r="O8" s="244">
        <v>10.02</v>
      </c>
      <c r="P8" s="240">
        <v>0.5</v>
      </c>
      <c r="Q8" s="245">
        <v>3.07</v>
      </c>
      <c r="R8" s="245">
        <v>6.45</v>
      </c>
      <c r="S8" s="243">
        <v>3.07</v>
      </c>
      <c r="T8" s="246">
        <v>6</v>
      </c>
      <c r="U8" s="246">
        <v>1.23</v>
      </c>
      <c r="V8" s="61"/>
      <c r="W8" s="78">
        <v>1766.4</v>
      </c>
      <c r="X8" s="78">
        <v>5374.8</v>
      </c>
      <c r="Y8" s="78">
        <v>4370.3999999999996</v>
      </c>
      <c r="Z8" s="78">
        <v>2661.6</v>
      </c>
      <c r="AA8" s="78">
        <v>2451.6</v>
      </c>
      <c r="AB8" s="78">
        <v>986.46</v>
      </c>
      <c r="AC8" s="78">
        <v>3685.2</v>
      </c>
      <c r="AD8" s="78">
        <v>1851.6</v>
      </c>
      <c r="AE8" s="78">
        <v>1052.8800000000001</v>
      </c>
      <c r="AF8" s="78">
        <v>2290.2600000000002</v>
      </c>
      <c r="AG8" s="78">
        <v>6902.4</v>
      </c>
      <c r="AH8" s="78">
        <v>1549.8</v>
      </c>
      <c r="AI8" s="78">
        <v>2898</v>
      </c>
      <c r="AJ8" s="78">
        <v>1808.4</v>
      </c>
      <c r="AK8" s="78">
        <v>4705.2</v>
      </c>
      <c r="AL8" s="78">
        <v>3613.2</v>
      </c>
      <c r="AM8" s="78">
        <v>837.02</v>
      </c>
    </row>
    <row r="9" spans="2:39" x14ac:dyDescent="0.2">
      <c r="B9" s="233" t="s">
        <v>194</v>
      </c>
      <c r="C9" s="234"/>
      <c r="D9" s="235"/>
      <c r="E9" s="247" t="s">
        <v>195</v>
      </c>
      <c r="F9" s="237" t="s">
        <v>202</v>
      </c>
      <c r="G9" s="238" t="s">
        <v>10</v>
      </c>
      <c r="H9" s="239">
        <v>0.67</v>
      </c>
      <c r="I9" s="240"/>
      <c r="J9" s="241"/>
      <c r="K9" s="242">
        <v>0.67</v>
      </c>
      <c r="L9" s="242">
        <v>6.15</v>
      </c>
      <c r="M9" s="242">
        <v>12.89</v>
      </c>
      <c r="N9" s="243" t="s">
        <v>276</v>
      </c>
      <c r="O9" s="244">
        <v>10.02</v>
      </c>
      <c r="P9" s="240">
        <v>0.5</v>
      </c>
      <c r="Q9" s="245">
        <v>3.07</v>
      </c>
      <c r="R9" s="245">
        <v>6.45</v>
      </c>
      <c r="S9" s="243">
        <v>3.07</v>
      </c>
      <c r="T9" s="246">
        <v>6</v>
      </c>
      <c r="U9" s="246">
        <v>2.06</v>
      </c>
      <c r="V9" s="61"/>
      <c r="W9" s="78">
        <v>2958.72</v>
      </c>
      <c r="X9" s="78">
        <v>9002.7900000000009</v>
      </c>
      <c r="Y9" s="78">
        <v>7320.42</v>
      </c>
      <c r="Z9" s="78">
        <v>4458.18</v>
      </c>
      <c r="AA9" s="78">
        <v>4106.43</v>
      </c>
      <c r="AB9" s="78">
        <v>1652.12</v>
      </c>
      <c r="AC9" s="78">
        <v>6172.71</v>
      </c>
      <c r="AD9" s="78">
        <v>3101.43</v>
      </c>
      <c r="AE9" s="78">
        <v>1763.36</v>
      </c>
      <c r="AF9" s="78">
        <v>3835.72</v>
      </c>
      <c r="AG9" s="78">
        <v>11561.52</v>
      </c>
      <c r="AH9" s="78">
        <v>2595.6</v>
      </c>
      <c r="AI9" s="78">
        <v>4854.1499999999996</v>
      </c>
      <c r="AJ9" s="78">
        <v>3029.07</v>
      </c>
      <c r="AK9" s="78">
        <v>7881.21</v>
      </c>
      <c r="AL9" s="78">
        <v>6052.11</v>
      </c>
      <c r="AM9" s="78">
        <v>1401.83</v>
      </c>
    </row>
    <row r="10" spans="2:39" x14ac:dyDescent="0.2">
      <c r="B10" s="63" t="s">
        <v>11</v>
      </c>
      <c r="C10" s="64"/>
      <c r="D10" s="65"/>
      <c r="E10" s="66" t="s">
        <v>12</v>
      </c>
      <c r="F10" s="67" t="s">
        <v>131</v>
      </c>
      <c r="G10" s="68" t="s">
        <v>10</v>
      </c>
      <c r="H10" s="69">
        <v>0.19</v>
      </c>
      <c r="I10" s="70"/>
      <c r="J10" s="71"/>
      <c r="K10" s="18">
        <v>0.19</v>
      </c>
      <c r="L10" s="18">
        <v>6.15</v>
      </c>
      <c r="M10" s="18">
        <v>12.89</v>
      </c>
      <c r="N10" s="72" t="s">
        <v>276</v>
      </c>
      <c r="O10" s="73">
        <v>10.83</v>
      </c>
      <c r="P10" s="70">
        <v>0.5</v>
      </c>
      <c r="Q10" s="74">
        <v>3.07</v>
      </c>
      <c r="R10" s="74">
        <v>6.45</v>
      </c>
      <c r="S10" s="75">
        <v>3.07</v>
      </c>
      <c r="T10" s="76">
        <v>6</v>
      </c>
      <c r="U10" s="77">
        <v>0.57999999999999996</v>
      </c>
      <c r="V10" s="61"/>
      <c r="W10" s="78">
        <v>839.04</v>
      </c>
      <c r="X10" s="78">
        <v>2553.0300000000002</v>
      </c>
      <c r="Y10" s="78">
        <v>2075.94</v>
      </c>
      <c r="Z10" s="78">
        <v>1264.26</v>
      </c>
      <c r="AA10" s="78">
        <v>1164.51</v>
      </c>
      <c r="AB10" s="78">
        <v>465.16</v>
      </c>
      <c r="AC10" s="78">
        <v>1750.47</v>
      </c>
      <c r="AD10" s="78">
        <v>879.51</v>
      </c>
      <c r="AE10" s="78">
        <v>496.48</v>
      </c>
      <c r="AF10" s="78">
        <v>1079.96</v>
      </c>
      <c r="AG10" s="78">
        <v>3278.64</v>
      </c>
      <c r="AH10" s="78">
        <v>730.8</v>
      </c>
      <c r="AI10" s="78">
        <v>1376.55</v>
      </c>
      <c r="AJ10" s="78">
        <v>858.99</v>
      </c>
      <c r="AK10" s="78">
        <v>2234.9699999999998</v>
      </c>
      <c r="AL10" s="78">
        <v>1716.27</v>
      </c>
      <c r="AM10" s="78">
        <v>394.69</v>
      </c>
    </row>
    <row r="11" spans="2:39" ht="13.5" thickBot="1" x14ac:dyDescent="0.25">
      <c r="B11" s="220" t="s">
        <v>13</v>
      </c>
      <c r="C11" s="221"/>
      <c r="D11" s="222"/>
      <c r="E11" s="223" t="s">
        <v>14</v>
      </c>
      <c r="F11" s="224" t="s">
        <v>132</v>
      </c>
      <c r="G11" s="225" t="s">
        <v>10</v>
      </c>
      <c r="H11" s="226">
        <v>0.17</v>
      </c>
      <c r="I11" s="227"/>
      <c r="J11" s="228"/>
      <c r="K11" s="229">
        <v>0.17</v>
      </c>
      <c r="L11" s="229">
        <v>6.15</v>
      </c>
      <c r="M11" s="229">
        <v>12.89</v>
      </c>
      <c r="N11" s="230" t="s">
        <v>276</v>
      </c>
      <c r="O11" s="231">
        <v>10.83</v>
      </c>
      <c r="P11" s="227">
        <v>0.5</v>
      </c>
      <c r="Q11" s="232">
        <v>3.07</v>
      </c>
      <c r="R11" s="232">
        <v>6.45</v>
      </c>
      <c r="S11" s="230">
        <v>3.07</v>
      </c>
      <c r="T11" s="232">
        <v>6</v>
      </c>
      <c r="U11" s="232">
        <v>0.52</v>
      </c>
      <c r="V11" s="61"/>
      <c r="W11" s="80">
        <v>750.72</v>
      </c>
      <c r="X11" s="80">
        <v>2284.29</v>
      </c>
      <c r="Y11" s="80">
        <v>1857.42</v>
      </c>
      <c r="Z11" s="80">
        <v>1131.18</v>
      </c>
      <c r="AA11" s="80">
        <v>1041.93</v>
      </c>
      <c r="AB11" s="80">
        <v>417.04</v>
      </c>
      <c r="AC11" s="80">
        <v>1566.21</v>
      </c>
      <c r="AD11" s="80">
        <v>786.93</v>
      </c>
      <c r="AE11" s="80">
        <v>445.12</v>
      </c>
      <c r="AF11" s="80">
        <v>968.24</v>
      </c>
      <c r="AG11" s="80">
        <v>2933.52</v>
      </c>
      <c r="AH11" s="80">
        <v>655.20000000000005</v>
      </c>
      <c r="AI11" s="80">
        <v>1231.6500000000001</v>
      </c>
      <c r="AJ11" s="80">
        <v>768.57</v>
      </c>
      <c r="AK11" s="80">
        <v>1999.71</v>
      </c>
      <c r="AL11" s="80">
        <v>1535.61</v>
      </c>
      <c r="AM11" s="80">
        <v>353.86</v>
      </c>
    </row>
    <row r="12" spans="2:39" x14ac:dyDescent="0.2">
      <c r="B12" s="81" t="s">
        <v>15</v>
      </c>
      <c r="C12" s="82"/>
      <c r="D12" s="83"/>
      <c r="E12" s="84"/>
      <c r="F12" s="50"/>
      <c r="G12" s="51"/>
      <c r="H12" s="52"/>
      <c r="I12" s="53"/>
      <c r="J12" s="54"/>
      <c r="K12" s="19"/>
      <c r="L12" s="19"/>
      <c r="M12" s="19"/>
      <c r="N12" s="55"/>
      <c r="O12" s="56"/>
      <c r="P12" s="53"/>
      <c r="Q12" s="58"/>
      <c r="R12" s="58"/>
      <c r="S12" s="55"/>
      <c r="T12" s="85"/>
      <c r="U12" s="86"/>
      <c r="V12" s="61"/>
      <c r="W12" s="62"/>
      <c r="X12" s="62"/>
      <c r="Y12" s="62"/>
      <c r="Z12" s="62"/>
      <c r="AA12" s="62"/>
      <c r="AB12" s="62"/>
      <c r="AC12" s="62"/>
      <c r="AD12" s="62"/>
      <c r="AE12" s="62"/>
      <c r="AF12" s="62"/>
      <c r="AG12" s="62"/>
      <c r="AH12" s="62"/>
      <c r="AI12" s="62"/>
      <c r="AJ12" s="62"/>
      <c r="AK12" s="62"/>
      <c r="AL12" s="62"/>
      <c r="AM12" s="62"/>
    </row>
    <row r="13" spans="2:39" x14ac:dyDescent="0.2">
      <c r="B13" s="87" t="s">
        <v>16</v>
      </c>
      <c r="C13" s="82"/>
      <c r="D13" s="83"/>
      <c r="E13" s="84" t="s">
        <v>17</v>
      </c>
      <c r="F13" s="50" t="s">
        <v>133</v>
      </c>
      <c r="G13" s="51" t="s">
        <v>18</v>
      </c>
      <c r="H13" s="52">
        <v>0.99</v>
      </c>
      <c r="I13" s="53"/>
      <c r="J13" s="54"/>
      <c r="K13" s="19">
        <v>0.99</v>
      </c>
      <c r="L13" s="19">
        <v>5.81</v>
      </c>
      <c r="M13" s="19">
        <v>8.59</v>
      </c>
      <c r="N13" s="88" t="s">
        <v>276</v>
      </c>
      <c r="O13" s="56">
        <v>17.21</v>
      </c>
      <c r="P13" s="53">
        <v>0.5</v>
      </c>
      <c r="Q13" s="58">
        <v>2.9</v>
      </c>
      <c r="R13" s="58">
        <v>4.3</v>
      </c>
      <c r="S13" s="75">
        <v>2.9</v>
      </c>
      <c r="T13" s="76">
        <v>4.3</v>
      </c>
      <c r="U13" s="77">
        <v>2.87</v>
      </c>
      <c r="V13" s="61"/>
      <c r="W13" s="89">
        <v>2194.75</v>
      </c>
      <c r="X13" s="89">
        <v>6678.19</v>
      </c>
      <c r="Y13" s="89">
        <v>5430.22</v>
      </c>
      <c r="Z13" s="89">
        <v>3307.04</v>
      </c>
      <c r="AA13" s="89">
        <v>3046.11</v>
      </c>
      <c r="AB13" s="89">
        <v>1611.22</v>
      </c>
      <c r="AC13" s="89">
        <v>4578.8599999999997</v>
      </c>
      <c r="AD13" s="89">
        <v>2300.61</v>
      </c>
      <c r="AE13" s="89">
        <v>1719.7</v>
      </c>
      <c r="AF13" s="89">
        <v>3740.76</v>
      </c>
      <c r="AG13" s="89">
        <v>8576.23</v>
      </c>
      <c r="AH13" s="89">
        <v>2531.34</v>
      </c>
      <c r="AI13" s="89">
        <v>3600.77</v>
      </c>
      <c r="AJ13" s="89">
        <v>2246.94</v>
      </c>
      <c r="AK13" s="89">
        <v>5846.21</v>
      </c>
      <c r="AL13" s="89">
        <v>4489.3999999999996</v>
      </c>
      <c r="AM13" s="89">
        <v>1367.12</v>
      </c>
    </row>
    <row r="14" spans="2:39" x14ac:dyDescent="0.2">
      <c r="B14" s="63" t="s">
        <v>318</v>
      </c>
      <c r="C14" s="64"/>
      <c r="D14" s="65"/>
      <c r="E14" s="66" t="s">
        <v>19</v>
      </c>
      <c r="F14" s="67" t="s">
        <v>134</v>
      </c>
      <c r="G14" s="68" t="s">
        <v>18</v>
      </c>
      <c r="H14" s="69">
        <v>0.56000000000000005</v>
      </c>
      <c r="I14" s="70"/>
      <c r="J14" s="71"/>
      <c r="K14" s="18">
        <v>0.56000000000000005</v>
      </c>
      <c r="L14" s="18">
        <v>5.81</v>
      </c>
      <c r="M14" s="18">
        <v>8.59</v>
      </c>
      <c r="N14" s="72" t="s">
        <v>276</v>
      </c>
      <c r="O14" s="73">
        <v>17.21</v>
      </c>
      <c r="P14" s="70">
        <v>0.5</v>
      </c>
      <c r="Q14" s="74">
        <v>2.9</v>
      </c>
      <c r="R14" s="74">
        <v>4.3</v>
      </c>
      <c r="S14" s="75">
        <v>2.9</v>
      </c>
      <c r="T14" s="76">
        <v>4.3</v>
      </c>
      <c r="U14" s="77">
        <v>1.62</v>
      </c>
      <c r="V14" s="61"/>
      <c r="W14" s="89">
        <v>1241.6300000000001</v>
      </c>
      <c r="X14" s="89">
        <v>3778.04</v>
      </c>
      <c r="Y14" s="89">
        <v>3072.03</v>
      </c>
      <c r="Z14" s="89">
        <v>1870.88</v>
      </c>
      <c r="AA14" s="89">
        <v>1723.27</v>
      </c>
      <c r="AB14" s="78">
        <v>909.47</v>
      </c>
      <c r="AC14" s="78">
        <v>2590.39</v>
      </c>
      <c r="AD14" s="78">
        <v>1301.52</v>
      </c>
      <c r="AE14" s="78">
        <v>970.7</v>
      </c>
      <c r="AF14" s="78">
        <v>2111.5100000000002</v>
      </c>
      <c r="AG14" s="78">
        <v>4851.8100000000004</v>
      </c>
      <c r="AH14" s="78">
        <v>1428.84</v>
      </c>
      <c r="AI14" s="78">
        <v>2037.05</v>
      </c>
      <c r="AJ14" s="78">
        <v>1271.1500000000001</v>
      </c>
      <c r="AK14" s="78">
        <v>3307.36</v>
      </c>
      <c r="AL14" s="78">
        <v>2539.7800000000002</v>
      </c>
      <c r="AM14" s="78">
        <v>771.69</v>
      </c>
    </row>
    <row r="15" spans="2:39" x14ac:dyDescent="0.2">
      <c r="B15" s="63" t="s">
        <v>278</v>
      </c>
      <c r="C15" s="64"/>
      <c r="D15" s="65"/>
      <c r="E15" s="66" t="s">
        <v>196</v>
      </c>
      <c r="F15" s="67" t="s">
        <v>203</v>
      </c>
      <c r="G15" s="68" t="s">
        <v>18</v>
      </c>
      <c r="H15" s="69">
        <v>0.44</v>
      </c>
      <c r="I15" s="70"/>
      <c r="J15" s="71"/>
      <c r="K15" s="18">
        <v>0.44</v>
      </c>
      <c r="L15" s="18">
        <v>5.81</v>
      </c>
      <c r="M15" s="18">
        <v>8.59</v>
      </c>
      <c r="N15" s="72"/>
      <c r="O15" s="73"/>
      <c r="P15" s="70">
        <v>0.5</v>
      </c>
      <c r="Q15" s="74">
        <v>2.9</v>
      </c>
      <c r="R15" s="74">
        <v>4.3</v>
      </c>
      <c r="S15" s="75">
        <v>2.9</v>
      </c>
      <c r="T15" s="76">
        <v>4.3</v>
      </c>
      <c r="U15" s="77">
        <v>1.28</v>
      </c>
      <c r="V15" s="61"/>
      <c r="W15" s="89">
        <v>973.73</v>
      </c>
      <c r="X15" s="89">
        <v>2962.86</v>
      </c>
      <c r="Y15" s="89">
        <v>2409.1799999999998</v>
      </c>
      <c r="Z15" s="89">
        <v>1467.21</v>
      </c>
      <c r="AA15" s="89">
        <v>1351.44</v>
      </c>
      <c r="AB15" s="89">
        <v>718.59</v>
      </c>
      <c r="AC15" s="89">
        <v>2031.47</v>
      </c>
      <c r="AD15" s="89">
        <v>1020.69</v>
      </c>
      <c r="AE15" s="89">
        <v>766.98</v>
      </c>
      <c r="AF15" s="89">
        <v>1668.35</v>
      </c>
      <c r="AG15" s="89">
        <v>3804.95</v>
      </c>
      <c r="AH15" s="89">
        <v>1128.96</v>
      </c>
      <c r="AI15" s="89">
        <v>1597.52</v>
      </c>
      <c r="AJ15" s="89">
        <v>996.88</v>
      </c>
      <c r="AK15" s="89">
        <v>2593.7399999999998</v>
      </c>
      <c r="AL15" s="89">
        <v>1991.78</v>
      </c>
      <c r="AM15" s="89">
        <v>609.73</v>
      </c>
    </row>
    <row r="16" spans="2:39" x14ac:dyDescent="0.2">
      <c r="B16" s="63" t="s">
        <v>279</v>
      </c>
      <c r="C16" s="64"/>
      <c r="D16" s="65"/>
      <c r="E16" s="66" t="s">
        <v>197</v>
      </c>
      <c r="F16" s="67" t="s">
        <v>204</v>
      </c>
      <c r="G16" s="68" t="s">
        <v>18</v>
      </c>
      <c r="H16" s="69">
        <v>0.36</v>
      </c>
      <c r="I16" s="70"/>
      <c r="J16" s="71"/>
      <c r="K16" s="18">
        <v>0.36</v>
      </c>
      <c r="L16" s="18">
        <v>5.81</v>
      </c>
      <c r="M16" s="18">
        <v>8.59</v>
      </c>
      <c r="N16" s="72" t="s">
        <v>276</v>
      </c>
      <c r="O16" s="73">
        <v>17.21</v>
      </c>
      <c r="P16" s="70">
        <v>0.5</v>
      </c>
      <c r="Q16" s="74">
        <v>2.9</v>
      </c>
      <c r="R16" s="74">
        <v>4.3</v>
      </c>
      <c r="S16" s="75">
        <v>2.9</v>
      </c>
      <c r="T16" s="76">
        <v>4.3</v>
      </c>
      <c r="U16" s="77">
        <v>1.04</v>
      </c>
      <c r="V16" s="61"/>
      <c r="W16" s="89">
        <v>798.56</v>
      </c>
      <c r="X16" s="89">
        <v>2429.86</v>
      </c>
      <c r="Y16" s="89">
        <v>1975.79</v>
      </c>
      <c r="Z16" s="89">
        <v>1203.27</v>
      </c>
      <c r="AA16" s="89">
        <v>1108.33</v>
      </c>
      <c r="AB16" s="89">
        <v>583.86</v>
      </c>
      <c r="AC16" s="89">
        <v>1666.02</v>
      </c>
      <c r="AD16" s="89">
        <v>837.08</v>
      </c>
      <c r="AE16" s="89">
        <v>623.16999999999996</v>
      </c>
      <c r="AF16" s="89">
        <v>1355.54</v>
      </c>
      <c r="AG16" s="89">
        <v>3120.46</v>
      </c>
      <c r="AH16" s="89">
        <v>917.28</v>
      </c>
      <c r="AI16" s="89">
        <v>1310.1400000000001</v>
      </c>
      <c r="AJ16" s="89">
        <v>817.55</v>
      </c>
      <c r="AK16" s="89">
        <v>2127.14</v>
      </c>
      <c r="AL16" s="89">
        <v>1633.47</v>
      </c>
      <c r="AM16" s="89">
        <v>495.4</v>
      </c>
    </row>
    <row r="17" spans="2:39" x14ac:dyDescent="0.2">
      <c r="B17" s="248" t="s">
        <v>280</v>
      </c>
      <c r="C17" s="249"/>
      <c r="D17" s="250"/>
      <c r="E17" s="251">
        <v>240</v>
      </c>
      <c r="F17" s="252"/>
      <c r="G17" s="253" t="s">
        <v>18</v>
      </c>
      <c r="H17" s="254">
        <v>0.46</v>
      </c>
      <c r="I17" s="255"/>
      <c r="J17" s="256"/>
      <c r="K17" s="257">
        <v>0.46</v>
      </c>
      <c r="L17" s="242">
        <v>5.81</v>
      </c>
      <c r="M17" s="242">
        <v>8.59</v>
      </c>
      <c r="N17" s="243" t="s">
        <v>276</v>
      </c>
      <c r="O17" s="244">
        <v>17.21</v>
      </c>
      <c r="P17" s="240">
        <v>0.5</v>
      </c>
      <c r="Q17" s="245">
        <v>2.9</v>
      </c>
      <c r="R17" s="245">
        <v>4.3</v>
      </c>
      <c r="S17" s="243">
        <v>2.9</v>
      </c>
      <c r="T17" s="246">
        <v>4.3</v>
      </c>
      <c r="U17" s="246">
        <v>1.33</v>
      </c>
      <c r="V17" s="61"/>
      <c r="W17" s="89">
        <v>1020.1</v>
      </c>
      <c r="X17" s="89">
        <v>3103.95</v>
      </c>
      <c r="Y17" s="89">
        <v>2523.91</v>
      </c>
      <c r="Z17" s="89">
        <v>1537.07</v>
      </c>
      <c r="AA17" s="89">
        <v>1415.8</v>
      </c>
      <c r="AB17" s="89">
        <v>746.66</v>
      </c>
      <c r="AC17" s="89">
        <v>2128.1999999999998</v>
      </c>
      <c r="AD17" s="89">
        <v>1069.3</v>
      </c>
      <c r="AE17" s="89">
        <v>796.94</v>
      </c>
      <c r="AF17" s="89">
        <v>1733.52</v>
      </c>
      <c r="AG17" s="89">
        <v>3986.14</v>
      </c>
      <c r="AH17" s="89">
        <v>1173.06</v>
      </c>
      <c r="AI17" s="89">
        <v>1673.6</v>
      </c>
      <c r="AJ17" s="89">
        <v>1044.3499999999999</v>
      </c>
      <c r="AK17" s="89">
        <v>2717.25</v>
      </c>
      <c r="AL17" s="89">
        <v>2086.62</v>
      </c>
      <c r="AM17" s="89">
        <v>633.54999999999995</v>
      </c>
    </row>
    <row r="18" spans="2:39" x14ac:dyDescent="0.2">
      <c r="B18" s="248" t="s">
        <v>158</v>
      </c>
      <c r="C18" s="249"/>
      <c r="D18" s="250"/>
      <c r="E18" s="258" t="s">
        <v>159</v>
      </c>
      <c r="F18" s="252" t="s">
        <v>205</v>
      </c>
      <c r="G18" s="253" t="s">
        <v>18</v>
      </c>
      <c r="H18" s="254">
        <v>0.3</v>
      </c>
      <c r="I18" s="255"/>
      <c r="J18" s="256"/>
      <c r="K18" s="257">
        <v>0.3</v>
      </c>
      <c r="L18" s="257">
        <v>5.81</v>
      </c>
      <c r="M18" s="257">
        <v>8.59</v>
      </c>
      <c r="N18" s="259" t="s">
        <v>276</v>
      </c>
      <c r="O18" s="244">
        <v>17.21</v>
      </c>
      <c r="P18" s="240">
        <v>0.5</v>
      </c>
      <c r="Q18" s="245">
        <v>2.9</v>
      </c>
      <c r="R18" s="245">
        <v>4.3</v>
      </c>
      <c r="S18" s="243">
        <v>2.9</v>
      </c>
      <c r="T18" s="246">
        <v>4.3</v>
      </c>
      <c r="U18" s="246">
        <v>0.87</v>
      </c>
      <c r="V18" s="61"/>
      <c r="W18" s="89">
        <v>664.61</v>
      </c>
      <c r="X18" s="89">
        <v>2022.27</v>
      </c>
      <c r="Y18" s="89">
        <v>1644.36</v>
      </c>
      <c r="Z18" s="89">
        <v>1001.43</v>
      </c>
      <c r="AA18" s="89">
        <v>922.41</v>
      </c>
      <c r="AB18" s="89">
        <v>488.42</v>
      </c>
      <c r="AC18" s="89">
        <v>1386.56</v>
      </c>
      <c r="AD18" s="89">
        <v>696.66</v>
      </c>
      <c r="AE18" s="89">
        <v>521.29999999999995</v>
      </c>
      <c r="AF18" s="89">
        <v>1133.96</v>
      </c>
      <c r="AG18" s="89">
        <v>2597.0300000000002</v>
      </c>
      <c r="AH18" s="89">
        <v>767.34</v>
      </c>
      <c r="AI18" s="89">
        <v>1090.3699999999999</v>
      </c>
      <c r="AJ18" s="89">
        <v>680.41</v>
      </c>
      <c r="AK18" s="89">
        <v>1770.33</v>
      </c>
      <c r="AL18" s="89">
        <v>1359.47</v>
      </c>
      <c r="AM18" s="89">
        <v>414.42</v>
      </c>
    </row>
    <row r="19" spans="2:39" x14ac:dyDescent="0.2">
      <c r="B19" s="90" t="s">
        <v>319</v>
      </c>
      <c r="C19" s="91"/>
      <c r="D19" s="92"/>
      <c r="E19" s="99" t="s">
        <v>161</v>
      </c>
      <c r="F19" s="94" t="s">
        <v>206</v>
      </c>
      <c r="G19" s="95" t="s">
        <v>18</v>
      </c>
      <c r="H19" s="96">
        <v>0.26</v>
      </c>
      <c r="I19" s="97"/>
      <c r="J19" s="98"/>
      <c r="K19" s="20">
        <v>0.26</v>
      </c>
      <c r="L19" s="20">
        <v>5.81</v>
      </c>
      <c r="M19" s="20">
        <v>8.59</v>
      </c>
      <c r="N19" s="100" t="s">
        <v>276</v>
      </c>
      <c r="O19" s="101">
        <v>17.21</v>
      </c>
      <c r="P19" s="70">
        <v>0.5</v>
      </c>
      <c r="Q19" s="74">
        <v>2.9</v>
      </c>
      <c r="R19" s="74">
        <v>4.3</v>
      </c>
      <c r="S19" s="75">
        <v>2.9</v>
      </c>
      <c r="T19" s="76">
        <v>4.3</v>
      </c>
      <c r="U19" s="77">
        <v>0.75</v>
      </c>
      <c r="V19" s="61"/>
      <c r="W19" s="89">
        <v>577.02</v>
      </c>
      <c r="X19" s="89">
        <v>1755.77</v>
      </c>
      <c r="Y19" s="89">
        <v>1427.66</v>
      </c>
      <c r="Z19" s="89">
        <v>869.46</v>
      </c>
      <c r="AA19" s="89">
        <v>800.86</v>
      </c>
      <c r="AB19" s="89">
        <v>421.05</v>
      </c>
      <c r="AC19" s="89">
        <v>1203.83</v>
      </c>
      <c r="AD19" s="89">
        <v>604.86</v>
      </c>
      <c r="AE19" s="89">
        <v>449.4</v>
      </c>
      <c r="AF19" s="89">
        <v>977.55</v>
      </c>
      <c r="AG19" s="89">
        <v>2254.7800000000002</v>
      </c>
      <c r="AH19" s="89">
        <v>661.5</v>
      </c>
      <c r="AI19" s="89">
        <v>946.68</v>
      </c>
      <c r="AJ19" s="89">
        <v>590.74</v>
      </c>
      <c r="AK19" s="89">
        <v>1537.03</v>
      </c>
      <c r="AL19" s="89">
        <v>1180.31</v>
      </c>
      <c r="AM19" s="89">
        <v>357.26</v>
      </c>
    </row>
    <row r="20" spans="2:39" ht="13.5" thickBot="1" x14ac:dyDescent="0.25">
      <c r="B20" s="220" t="s">
        <v>20</v>
      </c>
      <c r="C20" s="221"/>
      <c r="D20" s="222"/>
      <c r="E20" s="223" t="s">
        <v>21</v>
      </c>
      <c r="F20" s="224" t="s">
        <v>207</v>
      </c>
      <c r="G20" s="225" t="s">
        <v>58</v>
      </c>
      <c r="H20" s="226">
        <v>0.26</v>
      </c>
      <c r="I20" s="227"/>
      <c r="J20" s="228"/>
      <c r="K20" s="229">
        <v>0.26</v>
      </c>
      <c r="L20" s="229">
        <v>5.81</v>
      </c>
      <c r="M20" s="229">
        <v>8.59</v>
      </c>
      <c r="N20" s="230" t="s">
        <v>276</v>
      </c>
      <c r="O20" s="231">
        <v>17.21</v>
      </c>
      <c r="P20" s="227">
        <v>0.5</v>
      </c>
      <c r="Q20" s="232">
        <v>2.9</v>
      </c>
      <c r="R20" s="232">
        <v>4.3</v>
      </c>
      <c r="S20" s="230">
        <v>2.9</v>
      </c>
      <c r="T20" s="232">
        <v>4.3</v>
      </c>
      <c r="U20" s="232">
        <v>0.75</v>
      </c>
      <c r="V20" s="61"/>
      <c r="W20" s="102">
        <v>577.02</v>
      </c>
      <c r="X20" s="102">
        <v>1755.77</v>
      </c>
      <c r="Y20" s="102">
        <v>1427.66</v>
      </c>
      <c r="Z20" s="102">
        <v>869.46</v>
      </c>
      <c r="AA20" s="102">
        <v>800.86</v>
      </c>
      <c r="AB20" s="102">
        <v>421.05</v>
      </c>
      <c r="AC20" s="102">
        <v>1203.83</v>
      </c>
      <c r="AD20" s="102">
        <v>604.86</v>
      </c>
      <c r="AE20" s="102">
        <v>449.4</v>
      </c>
      <c r="AF20" s="102">
        <v>977.55</v>
      </c>
      <c r="AG20" s="102">
        <v>2254.7800000000002</v>
      </c>
      <c r="AH20" s="102">
        <v>661.5</v>
      </c>
      <c r="AI20" s="102">
        <v>946.68</v>
      </c>
      <c r="AJ20" s="102">
        <v>590.74</v>
      </c>
      <c r="AK20" s="102">
        <v>1537.03</v>
      </c>
      <c r="AL20" s="102">
        <v>1180.31</v>
      </c>
      <c r="AM20" s="102">
        <v>357.26</v>
      </c>
    </row>
    <row r="21" spans="2:39" x14ac:dyDescent="0.2">
      <c r="B21" s="81" t="s">
        <v>22</v>
      </c>
      <c r="C21" s="82"/>
      <c r="D21" s="83"/>
      <c r="E21" s="84"/>
      <c r="F21" s="50"/>
      <c r="G21" s="51"/>
      <c r="H21" s="52"/>
      <c r="I21" s="53"/>
      <c r="J21" s="54"/>
      <c r="K21" s="19"/>
      <c r="L21" s="19"/>
      <c r="M21" s="19"/>
      <c r="N21" s="55"/>
      <c r="O21" s="56"/>
      <c r="P21" s="53"/>
      <c r="Q21" s="58"/>
      <c r="R21" s="58"/>
      <c r="S21" s="55"/>
      <c r="T21" s="85"/>
      <c r="U21" s="86"/>
      <c r="V21" s="61"/>
      <c r="W21" s="103"/>
      <c r="X21" s="103"/>
      <c r="Y21" s="103"/>
      <c r="Z21" s="103"/>
      <c r="AA21" s="103"/>
      <c r="AB21" s="103"/>
      <c r="AC21" s="103"/>
      <c r="AD21" s="103"/>
      <c r="AE21" s="103"/>
      <c r="AF21" s="103"/>
      <c r="AG21" s="103"/>
      <c r="AH21" s="103"/>
      <c r="AI21" s="103"/>
      <c r="AJ21" s="103"/>
      <c r="AK21" s="103"/>
      <c r="AL21" s="103"/>
      <c r="AM21" s="103"/>
    </row>
    <row r="22" spans="2:39" x14ac:dyDescent="0.2">
      <c r="B22" s="87" t="s">
        <v>23</v>
      </c>
      <c r="C22" s="82"/>
      <c r="D22" s="83"/>
      <c r="E22" s="84" t="s">
        <v>24</v>
      </c>
      <c r="F22" s="50" t="s">
        <v>208</v>
      </c>
      <c r="G22" s="51" t="s">
        <v>25</v>
      </c>
      <c r="H22" s="52">
        <v>0.6</v>
      </c>
      <c r="I22" s="53"/>
      <c r="J22" s="54"/>
      <c r="K22" s="19">
        <v>0.6</v>
      </c>
      <c r="L22" s="19">
        <v>5.41</v>
      </c>
      <c r="M22" s="19">
        <v>5.41</v>
      </c>
      <c r="N22" s="88" t="s">
        <v>275</v>
      </c>
      <c r="O22" s="21">
        <v>6.43</v>
      </c>
      <c r="P22" s="53">
        <v>0.5</v>
      </c>
      <c r="Q22" s="58">
        <v>2.7</v>
      </c>
      <c r="R22" s="58">
        <v>2.71</v>
      </c>
      <c r="S22" s="75">
        <v>2.7</v>
      </c>
      <c r="T22" s="76">
        <v>2.71</v>
      </c>
      <c r="U22" s="77">
        <v>1.62</v>
      </c>
      <c r="V22" s="61"/>
      <c r="W22" s="89">
        <v>1199.68</v>
      </c>
      <c r="X22" s="89">
        <v>3650.39</v>
      </c>
      <c r="Y22" s="89">
        <v>2968.23</v>
      </c>
      <c r="Z22" s="89">
        <v>1807.67</v>
      </c>
      <c r="AA22" s="89">
        <v>1665.05</v>
      </c>
      <c r="AB22" s="78">
        <v>1299.24</v>
      </c>
      <c r="AC22" s="78">
        <v>2502.87</v>
      </c>
      <c r="AD22" s="78">
        <v>1257.55</v>
      </c>
      <c r="AE22" s="78">
        <v>1386.72</v>
      </c>
      <c r="AF22" s="78">
        <v>3016.44</v>
      </c>
      <c r="AG22" s="78">
        <v>4687.88</v>
      </c>
      <c r="AH22" s="78">
        <v>2041.2</v>
      </c>
      <c r="AI22" s="78">
        <v>1968.23</v>
      </c>
      <c r="AJ22" s="78">
        <v>1228.21</v>
      </c>
      <c r="AK22" s="78">
        <v>3195.62</v>
      </c>
      <c r="AL22" s="78">
        <v>2453.9699999999998</v>
      </c>
      <c r="AM22" s="78">
        <v>1102.4100000000001</v>
      </c>
    </row>
    <row r="23" spans="2:39" ht="13.5" thickBot="1" x14ac:dyDescent="0.25">
      <c r="B23" s="220" t="s">
        <v>26</v>
      </c>
      <c r="C23" s="221"/>
      <c r="D23" s="222"/>
      <c r="E23" s="223" t="s">
        <v>27</v>
      </c>
      <c r="F23" s="224" t="s">
        <v>135</v>
      </c>
      <c r="G23" s="225" t="s">
        <v>25</v>
      </c>
      <c r="H23" s="226">
        <v>0.38</v>
      </c>
      <c r="I23" s="227"/>
      <c r="J23" s="228"/>
      <c r="K23" s="229">
        <v>0.38</v>
      </c>
      <c r="L23" s="229">
        <v>5.41</v>
      </c>
      <c r="M23" s="229">
        <v>5.41</v>
      </c>
      <c r="N23" s="230" t="s">
        <v>275</v>
      </c>
      <c r="O23" s="260">
        <v>6.43</v>
      </c>
      <c r="P23" s="227">
        <v>0.5</v>
      </c>
      <c r="Q23" s="232">
        <v>2.7</v>
      </c>
      <c r="R23" s="232">
        <v>2.71</v>
      </c>
      <c r="S23" s="230">
        <v>2.7</v>
      </c>
      <c r="T23" s="232">
        <v>2.71</v>
      </c>
      <c r="U23" s="232">
        <v>1.03</v>
      </c>
      <c r="V23" s="61"/>
      <c r="W23" s="80">
        <v>758.08</v>
      </c>
      <c r="X23" s="80">
        <v>2306.69</v>
      </c>
      <c r="Y23" s="80">
        <v>1875.63</v>
      </c>
      <c r="Z23" s="80">
        <v>1142.27</v>
      </c>
      <c r="AA23" s="80">
        <v>1052.1500000000001</v>
      </c>
      <c r="AB23" s="80">
        <v>826.06</v>
      </c>
      <c r="AC23" s="80">
        <v>1581.57</v>
      </c>
      <c r="AD23" s="80">
        <v>794.65</v>
      </c>
      <c r="AE23" s="80">
        <v>881.68</v>
      </c>
      <c r="AF23" s="80">
        <v>1917.86</v>
      </c>
      <c r="AG23" s="80">
        <v>2962.28</v>
      </c>
      <c r="AH23" s="80">
        <v>1297.8</v>
      </c>
      <c r="AI23" s="80">
        <v>1243.73</v>
      </c>
      <c r="AJ23" s="80">
        <v>776.11</v>
      </c>
      <c r="AK23" s="80">
        <v>2019.32</v>
      </c>
      <c r="AL23" s="80">
        <v>1550.67</v>
      </c>
      <c r="AM23" s="80">
        <v>700.92</v>
      </c>
    </row>
    <row r="24" spans="2:39" x14ac:dyDescent="0.2">
      <c r="B24" s="81" t="s">
        <v>28</v>
      </c>
      <c r="C24" s="82"/>
      <c r="D24" s="83"/>
      <c r="E24" s="84"/>
      <c r="F24" s="50"/>
      <c r="G24" s="51"/>
      <c r="H24" s="52"/>
      <c r="I24" s="53"/>
      <c r="J24" s="54"/>
      <c r="K24" s="19"/>
      <c r="L24" s="19"/>
      <c r="M24" s="19"/>
      <c r="N24" s="55"/>
      <c r="O24" s="56"/>
      <c r="P24" s="53"/>
      <c r="Q24" s="58"/>
      <c r="R24" s="58"/>
      <c r="S24" s="55"/>
      <c r="T24" s="85"/>
      <c r="U24" s="86"/>
      <c r="V24" s="61"/>
      <c r="W24" s="62"/>
      <c r="X24" s="62"/>
      <c r="Y24" s="62"/>
      <c r="Z24" s="62"/>
      <c r="AA24" s="62"/>
      <c r="AB24" s="62"/>
      <c r="AC24" s="62"/>
      <c r="AD24" s="62"/>
      <c r="AE24" s="62"/>
      <c r="AF24" s="62"/>
      <c r="AG24" s="62"/>
      <c r="AH24" s="62"/>
      <c r="AI24" s="62"/>
      <c r="AJ24" s="62"/>
      <c r="AK24" s="62"/>
      <c r="AL24" s="62"/>
      <c r="AM24" s="62"/>
    </row>
    <row r="25" spans="2:39" x14ac:dyDescent="0.2">
      <c r="B25" s="63" t="s">
        <v>162</v>
      </c>
      <c r="C25" s="64"/>
      <c r="D25" s="65"/>
      <c r="E25" s="66" t="s">
        <v>29</v>
      </c>
      <c r="F25" s="67" t="s">
        <v>209</v>
      </c>
      <c r="G25" s="68" t="s">
        <v>30</v>
      </c>
      <c r="H25" s="69">
        <v>1.25</v>
      </c>
      <c r="I25" s="70"/>
      <c r="J25" s="71"/>
      <c r="K25" s="18">
        <v>1.25</v>
      </c>
      <c r="L25" s="18">
        <v>5.82</v>
      </c>
      <c r="M25" s="18">
        <v>6.35</v>
      </c>
      <c r="N25" s="75" t="s">
        <v>276</v>
      </c>
      <c r="O25" s="73">
        <v>6.43</v>
      </c>
      <c r="P25" s="70">
        <v>0.5</v>
      </c>
      <c r="Q25" s="74">
        <v>2.91</v>
      </c>
      <c r="R25" s="74">
        <v>3.18</v>
      </c>
      <c r="S25" s="75">
        <v>2.91</v>
      </c>
      <c r="T25" s="76">
        <v>3.18</v>
      </c>
      <c r="U25" s="77">
        <v>3.64</v>
      </c>
      <c r="V25" s="61"/>
      <c r="W25" s="78">
        <v>2929.28</v>
      </c>
      <c r="X25" s="78">
        <v>8913.2099999999991</v>
      </c>
      <c r="Y25" s="78">
        <v>7247.58</v>
      </c>
      <c r="Z25" s="78">
        <v>4413.82</v>
      </c>
      <c r="AA25" s="78">
        <v>4065.57</v>
      </c>
      <c r="AB25" s="78">
        <v>2919.28</v>
      </c>
      <c r="AC25" s="78">
        <v>6111.29</v>
      </c>
      <c r="AD25" s="78">
        <v>3070.57</v>
      </c>
      <c r="AE25" s="78">
        <v>3115.84</v>
      </c>
      <c r="AF25" s="78">
        <v>6777.68</v>
      </c>
      <c r="AG25" s="78">
        <v>11446.48</v>
      </c>
      <c r="AH25" s="78">
        <v>4586.3999999999996</v>
      </c>
      <c r="AI25" s="78">
        <v>4805.8500000000004</v>
      </c>
      <c r="AJ25" s="78">
        <v>2998.93</v>
      </c>
      <c r="AK25" s="78">
        <v>7802.79</v>
      </c>
      <c r="AL25" s="78">
        <v>5991.89</v>
      </c>
      <c r="AM25" s="78">
        <v>2477.02</v>
      </c>
    </row>
    <row r="26" spans="2:39" x14ac:dyDescent="0.2">
      <c r="B26" s="63" t="s">
        <v>31</v>
      </c>
      <c r="C26" s="64"/>
      <c r="D26" s="65"/>
      <c r="E26" s="66" t="s">
        <v>32</v>
      </c>
      <c r="F26" s="67" t="s">
        <v>136</v>
      </c>
      <c r="G26" s="68" t="s">
        <v>6</v>
      </c>
      <c r="H26" s="69">
        <v>0.28000000000000003</v>
      </c>
      <c r="I26" s="70"/>
      <c r="J26" s="71"/>
      <c r="K26" s="18">
        <v>0.28000000000000003</v>
      </c>
      <c r="L26" s="18">
        <v>5.82</v>
      </c>
      <c r="M26" s="18">
        <v>6.35</v>
      </c>
      <c r="N26" s="75" t="s">
        <v>276</v>
      </c>
      <c r="O26" s="73">
        <v>6.43</v>
      </c>
      <c r="P26" s="70">
        <v>0.5</v>
      </c>
      <c r="Q26" s="74">
        <v>2.91</v>
      </c>
      <c r="R26" s="74">
        <v>3.18</v>
      </c>
      <c r="S26" s="75">
        <v>2.91</v>
      </c>
      <c r="T26" s="76">
        <v>3.18</v>
      </c>
      <c r="U26" s="77">
        <v>0.81</v>
      </c>
      <c r="V26" s="61"/>
      <c r="W26" s="78">
        <v>655.04</v>
      </c>
      <c r="X26" s="78">
        <v>1993.16</v>
      </c>
      <c r="Y26" s="78">
        <v>1620.69</v>
      </c>
      <c r="Z26" s="78">
        <v>987.01</v>
      </c>
      <c r="AA26" s="78">
        <v>909.14</v>
      </c>
      <c r="AB26" s="78">
        <v>649.62</v>
      </c>
      <c r="AC26" s="78">
        <v>1366.6</v>
      </c>
      <c r="AD26" s="78">
        <v>686.64</v>
      </c>
      <c r="AE26" s="78">
        <v>693.36</v>
      </c>
      <c r="AF26" s="78">
        <v>1508.22</v>
      </c>
      <c r="AG26" s="78">
        <v>2559.64</v>
      </c>
      <c r="AH26" s="78">
        <v>1020.6</v>
      </c>
      <c r="AI26" s="78">
        <v>1074.68</v>
      </c>
      <c r="AJ26" s="78">
        <v>670.62</v>
      </c>
      <c r="AK26" s="78">
        <v>1744.85</v>
      </c>
      <c r="AL26" s="78">
        <v>1339.9</v>
      </c>
      <c r="AM26" s="78">
        <v>551.21</v>
      </c>
    </row>
    <row r="27" spans="2:39" x14ac:dyDescent="0.2">
      <c r="B27" s="63" t="s">
        <v>163</v>
      </c>
      <c r="C27" s="64"/>
      <c r="D27" s="65"/>
      <c r="E27" s="66" t="s">
        <v>33</v>
      </c>
      <c r="F27" s="67" t="s">
        <v>210</v>
      </c>
      <c r="G27" s="68" t="s">
        <v>10</v>
      </c>
      <c r="H27" s="69">
        <v>2.31</v>
      </c>
      <c r="I27" s="70"/>
      <c r="J27" s="71"/>
      <c r="K27" s="18">
        <v>2.31</v>
      </c>
      <c r="L27" s="18">
        <v>5.82</v>
      </c>
      <c r="M27" s="18">
        <v>6.35</v>
      </c>
      <c r="N27" s="75" t="s">
        <v>276</v>
      </c>
      <c r="O27" s="73">
        <v>6.43</v>
      </c>
      <c r="P27" s="70">
        <v>0.5</v>
      </c>
      <c r="Q27" s="74">
        <v>2.91</v>
      </c>
      <c r="R27" s="74">
        <v>3.18</v>
      </c>
      <c r="S27" s="75">
        <v>2.91</v>
      </c>
      <c r="T27" s="76">
        <v>3.18</v>
      </c>
      <c r="U27" s="77">
        <v>6.72</v>
      </c>
      <c r="V27" s="61"/>
      <c r="W27" s="78">
        <v>5409.6</v>
      </c>
      <c r="X27" s="78">
        <v>16460.330000000002</v>
      </c>
      <c r="Y27" s="78">
        <v>13384.35</v>
      </c>
      <c r="Z27" s="78">
        <v>8151.15</v>
      </c>
      <c r="AA27" s="78">
        <v>7508.03</v>
      </c>
      <c r="AB27" s="78">
        <v>5389.44</v>
      </c>
      <c r="AC27" s="78">
        <v>11285.93</v>
      </c>
      <c r="AD27" s="78">
        <v>5670.53</v>
      </c>
      <c r="AE27" s="78">
        <v>5752.32</v>
      </c>
      <c r="AF27" s="78">
        <v>12512.64</v>
      </c>
      <c r="AG27" s="78">
        <v>21138.6</v>
      </c>
      <c r="AH27" s="78">
        <v>8467.2000000000007</v>
      </c>
      <c r="AI27" s="78">
        <v>8875.1299999999992</v>
      </c>
      <c r="AJ27" s="78">
        <v>5538.23</v>
      </c>
      <c r="AK27" s="78">
        <v>14409.68</v>
      </c>
      <c r="AL27" s="78">
        <v>11065.43</v>
      </c>
      <c r="AM27" s="78">
        <v>4572.96</v>
      </c>
    </row>
    <row r="28" spans="2:39" x14ac:dyDescent="0.2">
      <c r="B28" s="63" t="s">
        <v>164</v>
      </c>
      <c r="C28" s="64"/>
      <c r="D28" s="65"/>
      <c r="E28" s="66" t="s">
        <v>34</v>
      </c>
      <c r="F28" s="67" t="s">
        <v>211</v>
      </c>
      <c r="G28" s="68" t="s">
        <v>10</v>
      </c>
      <c r="H28" s="69">
        <v>1.33</v>
      </c>
      <c r="I28" s="70"/>
      <c r="J28" s="71"/>
      <c r="K28" s="18">
        <v>1.33</v>
      </c>
      <c r="L28" s="18">
        <v>5.82</v>
      </c>
      <c r="M28" s="18">
        <v>6.35</v>
      </c>
      <c r="N28" s="75" t="s">
        <v>276</v>
      </c>
      <c r="O28" s="73">
        <v>6.43</v>
      </c>
      <c r="P28" s="70">
        <v>0.5</v>
      </c>
      <c r="Q28" s="74">
        <v>2.91</v>
      </c>
      <c r="R28" s="74">
        <v>3.18</v>
      </c>
      <c r="S28" s="75">
        <v>2.91</v>
      </c>
      <c r="T28" s="76">
        <v>3.18</v>
      </c>
      <c r="U28" s="77">
        <v>3.87</v>
      </c>
      <c r="V28" s="61"/>
      <c r="W28" s="78">
        <v>3113.28</v>
      </c>
      <c r="X28" s="78">
        <v>9473.09</v>
      </c>
      <c r="Y28" s="78">
        <v>7702.83</v>
      </c>
      <c r="Z28" s="78">
        <v>4691.07</v>
      </c>
      <c r="AA28" s="78">
        <v>4320.95</v>
      </c>
      <c r="AB28" s="78">
        <v>3103.74</v>
      </c>
      <c r="AC28" s="78">
        <v>6495.17</v>
      </c>
      <c r="AD28" s="78">
        <v>3263.45</v>
      </c>
      <c r="AE28" s="78">
        <v>3312.72</v>
      </c>
      <c r="AF28" s="78">
        <v>7205.94</v>
      </c>
      <c r="AG28" s="78">
        <v>12165.48</v>
      </c>
      <c r="AH28" s="78">
        <v>4876.2</v>
      </c>
      <c r="AI28" s="78">
        <v>5107.7299999999996</v>
      </c>
      <c r="AJ28" s="78">
        <v>3187.31</v>
      </c>
      <c r="AK28" s="78">
        <v>8292.92</v>
      </c>
      <c r="AL28" s="78">
        <v>6368.27</v>
      </c>
      <c r="AM28" s="78">
        <v>2633.54</v>
      </c>
    </row>
    <row r="29" spans="2:39" x14ac:dyDescent="0.2">
      <c r="B29" s="63" t="s">
        <v>165</v>
      </c>
      <c r="C29" s="64"/>
      <c r="D29" s="65"/>
      <c r="E29" s="66" t="s">
        <v>35</v>
      </c>
      <c r="F29" s="67" t="s">
        <v>212</v>
      </c>
      <c r="G29" s="68" t="s">
        <v>36</v>
      </c>
      <c r="H29" s="69">
        <v>0.33</v>
      </c>
      <c r="I29" s="70"/>
      <c r="J29" s="71"/>
      <c r="K29" s="18">
        <v>0.33</v>
      </c>
      <c r="L29" s="18">
        <v>5.82</v>
      </c>
      <c r="M29" s="18">
        <v>6.35</v>
      </c>
      <c r="N29" s="75" t="s">
        <v>276</v>
      </c>
      <c r="O29" s="73">
        <v>6.43</v>
      </c>
      <c r="P29" s="70">
        <v>0.5</v>
      </c>
      <c r="Q29" s="74">
        <v>2.91</v>
      </c>
      <c r="R29" s="74">
        <v>3.18</v>
      </c>
      <c r="S29" s="75">
        <v>2.91</v>
      </c>
      <c r="T29" s="76">
        <v>3.18</v>
      </c>
      <c r="U29" s="77">
        <v>0.96</v>
      </c>
      <c r="V29" s="61"/>
      <c r="W29" s="78">
        <v>772.8</v>
      </c>
      <c r="X29" s="78">
        <v>2351.48</v>
      </c>
      <c r="Y29" s="78">
        <v>1912.05</v>
      </c>
      <c r="Z29" s="78">
        <v>1164.45</v>
      </c>
      <c r="AA29" s="78">
        <v>1072.58</v>
      </c>
      <c r="AB29" s="78">
        <v>769.92</v>
      </c>
      <c r="AC29" s="78">
        <v>1612.28</v>
      </c>
      <c r="AD29" s="78">
        <v>810.08</v>
      </c>
      <c r="AE29" s="78">
        <v>821.76</v>
      </c>
      <c r="AF29" s="78">
        <v>1787.52</v>
      </c>
      <c r="AG29" s="78">
        <v>3019.8</v>
      </c>
      <c r="AH29" s="78">
        <v>1209.5999999999999</v>
      </c>
      <c r="AI29" s="78">
        <v>1267.8800000000001</v>
      </c>
      <c r="AJ29" s="78">
        <v>791.18</v>
      </c>
      <c r="AK29" s="78">
        <v>2058.5300000000002</v>
      </c>
      <c r="AL29" s="78">
        <v>1580.78</v>
      </c>
      <c r="AM29" s="78">
        <v>653.28</v>
      </c>
    </row>
    <row r="30" spans="2:39" x14ac:dyDescent="0.2">
      <c r="B30" s="63" t="s">
        <v>37</v>
      </c>
      <c r="C30" s="64"/>
      <c r="D30" s="65"/>
      <c r="E30" s="66" t="s">
        <v>38</v>
      </c>
      <c r="F30" s="67" t="s">
        <v>213</v>
      </c>
      <c r="G30" s="68" t="s">
        <v>39</v>
      </c>
      <c r="H30" s="69">
        <v>13.73</v>
      </c>
      <c r="I30" s="70"/>
      <c r="J30" s="71"/>
      <c r="K30" s="18">
        <v>13.73</v>
      </c>
      <c r="L30" s="18">
        <v>5.82</v>
      </c>
      <c r="M30" s="18">
        <v>6.35</v>
      </c>
      <c r="N30" s="75" t="s">
        <v>276</v>
      </c>
      <c r="O30" s="73">
        <v>6.43</v>
      </c>
      <c r="P30" s="70">
        <v>0.5</v>
      </c>
      <c r="Q30" s="74">
        <v>2.91</v>
      </c>
      <c r="R30" s="74">
        <v>3.18</v>
      </c>
      <c r="S30" s="75">
        <v>2.91</v>
      </c>
      <c r="T30" s="76">
        <v>3.18</v>
      </c>
      <c r="U30" s="77">
        <v>39.950000000000003</v>
      </c>
      <c r="V30" s="61"/>
      <c r="W30" s="78">
        <v>32133.759999999998</v>
      </c>
      <c r="X30" s="78">
        <v>97776.57</v>
      </c>
      <c r="Y30" s="78">
        <v>79504.86</v>
      </c>
      <c r="Z30" s="78">
        <v>48418.94</v>
      </c>
      <c r="AA30" s="78">
        <v>44598.69</v>
      </c>
      <c r="AB30" s="78">
        <v>32039.9</v>
      </c>
      <c r="AC30" s="78">
        <v>67039.929999999993</v>
      </c>
      <c r="AD30" s="78">
        <v>33683.69</v>
      </c>
      <c r="AE30" s="78">
        <v>34197.199999999997</v>
      </c>
      <c r="AF30" s="78">
        <v>74386.899999999994</v>
      </c>
      <c r="AG30" s="78">
        <v>125566.16</v>
      </c>
      <c r="AH30" s="78">
        <v>50337</v>
      </c>
      <c r="AI30" s="78">
        <v>52719.45</v>
      </c>
      <c r="AJ30" s="78">
        <v>32897.81</v>
      </c>
      <c r="AK30" s="78">
        <v>85595.43</v>
      </c>
      <c r="AL30" s="78">
        <v>65730.13</v>
      </c>
      <c r="AM30" s="78">
        <v>27185.98</v>
      </c>
    </row>
    <row r="31" spans="2:39" ht="13.5" thickBot="1" x14ac:dyDescent="0.25">
      <c r="B31" s="32" t="s">
        <v>40</v>
      </c>
      <c r="C31" s="33"/>
      <c r="D31" s="34"/>
      <c r="E31" s="35" t="s">
        <v>41</v>
      </c>
      <c r="F31" s="36" t="s">
        <v>214</v>
      </c>
      <c r="G31" s="37" t="s">
        <v>42</v>
      </c>
      <c r="H31" s="38">
        <v>3.82</v>
      </c>
      <c r="I31" s="39"/>
      <c r="J31" s="40"/>
      <c r="K31" s="17">
        <v>3.82</v>
      </c>
      <c r="L31" s="17">
        <v>5.82</v>
      </c>
      <c r="M31" s="17">
        <v>6.35</v>
      </c>
      <c r="N31" s="44" t="s">
        <v>276</v>
      </c>
      <c r="O31" s="42">
        <v>6.43</v>
      </c>
      <c r="P31" s="39">
        <v>0.5</v>
      </c>
      <c r="Q31" s="43">
        <v>2.91</v>
      </c>
      <c r="R31" s="43">
        <v>3.18</v>
      </c>
      <c r="S31" s="44">
        <v>2.91</v>
      </c>
      <c r="T31" s="43">
        <v>3.18</v>
      </c>
      <c r="U31" s="45">
        <v>11.12</v>
      </c>
      <c r="V31" s="61"/>
      <c r="W31" s="104">
        <v>8942.4</v>
      </c>
      <c r="X31" s="104">
        <v>27209.93</v>
      </c>
      <c r="Y31" s="104">
        <v>22125.15</v>
      </c>
      <c r="Z31" s="104">
        <v>13474.35</v>
      </c>
      <c r="AA31" s="104">
        <v>12411.23</v>
      </c>
      <c r="AB31" s="104">
        <v>8918.24</v>
      </c>
      <c r="AC31" s="104">
        <v>18656.330000000002</v>
      </c>
      <c r="AD31" s="104">
        <v>9373.73</v>
      </c>
      <c r="AE31" s="104">
        <v>9518.7199999999993</v>
      </c>
      <c r="AF31" s="104">
        <v>20705.439999999999</v>
      </c>
      <c r="AG31" s="104">
        <v>34943.4</v>
      </c>
      <c r="AH31" s="104">
        <v>14011.2</v>
      </c>
      <c r="AI31" s="104">
        <v>14671.13</v>
      </c>
      <c r="AJ31" s="104">
        <v>9155.0300000000007</v>
      </c>
      <c r="AK31" s="104">
        <v>23820.080000000002</v>
      </c>
      <c r="AL31" s="104">
        <v>18291.830000000002</v>
      </c>
      <c r="AM31" s="104">
        <v>7567.16</v>
      </c>
    </row>
    <row r="32" spans="2:39" x14ac:dyDescent="0.2">
      <c r="B32" s="117" t="s">
        <v>43</v>
      </c>
      <c r="C32" s="118"/>
      <c r="D32" s="119"/>
      <c r="E32" s="120"/>
      <c r="F32" s="121"/>
      <c r="G32" s="209"/>
      <c r="H32" s="217"/>
      <c r="I32" s="53"/>
      <c r="J32" s="54"/>
      <c r="K32" s="19"/>
      <c r="L32" s="19"/>
      <c r="M32" s="19"/>
      <c r="N32" s="55"/>
      <c r="O32" s="56"/>
      <c r="P32" s="53"/>
      <c r="Q32" s="58"/>
      <c r="R32" s="58"/>
      <c r="S32" s="55"/>
      <c r="T32" s="85"/>
      <c r="U32" s="86"/>
      <c r="V32" s="61"/>
      <c r="W32" s="105"/>
      <c r="X32" s="105"/>
      <c r="Y32" s="105"/>
      <c r="Z32" s="105"/>
      <c r="AA32" s="105"/>
      <c r="AB32" s="105"/>
      <c r="AC32" s="105"/>
      <c r="AD32" s="105"/>
      <c r="AE32" s="105"/>
      <c r="AF32" s="105"/>
      <c r="AG32" s="105"/>
      <c r="AH32" s="105"/>
      <c r="AI32" s="105"/>
      <c r="AJ32" s="105"/>
      <c r="AK32" s="105"/>
      <c r="AL32" s="105"/>
      <c r="AM32" s="105"/>
    </row>
    <row r="33" spans="2:39" x14ac:dyDescent="0.2">
      <c r="B33" s="210" t="s">
        <v>311</v>
      </c>
      <c r="C33" s="64"/>
      <c r="D33" s="65"/>
      <c r="E33" s="66" t="s">
        <v>44</v>
      </c>
      <c r="F33" s="67" t="s">
        <v>137</v>
      </c>
      <c r="G33" s="211" t="s">
        <v>10</v>
      </c>
      <c r="H33" s="218">
        <v>0.49</v>
      </c>
      <c r="I33" s="70"/>
      <c r="J33" s="71"/>
      <c r="K33" s="75">
        <v>0.49</v>
      </c>
      <c r="L33" s="75">
        <v>6.3</v>
      </c>
      <c r="M33" s="75">
        <v>6.3</v>
      </c>
      <c r="N33" s="75" t="s">
        <v>275</v>
      </c>
      <c r="O33" s="73">
        <v>4.2</v>
      </c>
      <c r="P33" s="70">
        <v>0.5</v>
      </c>
      <c r="Q33" s="74">
        <v>3.15</v>
      </c>
      <c r="R33" s="74">
        <v>3.15</v>
      </c>
      <c r="S33" s="75">
        <v>3.15</v>
      </c>
      <c r="T33" s="76">
        <v>3.15</v>
      </c>
      <c r="U33" s="77">
        <v>1.54</v>
      </c>
      <c r="V33" s="61"/>
      <c r="W33" s="78">
        <v>1133.44</v>
      </c>
      <c r="X33" s="78">
        <v>3448.83</v>
      </c>
      <c r="Y33" s="78">
        <v>2804.34</v>
      </c>
      <c r="Z33" s="78">
        <v>1707.86</v>
      </c>
      <c r="AA33" s="78">
        <v>1573.11</v>
      </c>
      <c r="AB33" s="78">
        <v>1235.08</v>
      </c>
      <c r="AC33" s="78">
        <v>2364.67</v>
      </c>
      <c r="AD33" s="78">
        <v>1188.1099999999999</v>
      </c>
      <c r="AE33" s="78">
        <v>1318.24</v>
      </c>
      <c r="AF33" s="78">
        <v>2867.48</v>
      </c>
      <c r="AG33" s="78">
        <v>4429.04</v>
      </c>
      <c r="AH33" s="78">
        <v>1940.4</v>
      </c>
      <c r="AI33" s="78">
        <v>1859.55</v>
      </c>
      <c r="AJ33" s="78">
        <v>1160.3900000000001</v>
      </c>
      <c r="AK33" s="78">
        <v>3019.17</v>
      </c>
      <c r="AL33" s="78">
        <v>2318.4699999999998</v>
      </c>
      <c r="AM33" s="78">
        <v>1047.97</v>
      </c>
    </row>
    <row r="34" spans="2:39" x14ac:dyDescent="0.2">
      <c r="B34" s="210" t="s">
        <v>45</v>
      </c>
      <c r="C34" s="64"/>
      <c r="D34" s="65"/>
      <c r="E34" s="66" t="s">
        <v>46</v>
      </c>
      <c r="F34" s="67" t="s">
        <v>215</v>
      </c>
      <c r="G34" s="211" t="s">
        <v>10</v>
      </c>
      <c r="H34" s="218">
        <v>11.12</v>
      </c>
      <c r="I34" s="70">
        <v>0.44</v>
      </c>
      <c r="J34" s="71" t="s">
        <v>117</v>
      </c>
      <c r="K34" s="75">
        <v>6.23</v>
      </c>
      <c r="L34" s="75">
        <v>3.39</v>
      </c>
      <c r="M34" s="75">
        <v>3.39</v>
      </c>
      <c r="N34" s="75" t="s">
        <v>275</v>
      </c>
      <c r="O34" s="73">
        <v>4.2</v>
      </c>
      <c r="P34" s="70">
        <v>0.5</v>
      </c>
      <c r="Q34" s="74">
        <v>1.69</v>
      </c>
      <c r="R34" s="74">
        <v>1.7</v>
      </c>
      <c r="S34" s="75">
        <v>1.69</v>
      </c>
      <c r="T34" s="76">
        <v>1.7</v>
      </c>
      <c r="U34" s="77">
        <v>10.53</v>
      </c>
      <c r="V34" s="61"/>
      <c r="W34" s="78">
        <v>7794.24</v>
      </c>
      <c r="X34" s="78">
        <v>23716.31</v>
      </c>
      <c r="Y34" s="78">
        <v>19284.39</v>
      </c>
      <c r="Z34" s="78">
        <v>11744.31</v>
      </c>
      <c r="AA34" s="78">
        <v>10817.69</v>
      </c>
      <c r="AB34" s="78">
        <v>8445.06</v>
      </c>
      <c r="AC34" s="78">
        <v>16260.95</v>
      </c>
      <c r="AD34" s="78">
        <v>8170.19</v>
      </c>
      <c r="AE34" s="78">
        <v>9013.68</v>
      </c>
      <c r="AF34" s="78">
        <v>19606.86</v>
      </c>
      <c r="AG34" s="78">
        <v>30456.84</v>
      </c>
      <c r="AH34" s="78">
        <v>13267.8</v>
      </c>
      <c r="AI34" s="78">
        <v>12787.43</v>
      </c>
      <c r="AJ34" s="78">
        <v>7979.57</v>
      </c>
      <c r="AK34" s="78">
        <v>20761.7</v>
      </c>
      <c r="AL34" s="78">
        <v>15943.25</v>
      </c>
      <c r="AM34" s="78">
        <v>7165.67</v>
      </c>
    </row>
    <row r="35" spans="2:39" x14ac:dyDescent="0.2">
      <c r="B35" s="210" t="s">
        <v>312</v>
      </c>
      <c r="C35" s="64"/>
      <c r="D35" s="65"/>
      <c r="E35" s="79">
        <v>520</v>
      </c>
      <c r="F35" s="67"/>
      <c r="G35" s="211" t="s">
        <v>48</v>
      </c>
      <c r="H35" s="218">
        <v>0.17</v>
      </c>
      <c r="I35" s="70"/>
      <c r="J35" s="71"/>
      <c r="K35" s="75">
        <v>0.17</v>
      </c>
      <c r="L35" s="75">
        <v>3.39</v>
      </c>
      <c r="M35" s="75">
        <v>3.39</v>
      </c>
      <c r="N35" s="75" t="s">
        <v>275</v>
      </c>
      <c r="O35" s="73">
        <v>5.2</v>
      </c>
      <c r="P35" s="70">
        <v>0.5</v>
      </c>
      <c r="Q35" s="74">
        <v>1.69</v>
      </c>
      <c r="R35" s="74">
        <v>1.7</v>
      </c>
      <c r="S35" s="75">
        <v>1.69</v>
      </c>
      <c r="T35" s="76">
        <v>1.7</v>
      </c>
      <c r="U35" s="77">
        <v>0.28999999999999998</v>
      </c>
      <c r="V35" s="61"/>
      <c r="W35" s="78">
        <v>213.44</v>
      </c>
      <c r="X35" s="78">
        <v>649.46</v>
      </c>
      <c r="Y35" s="78">
        <v>528.09</v>
      </c>
      <c r="Z35" s="78">
        <v>321.61</v>
      </c>
      <c r="AA35" s="78">
        <v>296.24</v>
      </c>
      <c r="AB35" s="78">
        <v>232.58</v>
      </c>
      <c r="AC35" s="78">
        <v>445.3</v>
      </c>
      <c r="AD35" s="78">
        <v>223.74</v>
      </c>
      <c r="AE35" s="78">
        <v>248.24</v>
      </c>
      <c r="AF35" s="78">
        <v>539.98</v>
      </c>
      <c r="AG35" s="78">
        <v>834.04</v>
      </c>
      <c r="AH35" s="78">
        <v>365.4</v>
      </c>
      <c r="AI35" s="78">
        <v>350.18</v>
      </c>
      <c r="AJ35" s="78">
        <v>218.52</v>
      </c>
      <c r="AK35" s="78">
        <v>568.54999999999995</v>
      </c>
      <c r="AL35" s="78">
        <v>436.6</v>
      </c>
      <c r="AM35" s="78">
        <v>197.35</v>
      </c>
    </row>
    <row r="36" spans="2:39" x14ac:dyDescent="0.2">
      <c r="B36" s="210" t="s">
        <v>314</v>
      </c>
      <c r="C36" s="64"/>
      <c r="D36" s="65"/>
      <c r="E36" s="66" t="s">
        <v>47</v>
      </c>
      <c r="F36" s="67" t="s">
        <v>216</v>
      </c>
      <c r="G36" s="211" t="s">
        <v>48</v>
      </c>
      <c r="H36" s="218">
        <v>0.17</v>
      </c>
      <c r="I36" s="70"/>
      <c r="J36" s="71"/>
      <c r="K36" s="18">
        <v>0.17</v>
      </c>
      <c r="L36" s="18">
        <v>3.39</v>
      </c>
      <c r="M36" s="18">
        <v>3.39</v>
      </c>
      <c r="N36" s="18" t="s">
        <v>281</v>
      </c>
      <c r="O36" s="73">
        <v>4.2</v>
      </c>
      <c r="P36" s="70">
        <v>0.5</v>
      </c>
      <c r="Q36" s="74">
        <v>1.69</v>
      </c>
      <c r="R36" s="74">
        <v>1.7</v>
      </c>
      <c r="S36" s="75">
        <v>1.69</v>
      </c>
      <c r="T36" s="76">
        <v>1.7</v>
      </c>
      <c r="U36" s="77">
        <v>0.28999999999999998</v>
      </c>
      <c r="V36" s="61"/>
      <c r="W36" s="78">
        <v>213.44</v>
      </c>
      <c r="X36" s="78">
        <v>649.46</v>
      </c>
      <c r="Y36" s="78">
        <v>528.09</v>
      </c>
      <c r="Z36" s="78">
        <v>321.61</v>
      </c>
      <c r="AA36" s="78">
        <v>296.24</v>
      </c>
      <c r="AB36" s="78">
        <v>232.58</v>
      </c>
      <c r="AC36" s="78">
        <v>445.3</v>
      </c>
      <c r="AD36" s="78">
        <v>223.74</v>
      </c>
      <c r="AE36" s="78">
        <v>248.24</v>
      </c>
      <c r="AF36" s="78">
        <v>539.98</v>
      </c>
      <c r="AG36" s="78">
        <v>834.04</v>
      </c>
      <c r="AH36" s="78">
        <v>365.4</v>
      </c>
      <c r="AI36" s="78">
        <v>350.18</v>
      </c>
      <c r="AJ36" s="78">
        <v>218.52</v>
      </c>
      <c r="AK36" s="78">
        <v>568.54999999999995</v>
      </c>
      <c r="AL36" s="78">
        <v>436.6</v>
      </c>
      <c r="AM36" s="78">
        <v>197.35</v>
      </c>
    </row>
    <row r="37" spans="2:39" x14ac:dyDescent="0.2">
      <c r="B37" s="210" t="s">
        <v>166</v>
      </c>
      <c r="C37" s="64"/>
      <c r="D37" s="65"/>
      <c r="E37" s="66" t="s">
        <v>49</v>
      </c>
      <c r="F37" s="67" t="s">
        <v>217</v>
      </c>
      <c r="G37" s="211" t="s">
        <v>48</v>
      </c>
      <c r="H37" s="218">
        <v>0.14000000000000001</v>
      </c>
      <c r="I37" s="70"/>
      <c r="J37" s="71"/>
      <c r="K37" s="18">
        <v>0.14000000000000001</v>
      </c>
      <c r="L37" s="18">
        <v>3.39</v>
      </c>
      <c r="M37" s="18">
        <v>3.39</v>
      </c>
      <c r="N37" s="18" t="s">
        <v>281</v>
      </c>
      <c r="O37" s="73">
        <v>4.2</v>
      </c>
      <c r="P37" s="70">
        <v>0.5</v>
      </c>
      <c r="Q37" s="74">
        <v>1.69</v>
      </c>
      <c r="R37" s="74">
        <v>1.7</v>
      </c>
      <c r="S37" s="75">
        <v>1.69</v>
      </c>
      <c r="T37" s="76">
        <v>1.7</v>
      </c>
      <c r="U37" s="77">
        <v>0.24</v>
      </c>
      <c r="V37" s="61"/>
      <c r="W37" s="78">
        <v>176.64</v>
      </c>
      <c r="X37" s="78">
        <v>537.48</v>
      </c>
      <c r="Y37" s="78">
        <v>437.04</v>
      </c>
      <c r="Z37" s="78">
        <v>266.16000000000003</v>
      </c>
      <c r="AA37" s="78">
        <v>245.16</v>
      </c>
      <c r="AB37" s="78">
        <v>192.48</v>
      </c>
      <c r="AC37" s="78">
        <v>368.52</v>
      </c>
      <c r="AD37" s="78">
        <v>185.16</v>
      </c>
      <c r="AE37" s="78">
        <v>205.44</v>
      </c>
      <c r="AF37" s="78">
        <v>446.88</v>
      </c>
      <c r="AG37" s="78">
        <v>690.24</v>
      </c>
      <c r="AH37" s="78">
        <v>302.39999999999998</v>
      </c>
      <c r="AI37" s="78">
        <v>289.8</v>
      </c>
      <c r="AJ37" s="78">
        <v>180.84</v>
      </c>
      <c r="AK37" s="78">
        <v>470.52</v>
      </c>
      <c r="AL37" s="78">
        <v>361.32</v>
      </c>
      <c r="AM37" s="78">
        <v>163.32</v>
      </c>
    </row>
    <row r="38" spans="2:39" x14ac:dyDescent="0.2">
      <c r="B38" s="210" t="s">
        <v>167</v>
      </c>
      <c r="C38" s="64"/>
      <c r="D38" s="65"/>
      <c r="E38" s="66" t="s">
        <v>50</v>
      </c>
      <c r="F38" s="67" t="s">
        <v>218</v>
      </c>
      <c r="G38" s="211" t="s">
        <v>48</v>
      </c>
      <c r="H38" s="218">
        <v>0.11</v>
      </c>
      <c r="I38" s="70"/>
      <c r="J38" s="71"/>
      <c r="K38" s="75">
        <v>0.11</v>
      </c>
      <c r="L38" s="75">
        <v>3.39</v>
      </c>
      <c r="M38" s="75">
        <v>3.39</v>
      </c>
      <c r="N38" s="18" t="s">
        <v>281</v>
      </c>
      <c r="O38" s="73">
        <v>4.2</v>
      </c>
      <c r="P38" s="70">
        <v>0.5</v>
      </c>
      <c r="Q38" s="74">
        <v>1.69</v>
      </c>
      <c r="R38" s="74">
        <v>1.7</v>
      </c>
      <c r="S38" s="75">
        <v>1.69</v>
      </c>
      <c r="T38" s="76">
        <v>1.7</v>
      </c>
      <c r="U38" s="77">
        <v>0.19</v>
      </c>
      <c r="V38" s="61"/>
      <c r="W38" s="78">
        <v>139.84</v>
      </c>
      <c r="X38" s="78">
        <v>425.51</v>
      </c>
      <c r="Y38" s="78">
        <v>345.99</v>
      </c>
      <c r="Z38" s="78">
        <v>210.71</v>
      </c>
      <c r="AA38" s="78">
        <v>194.09</v>
      </c>
      <c r="AB38" s="78">
        <v>152.38</v>
      </c>
      <c r="AC38" s="78">
        <v>291.75</v>
      </c>
      <c r="AD38" s="78">
        <v>146.59</v>
      </c>
      <c r="AE38" s="78">
        <v>162.63999999999999</v>
      </c>
      <c r="AF38" s="78">
        <v>353.78</v>
      </c>
      <c r="AG38" s="78">
        <v>546.44000000000005</v>
      </c>
      <c r="AH38" s="78">
        <v>239.4</v>
      </c>
      <c r="AI38" s="78">
        <v>229.43</v>
      </c>
      <c r="AJ38" s="78">
        <v>143.16999999999999</v>
      </c>
      <c r="AK38" s="78">
        <v>372.5</v>
      </c>
      <c r="AL38" s="78">
        <v>286.05</v>
      </c>
      <c r="AM38" s="78">
        <v>129.30000000000001</v>
      </c>
    </row>
    <row r="39" spans="2:39" ht="13.5" thickBot="1" x14ac:dyDescent="0.25">
      <c r="B39" s="212" t="s">
        <v>51</v>
      </c>
      <c r="C39" s="33"/>
      <c r="D39" s="34"/>
      <c r="E39" s="35" t="s">
        <v>52</v>
      </c>
      <c r="F39" s="36" t="s">
        <v>219</v>
      </c>
      <c r="G39" s="213" t="s">
        <v>48</v>
      </c>
      <c r="H39" s="219">
        <v>0.15</v>
      </c>
      <c r="I39" s="39"/>
      <c r="J39" s="40"/>
      <c r="K39" s="44">
        <v>0.15</v>
      </c>
      <c r="L39" s="44">
        <v>3.39</v>
      </c>
      <c r="M39" s="44">
        <v>3.39</v>
      </c>
      <c r="N39" s="17" t="s">
        <v>281</v>
      </c>
      <c r="O39" s="42">
        <v>4.2</v>
      </c>
      <c r="P39" s="39">
        <v>0.5</v>
      </c>
      <c r="Q39" s="43">
        <v>1.69</v>
      </c>
      <c r="R39" s="43">
        <v>1.7</v>
      </c>
      <c r="S39" s="44">
        <v>1.69</v>
      </c>
      <c r="T39" s="43">
        <v>1.7</v>
      </c>
      <c r="U39" s="45">
        <v>0.25</v>
      </c>
      <c r="V39" s="61"/>
      <c r="W39" s="80">
        <v>191.36</v>
      </c>
      <c r="X39" s="80">
        <v>582.27</v>
      </c>
      <c r="Y39" s="80">
        <v>473.46</v>
      </c>
      <c r="Z39" s="80">
        <v>288.33999999999997</v>
      </c>
      <c r="AA39" s="80">
        <v>265.58999999999997</v>
      </c>
      <c r="AB39" s="80">
        <v>200.5</v>
      </c>
      <c r="AC39" s="80">
        <v>399.23</v>
      </c>
      <c r="AD39" s="80">
        <v>200.59</v>
      </c>
      <c r="AE39" s="80">
        <v>214</v>
      </c>
      <c r="AF39" s="80">
        <v>465.5</v>
      </c>
      <c r="AG39" s="80">
        <v>747.76</v>
      </c>
      <c r="AH39" s="80">
        <v>315</v>
      </c>
      <c r="AI39" s="80">
        <v>313.95</v>
      </c>
      <c r="AJ39" s="80">
        <v>195.91</v>
      </c>
      <c r="AK39" s="80">
        <v>509.73</v>
      </c>
      <c r="AL39" s="80">
        <v>391.43</v>
      </c>
      <c r="AM39" s="80">
        <v>170.13</v>
      </c>
    </row>
    <row r="40" spans="2:39" x14ac:dyDescent="0.2">
      <c r="B40" s="81" t="s">
        <v>53</v>
      </c>
      <c r="C40" s="82"/>
      <c r="D40" s="83"/>
      <c r="E40" s="84"/>
      <c r="F40" s="50"/>
      <c r="G40" s="51"/>
      <c r="H40" s="52"/>
      <c r="I40" s="53"/>
      <c r="J40" s="54"/>
      <c r="K40" s="55"/>
      <c r="L40" s="55"/>
      <c r="M40" s="55"/>
      <c r="N40" s="55"/>
      <c r="O40" s="56"/>
      <c r="P40" s="53"/>
      <c r="Q40" s="58"/>
      <c r="R40" s="58"/>
      <c r="S40" s="55"/>
      <c r="T40" s="85"/>
      <c r="U40" s="86"/>
      <c r="V40" s="61"/>
      <c r="W40" s="62"/>
      <c r="X40" s="62"/>
      <c r="Y40" s="62"/>
      <c r="Z40" s="62"/>
      <c r="AA40" s="62"/>
      <c r="AB40" s="62"/>
      <c r="AC40" s="62"/>
      <c r="AD40" s="62"/>
      <c r="AE40" s="62"/>
      <c r="AF40" s="62"/>
      <c r="AG40" s="62"/>
      <c r="AH40" s="62"/>
      <c r="AI40" s="62"/>
      <c r="AJ40" s="62"/>
      <c r="AK40" s="62"/>
      <c r="AL40" s="62"/>
      <c r="AM40" s="62"/>
    </row>
    <row r="41" spans="2:39" x14ac:dyDescent="0.2">
      <c r="B41" s="63" t="s">
        <v>54</v>
      </c>
      <c r="C41" s="64"/>
      <c r="D41" s="65"/>
      <c r="E41" s="66" t="s">
        <v>55</v>
      </c>
      <c r="F41" s="67" t="s">
        <v>220</v>
      </c>
      <c r="G41" s="68" t="s">
        <v>10</v>
      </c>
      <c r="H41" s="69">
        <v>3.28</v>
      </c>
      <c r="I41" s="70"/>
      <c r="J41" s="71"/>
      <c r="K41" s="75">
        <v>3.28</v>
      </c>
      <c r="L41" s="75">
        <v>7.42</v>
      </c>
      <c r="M41" s="75">
        <v>6.76</v>
      </c>
      <c r="N41" s="75" t="s">
        <v>276</v>
      </c>
      <c r="O41" s="73">
        <v>7.55</v>
      </c>
      <c r="P41" s="70">
        <v>0.5</v>
      </c>
      <c r="Q41" s="74">
        <v>3.71</v>
      </c>
      <c r="R41" s="74">
        <v>3.38</v>
      </c>
      <c r="S41" s="75">
        <v>3.71</v>
      </c>
      <c r="T41" s="76">
        <v>3.38</v>
      </c>
      <c r="U41" s="77">
        <v>12.17</v>
      </c>
      <c r="V41" s="61"/>
      <c r="W41" s="78">
        <v>8162.24</v>
      </c>
      <c r="X41" s="78">
        <v>24836.06</v>
      </c>
      <c r="Y41" s="78">
        <v>20194.89</v>
      </c>
      <c r="Z41" s="78">
        <v>12298.81</v>
      </c>
      <c r="AA41" s="78">
        <v>11328.44</v>
      </c>
      <c r="AB41" s="78">
        <v>9760.34</v>
      </c>
      <c r="AC41" s="78">
        <v>17028.7</v>
      </c>
      <c r="AD41" s="78">
        <v>8555.94</v>
      </c>
      <c r="AE41" s="78">
        <v>10417.52</v>
      </c>
      <c r="AF41" s="78">
        <v>22660.54</v>
      </c>
      <c r="AG41" s="78">
        <v>31894.84</v>
      </c>
      <c r="AH41" s="78">
        <v>15334.2</v>
      </c>
      <c r="AI41" s="78">
        <v>13391.18</v>
      </c>
      <c r="AJ41" s="78">
        <v>8356.32</v>
      </c>
      <c r="AK41" s="78">
        <v>21741.95</v>
      </c>
      <c r="AL41" s="78">
        <v>16696</v>
      </c>
      <c r="AM41" s="78">
        <v>8281.69</v>
      </c>
    </row>
    <row r="42" spans="2:39" x14ac:dyDescent="0.2">
      <c r="B42" s="63" t="s">
        <v>56</v>
      </c>
      <c r="C42" s="64"/>
      <c r="D42" s="65"/>
      <c r="E42" s="66" t="s">
        <v>57</v>
      </c>
      <c r="F42" s="67" t="s">
        <v>138</v>
      </c>
      <c r="G42" s="68" t="s">
        <v>10</v>
      </c>
      <c r="H42" s="69">
        <v>0.97</v>
      </c>
      <c r="I42" s="70"/>
      <c r="J42" s="71"/>
      <c r="K42" s="75">
        <v>0.97</v>
      </c>
      <c r="L42" s="75">
        <v>7.42</v>
      </c>
      <c r="M42" s="75">
        <v>6.76</v>
      </c>
      <c r="N42" s="75" t="s">
        <v>276</v>
      </c>
      <c r="O42" s="73">
        <v>7.55</v>
      </c>
      <c r="P42" s="70">
        <v>0.5</v>
      </c>
      <c r="Q42" s="74">
        <v>3.71</v>
      </c>
      <c r="R42" s="74">
        <v>3.38</v>
      </c>
      <c r="S42" s="75">
        <v>3.71</v>
      </c>
      <c r="T42" s="76">
        <v>3.38</v>
      </c>
      <c r="U42" s="77">
        <v>3.6</v>
      </c>
      <c r="V42" s="61"/>
      <c r="W42" s="78">
        <v>2414.08</v>
      </c>
      <c r="X42" s="78">
        <v>7345.56</v>
      </c>
      <c r="Y42" s="78">
        <v>5972.88</v>
      </c>
      <c r="Z42" s="78">
        <v>3637.52</v>
      </c>
      <c r="AA42" s="78">
        <v>3350.52</v>
      </c>
      <c r="AB42" s="78">
        <v>2887.2</v>
      </c>
      <c r="AC42" s="78">
        <v>5036.4399999999996</v>
      </c>
      <c r="AD42" s="78">
        <v>2530.52</v>
      </c>
      <c r="AE42" s="78">
        <v>3081.6</v>
      </c>
      <c r="AF42" s="78">
        <v>6703.2</v>
      </c>
      <c r="AG42" s="78">
        <v>9433.2800000000007</v>
      </c>
      <c r="AH42" s="78">
        <v>4536</v>
      </c>
      <c r="AI42" s="78">
        <v>3960.6</v>
      </c>
      <c r="AJ42" s="78">
        <v>2471.48</v>
      </c>
      <c r="AK42" s="78">
        <v>6430.44</v>
      </c>
      <c r="AL42" s="78">
        <v>4938.04</v>
      </c>
      <c r="AM42" s="78">
        <v>2449.8000000000002</v>
      </c>
    </row>
    <row r="43" spans="2:39" x14ac:dyDescent="0.2">
      <c r="B43" s="63" t="s">
        <v>59</v>
      </c>
      <c r="C43" s="91"/>
      <c r="D43" s="65"/>
      <c r="E43" s="66" t="s">
        <v>60</v>
      </c>
      <c r="F43" s="67" t="s">
        <v>221</v>
      </c>
      <c r="G43" s="68" t="s">
        <v>58</v>
      </c>
      <c r="H43" s="69">
        <v>0.22</v>
      </c>
      <c r="I43" s="70"/>
      <c r="J43" s="71"/>
      <c r="K43" s="75">
        <v>0.22</v>
      </c>
      <c r="L43" s="75">
        <v>7.42</v>
      </c>
      <c r="M43" s="75">
        <v>6.76</v>
      </c>
      <c r="N43" s="75" t="s">
        <v>276</v>
      </c>
      <c r="O43" s="73">
        <v>7.55</v>
      </c>
      <c r="P43" s="70">
        <v>0.5</v>
      </c>
      <c r="Q43" s="74">
        <v>3.71</v>
      </c>
      <c r="R43" s="74">
        <v>3.38</v>
      </c>
      <c r="S43" s="75">
        <v>3.71</v>
      </c>
      <c r="T43" s="74">
        <v>3.38</v>
      </c>
      <c r="U43" s="106">
        <v>0.82</v>
      </c>
      <c r="V43" s="61"/>
      <c r="W43" s="78">
        <v>544.64</v>
      </c>
      <c r="X43" s="78">
        <v>1657.23</v>
      </c>
      <c r="Y43" s="78">
        <v>1347.54</v>
      </c>
      <c r="Z43" s="78">
        <v>820.66</v>
      </c>
      <c r="AA43" s="78">
        <v>755.91</v>
      </c>
      <c r="AB43" s="78">
        <v>657.64</v>
      </c>
      <c r="AC43" s="78">
        <v>1136.27</v>
      </c>
      <c r="AD43" s="78">
        <v>570.91</v>
      </c>
      <c r="AE43" s="78">
        <v>701.92</v>
      </c>
      <c r="AF43" s="78">
        <v>1526.84</v>
      </c>
      <c r="AG43" s="78">
        <v>2128.2399999999998</v>
      </c>
      <c r="AH43" s="78">
        <v>1033.2</v>
      </c>
      <c r="AI43" s="78">
        <v>893.55</v>
      </c>
      <c r="AJ43" s="78">
        <v>557.59</v>
      </c>
      <c r="AK43" s="78">
        <v>1450.77</v>
      </c>
      <c r="AL43" s="78">
        <v>1114.07</v>
      </c>
      <c r="AM43" s="78">
        <v>558.01</v>
      </c>
    </row>
    <row r="44" spans="2:39" ht="13.5" thickBot="1" x14ac:dyDescent="0.25">
      <c r="B44" s="139" t="s">
        <v>168</v>
      </c>
      <c r="C44" s="33"/>
      <c r="D44" s="107"/>
      <c r="E44" s="108" t="s">
        <v>169</v>
      </c>
      <c r="F44" s="109" t="s">
        <v>221</v>
      </c>
      <c r="G44" s="37" t="s">
        <v>10</v>
      </c>
      <c r="H44" s="110">
        <v>3.53</v>
      </c>
      <c r="I44" s="111">
        <v>0.3</v>
      </c>
      <c r="J44" s="112" t="s">
        <v>117</v>
      </c>
      <c r="K44" s="113">
        <v>2.4700000000000002</v>
      </c>
      <c r="L44" s="113">
        <v>7.42</v>
      </c>
      <c r="M44" s="113">
        <v>6.76</v>
      </c>
      <c r="N44" s="113" t="s">
        <v>276</v>
      </c>
      <c r="O44" s="114">
        <v>7.55</v>
      </c>
      <c r="P44" s="111">
        <v>0.5</v>
      </c>
      <c r="Q44" s="115">
        <v>3.71</v>
      </c>
      <c r="R44" s="115">
        <v>3.38</v>
      </c>
      <c r="S44" s="113">
        <v>3.71</v>
      </c>
      <c r="T44" s="115">
        <v>3.38</v>
      </c>
      <c r="U44" s="116">
        <v>9.16</v>
      </c>
      <c r="V44" s="61"/>
      <c r="W44" s="104">
        <v>6145.6</v>
      </c>
      <c r="X44" s="104">
        <v>18699.830000000002</v>
      </c>
      <c r="Y44" s="104">
        <v>15205.35</v>
      </c>
      <c r="Z44" s="104">
        <v>9260.15</v>
      </c>
      <c r="AA44" s="104">
        <v>8529.5300000000007</v>
      </c>
      <c r="AB44" s="104">
        <v>7346.32</v>
      </c>
      <c r="AC44" s="104">
        <v>12821.43</v>
      </c>
      <c r="AD44" s="104">
        <v>6442.03</v>
      </c>
      <c r="AE44" s="104">
        <v>7840.96</v>
      </c>
      <c r="AF44" s="104">
        <v>17055.919999999998</v>
      </c>
      <c r="AG44" s="104">
        <v>24014.6</v>
      </c>
      <c r="AH44" s="104">
        <v>11541.6</v>
      </c>
      <c r="AI44" s="104">
        <v>10082.629999999999</v>
      </c>
      <c r="AJ44" s="104">
        <v>6291.73</v>
      </c>
      <c r="AK44" s="104">
        <v>16370.18</v>
      </c>
      <c r="AL44" s="104">
        <v>12570.93</v>
      </c>
      <c r="AM44" s="104">
        <v>6233.38</v>
      </c>
    </row>
    <row r="45" spans="2:39" x14ac:dyDescent="0.2">
      <c r="B45" s="117" t="s">
        <v>61</v>
      </c>
      <c r="C45" s="118"/>
      <c r="D45" s="119"/>
      <c r="E45" s="120"/>
      <c r="F45" s="121"/>
      <c r="G45" s="122"/>
      <c r="H45" s="123"/>
      <c r="I45" s="124"/>
      <c r="J45" s="125"/>
      <c r="K45" s="126"/>
      <c r="L45" s="126"/>
      <c r="M45" s="126"/>
      <c r="N45" s="126"/>
      <c r="O45" s="127"/>
      <c r="P45" s="124"/>
      <c r="Q45" s="128"/>
      <c r="R45" s="128"/>
      <c r="S45" s="126"/>
      <c r="T45" s="129"/>
      <c r="U45" s="130"/>
      <c r="V45" s="61"/>
      <c r="W45" s="105"/>
      <c r="X45" s="105"/>
      <c r="Y45" s="105"/>
      <c r="Z45" s="105"/>
      <c r="AA45" s="105"/>
      <c r="AB45" s="105"/>
      <c r="AC45" s="105"/>
      <c r="AD45" s="105"/>
      <c r="AE45" s="105"/>
      <c r="AF45" s="105"/>
      <c r="AG45" s="105"/>
      <c r="AH45" s="105"/>
      <c r="AI45" s="105"/>
      <c r="AJ45" s="105"/>
      <c r="AK45" s="105"/>
      <c r="AL45" s="105"/>
      <c r="AM45" s="105"/>
    </row>
    <row r="46" spans="2:39" x14ac:dyDescent="0.2">
      <c r="B46" s="233" t="s">
        <v>62</v>
      </c>
      <c r="C46" s="234"/>
      <c r="D46" s="235"/>
      <c r="E46" s="247" t="s">
        <v>63</v>
      </c>
      <c r="F46" s="237" t="s">
        <v>139</v>
      </c>
      <c r="G46" s="238" t="s">
        <v>10</v>
      </c>
      <c r="H46" s="239">
        <v>0.6</v>
      </c>
      <c r="I46" s="240"/>
      <c r="J46" s="241"/>
      <c r="K46" s="243">
        <v>0.6</v>
      </c>
      <c r="L46" s="243">
        <v>7.42</v>
      </c>
      <c r="M46" s="243">
        <v>6.76</v>
      </c>
      <c r="N46" s="243" t="s">
        <v>276</v>
      </c>
      <c r="O46" s="244">
        <v>10.92</v>
      </c>
      <c r="P46" s="240">
        <v>0.5</v>
      </c>
      <c r="Q46" s="245">
        <v>3.71</v>
      </c>
      <c r="R46" s="245">
        <v>3.38</v>
      </c>
      <c r="S46" s="243">
        <v>3.71</v>
      </c>
      <c r="T46" s="246">
        <v>3.38</v>
      </c>
      <c r="U46" s="246">
        <v>2.23</v>
      </c>
      <c r="V46" s="61"/>
      <c r="W46" s="78">
        <v>1494.08</v>
      </c>
      <c r="X46" s="78">
        <v>4546.1899999999996</v>
      </c>
      <c r="Y46" s="78">
        <v>3696.63</v>
      </c>
      <c r="Z46" s="78">
        <v>2251.27</v>
      </c>
      <c r="AA46" s="78">
        <v>2073.65</v>
      </c>
      <c r="AB46" s="78">
        <v>1788.46</v>
      </c>
      <c r="AC46" s="78">
        <v>3117.07</v>
      </c>
      <c r="AD46" s="78">
        <v>1566.15</v>
      </c>
      <c r="AE46" s="78">
        <v>1908.88</v>
      </c>
      <c r="AF46" s="78">
        <v>4152.26</v>
      </c>
      <c r="AG46" s="78">
        <v>5838.28</v>
      </c>
      <c r="AH46" s="78">
        <v>2809.8</v>
      </c>
      <c r="AI46" s="78">
        <v>2451.23</v>
      </c>
      <c r="AJ46" s="78">
        <v>1529.61</v>
      </c>
      <c r="AK46" s="78">
        <v>3979.82</v>
      </c>
      <c r="AL46" s="78">
        <v>3056.17</v>
      </c>
      <c r="AM46" s="78">
        <v>1517.52</v>
      </c>
    </row>
    <row r="47" spans="2:39" x14ac:dyDescent="0.2">
      <c r="B47" s="63" t="s">
        <v>64</v>
      </c>
      <c r="C47" s="64"/>
      <c r="D47" s="65"/>
      <c r="E47" s="66" t="s">
        <v>65</v>
      </c>
      <c r="F47" s="67" t="s">
        <v>140</v>
      </c>
      <c r="G47" s="68" t="s">
        <v>10</v>
      </c>
      <c r="H47" s="69">
        <v>1.1499999999999999</v>
      </c>
      <c r="I47" s="70"/>
      <c r="J47" s="71"/>
      <c r="K47" s="75">
        <v>1.1499999999999999</v>
      </c>
      <c r="L47" s="75">
        <v>7.42</v>
      </c>
      <c r="M47" s="75">
        <v>6.76</v>
      </c>
      <c r="N47" s="75" t="s">
        <v>276</v>
      </c>
      <c r="O47" s="73">
        <v>10.92</v>
      </c>
      <c r="P47" s="70">
        <v>0.5</v>
      </c>
      <c r="Q47" s="74">
        <v>3.71</v>
      </c>
      <c r="R47" s="74">
        <v>3.38</v>
      </c>
      <c r="S47" s="75">
        <v>3.71</v>
      </c>
      <c r="T47" s="76">
        <v>3.38</v>
      </c>
      <c r="U47" s="77">
        <v>4.2699999999999996</v>
      </c>
      <c r="V47" s="61"/>
      <c r="W47" s="78">
        <v>2863.04</v>
      </c>
      <c r="X47" s="78">
        <v>8711.66</v>
      </c>
      <c r="Y47" s="78">
        <v>7083.69</v>
      </c>
      <c r="Z47" s="78">
        <v>4314.01</v>
      </c>
      <c r="AA47" s="78">
        <v>3973.64</v>
      </c>
      <c r="AB47" s="78">
        <v>3424.54</v>
      </c>
      <c r="AC47" s="78">
        <v>5973.1</v>
      </c>
      <c r="AD47" s="78">
        <v>3001.14</v>
      </c>
      <c r="AE47" s="78">
        <v>3655.12</v>
      </c>
      <c r="AF47" s="78">
        <v>7950.74</v>
      </c>
      <c r="AG47" s="78">
        <v>11187.64</v>
      </c>
      <c r="AH47" s="78">
        <v>5380.2</v>
      </c>
      <c r="AI47" s="78">
        <v>4697.18</v>
      </c>
      <c r="AJ47" s="78">
        <v>2931.12</v>
      </c>
      <c r="AK47" s="78">
        <v>7626.35</v>
      </c>
      <c r="AL47" s="78">
        <v>5856.4</v>
      </c>
      <c r="AM47" s="78">
        <v>2905.74</v>
      </c>
    </row>
    <row r="48" spans="2:39" x14ac:dyDescent="0.2">
      <c r="B48" s="63" t="s">
        <v>170</v>
      </c>
      <c r="C48" s="64"/>
      <c r="D48" s="65"/>
      <c r="E48" s="66" t="s">
        <v>66</v>
      </c>
      <c r="F48" s="67" t="s">
        <v>222</v>
      </c>
      <c r="G48" s="68" t="s">
        <v>10</v>
      </c>
      <c r="H48" s="69">
        <v>3.46</v>
      </c>
      <c r="I48" s="70"/>
      <c r="J48" s="71"/>
      <c r="K48" s="18">
        <v>3.46</v>
      </c>
      <c r="L48" s="18">
        <v>7.42</v>
      </c>
      <c r="M48" s="18">
        <v>6.76</v>
      </c>
      <c r="N48" s="18" t="s">
        <v>276</v>
      </c>
      <c r="O48" s="73">
        <v>10.92</v>
      </c>
      <c r="P48" s="70">
        <v>0.5</v>
      </c>
      <c r="Q48" s="74">
        <v>3.71</v>
      </c>
      <c r="R48" s="74">
        <v>3.38</v>
      </c>
      <c r="S48" s="75">
        <v>3.71</v>
      </c>
      <c r="T48" s="76">
        <v>3.38</v>
      </c>
      <c r="U48" s="77">
        <v>12.84</v>
      </c>
      <c r="V48" s="61"/>
      <c r="W48" s="78">
        <v>8603.84</v>
      </c>
      <c r="X48" s="78">
        <v>26179.759999999998</v>
      </c>
      <c r="Y48" s="78">
        <v>21287.49</v>
      </c>
      <c r="Z48" s="78">
        <v>12964.21</v>
      </c>
      <c r="AA48" s="78">
        <v>11941.34</v>
      </c>
      <c r="AB48" s="78">
        <v>10297.68</v>
      </c>
      <c r="AC48" s="78">
        <v>17950</v>
      </c>
      <c r="AD48" s="78">
        <v>9018.84</v>
      </c>
      <c r="AE48" s="78">
        <v>10991.04</v>
      </c>
      <c r="AF48" s="78">
        <v>23908.080000000002</v>
      </c>
      <c r="AG48" s="78">
        <v>33620.44</v>
      </c>
      <c r="AH48" s="78">
        <v>16178.4</v>
      </c>
      <c r="AI48" s="78">
        <v>14115.68</v>
      </c>
      <c r="AJ48" s="78">
        <v>8808.42</v>
      </c>
      <c r="AK48" s="78">
        <v>22918.25</v>
      </c>
      <c r="AL48" s="78">
        <v>17599.3</v>
      </c>
      <c r="AM48" s="78">
        <v>8737.6200000000008</v>
      </c>
    </row>
    <row r="49" spans="2:39" x14ac:dyDescent="0.2">
      <c r="B49" s="233" t="s">
        <v>67</v>
      </c>
      <c r="C49" s="234"/>
      <c r="D49" s="235"/>
      <c r="E49" s="247" t="s">
        <v>68</v>
      </c>
      <c r="F49" s="237" t="s">
        <v>141</v>
      </c>
      <c r="G49" s="238" t="s">
        <v>10</v>
      </c>
      <c r="H49" s="239">
        <v>1.71</v>
      </c>
      <c r="I49" s="240"/>
      <c r="J49" s="241"/>
      <c r="K49" s="243">
        <v>1.71</v>
      </c>
      <c r="L49" s="243">
        <v>7.42</v>
      </c>
      <c r="M49" s="243">
        <v>6.76</v>
      </c>
      <c r="N49" s="243" t="s">
        <v>276</v>
      </c>
      <c r="O49" s="244">
        <v>10.92</v>
      </c>
      <c r="P49" s="240">
        <v>0.5</v>
      </c>
      <c r="Q49" s="245">
        <v>3.71</v>
      </c>
      <c r="R49" s="245">
        <v>3.38</v>
      </c>
      <c r="S49" s="243">
        <v>3.71</v>
      </c>
      <c r="T49" s="246">
        <v>3.38</v>
      </c>
      <c r="U49" s="246">
        <v>6.34</v>
      </c>
      <c r="V49" s="61"/>
      <c r="W49" s="78">
        <v>4254.08</v>
      </c>
      <c r="X49" s="78">
        <v>12944.31</v>
      </c>
      <c r="Y49" s="78">
        <v>10525.38</v>
      </c>
      <c r="Z49" s="78">
        <v>6410.02</v>
      </c>
      <c r="AA49" s="78">
        <v>5904.27</v>
      </c>
      <c r="AB49" s="78">
        <v>5084.68</v>
      </c>
      <c r="AC49" s="78">
        <v>8875.19</v>
      </c>
      <c r="AD49" s="78">
        <v>4459.2700000000004</v>
      </c>
      <c r="AE49" s="78">
        <v>5427.04</v>
      </c>
      <c r="AF49" s="78">
        <v>11805.08</v>
      </c>
      <c r="AG49" s="78">
        <v>16623.28</v>
      </c>
      <c r="AH49" s="78">
        <v>7988.4</v>
      </c>
      <c r="AI49" s="78">
        <v>6979.35</v>
      </c>
      <c r="AJ49" s="78">
        <v>4355.2299999999996</v>
      </c>
      <c r="AK49" s="78">
        <v>11331.69</v>
      </c>
      <c r="AL49" s="78">
        <v>8701.7900000000009</v>
      </c>
      <c r="AM49" s="78">
        <v>4314.37</v>
      </c>
    </row>
    <row r="50" spans="2:39" ht="13.5" thickBot="1" x14ac:dyDescent="0.25">
      <c r="B50" s="220" t="s">
        <v>171</v>
      </c>
      <c r="C50" s="221"/>
      <c r="D50" s="222"/>
      <c r="E50" s="223" t="s">
        <v>69</v>
      </c>
      <c r="F50" s="224" t="s">
        <v>223</v>
      </c>
      <c r="G50" s="225" t="s">
        <v>10</v>
      </c>
      <c r="H50" s="226">
        <v>1.07</v>
      </c>
      <c r="I50" s="227"/>
      <c r="J50" s="228"/>
      <c r="K50" s="230">
        <v>1.07</v>
      </c>
      <c r="L50" s="230">
        <v>7.42</v>
      </c>
      <c r="M50" s="230">
        <v>6.76</v>
      </c>
      <c r="N50" s="230" t="s">
        <v>276</v>
      </c>
      <c r="O50" s="231">
        <v>10.92</v>
      </c>
      <c r="P50" s="227">
        <v>0.5</v>
      </c>
      <c r="Q50" s="232">
        <v>3.71</v>
      </c>
      <c r="R50" s="232">
        <v>3.38</v>
      </c>
      <c r="S50" s="230">
        <v>3.71</v>
      </c>
      <c r="T50" s="232">
        <v>3.38</v>
      </c>
      <c r="U50" s="232">
        <v>3.97</v>
      </c>
      <c r="V50" s="61"/>
      <c r="W50" s="80">
        <v>2664.32</v>
      </c>
      <c r="X50" s="80">
        <v>8106.99</v>
      </c>
      <c r="Y50" s="80">
        <v>6592.02</v>
      </c>
      <c r="Z50" s="80">
        <v>4014.58</v>
      </c>
      <c r="AA50" s="80">
        <v>3697.83</v>
      </c>
      <c r="AB50" s="80">
        <v>3183.94</v>
      </c>
      <c r="AC50" s="80">
        <v>5558.51</v>
      </c>
      <c r="AD50" s="80">
        <v>2792.83</v>
      </c>
      <c r="AE50" s="80">
        <v>3398.32</v>
      </c>
      <c r="AF50" s="80">
        <v>7392.14</v>
      </c>
      <c r="AG50" s="80">
        <v>10411.120000000001</v>
      </c>
      <c r="AH50" s="80">
        <v>5002.2</v>
      </c>
      <c r="AI50" s="80">
        <v>4371.1499999999996</v>
      </c>
      <c r="AJ50" s="80">
        <v>2727.67</v>
      </c>
      <c r="AK50" s="80">
        <v>7097.01</v>
      </c>
      <c r="AL50" s="80">
        <v>5449.91</v>
      </c>
      <c r="AM50" s="80">
        <v>2701.59</v>
      </c>
    </row>
    <row r="51" spans="2:39" x14ac:dyDescent="0.2">
      <c r="B51" s="81" t="s">
        <v>70</v>
      </c>
      <c r="C51" s="82"/>
      <c r="D51" s="83"/>
      <c r="E51" s="84"/>
      <c r="F51" s="50"/>
      <c r="G51" s="51"/>
      <c r="H51" s="52"/>
      <c r="I51" s="53"/>
      <c r="J51" s="54"/>
      <c r="K51" s="55"/>
      <c r="L51" s="55"/>
      <c r="M51" s="55"/>
      <c r="N51" s="55"/>
      <c r="O51" s="56"/>
      <c r="P51" s="53"/>
      <c r="Q51" s="58"/>
      <c r="R51" s="58"/>
      <c r="S51" s="55"/>
      <c r="T51" s="85"/>
      <c r="U51" s="86"/>
      <c r="V51" s="61"/>
      <c r="W51" s="62"/>
      <c r="X51" s="62"/>
      <c r="Y51" s="62"/>
      <c r="Z51" s="62"/>
      <c r="AA51" s="62"/>
      <c r="AB51" s="62"/>
      <c r="AC51" s="62"/>
      <c r="AD51" s="62"/>
      <c r="AE51" s="62"/>
      <c r="AF51" s="62"/>
      <c r="AG51" s="62"/>
      <c r="AH51" s="62"/>
      <c r="AI51" s="62"/>
      <c r="AJ51" s="62"/>
      <c r="AK51" s="62"/>
      <c r="AL51" s="62"/>
      <c r="AM51" s="62"/>
    </row>
    <row r="52" spans="2:39" x14ac:dyDescent="0.2">
      <c r="B52" s="162" t="s">
        <v>104</v>
      </c>
      <c r="C52" s="131"/>
      <c r="D52" s="65"/>
      <c r="E52" s="66"/>
      <c r="F52" s="67"/>
      <c r="G52" s="68"/>
      <c r="H52" s="69"/>
      <c r="I52" s="70"/>
      <c r="J52" s="71"/>
      <c r="K52" s="75"/>
      <c r="L52" s="75"/>
      <c r="M52" s="75"/>
      <c r="N52" s="75"/>
      <c r="O52" s="73"/>
      <c r="P52" s="70"/>
      <c r="Q52" s="74"/>
      <c r="R52" s="74"/>
      <c r="S52" s="75"/>
      <c r="T52" s="76"/>
      <c r="U52" s="77"/>
      <c r="V52" s="61"/>
      <c r="W52" s="78"/>
      <c r="X52" s="78"/>
      <c r="Y52" s="78"/>
      <c r="Z52" s="78"/>
      <c r="AA52" s="78"/>
      <c r="AB52" s="78"/>
      <c r="AC52" s="78"/>
      <c r="AD52" s="78"/>
      <c r="AE52" s="78"/>
      <c r="AF52" s="78"/>
      <c r="AG52" s="78"/>
      <c r="AH52" s="78"/>
      <c r="AI52" s="78"/>
      <c r="AJ52" s="78"/>
      <c r="AK52" s="78"/>
      <c r="AL52" s="78"/>
      <c r="AM52" s="78"/>
    </row>
    <row r="53" spans="2:39" x14ac:dyDescent="0.2">
      <c r="B53" s="233" t="s">
        <v>71</v>
      </c>
      <c r="C53" s="234"/>
      <c r="D53" s="235"/>
      <c r="E53" s="247" t="s">
        <v>72</v>
      </c>
      <c r="F53" s="237" t="s">
        <v>142</v>
      </c>
      <c r="G53" s="238" t="s">
        <v>10</v>
      </c>
      <c r="H53" s="239">
        <v>3.11</v>
      </c>
      <c r="I53" s="240">
        <v>0.4</v>
      </c>
      <c r="J53" s="241" t="s">
        <v>117</v>
      </c>
      <c r="K53" s="243">
        <v>1.87</v>
      </c>
      <c r="L53" s="243">
        <v>5.41</v>
      </c>
      <c r="M53" s="243">
        <v>5.41</v>
      </c>
      <c r="N53" s="243" t="s">
        <v>275</v>
      </c>
      <c r="O53" s="243">
        <v>6.43</v>
      </c>
      <c r="P53" s="240">
        <v>0.5</v>
      </c>
      <c r="Q53" s="243">
        <v>2.7</v>
      </c>
      <c r="R53" s="243">
        <v>2.71</v>
      </c>
      <c r="S53" s="243">
        <v>2.7</v>
      </c>
      <c r="T53" s="245">
        <v>2.71</v>
      </c>
      <c r="U53" s="245">
        <v>5.05</v>
      </c>
      <c r="V53" s="61"/>
      <c r="W53" s="78">
        <v>3731.52</v>
      </c>
      <c r="X53" s="78">
        <v>11354.27</v>
      </c>
      <c r="Y53" s="78">
        <v>9232.4699999999993</v>
      </c>
      <c r="Z53" s="78">
        <v>5622.63</v>
      </c>
      <c r="AA53" s="78">
        <v>5179.01</v>
      </c>
      <c r="AB53" s="78">
        <v>4050.1</v>
      </c>
      <c r="AC53" s="78">
        <v>7784.99</v>
      </c>
      <c r="AD53" s="78">
        <v>3911.51</v>
      </c>
      <c r="AE53" s="78">
        <v>4322.8</v>
      </c>
      <c r="AF53" s="78">
        <v>9403.1</v>
      </c>
      <c r="AG53" s="78">
        <v>14581.32</v>
      </c>
      <c r="AH53" s="78">
        <v>6363</v>
      </c>
      <c r="AI53" s="78">
        <v>6122.03</v>
      </c>
      <c r="AJ53" s="78">
        <v>3820.25</v>
      </c>
      <c r="AK53" s="78">
        <v>9939.74</v>
      </c>
      <c r="AL53" s="78">
        <v>7632.89</v>
      </c>
      <c r="AM53" s="78">
        <v>3436.53</v>
      </c>
    </row>
    <row r="54" spans="2:39" x14ac:dyDescent="0.2">
      <c r="B54" s="233" t="s">
        <v>73</v>
      </c>
      <c r="C54" s="234"/>
      <c r="D54" s="235"/>
      <c r="E54" s="247" t="s">
        <v>74</v>
      </c>
      <c r="F54" s="237" t="s">
        <v>143</v>
      </c>
      <c r="G54" s="238" t="s">
        <v>10</v>
      </c>
      <c r="H54" s="239">
        <v>4.91</v>
      </c>
      <c r="I54" s="240">
        <v>0.43</v>
      </c>
      <c r="J54" s="241" t="s">
        <v>116</v>
      </c>
      <c r="K54" s="243">
        <v>2.8</v>
      </c>
      <c r="L54" s="243">
        <v>5.41</v>
      </c>
      <c r="M54" s="243">
        <v>5.41</v>
      </c>
      <c r="N54" s="243" t="s">
        <v>275</v>
      </c>
      <c r="O54" s="243">
        <v>6.43</v>
      </c>
      <c r="P54" s="240">
        <v>0.5</v>
      </c>
      <c r="Q54" s="243">
        <v>2.7</v>
      </c>
      <c r="R54" s="243">
        <v>2.71</v>
      </c>
      <c r="S54" s="243">
        <v>2.7</v>
      </c>
      <c r="T54" s="245">
        <v>2.71</v>
      </c>
      <c r="U54" s="245">
        <v>7.56</v>
      </c>
      <c r="V54" s="61"/>
      <c r="W54" s="78">
        <v>5586.24</v>
      </c>
      <c r="X54" s="78">
        <v>16997.810000000001</v>
      </c>
      <c r="Y54" s="78">
        <v>13821.39</v>
      </c>
      <c r="Z54" s="78">
        <v>8417.31</v>
      </c>
      <c r="AA54" s="78">
        <v>7753.19</v>
      </c>
      <c r="AB54" s="78">
        <v>6063.12</v>
      </c>
      <c r="AC54" s="78">
        <v>11654.45</v>
      </c>
      <c r="AD54" s="78">
        <v>5855.69</v>
      </c>
      <c r="AE54" s="78">
        <v>6471.36</v>
      </c>
      <c r="AF54" s="78">
        <v>14076.72</v>
      </c>
      <c r="AG54" s="78">
        <v>21828.84</v>
      </c>
      <c r="AH54" s="78">
        <v>9525.6</v>
      </c>
      <c r="AI54" s="78">
        <v>9164.93</v>
      </c>
      <c r="AJ54" s="78">
        <v>5719.07</v>
      </c>
      <c r="AK54" s="78">
        <v>14880.2</v>
      </c>
      <c r="AL54" s="78">
        <v>11426.75</v>
      </c>
      <c r="AM54" s="78">
        <v>5144.58</v>
      </c>
    </row>
    <row r="55" spans="2:39" x14ac:dyDescent="0.2">
      <c r="B55" s="233" t="s">
        <v>75</v>
      </c>
      <c r="C55" s="234"/>
      <c r="D55" s="235"/>
      <c r="E55" s="247" t="s">
        <v>76</v>
      </c>
      <c r="F55" s="237" t="s">
        <v>144</v>
      </c>
      <c r="G55" s="238" t="s">
        <v>198</v>
      </c>
      <c r="H55" s="239">
        <v>14.03</v>
      </c>
      <c r="I55" s="240">
        <v>0.42</v>
      </c>
      <c r="J55" s="241" t="s">
        <v>116</v>
      </c>
      <c r="K55" s="242">
        <v>8.14</v>
      </c>
      <c r="L55" s="242">
        <v>1.2</v>
      </c>
      <c r="M55" s="242">
        <v>1.2</v>
      </c>
      <c r="N55" s="243" t="s">
        <v>275</v>
      </c>
      <c r="O55" s="243">
        <v>1.2</v>
      </c>
      <c r="P55" s="240">
        <v>0.5</v>
      </c>
      <c r="Q55" s="243">
        <v>0.6</v>
      </c>
      <c r="R55" s="243">
        <v>0.6</v>
      </c>
      <c r="S55" s="243">
        <v>0.6</v>
      </c>
      <c r="T55" s="245">
        <v>0.6</v>
      </c>
      <c r="U55" s="245">
        <v>4.88</v>
      </c>
      <c r="V55" s="61"/>
      <c r="W55" s="78">
        <v>3591.68</v>
      </c>
      <c r="X55" s="78">
        <v>10928.76</v>
      </c>
      <c r="Y55" s="78">
        <v>8886.48</v>
      </c>
      <c r="Z55" s="78">
        <v>5411.92</v>
      </c>
      <c r="AA55" s="78">
        <v>4984.92</v>
      </c>
      <c r="AB55" s="78">
        <v>3913.76</v>
      </c>
      <c r="AC55" s="78">
        <v>7493.24</v>
      </c>
      <c r="AD55" s="78">
        <v>3764.92</v>
      </c>
      <c r="AE55" s="78">
        <v>4177.28</v>
      </c>
      <c r="AF55" s="78">
        <v>9086.56</v>
      </c>
      <c r="AG55" s="78">
        <v>14034.88</v>
      </c>
      <c r="AH55" s="78">
        <v>6148.8</v>
      </c>
      <c r="AI55" s="78">
        <v>5892.6</v>
      </c>
      <c r="AJ55" s="78">
        <v>3677.08</v>
      </c>
      <c r="AK55" s="78">
        <v>9567.24</v>
      </c>
      <c r="AL55" s="78">
        <v>7346.84</v>
      </c>
      <c r="AM55" s="78">
        <v>3320.84</v>
      </c>
    </row>
    <row r="56" spans="2:39" x14ac:dyDescent="0.2">
      <c r="B56" s="63" t="s">
        <v>282</v>
      </c>
      <c r="C56" s="64"/>
      <c r="D56" s="65"/>
      <c r="E56" s="66" t="s">
        <v>77</v>
      </c>
      <c r="F56" s="67" t="s">
        <v>224</v>
      </c>
      <c r="G56" s="68" t="s">
        <v>198</v>
      </c>
      <c r="H56" s="69">
        <v>13.99</v>
      </c>
      <c r="I56" s="70">
        <v>0.56000000000000005</v>
      </c>
      <c r="J56" s="71" t="s">
        <v>117</v>
      </c>
      <c r="K56" s="18">
        <v>6.16</v>
      </c>
      <c r="L56" s="18">
        <v>1.2</v>
      </c>
      <c r="M56" s="18">
        <v>1.2</v>
      </c>
      <c r="N56" s="75" t="s">
        <v>275</v>
      </c>
      <c r="O56" s="75">
        <v>1.2</v>
      </c>
      <c r="P56" s="70">
        <v>0.5</v>
      </c>
      <c r="Q56" s="75">
        <v>0.6</v>
      </c>
      <c r="R56" s="75">
        <v>0.6</v>
      </c>
      <c r="S56" s="75">
        <v>0.6</v>
      </c>
      <c r="T56" s="74">
        <v>0.6</v>
      </c>
      <c r="U56" s="106">
        <v>3.7</v>
      </c>
      <c r="V56" s="61"/>
      <c r="W56" s="78">
        <v>2723.2</v>
      </c>
      <c r="X56" s="78">
        <v>8286.15</v>
      </c>
      <c r="Y56" s="78">
        <v>6737.7</v>
      </c>
      <c r="Z56" s="78">
        <v>4103.3</v>
      </c>
      <c r="AA56" s="78">
        <v>3779.55</v>
      </c>
      <c r="AB56" s="78">
        <v>2967.4</v>
      </c>
      <c r="AC56" s="78">
        <v>5681.35</v>
      </c>
      <c r="AD56" s="78">
        <v>2854.55</v>
      </c>
      <c r="AE56" s="78">
        <v>3167.2</v>
      </c>
      <c r="AF56" s="78">
        <v>6889.4</v>
      </c>
      <c r="AG56" s="78">
        <v>10641.2</v>
      </c>
      <c r="AH56" s="78">
        <v>4662</v>
      </c>
      <c r="AI56" s="78">
        <v>4467.75</v>
      </c>
      <c r="AJ56" s="78">
        <v>2787.95</v>
      </c>
      <c r="AK56" s="78">
        <v>7253.85</v>
      </c>
      <c r="AL56" s="78">
        <v>5570.35</v>
      </c>
      <c r="AM56" s="78">
        <v>2517.85</v>
      </c>
    </row>
    <row r="57" spans="2:39" x14ac:dyDescent="0.2">
      <c r="B57" s="63" t="s">
        <v>320</v>
      </c>
      <c r="C57" s="64"/>
      <c r="D57" s="65"/>
      <c r="E57" s="66" t="s">
        <v>78</v>
      </c>
      <c r="F57" s="67" t="s">
        <v>145</v>
      </c>
      <c r="G57" s="68" t="s">
        <v>10</v>
      </c>
      <c r="H57" s="69">
        <v>2.4300000000000002</v>
      </c>
      <c r="I57" s="70">
        <v>0.2</v>
      </c>
      <c r="J57" s="71" t="s">
        <v>117</v>
      </c>
      <c r="K57" s="18">
        <v>1.94</v>
      </c>
      <c r="L57" s="18">
        <v>5.41</v>
      </c>
      <c r="M57" s="18">
        <v>5.41</v>
      </c>
      <c r="N57" s="75" t="s">
        <v>275</v>
      </c>
      <c r="O57" s="75">
        <v>6.43</v>
      </c>
      <c r="P57" s="70">
        <v>0.5</v>
      </c>
      <c r="Q57" s="75">
        <v>2.7</v>
      </c>
      <c r="R57" s="75">
        <v>2.71</v>
      </c>
      <c r="S57" s="75">
        <v>2.7</v>
      </c>
      <c r="T57" s="74">
        <v>2.71</v>
      </c>
      <c r="U57" s="106">
        <v>5.24</v>
      </c>
      <c r="V57" s="61"/>
      <c r="W57" s="78">
        <v>3871.36</v>
      </c>
      <c r="X57" s="78">
        <v>11779.77</v>
      </c>
      <c r="Y57" s="78">
        <v>9578.4599999999991</v>
      </c>
      <c r="Z57" s="78">
        <v>5833.34</v>
      </c>
      <c r="AA57" s="78">
        <v>5373.09</v>
      </c>
      <c r="AB57" s="78">
        <v>4202.4799999999996</v>
      </c>
      <c r="AC57" s="78">
        <v>8076.73</v>
      </c>
      <c r="AD57" s="78">
        <v>4058.09</v>
      </c>
      <c r="AE57" s="78">
        <v>4485.4399999999996</v>
      </c>
      <c r="AF57" s="78">
        <v>9756.8799999999992</v>
      </c>
      <c r="AG57" s="78">
        <v>15127.76</v>
      </c>
      <c r="AH57" s="78">
        <v>6602.4</v>
      </c>
      <c r="AI57" s="78">
        <v>6351.45</v>
      </c>
      <c r="AJ57" s="78">
        <v>3963.41</v>
      </c>
      <c r="AK57" s="78">
        <v>10312.23</v>
      </c>
      <c r="AL57" s="78">
        <v>7918.93</v>
      </c>
      <c r="AM57" s="78">
        <v>3565.82</v>
      </c>
    </row>
    <row r="58" spans="2:39" x14ac:dyDescent="0.2">
      <c r="B58" s="63" t="s">
        <v>173</v>
      </c>
      <c r="C58" s="64"/>
      <c r="D58" s="65"/>
      <c r="E58" s="66" t="s">
        <v>79</v>
      </c>
      <c r="F58" s="67" t="s">
        <v>146</v>
      </c>
      <c r="G58" s="68" t="s">
        <v>174</v>
      </c>
      <c r="H58" s="69">
        <v>4.8499999999999996</v>
      </c>
      <c r="I58" s="70">
        <v>0.4</v>
      </c>
      <c r="J58" s="71" t="s">
        <v>117</v>
      </c>
      <c r="K58" s="18">
        <v>2.91</v>
      </c>
      <c r="L58" s="18">
        <v>5.41</v>
      </c>
      <c r="M58" s="18">
        <v>5.41</v>
      </c>
      <c r="N58" s="75" t="s">
        <v>275</v>
      </c>
      <c r="O58" s="75">
        <v>6.43</v>
      </c>
      <c r="P58" s="70">
        <v>0.5</v>
      </c>
      <c r="Q58" s="75">
        <v>2.7</v>
      </c>
      <c r="R58" s="75">
        <v>2.71</v>
      </c>
      <c r="S58" s="75">
        <v>2.7</v>
      </c>
      <c r="T58" s="74">
        <v>2.71</v>
      </c>
      <c r="U58" s="106">
        <v>7.86</v>
      </c>
      <c r="V58" s="61"/>
      <c r="W58" s="78">
        <v>5807.04</v>
      </c>
      <c r="X58" s="78">
        <v>17669.66</v>
      </c>
      <c r="Y58" s="78">
        <v>14367.69</v>
      </c>
      <c r="Z58" s="78">
        <v>8750.01</v>
      </c>
      <c r="AA58" s="78">
        <v>8059.64</v>
      </c>
      <c r="AB58" s="78">
        <v>6303.72</v>
      </c>
      <c r="AC58" s="78">
        <v>12115.1</v>
      </c>
      <c r="AD58" s="78">
        <v>6087.14</v>
      </c>
      <c r="AE58" s="78">
        <v>6728.16</v>
      </c>
      <c r="AF58" s="78">
        <v>14635.32</v>
      </c>
      <c r="AG58" s="78">
        <v>22691.64</v>
      </c>
      <c r="AH58" s="78">
        <v>9903.6</v>
      </c>
      <c r="AI58" s="78">
        <v>9527.18</v>
      </c>
      <c r="AJ58" s="78">
        <v>5945.12</v>
      </c>
      <c r="AK58" s="78">
        <v>15468.35</v>
      </c>
      <c r="AL58" s="78">
        <v>11878.4</v>
      </c>
      <c r="AM58" s="78">
        <v>5348.73</v>
      </c>
    </row>
    <row r="59" spans="2:39" x14ac:dyDescent="0.2">
      <c r="B59" s="63" t="s">
        <v>80</v>
      </c>
      <c r="C59" s="64"/>
      <c r="D59" s="65"/>
      <c r="E59" s="66" t="s">
        <v>81</v>
      </c>
      <c r="F59" s="67" t="s">
        <v>225</v>
      </c>
      <c r="G59" s="68" t="s">
        <v>82</v>
      </c>
      <c r="H59" s="69">
        <v>5.54</v>
      </c>
      <c r="I59" s="70">
        <v>0.4</v>
      </c>
      <c r="J59" s="71" t="s">
        <v>117</v>
      </c>
      <c r="K59" s="18">
        <v>3.32</v>
      </c>
      <c r="L59" s="18">
        <v>1.2</v>
      </c>
      <c r="M59" s="18">
        <v>1.2</v>
      </c>
      <c r="N59" s="75" t="s">
        <v>275</v>
      </c>
      <c r="O59" s="75">
        <v>1.2</v>
      </c>
      <c r="P59" s="70">
        <v>0.5</v>
      </c>
      <c r="Q59" s="75">
        <v>0.6</v>
      </c>
      <c r="R59" s="75">
        <v>0.6</v>
      </c>
      <c r="S59" s="75">
        <v>0.6</v>
      </c>
      <c r="T59" s="74">
        <v>0.6</v>
      </c>
      <c r="U59" s="106">
        <v>1.99</v>
      </c>
      <c r="V59" s="61"/>
      <c r="W59" s="78">
        <v>1464.64</v>
      </c>
      <c r="X59" s="78">
        <v>4456.6099999999997</v>
      </c>
      <c r="Y59" s="78">
        <v>3623.79</v>
      </c>
      <c r="Z59" s="78">
        <v>2206.91</v>
      </c>
      <c r="AA59" s="78">
        <v>2032.79</v>
      </c>
      <c r="AB59" s="78">
        <v>1595.98</v>
      </c>
      <c r="AC59" s="78">
        <v>3055.65</v>
      </c>
      <c r="AD59" s="78">
        <v>1535.29</v>
      </c>
      <c r="AE59" s="78">
        <v>1703.44</v>
      </c>
      <c r="AF59" s="78">
        <v>3705.38</v>
      </c>
      <c r="AG59" s="78">
        <v>5723.24</v>
      </c>
      <c r="AH59" s="78">
        <v>2507.4</v>
      </c>
      <c r="AI59" s="78">
        <v>2402.9299999999998</v>
      </c>
      <c r="AJ59" s="78">
        <v>1499.47</v>
      </c>
      <c r="AK59" s="78">
        <v>3901.4</v>
      </c>
      <c r="AL59" s="78">
        <v>2995.95</v>
      </c>
      <c r="AM59" s="78">
        <v>1354.2</v>
      </c>
    </row>
    <row r="60" spans="2:39" ht="13.5" thickBot="1" x14ac:dyDescent="0.25">
      <c r="B60" s="220" t="s">
        <v>83</v>
      </c>
      <c r="C60" s="221"/>
      <c r="D60" s="222"/>
      <c r="E60" s="223" t="s">
        <v>84</v>
      </c>
      <c r="F60" s="224" t="s">
        <v>226</v>
      </c>
      <c r="G60" s="225" t="s">
        <v>10</v>
      </c>
      <c r="H60" s="226">
        <v>3.98</v>
      </c>
      <c r="I60" s="227">
        <v>0.28000000000000003</v>
      </c>
      <c r="J60" s="228" t="s">
        <v>116</v>
      </c>
      <c r="K60" s="230">
        <v>2.87</v>
      </c>
      <c r="L60" s="230">
        <v>5.41</v>
      </c>
      <c r="M60" s="230">
        <v>5.41</v>
      </c>
      <c r="N60" s="230" t="s">
        <v>275</v>
      </c>
      <c r="O60" s="230">
        <v>6.43</v>
      </c>
      <c r="P60" s="227">
        <v>0.5</v>
      </c>
      <c r="Q60" s="230">
        <v>2.7</v>
      </c>
      <c r="R60" s="230">
        <v>2.71</v>
      </c>
      <c r="S60" s="230">
        <v>2.7</v>
      </c>
      <c r="T60" s="232">
        <v>2.71</v>
      </c>
      <c r="U60" s="232">
        <v>7.75</v>
      </c>
      <c r="V60" s="61"/>
      <c r="W60" s="104">
        <v>5726.08</v>
      </c>
      <c r="X60" s="104">
        <v>17423.310000000001</v>
      </c>
      <c r="Y60" s="104">
        <v>14167.38</v>
      </c>
      <c r="Z60" s="104">
        <v>8628.02</v>
      </c>
      <c r="AA60" s="104">
        <v>7947.27</v>
      </c>
      <c r="AB60" s="104">
        <v>6215.5</v>
      </c>
      <c r="AC60" s="104">
        <v>11946.19</v>
      </c>
      <c r="AD60" s="104">
        <v>6002.27</v>
      </c>
      <c r="AE60" s="104">
        <v>6634</v>
      </c>
      <c r="AF60" s="104">
        <v>14430.5</v>
      </c>
      <c r="AG60" s="104">
        <v>22375.279999999999</v>
      </c>
      <c r="AH60" s="104">
        <v>9765</v>
      </c>
      <c r="AI60" s="104">
        <v>9394.35</v>
      </c>
      <c r="AJ60" s="104">
        <v>5862.23</v>
      </c>
      <c r="AK60" s="104">
        <v>15252.69</v>
      </c>
      <c r="AL60" s="104">
        <v>11712.79</v>
      </c>
      <c r="AM60" s="104">
        <v>5273.88</v>
      </c>
    </row>
    <row r="61" spans="2:39" x14ac:dyDescent="0.2">
      <c r="B61" s="132" t="s">
        <v>105</v>
      </c>
      <c r="C61" s="133"/>
      <c r="D61" s="119"/>
      <c r="E61" s="120"/>
      <c r="F61" s="134"/>
      <c r="G61" s="122"/>
      <c r="H61" s="123"/>
      <c r="I61" s="124"/>
      <c r="J61" s="125"/>
      <c r="K61" s="126"/>
      <c r="L61" s="126"/>
      <c r="M61" s="126"/>
      <c r="N61" s="126"/>
      <c r="O61" s="126"/>
      <c r="P61" s="124"/>
      <c r="Q61" s="126"/>
      <c r="R61" s="126"/>
      <c r="S61" s="126"/>
      <c r="T61" s="128"/>
      <c r="U61" s="135"/>
      <c r="V61" s="61"/>
      <c r="W61" s="105"/>
      <c r="X61" s="105"/>
      <c r="Y61" s="105"/>
      <c r="Z61" s="105"/>
      <c r="AA61" s="105"/>
      <c r="AB61" s="105"/>
      <c r="AC61" s="105"/>
      <c r="AD61" s="105"/>
      <c r="AE61" s="105"/>
      <c r="AF61" s="105"/>
      <c r="AG61" s="105"/>
      <c r="AH61" s="105"/>
      <c r="AI61" s="105"/>
      <c r="AJ61" s="105"/>
      <c r="AK61" s="105"/>
      <c r="AL61" s="105"/>
      <c r="AM61" s="105"/>
    </row>
    <row r="62" spans="2:39" x14ac:dyDescent="0.2">
      <c r="B62" s="63" t="s">
        <v>175</v>
      </c>
      <c r="C62" s="64"/>
      <c r="D62" s="65"/>
      <c r="E62" s="66" t="s">
        <v>85</v>
      </c>
      <c r="F62" s="67" t="s">
        <v>147</v>
      </c>
      <c r="G62" s="68" t="s">
        <v>10</v>
      </c>
      <c r="H62" s="69">
        <v>32.67</v>
      </c>
      <c r="I62" s="70">
        <v>0.5</v>
      </c>
      <c r="J62" s="71" t="s">
        <v>116</v>
      </c>
      <c r="K62" s="75">
        <v>16.34</v>
      </c>
      <c r="L62" s="75">
        <v>3.39</v>
      </c>
      <c r="M62" s="75">
        <v>3.39</v>
      </c>
      <c r="N62" s="75" t="s">
        <v>275</v>
      </c>
      <c r="O62" s="75">
        <v>4.79</v>
      </c>
      <c r="P62" s="70">
        <v>0.5</v>
      </c>
      <c r="Q62" s="75">
        <v>1.69</v>
      </c>
      <c r="R62" s="75">
        <v>1.7</v>
      </c>
      <c r="S62" s="75">
        <v>1.69</v>
      </c>
      <c r="T62" s="74">
        <v>1.7</v>
      </c>
      <c r="U62" s="106">
        <v>27.61</v>
      </c>
      <c r="V62" s="61"/>
      <c r="W62" s="78">
        <v>20446.080000000002</v>
      </c>
      <c r="X62" s="78">
        <v>62213.31</v>
      </c>
      <c r="Y62" s="78">
        <v>50587.38</v>
      </c>
      <c r="Z62" s="78">
        <v>30808.02</v>
      </c>
      <c r="AA62" s="78">
        <v>28377.27</v>
      </c>
      <c r="AB62" s="78">
        <v>22143.22</v>
      </c>
      <c r="AC62" s="78">
        <v>42656.19</v>
      </c>
      <c r="AD62" s="78">
        <v>21432.27</v>
      </c>
      <c r="AE62" s="78">
        <v>23634.16</v>
      </c>
      <c r="AF62" s="78">
        <v>51409.82</v>
      </c>
      <c r="AG62" s="78">
        <v>79895.28</v>
      </c>
      <c r="AH62" s="78">
        <v>34788.6</v>
      </c>
      <c r="AI62" s="78">
        <v>33544.35</v>
      </c>
      <c r="AJ62" s="78">
        <v>20932.23</v>
      </c>
      <c r="AK62" s="78">
        <v>54462.69</v>
      </c>
      <c r="AL62" s="78">
        <v>41822.79</v>
      </c>
      <c r="AM62" s="78">
        <v>18788.61</v>
      </c>
    </row>
    <row r="63" spans="2:39" x14ac:dyDescent="0.2">
      <c r="B63" s="63" t="s">
        <v>176</v>
      </c>
      <c r="C63" s="64"/>
      <c r="D63" s="65"/>
      <c r="E63" s="66" t="s">
        <v>86</v>
      </c>
      <c r="F63" s="67" t="s">
        <v>148</v>
      </c>
      <c r="G63" s="68" t="s">
        <v>10</v>
      </c>
      <c r="H63" s="69">
        <v>28.34</v>
      </c>
      <c r="I63" s="70">
        <v>0.5</v>
      </c>
      <c r="J63" s="71" t="s">
        <v>117</v>
      </c>
      <c r="K63" s="75">
        <v>14.17</v>
      </c>
      <c r="L63" s="75">
        <v>3.39</v>
      </c>
      <c r="M63" s="75">
        <v>3.39</v>
      </c>
      <c r="N63" s="75" t="s">
        <v>275</v>
      </c>
      <c r="O63" s="75">
        <v>4.79</v>
      </c>
      <c r="P63" s="70">
        <v>0.5</v>
      </c>
      <c r="Q63" s="75">
        <v>1.69</v>
      </c>
      <c r="R63" s="75">
        <v>1.7</v>
      </c>
      <c r="S63" s="75">
        <v>1.69</v>
      </c>
      <c r="T63" s="74">
        <v>1.7</v>
      </c>
      <c r="U63" s="106">
        <v>23.95</v>
      </c>
      <c r="V63" s="61"/>
      <c r="W63" s="78">
        <v>17730.240000000002</v>
      </c>
      <c r="X63" s="78">
        <v>53949.56</v>
      </c>
      <c r="Y63" s="78">
        <v>43867.89</v>
      </c>
      <c r="Z63" s="78">
        <v>26715.81</v>
      </c>
      <c r="AA63" s="78">
        <v>24607.94</v>
      </c>
      <c r="AB63" s="78">
        <v>19207.900000000001</v>
      </c>
      <c r="AC63" s="78">
        <v>36990.199999999997</v>
      </c>
      <c r="AD63" s="78">
        <v>18585.439999999999</v>
      </c>
      <c r="AE63" s="78">
        <v>20501.2</v>
      </c>
      <c r="AF63" s="78">
        <v>44594.9</v>
      </c>
      <c r="AG63" s="78">
        <v>69282.84</v>
      </c>
      <c r="AH63" s="78">
        <v>30177</v>
      </c>
      <c r="AI63" s="78">
        <v>29088.68</v>
      </c>
      <c r="AJ63" s="78">
        <v>18151.82</v>
      </c>
      <c r="AK63" s="78">
        <v>47228.45</v>
      </c>
      <c r="AL63" s="78">
        <v>36267.5</v>
      </c>
      <c r="AM63" s="78">
        <v>16297.98</v>
      </c>
    </row>
    <row r="64" spans="2:39" x14ac:dyDescent="0.2">
      <c r="B64" s="233" t="s">
        <v>87</v>
      </c>
      <c r="C64" s="234"/>
      <c r="D64" s="235"/>
      <c r="E64" s="247" t="s">
        <v>88</v>
      </c>
      <c r="F64" s="237" t="s">
        <v>227</v>
      </c>
      <c r="G64" s="238" t="s">
        <v>10</v>
      </c>
      <c r="H64" s="239">
        <v>9.77</v>
      </c>
      <c r="I64" s="240">
        <v>0.43</v>
      </c>
      <c r="J64" s="241" t="s">
        <v>116</v>
      </c>
      <c r="K64" s="242">
        <v>5.57</v>
      </c>
      <c r="L64" s="242">
        <v>5.41</v>
      </c>
      <c r="M64" s="242">
        <v>5.41</v>
      </c>
      <c r="N64" s="242" t="s">
        <v>275</v>
      </c>
      <c r="O64" s="243">
        <v>4.79</v>
      </c>
      <c r="P64" s="240">
        <v>0.5</v>
      </c>
      <c r="Q64" s="243">
        <v>2.7</v>
      </c>
      <c r="R64" s="243">
        <v>2.71</v>
      </c>
      <c r="S64" s="243">
        <v>2.7</v>
      </c>
      <c r="T64" s="245">
        <v>2.71</v>
      </c>
      <c r="U64" s="245">
        <v>15.04</v>
      </c>
      <c r="V64" s="61"/>
      <c r="W64" s="78">
        <v>11106.24</v>
      </c>
      <c r="X64" s="78">
        <v>33794.06</v>
      </c>
      <c r="Y64" s="78">
        <v>27478.89</v>
      </c>
      <c r="Z64" s="78">
        <v>16734.810000000001</v>
      </c>
      <c r="AA64" s="78">
        <v>15414.44</v>
      </c>
      <c r="AB64" s="78">
        <v>12062.08</v>
      </c>
      <c r="AC64" s="78">
        <v>23170.7</v>
      </c>
      <c r="AD64" s="78">
        <v>11641.94</v>
      </c>
      <c r="AE64" s="78">
        <v>12874.24</v>
      </c>
      <c r="AF64" s="78">
        <v>28004.48</v>
      </c>
      <c r="AG64" s="78">
        <v>43398.84</v>
      </c>
      <c r="AH64" s="78">
        <v>18950.400000000001</v>
      </c>
      <c r="AI64" s="78">
        <v>18221.18</v>
      </c>
      <c r="AJ64" s="78">
        <v>11370.32</v>
      </c>
      <c r="AK64" s="78">
        <v>29583.95</v>
      </c>
      <c r="AL64" s="78">
        <v>22718</v>
      </c>
      <c r="AM64" s="78">
        <v>10234.719999999999</v>
      </c>
    </row>
    <row r="65" spans="2:39" x14ac:dyDescent="0.2">
      <c r="B65" s="63" t="s">
        <v>321</v>
      </c>
      <c r="C65" s="91"/>
      <c r="D65" s="65"/>
      <c r="E65" s="66" t="s">
        <v>89</v>
      </c>
      <c r="F65" s="67" t="s">
        <v>228</v>
      </c>
      <c r="G65" s="68" t="s">
        <v>10</v>
      </c>
      <c r="H65" s="69">
        <v>7.8</v>
      </c>
      <c r="I65" s="70">
        <v>0.44</v>
      </c>
      <c r="J65" s="71" t="s">
        <v>116</v>
      </c>
      <c r="K65" s="18">
        <v>4.37</v>
      </c>
      <c r="L65" s="18">
        <v>5.41</v>
      </c>
      <c r="M65" s="18">
        <v>5.41</v>
      </c>
      <c r="N65" s="18" t="s">
        <v>275</v>
      </c>
      <c r="O65" s="75">
        <v>4.79</v>
      </c>
      <c r="P65" s="70">
        <v>0.5</v>
      </c>
      <c r="Q65" s="75">
        <v>2.7</v>
      </c>
      <c r="R65" s="75">
        <v>2.71</v>
      </c>
      <c r="S65" s="75">
        <v>2.7</v>
      </c>
      <c r="T65" s="74">
        <v>2.71</v>
      </c>
      <c r="U65" s="106">
        <v>11.8</v>
      </c>
      <c r="V65" s="61"/>
      <c r="W65" s="78">
        <v>8714.24</v>
      </c>
      <c r="X65" s="78">
        <v>26515.68</v>
      </c>
      <c r="Y65" s="78">
        <v>21560.639999999999</v>
      </c>
      <c r="Z65" s="78">
        <v>13130.56</v>
      </c>
      <c r="AA65" s="78">
        <v>12094.56</v>
      </c>
      <c r="AB65" s="78">
        <v>9463.6</v>
      </c>
      <c r="AC65" s="78">
        <v>18180.32</v>
      </c>
      <c r="AD65" s="78">
        <v>9134.56</v>
      </c>
      <c r="AE65" s="78">
        <v>10100.799999999999</v>
      </c>
      <c r="AF65" s="78">
        <v>21971.599999999999</v>
      </c>
      <c r="AG65" s="78">
        <v>34051.839999999997</v>
      </c>
      <c r="AH65" s="78">
        <v>14868</v>
      </c>
      <c r="AI65" s="78">
        <v>14296.8</v>
      </c>
      <c r="AJ65" s="78">
        <v>8921.44</v>
      </c>
      <c r="AK65" s="78">
        <v>23212.32</v>
      </c>
      <c r="AL65" s="78">
        <v>17825.12</v>
      </c>
      <c r="AM65" s="78">
        <v>8029.9</v>
      </c>
    </row>
    <row r="66" spans="2:39" ht="13.5" thickBot="1" x14ac:dyDescent="0.25">
      <c r="B66" s="139" t="s">
        <v>177</v>
      </c>
      <c r="C66" s="33"/>
      <c r="D66" s="107"/>
      <c r="E66" s="108" t="s">
        <v>178</v>
      </c>
      <c r="F66" s="36" t="s">
        <v>229</v>
      </c>
      <c r="G66" s="136" t="s">
        <v>10</v>
      </c>
      <c r="H66" s="110">
        <v>43.38</v>
      </c>
      <c r="I66" s="111">
        <v>0.7</v>
      </c>
      <c r="J66" s="112" t="s">
        <v>116</v>
      </c>
      <c r="K66" s="23">
        <v>13.01</v>
      </c>
      <c r="L66" s="23">
        <v>1.2</v>
      </c>
      <c r="M66" s="23">
        <v>1.2</v>
      </c>
      <c r="N66" s="23" t="s">
        <v>275</v>
      </c>
      <c r="O66" s="113">
        <v>4.79</v>
      </c>
      <c r="P66" s="111">
        <v>0.5</v>
      </c>
      <c r="Q66" s="113">
        <v>0.6</v>
      </c>
      <c r="R66" s="113">
        <v>0.6</v>
      </c>
      <c r="S66" s="113">
        <v>0.6</v>
      </c>
      <c r="T66" s="115">
        <v>0.6</v>
      </c>
      <c r="U66" s="116">
        <v>7.81</v>
      </c>
      <c r="V66" s="61"/>
      <c r="W66" s="80">
        <v>5748.16</v>
      </c>
      <c r="X66" s="80">
        <v>17490.5</v>
      </c>
      <c r="Y66" s="80">
        <v>14222.01</v>
      </c>
      <c r="Z66" s="80">
        <v>8661.2900000000009</v>
      </c>
      <c r="AA66" s="80">
        <v>7977.92</v>
      </c>
      <c r="AB66" s="80">
        <v>6263.62</v>
      </c>
      <c r="AC66" s="80">
        <v>11992.26</v>
      </c>
      <c r="AD66" s="80">
        <v>6025.42</v>
      </c>
      <c r="AE66" s="80">
        <v>6685.36</v>
      </c>
      <c r="AF66" s="80">
        <v>14542.22</v>
      </c>
      <c r="AG66" s="80">
        <v>22461.56</v>
      </c>
      <c r="AH66" s="80">
        <v>9840.6</v>
      </c>
      <c r="AI66" s="80">
        <v>9430.58</v>
      </c>
      <c r="AJ66" s="80">
        <v>5884.84</v>
      </c>
      <c r="AK66" s="80">
        <v>15311.51</v>
      </c>
      <c r="AL66" s="80">
        <v>11757.96</v>
      </c>
      <c r="AM66" s="80">
        <v>5314.71</v>
      </c>
    </row>
    <row r="67" spans="2:39" x14ac:dyDescent="0.2">
      <c r="B67" s="132" t="s">
        <v>106</v>
      </c>
      <c r="C67" s="133"/>
      <c r="D67" s="119"/>
      <c r="E67" s="120"/>
      <c r="F67" s="137"/>
      <c r="G67" s="122"/>
      <c r="H67" s="123"/>
      <c r="I67" s="124"/>
      <c r="J67" s="125"/>
      <c r="K67" s="126"/>
      <c r="L67" s="126"/>
      <c r="M67" s="126"/>
      <c r="N67" s="126"/>
      <c r="O67" s="126"/>
      <c r="P67" s="124"/>
      <c r="Q67" s="126"/>
      <c r="R67" s="126"/>
      <c r="S67" s="126"/>
      <c r="T67" s="128"/>
      <c r="U67" s="135"/>
      <c r="V67" s="61"/>
      <c r="W67" s="62"/>
      <c r="X67" s="62"/>
      <c r="Y67" s="62"/>
      <c r="Z67" s="62"/>
      <c r="AA67" s="62"/>
      <c r="AB67" s="62"/>
      <c r="AC67" s="62"/>
      <c r="AD67" s="62"/>
      <c r="AE67" s="62"/>
      <c r="AF67" s="62"/>
      <c r="AG67" s="62"/>
      <c r="AH67" s="62"/>
      <c r="AI67" s="62"/>
      <c r="AJ67" s="62"/>
      <c r="AK67" s="62"/>
      <c r="AL67" s="62"/>
      <c r="AM67" s="62"/>
    </row>
    <row r="68" spans="2:39" x14ac:dyDescent="0.2">
      <c r="B68" s="281" t="s">
        <v>179</v>
      </c>
      <c r="C68" s="271"/>
      <c r="D68" s="272"/>
      <c r="E68" s="273" t="s">
        <v>90</v>
      </c>
      <c r="F68" s="274" t="s">
        <v>230</v>
      </c>
      <c r="G68" s="275" t="s">
        <v>10</v>
      </c>
      <c r="H68" s="276">
        <v>4.83</v>
      </c>
      <c r="I68" s="277">
        <v>0.3</v>
      </c>
      <c r="J68" s="278" t="s">
        <v>118</v>
      </c>
      <c r="K68" s="279">
        <v>3.38</v>
      </c>
      <c r="L68" s="279">
        <v>5.82</v>
      </c>
      <c r="M68" s="279">
        <v>6.35</v>
      </c>
      <c r="N68" s="279" t="s">
        <v>276</v>
      </c>
      <c r="O68" s="279">
        <v>6.43</v>
      </c>
      <c r="P68" s="277">
        <v>0.5</v>
      </c>
      <c r="Q68" s="279">
        <v>2.91</v>
      </c>
      <c r="R68" s="279">
        <v>3.18</v>
      </c>
      <c r="S68" s="279">
        <v>2.91</v>
      </c>
      <c r="T68" s="280">
        <v>3.18</v>
      </c>
      <c r="U68" s="280">
        <v>9.84</v>
      </c>
      <c r="V68" s="61"/>
      <c r="W68" s="78">
        <v>7912</v>
      </c>
      <c r="X68" s="78">
        <v>24074.63</v>
      </c>
      <c r="Y68" s="78">
        <v>19575.75</v>
      </c>
      <c r="Z68" s="78">
        <v>11921.75</v>
      </c>
      <c r="AA68" s="78">
        <v>10981.13</v>
      </c>
      <c r="AB68" s="78">
        <v>7891.68</v>
      </c>
      <c r="AC68" s="78">
        <v>16506.63</v>
      </c>
      <c r="AD68" s="78">
        <v>8293.6299999999992</v>
      </c>
      <c r="AE68" s="78">
        <v>8423.0400000000009</v>
      </c>
      <c r="AF68" s="78">
        <v>18322.080000000002</v>
      </c>
      <c r="AG68" s="78">
        <v>30917</v>
      </c>
      <c r="AH68" s="78">
        <v>12398.4</v>
      </c>
      <c r="AI68" s="78">
        <v>12980.63</v>
      </c>
      <c r="AJ68" s="78">
        <v>8100.13</v>
      </c>
      <c r="AK68" s="78">
        <v>21075.38</v>
      </c>
      <c r="AL68" s="78">
        <v>16184.13</v>
      </c>
      <c r="AM68" s="78">
        <v>6696.12</v>
      </c>
    </row>
    <row r="69" spans="2:39" x14ac:dyDescent="0.2">
      <c r="B69" s="233" t="s">
        <v>180</v>
      </c>
      <c r="C69" s="234"/>
      <c r="D69" s="235"/>
      <c r="E69" s="247" t="s">
        <v>91</v>
      </c>
      <c r="F69" s="237" t="s">
        <v>149</v>
      </c>
      <c r="G69" s="238" t="s">
        <v>10</v>
      </c>
      <c r="H69" s="239">
        <v>6.94</v>
      </c>
      <c r="I69" s="240">
        <v>0.3</v>
      </c>
      <c r="J69" s="241" t="s">
        <v>117</v>
      </c>
      <c r="K69" s="243">
        <v>4.8600000000000003</v>
      </c>
      <c r="L69" s="243">
        <v>5.82</v>
      </c>
      <c r="M69" s="243">
        <v>6.35</v>
      </c>
      <c r="N69" s="243" t="s">
        <v>276</v>
      </c>
      <c r="O69" s="243">
        <v>6.43</v>
      </c>
      <c r="P69" s="240">
        <v>0.5</v>
      </c>
      <c r="Q69" s="243">
        <v>2.91</v>
      </c>
      <c r="R69" s="243">
        <v>3.18</v>
      </c>
      <c r="S69" s="243">
        <v>2.91</v>
      </c>
      <c r="T69" s="245">
        <v>3.18</v>
      </c>
      <c r="U69" s="245">
        <v>14.14</v>
      </c>
      <c r="V69" s="61"/>
      <c r="W69" s="78">
        <v>11371.2</v>
      </c>
      <c r="X69" s="78">
        <v>34600.28</v>
      </c>
      <c r="Y69" s="78">
        <v>28134.45</v>
      </c>
      <c r="Z69" s="78">
        <v>17134.05</v>
      </c>
      <c r="AA69" s="78">
        <v>15782.18</v>
      </c>
      <c r="AB69" s="78">
        <v>11340.28</v>
      </c>
      <c r="AC69" s="78">
        <v>23723.48</v>
      </c>
      <c r="AD69" s="78">
        <v>11919.68</v>
      </c>
      <c r="AE69" s="78">
        <v>12103.84</v>
      </c>
      <c r="AF69" s="78">
        <v>26328.68</v>
      </c>
      <c r="AG69" s="78">
        <v>44434.2</v>
      </c>
      <c r="AH69" s="78">
        <v>17816.400000000001</v>
      </c>
      <c r="AI69" s="78">
        <v>18655.88</v>
      </c>
      <c r="AJ69" s="78">
        <v>11641.58</v>
      </c>
      <c r="AK69" s="78">
        <v>30289.73</v>
      </c>
      <c r="AL69" s="78">
        <v>23259.98</v>
      </c>
      <c r="AM69" s="78">
        <v>9622.27</v>
      </c>
    </row>
    <row r="70" spans="2:39" x14ac:dyDescent="0.2">
      <c r="B70" s="233" t="s">
        <v>92</v>
      </c>
      <c r="C70" s="234"/>
      <c r="D70" s="235"/>
      <c r="E70" s="247" t="s">
        <v>93</v>
      </c>
      <c r="F70" s="237" t="s">
        <v>231</v>
      </c>
      <c r="G70" s="238" t="s">
        <v>10</v>
      </c>
      <c r="H70" s="239">
        <v>2.33</v>
      </c>
      <c r="I70" s="240">
        <v>0.48</v>
      </c>
      <c r="J70" s="241" t="s">
        <v>116</v>
      </c>
      <c r="K70" s="243">
        <v>1.21</v>
      </c>
      <c r="L70" s="243">
        <v>5.82</v>
      </c>
      <c r="M70" s="243">
        <v>6.35</v>
      </c>
      <c r="N70" s="243" t="s">
        <v>276</v>
      </c>
      <c r="O70" s="243">
        <v>6.43</v>
      </c>
      <c r="P70" s="240">
        <v>0.5</v>
      </c>
      <c r="Q70" s="243">
        <v>2.91</v>
      </c>
      <c r="R70" s="243">
        <v>3.18</v>
      </c>
      <c r="S70" s="243">
        <v>2.91</v>
      </c>
      <c r="T70" s="245">
        <v>3.18</v>
      </c>
      <c r="U70" s="245">
        <v>3.52</v>
      </c>
      <c r="V70" s="61"/>
      <c r="W70" s="78">
        <v>2833.6</v>
      </c>
      <c r="X70" s="78">
        <v>8622.08</v>
      </c>
      <c r="Y70" s="78">
        <v>7010.85</v>
      </c>
      <c r="Z70" s="78">
        <v>4269.6499999999996</v>
      </c>
      <c r="AA70" s="78">
        <v>3932.78</v>
      </c>
      <c r="AB70" s="78">
        <v>2823.04</v>
      </c>
      <c r="AC70" s="78">
        <v>5911.68</v>
      </c>
      <c r="AD70" s="78">
        <v>2970.28</v>
      </c>
      <c r="AE70" s="78">
        <v>3013.12</v>
      </c>
      <c r="AF70" s="78">
        <v>6554.24</v>
      </c>
      <c r="AG70" s="78">
        <v>11072.6</v>
      </c>
      <c r="AH70" s="78">
        <v>4435.2</v>
      </c>
      <c r="AI70" s="78">
        <v>4648.88</v>
      </c>
      <c r="AJ70" s="78">
        <v>2900.98</v>
      </c>
      <c r="AK70" s="78">
        <v>7547.93</v>
      </c>
      <c r="AL70" s="78">
        <v>5796.18</v>
      </c>
      <c r="AM70" s="78">
        <v>2395.36</v>
      </c>
    </row>
    <row r="71" spans="2:39" x14ac:dyDescent="0.2">
      <c r="B71" s="233" t="s">
        <v>181</v>
      </c>
      <c r="C71" s="234"/>
      <c r="D71" s="235"/>
      <c r="E71" s="247" t="s">
        <v>182</v>
      </c>
      <c r="F71" s="237" t="s">
        <v>232</v>
      </c>
      <c r="G71" s="238" t="s">
        <v>10</v>
      </c>
      <c r="H71" s="239">
        <v>8.51</v>
      </c>
      <c r="I71" s="240">
        <v>0.53</v>
      </c>
      <c r="J71" s="241" t="s">
        <v>116</v>
      </c>
      <c r="K71" s="243">
        <v>4</v>
      </c>
      <c r="L71" s="243">
        <v>5.82</v>
      </c>
      <c r="M71" s="243">
        <v>6.35</v>
      </c>
      <c r="N71" s="243" t="s">
        <v>276</v>
      </c>
      <c r="O71" s="243">
        <v>6.43</v>
      </c>
      <c r="P71" s="240">
        <v>0.5</v>
      </c>
      <c r="Q71" s="243">
        <v>2.91</v>
      </c>
      <c r="R71" s="243">
        <v>3.18</v>
      </c>
      <c r="S71" s="243">
        <v>2.91</v>
      </c>
      <c r="T71" s="245">
        <v>3.18</v>
      </c>
      <c r="U71" s="245">
        <v>11.64</v>
      </c>
      <c r="V71" s="61"/>
      <c r="W71" s="78">
        <v>9361.92</v>
      </c>
      <c r="X71" s="78">
        <v>28486.44</v>
      </c>
      <c r="Y71" s="78">
        <v>23163.119999999999</v>
      </c>
      <c r="Z71" s="78">
        <v>14106.48</v>
      </c>
      <c r="AA71" s="78">
        <v>12993.48</v>
      </c>
      <c r="AB71" s="78">
        <v>9335.2800000000007</v>
      </c>
      <c r="AC71" s="78">
        <v>19531.560000000001</v>
      </c>
      <c r="AD71" s="78">
        <v>9813.48</v>
      </c>
      <c r="AE71" s="78">
        <v>9963.84</v>
      </c>
      <c r="AF71" s="78">
        <v>21673.68</v>
      </c>
      <c r="AG71" s="78">
        <v>36582.720000000001</v>
      </c>
      <c r="AH71" s="78">
        <v>14666.4</v>
      </c>
      <c r="AI71" s="78">
        <v>15359.4</v>
      </c>
      <c r="AJ71" s="78">
        <v>9584.52</v>
      </c>
      <c r="AK71" s="78">
        <v>24937.56</v>
      </c>
      <c r="AL71" s="78">
        <v>19149.96</v>
      </c>
      <c r="AM71" s="78">
        <v>7921.02</v>
      </c>
    </row>
    <row r="72" spans="2:39" x14ac:dyDescent="0.2">
      <c r="B72" s="63" t="s">
        <v>183</v>
      </c>
      <c r="C72" s="64"/>
      <c r="D72" s="65"/>
      <c r="E72" s="66" t="s">
        <v>94</v>
      </c>
      <c r="F72" s="67" t="s">
        <v>233</v>
      </c>
      <c r="G72" s="68" t="s">
        <v>10</v>
      </c>
      <c r="H72" s="69">
        <v>10.29</v>
      </c>
      <c r="I72" s="70">
        <v>0.49</v>
      </c>
      <c r="J72" s="71" t="s">
        <v>116</v>
      </c>
      <c r="K72" s="75">
        <v>5.25</v>
      </c>
      <c r="L72" s="75">
        <v>5.82</v>
      </c>
      <c r="M72" s="75">
        <v>6.35</v>
      </c>
      <c r="N72" s="75" t="s">
        <v>276</v>
      </c>
      <c r="O72" s="75">
        <v>6.43</v>
      </c>
      <c r="P72" s="70">
        <v>0.5</v>
      </c>
      <c r="Q72" s="75">
        <v>2.91</v>
      </c>
      <c r="R72" s="75">
        <v>3.18</v>
      </c>
      <c r="S72" s="75">
        <v>2.91</v>
      </c>
      <c r="T72" s="74">
        <v>3.18</v>
      </c>
      <c r="U72" s="106">
        <v>15.28</v>
      </c>
      <c r="V72" s="61"/>
      <c r="W72" s="78">
        <v>12291.2</v>
      </c>
      <c r="X72" s="78">
        <v>37399.65</v>
      </c>
      <c r="Y72" s="78">
        <v>30410.7</v>
      </c>
      <c r="Z72" s="78">
        <v>18520.3</v>
      </c>
      <c r="AA72" s="78">
        <v>17059.05</v>
      </c>
      <c r="AB72" s="78">
        <v>12254.56</v>
      </c>
      <c r="AC72" s="78">
        <v>25642.85</v>
      </c>
      <c r="AD72" s="78">
        <v>12884.05</v>
      </c>
      <c r="AE72" s="78">
        <v>13079.68</v>
      </c>
      <c r="AF72" s="78">
        <v>28451.360000000001</v>
      </c>
      <c r="AG72" s="78">
        <v>48029.2</v>
      </c>
      <c r="AH72" s="78">
        <v>19252.8</v>
      </c>
      <c r="AI72" s="78">
        <v>20165.25</v>
      </c>
      <c r="AJ72" s="78">
        <v>12583.45</v>
      </c>
      <c r="AK72" s="78">
        <v>32740.35</v>
      </c>
      <c r="AL72" s="78">
        <v>25141.85</v>
      </c>
      <c r="AM72" s="78">
        <v>10398.040000000001</v>
      </c>
    </row>
    <row r="73" spans="2:39" x14ac:dyDescent="0.2">
      <c r="B73" s="63" t="s">
        <v>95</v>
      </c>
      <c r="C73" s="64"/>
      <c r="D73" s="65"/>
      <c r="E73" s="66" t="s">
        <v>96</v>
      </c>
      <c r="F73" s="67" t="s">
        <v>234</v>
      </c>
      <c r="G73" s="68" t="s">
        <v>172</v>
      </c>
      <c r="H73" s="69">
        <v>3.81</v>
      </c>
      <c r="I73" s="70">
        <v>0.34</v>
      </c>
      <c r="J73" s="71" t="s">
        <v>116</v>
      </c>
      <c r="K73" s="75">
        <v>2.5099999999999998</v>
      </c>
      <c r="L73" s="75">
        <v>5.82</v>
      </c>
      <c r="M73" s="75">
        <v>6.35</v>
      </c>
      <c r="N73" s="75" t="s">
        <v>276</v>
      </c>
      <c r="O73" s="75">
        <v>6.43</v>
      </c>
      <c r="P73" s="70">
        <v>0.5</v>
      </c>
      <c r="Q73" s="75">
        <v>2.91</v>
      </c>
      <c r="R73" s="75">
        <v>3.18</v>
      </c>
      <c r="S73" s="75">
        <v>2.91</v>
      </c>
      <c r="T73" s="74">
        <v>3.18</v>
      </c>
      <c r="U73" s="106">
        <v>7.3</v>
      </c>
      <c r="V73" s="61"/>
      <c r="W73" s="78">
        <v>5873.28</v>
      </c>
      <c r="X73" s="78">
        <v>17871.21</v>
      </c>
      <c r="Y73" s="78">
        <v>14531.58</v>
      </c>
      <c r="Z73" s="78">
        <v>8849.82</v>
      </c>
      <c r="AA73" s="78">
        <v>8151.57</v>
      </c>
      <c r="AB73" s="78">
        <v>5854.6</v>
      </c>
      <c r="AC73" s="78">
        <v>12253.29</v>
      </c>
      <c r="AD73" s="78">
        <v>6156.57</v>
      </c>
      <c r="AE73" s="78">
        <v>6248.8</v>
      </c>
      <c r="AF73" s="78">
        <v>13592.6</v>
      </c>
      <c r="AG73" s="78">
        <v>22950.48</v>
      </c>
      <c r="AH73" s="78">
        <v>9198</v>
      </c>
      <c r="AI73" s="78">
        <v>9635.85</v>
      </c>
      <c r="AJ73" s="78">
        <v>6012.93</v>
      </c>
      <c r="AK73" s="78">
        <v>15644.79</v>
      </c>
      <c r="AL73" s="78">
        <v>12013.89</v>
      </c>
      <c r="AM73" s="78">
        <v>4967.6499999999996</v>
      </c>
    </row>
    <row r="74" spans="2:39" x14ac:dyDescent="0.2">
      <c r="B74" s="63" t="s">
        <v>97</v>
      </c>
      <c r="C74" s="64"/>
      <c r="D74" s="65"/>
      <c r="E74" s="66" t="s">
        <v>98</v>
      </c>
      <c r="F74" s="67" t="s">
        <v>235</v>
      </c>
      <c r="G74" s="68" t="s">
        <v>10</v>
      </c>
      <c r="H74" s="69">
        <v>9.24</v>
      </c>
      <c r="I74" s="70">
        <v>0.36</v>
      </c>
      <c r="J74" s="71" t="s">
        <v>116</v>
      </c>
      <c r="K74" s="75">
        <v>5.91</v>
      </c>
      <c r="L74" s="75">
        <v>5.82</v>
      </c>
      <c r="M74" s="75">
        <v>6.35</v>
      </c>
      <c r="N74" s="75" t="s">
        <v>276</v>
      </c>
      <c r="O74" s="75">
        <v>6.43</v>
      </c>
      <c r="P74" s="70">
        <v>0.5</v>
      </c>
      <c r="Q74" s="75">
        <v>2.91</v>
      </c>
      <c r="R74" s="75">
        <v>3.18</v>
      </c>
      <c r="S74" s="75">
        <v>2.91</v>
      </c>
      <c r="T74" s="74">
        <v>3.18</v>
      </c>
      <c r="U74" s="106">
        <v>17.2</v>
      </c>
      <c r="V74" s="61"/>
      <c r="W74" s="78">
        <v>13829.44</v>
      </c>
      <c r="X74" s="78">
        <v>42080.21</v>
      </c>
      <c r="Y74" s="78">
        <v>34216.589999999997</v>
      </c>
      <c r="Z74" s="78">
        <v>20838.11</v>
      </c>
      <c r="AA74" s="78">
        <v>19193.990000000002</v>
      </c>
      <c r="AB74" s="78">
        <v>13794.4</v>
      </c>
      <c r="AC74" s="78">
        <v>28852.05</v>
      </c>
      <c r="AD74" s="78">
        <v>14496.49</v>
      </c>
      <c r="AE74" s="78">
        <v>14723.2</v>
      </c>
      <c r="AF74" s="78">
        <v>32026.400000000001</v>
      </c>
      <c r="AG74" s="78">
        <v>54040.04</v>
      </c>
      <c r="AH74" s="78">
        <v>21672</v>
      </c>
      <c r="AI74" s="78">
        <v>22688.93</v>
      </c>
      <c r="AJ74" s="78">
        <v>14158.27</v>
      </c>
      <c r="AK74" s="78">
        <v>36837.800000000003</v>
      </c>
      <c r="AL74" s="78">
        <v>28288.35</v>
      </c>
      <c r="AM74" s="78">
        <v>11704.6</v>
      </c>
    </row>
    <row r="75" spans="2:39" x14ac:dyDescent="0.2">
      <c r="B75" s="261" t="s">
        <v>99</v>
      </c>
      <c r="C75" s="262"/>
      <c r="D75" s="263"/>
      <c r="E75" s="264" t="s">
        <v>100</v>
      </c>
      <c r="F75" s="252" t="s">
        <v>236</v>
      </c>
      <c r="G75" s="265" t="s">
        <v>10</v>
      </c>
      <c r="H75" s="266">
        <v>5</v>
      </c>
      <c r="I75" s="267">
        <v>0.3</v>
      </c>
      <c r="J75" s="268" t="s">
        <v>117</v>
      </c>
      <c r="K75" s="269">
        <v>3.5</v>
      </c>
      <c r="L75" s="269">
        <v>5.82</v>
      </c>
      <c r="M75" s="269">
        <v>6.35</v>
      </c>
      <c r="N75" s="269" t="s">
        <v>276</v>
      </c>
      <c r="O75" s="269">
        <v>6.43</v>
      </c>
      <c r="P75" s="267">
        <v>0.5</v>
      </c>
      <c r="Q75" s="269">
        <v>2.91</v>
      </c>
      <c r="R75" s="269">
        <v>3.18</v>
      </c>
      <c r="S75" s="269">
        <v>2.91</v>
      </c>
      <c r="T75" s="270">
        <v>3.18</v>
      </c>
      <c r="U75" s="270">
        <v>10.19</v>
      </c>
      <c r="V75" s="61"/>
      <c r="W75" s="78">
        <v>8191.68</v>
      </c>
      <c r="X75" s="78">
        <v>24925.64</v>
      </c>
      <c r="Y75" s="78">
        <v>20267.73</v>
      </c>
      <c r="Z75" s="78">
        <v>12343.17</v>
      </c>
      <c r="AA75" s="78">
        <v>11369.3</v>
      </c>
      <c r="AB75" s="78">
        <v>8172.38</v>
      </c>
      <c r="AC75" s="78">
        <v>17090.12</v>
      </c>
      <c r="AD75" s="78">
        <v>8586.7999999999993</v>
      </c>
      <c r="AE75" s="78">
        <v>8722.64</v>
      </c>
      <c r="AF75" s="78">
        <v>18973.78</v>
      </c>
      <c r="AG75" s="78">
        <v>32009.88</v>
      </c>
      <c r="AH75" s="78">
        <v>12839.4</v>
      </c>
      <c r="AI75" s="78">
        <v>13439.48</v>
      </c>
      <c r="AJ75" s="78">
        <v>8386.4599999999991</v>
      </c>
      <c r="AK75" s="78">
        <v>21820.37</v>
      </c>
      <c r="AL75" s="78">
        <v>16756.22</v>
      </c>
      <c r="AM75" s="78">
        <v>6934.3</v>
      </c>
    </row>
    <row r="76" spans="2:39" ht="13.5" thickBot="1" x14ac:dyDescent="0.25">
      <c r="B76" s="139" t="s">
        <v>184</v>
      </c>
      <c r="C76" s="140"/>
      <c r="D76" s="107"/>
      <c r="E76" s="108" t="s">
        <v>185</v>
      </c>
      <c r="F76" s="36" t="s">
        <v>237</v>
      </c>
      <c r="G76" s="136" t="s">
        <v>10</v>
      </c>
      <c r="H76" s="110">
        <v>1.95</v>
      </c>
      <c r="I76" s="111">
        <v>0.3</v>
      </c>
      <c r="J76" s="112" t="s">
        <v>117</v>
      </c>
      <c r="K76" s="113">
        <v>1.37</v>
      </c>
      <c r="L76" s="113">
        <v>5.82</v>
      </c>
      <c r="M76" s="113">
        <v>6.35</v>
      </c>
      <c r="N76" s="113" t="s">
        <v>276</v>
      </c>
      <c r="O76" s="113">
        <v>6.43</v>
      </c>
      <c r="P76" s="111">
        <v>0.5</v>
      </c>
      <c r="Q76" s="113">
        <v>2.91</v>
      </c>
      <c r="R76" s="113">
        <v>3.18</v>
      </c>
      <c r="S76" s="113">
        <v>2.91</v>
      </c>
      <c r="T76" s="115">
        <v>3.18</v>
      </c>
      <c r="U76" s="116">
        <v>3.99</v>
      </c>
      <c r="V76" s="61"/>
      <c r="W76" s="104">
        <v>3208.96</v>
      </c>
      <c r="X76" s="104">
        <v>9764.2199999999993</v>
      </c>
      <c r="Y76" s="104">
        <v>7939.56</v>
      </c>
      <c r="Z76" s="104">
        <v>4835.24</v>
      </c>
      <c r="AA76" s="104">
        <v>4453.74</v>
      </c>
      <c r="AB76" s="104">
        <v>3199.98</v>
      </c>
      <c r="AC76" s="104">
        <v>6694.78</v>
      </c>
      <c r="AD76" s="104">
        <v>3363.74</v>
      </c>
      <c r="AE76" s="104">
        <v>3415.44</v>
      </c>
      <c r="AF76" s="104">
        <v>7429.38</v>
      </c>
      <c r="AG76" s="104">
        <v>12539.36</v>
      </c>
      <c r="AH76" s="104">
        <v>5027.3999999999996</v>
      </c>
      <c r="AI76" s="104">
        <v>5264.7</v>
      </c>
      <c r="AJ76" s="104">
        <v>3285.26</v>
      </c>
      <c r="AK76" s="104">
        <v>8547.7800000000007</v>
      </c>
      <c r="AL76" s="104">
        <v>6563.98</v>
      </c>
      <c r="AM76" s="104">
        <v>2715.2</v>
      </c>
    </row>
    <row r="77" spans="2:39" x14ac:dyDescent="0.2">
      <c r="B77" s="81" t="s">
        <v>101</v>
      </c>
      <c r="C77" s="82"/>
      <c r="D77" s="83"/>
      <c r="E77" s="84"/>
      <c r="F77" s="141"/>
      <c r="G77" s="51"/>
      <c r="H77" s="52"/>
      <c r="I77" s="53"/>
      <c r="J77" s="54"/>
      <c r="K77" s="55"/>
      <c r="L77" s="55"/>
      <c r="M77" s="55"/>
      <c r="N77" s="55"/>
      <c r="O77" s="55"/>
      <c r="P77" s="53"/>
      <c r="Q77" s="55"/>
      <c r="R77" s="55"/>
      <c r="S77" s="55"/>
      <c r="T77" s="58"/>
      <c r="U77" s="138"/>
      <c r="V77" s="61"/>
      <c r="W77" s="105"/>
      <c r="X77" s="105"/>
      <c r="Y77" s="105"/>
      <c r="Z77" s="105"/>
      <c r="AA77" s="105"/>
      <c r="AB77" s="105"/>
      <c r="AC77" s="105"/>
      <c r="AD77" s="105"/>
      <c r="AE77" s="105"/>
      <c r="AF77" s="105"/>
      <c r="AG77" s="105"/>
      <c r="AH77" s="105"/>
      <c r="AI77" s="105"/>
      <c r="AJ77" s="105"/>
      <c r="AK77" s="105"/>
      <c r="AL77" s="105"/>
      <c r="AM77" s="105"/>
    </row>
    <row r="78" spans="2:39" x14ac:dyDescent="0.2">
      <c r="B78" s="63" t="s">
        <v>186</v>
      </c>
      <c r="C78" s="64"/>
      <c r="D78" s="65"/>
      <c r="E78" s="66" t="s">
        <v>102</v>
      </c>
      <c r="F78" s="67" t="s">
        <v>238</v>
      </c>
      <c r="G78" s="68" t="s">
        <v>10</v>
      </c>
      <c r="H78" s="69">
        <v>12.13</v>
      </c>
      <c r="I78" s="70">
        <v>0.4</v>
      </c>
      <c r="J78" s="71" t="s">
        <v>117</v>
      </c>
      <c r="K78" s="75">
        <v>7.28</v>
      </c>
      <c r="L78" s="75">
        <v>3.39</v>
      </c>
      <c r="M78" s="75">
        <v>3.39</v>
      </c>
      <c r="N78" s="75" t="s">
        <v>275</v>
      </c>
      <c r="O78" s="75">
        <v>3.39</v>
      </c>
      <c r="P78" s="70">
        <v>0.5</v>
      </c>
      <c r="Q78" s="75">
        <v>1.69</v>
      </c>
      <c r="R78" s="75">
        <v>1.7</v>
      </c>
      <c r="S78" s="75">
        <v>1.69</v>
      </c>
      <c r="T78" s="74">
        <v>1.7</v>
      </c>
      <c r="U78" s="106">
        <v>12.3</v>
      </c>
      <c r="V78" s="61"/>
      <c r="W78" s="78">
        <v>9111.68</v>
      </c>
      <c r="X78" s="78">
        <v>27725.01</v>
      </c>
      <c r="Y78" s="78">
        <v>22543.98</v>
      </c>
      <c r="Z78" s="78">
        <v>13729.42</v>
      </c>
      <c r="AA78" s="78">
        <v>12646.17</v>
      </c>
      <c r="AB78" s="78">
        <v>9864.6</v>
      </c>
      <c r="AC78" s="78">
        <v>19009.490000000002</v>
      </c>
      <c r="AD78" s="78">
        <v>9551.17</v>
      </c>
      <c r="AE78" s="78">
        <v>10528.8</v>
      </c>
      <c r="AF78" s="78">
        <v>22902.6</v>
      </c>
      <c r="AG78" s="78">
        <v>35604.879999999997</v>
      </c>
      <c r="AH78" s="78">
        <v>15498</v>
      </c>
      <c r="AI78" s="78">
        <v>14948.85</v>
      </c>
      <c r="AJ78" s="78">
        <v>9328.33</v>
      </c>
      <c r="AK78" s="78">
        <v>24270.99</v>
      </c>
      <c r="AL78" s="78">
        <v>18638.09</v>
      </c>
      <c r="AM78" s="78">
        <v>8370.15</v>
      </c>
    </row>
    <row r="79" spans="2:39" x14ac:dyDescent="0.2">
      <c r="B79" s="63" t="s">
        <v>187</v>
      </c>
      <c r="C79" s="91"/>
      <c r="D79" s="65"/>
      <c r="E79" s="99" t="s">
        <v>103</v>
      </c>
      <c r="F79" s="2" t="s">
        <v>239</v>
      </c>
      <c r="G79" s="95" t="s">
        <v>188</v>
      </c>
      <c r="H79" s="96">
        <v>27.15</v>
      </c>
      <c r="I79" s="97">
        <v>0.35</v>
      </c>
      <c r="J79" s="98" t="s">
        <v>116</v>
      </c>
      <c r="K79" s="142">
        <v>17.649999999999999</v>
      </c>
      <c r="L79" s="142">
        <v>3.39</v>
      </c>
      <c r="M79" s="142">
        <v>3.39</v>
      </c>
      <c r="N79" s="142" t="s">
        <v>275</v>
      </c>
      <c r="O79" s="142">
        <v>3.39</v>
      </c>
      <c r="P79" s="97">
        <v>0.5</v>
      </c>
      <c r="Q79" s="142">
        <v>1.69</v>
      </c>
      <c r="R79" s="142">
        <v>1.7</v>
      </c>
      <c r="S79" s="142">
        <v>1.69</v>
      </c>
      <c r="T79" s="76">
        <v>1.7</v>
      </c>
      <c r="U79" s="77">
        <v>29.83</v>
      </c>
      <c r="V79" s="61"/>
      <c r="W79" s="78">
        <v>22087.360000000001</v>
      </c>
      <c r="X79" s="78">
        <v>67207.399999999994</v>
      </c>
      <c r="Y79" s="78">
        <v>54648.21</v>
      </c>
      <c r="Z79" s="78">
        <v>33281.089999999997</v>
      </c>
      <c r="AA79" s="78">
        <v>30655.22</v>
      </c>
      <c r="AB79" s="78">
        <v>23923.66</v>
      </c>
      <c r="AC79" s="78">
        <v>46080.36</v>
      </c>
      <c r="AD79" s="78">
        <v>23152.720000000001</v>
      </c>
      <c r="AE79" s="78">
        <v>25534.48</v>
      </c>
      <c r="AF79" s="78">
        <v>55543.46</v>
      </c>
      <c r="AG79" s="78">
        <v>86308.76</v>
      </c>
      <c r="AH79" s="78">
        <v>37585.800000000003</v>
      </c>
      <c r="AI79" s="78">
        <v>36237.08</v>
      </c>
      <c r="AJ79" s="78">
        <v>22612.54</v>
      </c>
      <c r="AK79" s="78">
        <v>58834.61</v>
      </c>
      <c r="AL79" s="78">
        <v>45180.06</v>
      </c>
      <c r="AM79" s="78">
        <v>20299.32</v>
      </c>
    </row>
    <row r="80" spans="2:39" ht="13.5" thickBot="1" x14ac:dyDescent="0.25">
      <c r="B80" s="220" t="s">
        <v>189</v>
      </c>
      <c r="C80" s="221"/>
      <c r="D80" s="222"/>
      <c r="E80" s="223" t="s">
        <v>190</v>
      </c>
      <c r="F80" s="282" t="s">
        <v>240</v>
      </c>
      <c r="G80" s="225" t="s">
        <v>172</v>
      </c>
      <c r="H80" s="226">
        <v>1.45</v>
      </c>
      <c r="I80" s="227">
        <v>0.3</v>
      </c>
      <c r="J80" s="228" t="s">
        <v>117</v>
      </c>
      <c r="K80" s="229">
        <v>1.02</v>
      </c>
      <c r="L80" s="229">
        <v>3.39</v>
      </c>
      <c r="M80" s="229">
        <v>3.39</v>
      </c>
      <c r="N80" s="229" t="s">
        <v>275</v>
      </c>
      <c r="O80" s="230">
        <v>3.39</v>
      </c>
      <c r="P80" s="227">
        <v>0.5</v>
      </c>
      <c r="Q80" s="230">
        <v>1.69</v>
      </c>
      <c r="R80" s="230">
        <v>1.7</v>
      </c>
      <c r="S80" s="230">
        <v>1.69</v>
      </c>
      <c r="T80" s="232">
        <v>1.7</v>
      </c>
      <c r="U80" s="232">
        <v>1.72</v>
      </c>
      <c r="V80" s="61"/>
      <c r="W80" s="80">
        <v>1273.28</v>
      </c>
      <c r="X80" s="80">
        <v>3874.34</v>
      </c>
      <c r="Y80" s="80">
        <v>3150.33</v>
      </c>
      <c r="Z80" s="80">
        <v>1918.57</v>
      </c>
      <c r="AA80" s="80">
        <v>1767.2</v>
      </c>
      <c r="AB80" s="80">
        <v>1379.44</v>
      </c>
      <c r="AC80" s="80">
        <v>2656.42</v>
      </c>
      <c r="AD80" s="80">
        <v>1334.7</v>
      </c>
      <c r="AE80" s="80">
        <v>1472.32</v>
      </c>
      <c r="AF80" s="80">
        <v>3202.64</v>
      </c>
      <c r="AG80" s="80">
        <v>4975.4799999999996</v>
      </c>
      <c r="AH80" s="80">
        <v>2167.1999999999998</v>
      </c>
      <c r="AI80" s="80">
        <v>2088.98</v>
      </c>
      <c r="AJ80" s="80">
        <v>1303.56</v>
      </c>
      <c r="AK80" s="80">
        <v>3391.67</v>
      </c>
      <c r="AL80" s="80">
        <v>2604.52</v>
      </c>
      <c r="AM80" s="80">
        <v>1170.46</v>
      </c>
    </row>
    <row r="81" spans="2:40" x14ac:dyDescent="0.2">
      <c r="B81" s="31"/>
      <c r="C81" s="31"/>
      <c r="D81" s="31"/>
      <c r="E81" s="163"/>
      <c r="F81" s="164"/>
      <c r="G81" s="165"/>
      <c r="H81" s="143"/>
      <c r="I81" s="144"/>
      <c r="J81" s="166"/>
      <c r="K81" s="9"/>
      <c r="L81" s="9"/>
      <c r="M81" s="9"/>
      <c r="N81" s="9"/>
      <c r="O81" s="145"/>
      <c r="P81" s="144"/>
      <c r="Q81" s="145"/>
      <c r="R81" s="145"/>
      <c r="S81" s="145"/>
      <c r="T81" s="85"/>
      <c r="U81" s="86"/>
      <c r="V81" s="61"/>
      <c r="W81" s="167"/>
      <c r="X81" s="167"/>
      <c r="Y81" s="167"/>
      <c r="Z81" s="167"/>
      <c r="AA81" s="167"/>
      <c r="AB81" s="167"/>
      <c r="AC81" s="167"/>
      <c r="AD81" s="167"/>
      <c r="AE81" s="167"/>
      <c r="AF81" s="167"/>
      <c r="AG81" s="167"/>
      <c r="AH81" s="167"/>
      <c r="AI81" s="167"/>
      <c r="AJ81" s="167"/>
      <c r="AK81" s="167"/>
      <c r="AL81" s="167"/>
      <c r="AM81" s="167"/>
    </row>
    <row r="82" spans="2:40" s="146" customFormat="1" x14ac:dyDescent="0.2">
      <c r="B82" s="146">
        <v>1</v>
      </c>
      <c r="C82" s="146">
        <v>2</v>
      </c>
      <c r="D82" s="146">
        <v>3</v>
      </c>
      <c r="E82" s="146">
        <v>4</v>
      </c>
      <c r="F82" s="146">
        <v>5</v>
      </c>
      <c r="G82" s="146">
        <v>6</v>
      </c>
      <c r="H82" s="147">
        <v>7</v>
      </c>
      <c r="I82" s="148">
        <v>8</v>
      </c>
      <c r="J82" s="146">
        <v>9</v>
      </c>
      <c r="K82" s="148">
        <v>10</v>
      </c>
      <c r="L82" s="148">
        <v>11</v>
      </c>
      <c r="M82" s="148">
        <v>12</v>
      </c>
      <c r="N82" s="148">
        <v>13</v>
      </c>
      <c r="O82" s="148">
        <v>14</v>
      </c>
      <c r="P82" s="148">
        <v>15</v>
      </c>
      <c r="Q82" s="148">
        <v>16</v>
      </c>
      <c r="R82" s="148">
        <v>17</v>
      </c>
      <c r="S82" s="148">
        <v>18</v>
      </c>
      <c r="T82" s="149">
        <v>19</v>
      </c>
      <c r="U82" s="150">
        <v>20</v>
      </c>
      <c r="V82" s="149">
        <v>21</v>
      </c>
      <c r="W82" s="149">
        <v>22</v>
      </c>
      <c r="X82" s="149">
        <v>23</v>
      </c>
      <c r="Y82" s="149">
        <v>24</v>
      </c>
      <c r="Z82" s="149">
        <v>25</v>
      </c>
      <c r="AA82" s="149">
        <v>26</v>
      </c>
      <c r="AB82" s="149">
        <v>27</v>
      </c>
      <c r="AC82" s="149">
        <v>28</v>
      </c>
      <c r="AD82" s="149">
        <v>29</v>
      </c>
      <c r="AE82" s="149">
        <v>30</v>
      </c>
      <c r="AF82" s="149">
        <v>31</v>
      </c>
      <c r="AG82" s="149">
        <v>32</v>
      </c>
      <c r="AH82" s="149">
        <v>33</v>
      </c>
      <c r="AI82" s="149">
        <v>34</v>
      </c>
      <c r="AJ82" s="149">
        <v>35</v>
      </c>
      <c r="AK82" s="149">
        <v>36</v>
      </c>
      <c r="AL82" s="149">
        <v>37</v>
      </c>
      <c r="AM82" s="149">
        <v>38</v>
      </c>
      <c r="AN82" s="149">
        <v>39</v>
      </c>
    </row>
  </sheetData>
  <mergeCells count="1">
    <mergeCell ref="B2:D2"/>
  </mergeCells>
  <pageMargins left="0.7" right="0.7" top="0.75" bottom="0.75" header="0.3" footer="0.3"/>
  <pageSetup orientation="portrait" horizontalDpi="90" verticalDpi="9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1C6CBBF044F18B4A81900278CF2BABE4" ma:contentTypeVersion="20" ma:contentTypeDescription="Create a new document." ma:contentTypeScope="" ma:versionID="56e023aa3d262bee06b015ecd7cd5bd2">
  <xsd:schema xmlns:xsd="http://www.w3.org/2001/XMLSchema" xmlns:xs="http://www.w3.org/2001/XMLSchema" xmlns:p="http://schemas.microsoft.com/office/2006/metadata/properties" xmlns:ns2="34b69a54-4fc3-4817-8422-15971515c988" xmlns:ns3="01184067-39a9-46a5-98c8-2ee459147a10" xmlns:ns4="a33b46ca-3402-4ca8-b2f5-0de19f83a984" targetNamespace="http://schemas.microsoft.com/office/2006/metadata/properties" ma:root="true" ma:fieldsID="a9bcb78a4e215e0d394cdf072fcff440" ns2:_="" ns3:_="" ns4:_="">
    <xsd:import namespace="34b69a54-4fc3-4817-8422-15971515c988"/>
    <xsd:import namespace="01184067-39a9-46a5-98c8-2ee459147a10"/>
    <xsd:import namespace="a33b46ca-3402-4ca8-b2f5-0de19f83a984"/>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DateTaken" minOccurs="0"/>
                <xsd:element ref="ns3:MediaLengthInSeconds" minOccurs="0"/>
                <xsd:element ref="ns3:MediaServiceAutoTags" minOccurs="0"/>
                <xsd:element ref="ns3:lcf76f155ced4ddcb4097134ff3c332f" minOccurs="0"/>
                <xsd:element ref="ns4:TaxCatchAll" minOccurs="0"/>
                <xsd:element ref="ns3:MediaServiceObjectDetectorVersions" minOccurs="0"/>
                <xsd:element ref="ns3:MediaServiceOCR" minOccurs="0"/>
                <xsd:element ref="ns3:MediaServiceGenerationTime" minOccurs="0"/>
                <xsd:element ref="ns3:MediaServiceEventHashCode" minOccurs="0"/>
                <xsd:element ref="ns3:MediaServiceSearchProperties" minOccurs="0"/>
                <xsd:element ref="ns3:MediaServiceLocation" minOccurs="0"/>
                <xsd:element ref="ns3:Case_x0020_Statu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4b69a54-4fc3-4817-8422-15971515c988"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1184067-39a9-46a5-98c8-2ee459147a1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MediaServiceAutoTags" ma:index="14" nillable="true" ma:displayName="Tags" ma:internalName="MediaServiceAutoTags" ma:readOnly="true">
      <xsd:simpleType>
        <xsd:restriction base="dms:Text"/>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70fecf25-3a11-4003-9cca-0804a470c7c8"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Location" ma:index="23" nillable="true" ma:displayName="Location" ma:indexed="true" ma:internalName="MediaServiceLocation" ma:readOnly="true">
      <xsd:simpleType>
        <xsd:restriction base="dms:Text"/>
      </xsd:simpleType>
    </xsd:element>
    <xsd:element name="Case_x0020_Status" ma:index="24" nillable="true" ma:displayName="Case Status" ma:default="Ongoing" ma:internalName="Case_x0020_Status">
      <xsd:simpleType>
        <xsd:restriction base="dms:Unknown">
          <xsd:enumeration value="Ongoing"/>
          <xsd:enumeration value="Closed"/>
          <xsd:enumeration value="Paused"/>
        </xsd:restriction>
      </xsd:simpleType>
    </xsd:element>
  </xsd:schema>
  <xsd:schema xmlns:xsd="http://www.w3.org/2001/XMLSchema" xmlns:xs="http://www.w3.org/2001/XMLSchema" xmlns:dms="http://schemas.microsoft.com/office/2006/documentManagement/types" xmlns:pc="http://schemas.microsoft.com/office/infopath/2007/PartnerControls" targetNamespace="a33b46ca-3402-4ca8-b2f5-0de19f83a984" elementFormDefault="qualified">
    <xsd:import namespace="http://schemas.microsoft.com/office/2006/documentManagement/types"/>
    <xsd:import namespace="http://schemas.microsoft.com/office/infopath/2007/PartnerControls"/>
    <xsd:element name="TaxCatchAll" ma:index="17" nillable="true" ma:displayName="Taxonomy Catch All Column" ma:hidden="true" ma:list="{c76750a2-731d-4b6f-ab35-bbb9834d2419}" ma:internalName="TaxCatchAll" ma:showField="CatchAllData" ma:web="34b69a54-4fc3-4817-8422-15971515c98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4"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Case_x0020_Status xmlns="01184067-39a9-46a5-98c8-2ee459147a10">Ongoing</Case_x0020_Status>
    <TaxCatchAll xmlns="a33b46ca-3402-4ca8-b2f5-0de19f83a984" xsi:nil="true"/>
    <lcf76f155ced4ddcb4097134ff3c332f xmlns="01184067-39a9-46a5-98c8-2ee459147a10">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685D43E9-3552-425B-99A4-9AC57D5C0EEC}">
  <ds:schemaRefs>
    <ds:schemaRef ds:uri="http://schemas.microsoft.com/DataMashup"/>
  </ds:schemaRefs>
</ds:datastoreItem>
</file>

<file path=customXml/itemProps2.xml><?xml version="1.0" encoding="utf-8"?>
<ds:datastoreItem xmlns:ds="http://schemas.openxmlformats.org/officeDocument/2006/customXml" ds:itemID="{7DDC0692-4263-442B-A1A6-6ECEAF8D9663}"/>
</file>

<file path=customXml/itemProps3.xml><?xml version="1.0" encoding="utf-8"?>
<ds:datastoreItem xmlns:ds="http://schemas.openxmlformats.org/officeDocument/2006/customXml" ds:itemID="{170A3A4F-385B-490B-846C-C3C0017EA536}"/>
</file>

<file path=customXml/itemProps4.xml><?xml version="1.0" encoding="utf-8"?>
<ds:datastoreItem xmlns:ds="http://schemas.openxmlformats.org/officeDocument/2006/customXml" ds:itemID="{27F2862C-8D93-4346-82BB-2523B78330F9}"/>
</file>

<file path=docMetadata/LabelInfo.xml><?xml version="1.0" encoding="utf-8"?>
<clbl:labelList xmlns:clbl="http://schemas.microsoft.com/office/2020/mipLabelMetadata">
  <clbl:label id="{5c5e19f6-a6ab-4b45-b1d0-be4608a9a67f}" enabled="0" method="" siteId="{5c5e19f6-a6ab-4b45-b1d0-be4608a9a67f}"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10</vt:i4>
      </vt:variant>
    </vt:vector>
  </HeadingPairs>
  <TitlesOfParts>
    <vt:vector size="25" baseType="lpstr">
      <vt:lpstr>SIF Calculator Instructions</vt:lpstr>
      <vt:lpstr>SIF Calculator Input</vt:lpstr>
      <vt:lpstr>Summary of Roadway Costs</vt:lpstr>
      <vt:lpstr>ROW Dedication &amp; Easement</vt:lpstr>
      <vt:lpstr>SIF Offset Estimate</vt:lpstr>
      <vt:lpstr>Service Area</vt:lpstr>
      <vt:lpstr>Land_Use_Descriptions</vt:lpstr>
      <vt:lpstr>Max_Rate</vt:lpstr>
      <vt:lpstr>Collected_Rate</vt:lpstr>
      <vt:lpstr>TDM Instructions</vt:lpstr>
      <vt:lpstr>TDM Calculator Input</vt:lpstr>
      <vt:lpstr>Point &amp; Trip Red. Look-up Table</vt:lpstr>
      <vt:lpstr>Proposed TDM Plan Point Credits</vt:lpstr>
      <vt:lpstr>Proposed TDM Plan Trip Red. %</vt:lpstr>
      <vt:lpstr>Revised_LUVMET</vt:lpstr>
      <vt:lpstr>CrossSection</vt:lpstr>
      <vt:lpstr>ITELandUse</vt:lpstr>
      <vt:lpstr>Max_Rate!LandUse</vt:lpstr>
      <vt:lpstr>Revised_LUVMET!LandUse</vt:lpstr>
      <vt:lpstr>LandUse</vt:lpstr>
      <vt:lpstr>Permit</vt:lpstr>
      <vt:lpstr>Plat</vt:lpstr>
      <vt:lpstr>'ROW Dedication &amp; Easement'!Print_Area</vt:lpstr>
      <vt:lpstr>'SIF Calculator Input'!Print_Area</vt:lpstr>
      <vt:lpstr>'Summary of Roadway Costs'!Print_Area</vt:lpstr>
    </vt:vector>
  </TitlesOfParts>
  <Company>Kimley-Horn and Associates,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kha user</dc:creator>
  <cp:lastModifiedBy>Hasan, Manar</cp:lastModifiedBy>
  <cp:lastPrinted>2025-04-11T14:54:39Z</cp:lastPrinted>
  <dcterms:created xsi:type="dcterms:W3CDTF">2005-07-15T17:58:19Z</dcterms:created>
  <dcterms:modified xsi:type="dcterms:W3CDTF">2026-03-19T20:42:08Z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0x0101001C6CBBF044F18B4A81900278CF2BABE4</vt:lpwstr>
  </property>
</Properties>
</file>